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Ex4.xml" ContentType="application/vnd.ms-office.chartex+xml"/>
  <Override PartName="/xl/charts/style8.xml" ContentType="application/vnd.ms-office.chartstyle+xml"/>
  <Override PartName="/xl/charts/colors8.xml" ContentType="application/vnd.ms-office.chartcolorstyle+xml"/>
  <Override PartName="/xl/charts/chartEx5.xml" ContentType="application/vnd.ms-office.chartex+xml"/>
  <Override PartName="/xl/charts/style9.xml" ContentType="application/vnd.ms-office.chartstyle+xml"/>
  <Override PartName="/xl/charts/colors9.xml" ContentType="application/vnd.ms-office.chartcolorstyle+xml"/>
  <Override PartName="/xl/charts/chartEx6.xml" ContentType="application/vnd.ms-office.chartex+xml"/>
  <Override PartName="/xl/charts/style10.xml" ContentType="application/vnd.ms-office.chartstyle+xml"/>
  <Override PartName="/xl/charts/colors10.xml" ContentType="application/vnd.ms-office.chartcolorstyle+xml"/>
  <Override PartName="/xl/charts/chart5.xml" ContentType="application/vnd.openxmlformats-officedocument.drawingml.chart+xml"/>
  <Override PartName="/xl/charts/style11.xml" ContentType="application/vnd.ms-office.chartstyle+xml"/>
  <Override PartName="/xl/charts/colors11.xml" ContentType="application/vnd.ms-office.chartcolorstyle+xml"/>
  <Override PartName="/xl/charts/chart6.xml" ContentType="application/vnd.openxmlformats-officedocument.drawingml.chart+xml"/>
  <Override PartName="/xl/charts/style12.xml" ContentType="application/vnd.ms-office.chartstyle+xml"/>
  <Override PartName="/xl/charts/colors12.xml" ContentType="application/vnd.ms-office.chartcolorstyle+xml"/>
  <Override PartName="/xl/charts/chart7.xml" ContentType="application/vnd.openxmlformats-officedocument.drawingml.chart+xml"/>
  <Override PartName="/xl/charts/style13.xml" ContentType="application/vnd.ms-office.chartstyle+xml"/>
  <Override PartName="/xl/charts/colors13.xml" ContentType="application/vnd.ms-office.chartcolorstyle+xml"/>
  <Override PartName="/xl/charts/chart8.xml" ContentType="application/vnd.openxmlformats-officedocument.drawingml.chart+xml"/>
  <Override PartName="/xl/charts/style14.xml" ContentType="application/vnd.ms-office.chartstyle+xml"/>
  <Override PartName="/xl/charts/colors14.xml" ContentType="application/vnd.ms-office.chartcolorstyle+xml"/>
  <Override PartName="/xl/charts/chartEx7.xml" ContentType="application/vnd.ms-office.chartex+xml"/>
  <Override PartName="/xl/charts/style15.xml" ContentType="application/vnd.ms-office.chartstyle+xml"/>
  <Override PartName="/xl/charts/colors15.xml" ContentType="application/vnd.ms-office.chartcolorstyle+xml"/>
  <Override PartName="/xl/charts/chartEx8.xml" ContentType="application/vnd.ms-office.chartex+xml"/>
  <Override PartName="/xl/charts/style16.xml" ContentType="application/vnd.ms-office.chartstyle+xml"/>
  <Override PartName="/xl/charts/colors16.xml" ContentType="application/vnd.ms-office.chartcolorstyle+xml"/>
  <Override PartName="/xl/charts/chartEx9.xml" ContentType="application/vnd.ms-office.chartex+xml"/>
  <Override PartName="/xl/charts/style17.xml" ContentType="application/vnd.ms-office.chartstyle+xml"/>
  <Override PartName="/xl/charts/colors17.xml" ContentType="application/vnd.ms-office.chartcolorstyle+xml"/>
  <Override PartName="/xl/charts/chartEx10.xml" ContentType="application/vnd.ms-office.chartex+xml"/>
  <Override PartName="/xl/charts/style18.xml" ContentType="application/vnd.ms-office.chartstyle+xml"/>
  <Override PartName="/xl/charts/colors18.xml" ContentType="application/vnd.ms-office.chartcolorstyle+xml"/>
  <Override PartName="/xl/charts/chartEx11.xml" ContentType="application/vnd.ms-office.chartex+xml"/>
  <Override PartName="/xl/charts/style19.xml" ContentType="application/vnd.ms-office.chartstyle+xml"/>
  <Override PartName="/xl/charts/colors19.xml" ContentType="application/vnd.ms-office.chartcolorstyle+xml"/>
  <Override PartName="/xl/charts/chartEx12.xml" ContentType="application/vnd.ms-office.chartex+xml"/>
  <Override PartName="/xl/charts/style20.xml" ContentType="application/vnd.ms-office.chartstyle+xml"/>
  <Override PartName="/xl/charts/colors20.xml" ContentType="application/vnd.ms-office.chartcolorstyle+xml"/>
  <Override PartName="/xl/charts/chartEx13.xml" ContentType="application/vnd.ms-office.chartex+xml"/>
  <Override PartName="/xl/charts/style21.xml" ContentType="application/vnd.ms-office.chartstyle+xml"/>
  <Override PartName="/xl/charts/colors21.xml" ContentType="application/vnd.ms-office.chartcolorstyle+xml"/>
  <Override PartName="/xl/charts/chartEx14.xml" ContentType="application/vnd.ms-office.chartex+xml"/>
  <Override PartName="/xl/charts/style22.xml" ContentType="application/vnd.ms-office.chartstyle+xml"/>
  <Override PartName="/xl/charts/colors22.xml" ContentType="application/vnd.ms-office.chartcolorstyle+xml"/>
  <Override PartName="/xl/charts/chart9.xml" ContentType="application/vnd.openxmlformats-officedocument.drawingml.chart+xml"/>
  <Override PartName="/xl/charts/style23.xml" ContentType="application/vnd.ms-office.chartstyle+xml"/>
  <Override PartName="/xl/charts/colors23.xml" ContentType="application/vnd.ms-office.chartcolorstyle+xml"/>
  <Override PartName="/xl/charts/chart10.xml" ContentType="application/vnd.openxmlformats-officedocument.drawingml.chart+xml"/>
  <Override PartName="/xl/charts/style24.xml" ContentType="application/vnd.ms-office.chartstyle+xml"/>
  <Override PartName="/xl/charts/colors24.xml" ContentType="application/vnd.ms-office.chartcolorstyle+xml"/>
  <Override PartName="/xl/charts/chart11.xml" ContentType="application/vnd.openxmlformats-officedocument.drawingml.chart+xml"/>
  <Override PartName="/xl/charts/style25.xml" ContentType="application/vnd.ms-office.chartstyle+xml"/>
  <Override PartName="/xl/charts/colors25.xml" ContentType="application/vnd.ms-office.chartcolorstyle+xml"/>
  <Override PartName="/xl/charts/chart12.xml" ContentType="application/vnd.openxmlformats-officedocument.drawingml.chart+xml"/>
  <Override PartName="/xl/charts/style26.xml" ContentType="application/vnd.ms-office.chartstyle+xml"/>
  <Override PartName="/xl/charts/colors26.xml" ContentType="application/vnd.ms-office.chartcolorstyle+xml"/>
  <Override PartName="/xl/charts/chart13.xml" ContentType="application/vnd.openxmlformats-officedocument.drawingml.chart+xml"/>
  <Override PartName="/xl/charts/style27.xml" ContentType="application/vnd.ms-office.chartstyle+xml"/>
  <Override PartName="/xl/charts/colors27.xml" ContentType="application/vnd.ms-office.chartcolorstyle+xml"/>
  <Override PartName="/xl/charts/chart14.xml" ContentType="application/vnd.openxmlformats-officedocument.drawingml.chart+xml"/>
  <Override PartName="/xl/charts/style28.xml" ContentType="application/vnd.ms-office.chartstyle+xml"/>
  <Override PartName="/xl/charts/colors28.xml" ContentType="application/vnd.ms-office.chartcolorstyle+xml"/>
  <Override PartName="/xl/charts/chart15.xml" ContentType="application/vnd.openxmlformats-officedocument.drawingml.chart+xml"/>
  <Override PartName="/xl/charts/style29.xml" ContentType="application/vnd.ms-office.chartstyle+xml"/>
  <Override PartName="/xl/charts/colors29.xml" ContentType="application/vnd.ms-office.chartcolorstyle+xml"/>
  <Override PartName="/xl/charts/chart16.xml" ContentType="application/vnd.openxmlformats-officedocument.drawingml.chart+xml"/>
  <Override PartName="/xl/charts/style30.xml" ContentType="application/vnd.ms-office.chartstyle+xml"/>
  <Override PartName="/xl/charts/colors30.xml" ContentType="application/vnd.ms-office.chartcolorstyle+xml"/>
  <Override PartName="/xl/charts/chart17.xml" ContentType="application/vnd.openxmlformats-officedocument.drawingml.chart+xml"/>
  <Override PartName="/xl/charts/style31.xml" ContentType="application/vnd.ms-office.chartstyle+xml"/>
  <Override PartName="/xl/charts/colors31.xml" ContentType="application/vnd.ms-office.chartcolorstyle+xml"/>
  <Override PartName="/xl/charts/chart18.xml" ContentType="application/vnd.openxmlformats-officedocument.drawingml.chart+xml"/>
  <Override PartName="/xl/charts/style32.xml" ContentType="application/vnd.ms-office.chartstyle+xml"/>
  <Override PartName="/xl/charts/colors32.xml" ContentType="application/vnd.ms-office.chartcolorstyle+xml"/>
  <Override PartName="/xl/charts/chart19.xml" ContentType="application/vnd.openxmlformats-officedocument.drawingml.chart+xml"/>
  <Override PartName="/xl/charts/style33.xml" ContentType="application/vnd.ms-office.chartstyle+xml"/>
  <Override PartName="/xl/charts/colors33.xml" ContentType="application/vnd.ms-office.chartcolorstyle+xml"/>
  <Override PartName="/xl/charts/chart20.xml" ContentType="application/vnd.openxmlformats-officedocument.drawingml.chart+xml"/>
  <Override PartName="/xl/charts/style34.xml" ContentType="application/vnd.ms-office.chartstyle+xml"/>
  <Override PartName="/xl/charts/colors34.xml" ContentType="application/vnd.ms-office.chartcolorstyle+xml"/>
  <Override PartName="/xl/charts/chart21.xml" ContentType="application/vnd.openxmlformats-officedocument.drawingml.chart+xml"/>
  <Override PartName="/xl/charts/style35.xml" ContentType="application/vnd.ms-office.chartstyle+xml"/>
  <Override PartName="/xl/charts/colors35.xml" ContentType="application/vnd.ms-office.chartcolorstyle+xml"/>
  <Override PartName="/xl/drawings/drawing4.xml" ContentType="application/vnd.openxmlformats-officedocument.drawing+xml"/>
  <Override PartName="/xl/charts/chart22.xml" ContentType="application/vnd.openxmlformats-officedocument.drawingml.chart+xml"/>
  <Override PartName="/xl/charts/style36.xml" ContentType="application/vnd.ms-office.chartstyle+xml"/>
  <Override PartName="/xl/charts/colors36.xml" ContentType="application/vnd.ms-office.chartcolorstyle+xml"/>
  <Override PartName="/xl/charts/chart23.xml" ContentType="application/vnd.openxmlformats-officedocument.drawingml.chart+xml"/>
  <Override PartName="/xl/charts/style37.xml" ContentType="application/vnd.ms-office.chartstyle+xml"/>
  <Override PartName="/xl/charts/colors37.xml" ContentType="application/vnd.ms-office.chartcolorstyle+xml"/>
  <Override PartName="/xl/charts/chart24.xml" ContentType="application/vnd.openxmlformats-officedocument.drawingml.chart+xml"/>
  <Override PartName="/xl/charts/style38.xml" ContentType="application/vnd.ms-office.chartstyle+xml"/>
  <Override PartName="/xl/charts/colors38.xml" ContentType="application/vnd.ms-office.chartcolorstyle+xml"/>
  <Override PartName="/xl/charts/chart25.xml" ContentType="application/vnd.openxmlformats-officedocument.drawingml.chart+xml"/>
  <Override PartName="/xl/charts/style39.xml" ContentType="application/vnd.ms-office.chartstyle+xml"/>
  <Override PartName="/xl/charts/colors39.xml" ContentType="application/vnd.ms-office.chartcolorstyle+xml"/>
  <Override PartName="/xl/drawings/drawing5.xml" ContentType="application/vnd.openxmlformats-officedocument.drawingml.chartshapes+xml"/>
  <Override PartName="/xl/charts/chart26.xml" ContentType="application/vnd.openxmlformats-officedocument.drawingml.chart+xml"/>
  <Override PartName="/xl/charts/style40.xml" ContentType="application/vnd.ms-office.chartstyle+xml"/>
  <Override PartName="/xl/charts/colors40.xml" ContentType="application/vnd.ms-office.chartcolorstyle+xml"/>
  <Override PartName="/xl/charts/chart27.xml" ContentType="application/vnd.openxmlformats-officedocument.drawingml.chart+xml"/>
  <Override PartName="/xl/charts/style41.xml" ContentType="application/vnd.ms-office.chartstyle+xml"/>
  <Override PartName="/xl/charts/colors41.xml" ContentType="application/vnd.ms-office.chartcolorstyle+xml"/>
  <Override PartName="/xl/charts/chartEx15.xml" ContentType="application/vnd.ms-office.chartex+xml"/>
  <Override PartName="/xl/charts/style42.xml" ContentType="application/vnd.ms-office.chartstyle+xml"/>
  <Override PartName="/xl/charts/colors42.xml" ContentType="application/vnd.ms-office.chartcolorstyle+xml"/>
  <Override PartName="/xl/charts/chartEx16.xml" ContentType="application/vnd.ms-office.chartex+xml"/>
  <Override PartName="/xl/charts/style43.xml" ContentType="application/vnd.ms-office.chartstyle+xml"/>
  <Override PartName="/xl/charts/colors43.xml" ContentType="application/vnd.ms-office.chartcolorstyle+xml"/>
  <Override PartName="/xl/charts/chartEx17.xml" ContentType="application/vnd.ms-office.chartex+xml"/>
  <Override PartName="/xl/charts/style44.xml" ContentType="application/vnd.ms-office.chartstyle+xml"/>
  <Override PartName="/xl/charts/colors44.xml" ContentType="application/vnd.ms-office.chartcolorstyle+xml"/>
  <Override PartName="/xl/charts/chartEx18.xml" ContentType="application/vnd.ms-office.chartex+xml"/>
  <Override PartName="/xl/charts/style45.xml" ContentType="application/vnd.ms-office.chartstyle+xml"/>
  <Override PartName="/xl/charts/colors45.xml" ContentType="application/vnd.ms-office.chartcolorstyle+xml"/>
  <Override PartName="/xl/charts/chartEx19.xml" ContentType="application/vnd.ms-office.chartex+xml"/>
  <Override PartName="/xl/charts/style46.xml" ContentType="application/vnd.ms-office.chartstyle+xml"/>
  <Override PartName="/xl/charts/colors46.xml" ContentType="application/vnd.ms-office.chartcolorstyle+xml"/>
  <Override PartName="/xl/charts/chartEx20.xml" ContentType="application/vnd.ms-office.chartex+xml"/>
  <Override PartName="/xl/charts/style47.xml" ContentType="application/vnd.ms-office.chartstyle+xml"/>
  <Override PartName="/xl/charts/colors47.xml" ContentType="application/vnd.ms-office.chartcolorstyle+xml"/>
  <Override PartName="/xl/charts/chart28.xml" ContentType="application/vnd.openxmlformats-officedocument.drawingml.chart+xml"/>
  <Override PartName="/xl/charts/style48.xml" ContentType="application/vnd.ms-office.chartstyle+xml"/>
  <Override PartName="/xl/charts/colors48.xml" ContentType="application/vnd.ms-office.chartcolorstyle+xml"/>
  <Override PartName="/xl/charts/chart29.xml" ContentType="application/vnd.openxmlformats-officedocument.drawingml.chart+xml"/>
  <Override PartName="/xl/charts/style49.xml" ContentType="application/vnd.ms-office.chartstyle+xml"/>
  <Override PartName="/xl/charts/colors49.xml" ContentType="application/vnd.ms-office.chartcolorstyle+xml"/>
  <Override PartName="/xl/charts/chartEx21.xml" ContentType="application/vnd.ms-office.chartex+xml"/>
  <Override PartName="/xl/charts/style50.xml" ContentType="application/vnd.ms-office.chartstyle+xml"/>
  <Override PartName="/xl/charts/colors50.xml" ContentType="application/vnd.ms-office.chartcolorstyle+xml"/>
  <Override PartName="/xl/charts/chartEx22.xml" ContentType="application/vnd.ms-office.chartex+xml"/>
  <Override PartName="/xl/charts/style51.xml" ContentType="application/vnd.ms-office.chartstyle+xml"/>
  <Override PartName="/xl/charts/colors51.xml" ContentType="application/vnd.ms-office.chartcolorstyle+xml"/>
  <Override PartName="/xl/charts/chartEx23.xml" ContentType="application/vnd.ms-office.chartex+xml"/>
  <Override PartName="/xl/charts/style52.xml" ContentType="application/vnd.ms-office.chartstyle+xml"/>
  <Override PartName="/xl/charts/colors52.xml" ContentType="application/vnd.ms-office.chartcolorstyle+xml"/>
  <Override PartName="/xl/charts/chartEx24.xml" ContentType="application/vnd.ms-office.chartex+xml"/>
  <Override PartName="/xl/charts/style53.xml" ContentType="application/vnd.ms-office.chartstyle+xml"/>
  <Override PartName="/xl/charts/colors53.xml" ContentType="application/vnd.ms-office.chartcolorstyle+xml"/>
  <Override PartName="/xl/charts/chartEx25.xml" ContentType="application/vnd.ms-office.chartex+xml"/>
  <Override PartName="/xl/charts/style54.xml" ContentType="application/vnd.ms-office.chartstyle+xml"/>
  <Override PartName="/xl/charts/colors54.xml" ContentType="application/vnd.ms-office.chartcolorstyle+xml"/>
  <Override PartName="/xl/charts/chartEx26.xml" ContentType="application/vnd.ms-office.chartex+xml"/>
  <Override PartName="/xl/charts/style55.xml" ContentType="application/vnd.ms-office.chartstyle+xml"/>
  <Override PartName="/xl/charts/colors55.xml" ContentType="application/vnd.ms-office.chartcolorstyle+xml"/>
  <Override PartName="/xl/charts/chartEx27.xml" ContentType="application/vnd.ms-office.chartex+xml"/>
  <Override PartName="/xl/charts/style56.xml" ContentType="application/vnd.ms-office.chartstyle+xml"/>
  <Override PartName="/xl/charts/colors56.xml" ContentType="application/vnd.ms-office.chartcolorstyle+xml"/>
  <Override PartName="/xl/charts/chartEx28.xml" ContentType="application/vnd.ms-office.chartex+xml"/>
  <Override PartName="/xl/charts/style57.xml" ContentType="application/vnd.ms-office.chartstyle+xml"/>
  <Override PartName="/xl/charts/colors57.xml" ContentType="application/vnd.ms-office.chartcolorstyle+xml"/>
  <Override PartName="/xl/charts/chart30.xml" ContentType="application/vnd.openxmlformats-officedocument.drawingml.chart+xml"/>
  <Override PartName="/xl/charts/style58.xml" ContentType="application/vnd.ms-office.chartstyle+xml"/>
  <Override PartName="/xl/charts/colors58.xml" ContentType="application/vnd.ms-office.chartcolorstyle+xml"/>
  <Override PartName="/xl/charts/chart31.xml" ContentType="application/vnd.openxmlformats-officedocument.drawingml.chart+xml"/>
  <Override PartName="/xl/charts/style59.xml" ContentType="application/vnd.ms-office.chartstyle+xml"/>
  <Override PartName="/xl/charts/colors59.xml" ContentType="application/vnd.ms-office.chartcolorstyle+xml"/>
  <Override PartName="/xl/charts/chart32.xml" ContentType="application/vnd.openxmlformats-officedocument.drawingml.chart+xml"/>
  <Override PartName="/xl/charts/style60.xml" ContentType="application/vnd.ms-office.chartstyle+xml"/>
  <Override PartName="/xl/charts/colors60.xml" ContentType="application/vnd.ms-office.chartcolorstyle+xml"/>
  <Override PartName="/xl/charts/chart33.xml" ContentType="application/vnd.openxmlformats-officedocument.drawingml.chart+xml"/>
  <Override PartName="/xl/charts/style61.xml" ContentType="application/vnd.ms-office.chartstyle+xml"/>
  <Override PartName="/xl/charts/colors61.xml" ContentType="application/vnd.ms-office.chartcolorstyle+xml"/>
  <Override PartName="/xl/charts/chart34.xml" ContentType="application/vnd.openxmlformats-officedocument.drawingml.chart+xml"/>
  <Override PartName="/xl/charts/style62.xml" ContentType="application/vnd.ms-office.chartstyle+xml"/>
  <Override PartName="/xl/charts/colors62.xml" ContentType="application/vnd.ms-office.chartcolorstyle+xml"/>
  <Override PartName="/xl/charts/chart35.xml" ContentType="application/vnd.openxmlformats-officedocument.drawingml.chart+xml"/>
  <Override PartName="/xl/charts/style63.xml" ContentType="application/vnd.ms-office.chartstyle+xml"/>
  <Override PartName="/xl/charts/colors63.xml" ContentType="application/vnd.ms-office.chartcolorstyle+xml"/>
  <Override PartName="/xl/charts/chart36.xml" ContentType="application/vnd.openxmlformats-officedocument.drawingml.chart+xml"/>
  <Override PartName="/xl/charts/style64.xml" ContentType="application/vnd.ms-office.chartstyle+xml"/>
  <Override PartName="/xl/charts/colors64.xml" ContentType="application/vnd.ms-office.chartcolorstyle+xml"/>
  <Override PartName="/xl/charts/chart37.xml" ContentType="application/vnd.openxmlformats-officedocument.drawingml.chart+xml"/>
  <Override PartName="/xl/charts/style65.xml" ContentType="application/vnd.ms-office.chartstyle+xml"/>
  <Override PartName="/xl/charts/colors65.xml" ContentType="application/vnd.ms-office.chartcolorstyle+xml"/>
  <Override PartName="/xl/charts/chart38.xml" ContentType="application/vnd.openxmlformats-officedocument.drawingml.chart+xml"/>
  <Override PartName="/xl/charts/style66.xml" ContentType="application/vnd.ms-office.chartstyle+xml"/>
  <Override PartName="/xl/charts/colors66.xml" ContentType="application/vnd.ms-office.chartcolorstyle+xml"/>
  <Override PartName="/xl/charts/chart39.xml" ContentType="application/vnd.openxmlformats-officedocument.drawingml.chart+xml"/>
  <Override PartName="/xl/charts/style67.xml" ContentType="application/vnd.ms-office.chartstyle+xml"/>
  <Override PartName="/xl/charts/colors67.xml" ContentType="application/vnd.ms-office.chartcolorstyle+xml"/>
  <Override PartName="/xl/charts/chart40.xml" ContentType="application/vnd.openxmlformats-officedocument.drawingml.chart+xml"/>
  <Override PartName="/xl/charts/style68.xml" ContentType="application/vnd.ms-office.chartstyle+xml"/>
  <Override PartName="/xl/charts/colors68.xml" ContentType="application/vnd.ms-office.chartcolorstyle+xml"/>
  <Override PartName="/xl/charts/chart41.xml" ContentType="application/vnd.openxmlformats-officedocument.drawingml.chart+xml"/>
  <Override PartName="/xl/charts/style69.xml" ContentType="application/vnd.ms-office.chartstyle+xml"/>
  <Override PartName="/xl/charts/colors69.xml" ContentType="application/vnd.ms-office.chartcolorstyle+xml"/>
  <Override PartName="/xl/charts/chart42.xml" ContentType="application/vnd.openxmlformats-officedocument.drawingml.chart+xml"/>
  <Override PartName="/xl/charts/style70.xml" ContentType="application/vnd.ms-office.chartstyle+xml"/>
  <Override PartName="/xl/charts/colors70.xml" ContentType="application/vnd.ms-office.chartcolorstyle+xml"/>
  <Override PartName="/xl/drawings/drawing6.xml" ContentType="application/vnd.openxmlformats-officedocument.drawing+xml"/>
  <Override PartName="/xl/charts/chart43.xml" ContentType="application/vnd.openxmlformats-officedocument.drawingml.chart+xml"/>
  <Override PartName="/xl/charts/style71.xml" ContentType="application/vnd.ms-office.chartstyle+xml"/>
  <Override PartName="/xl/charts/colors71.xml" ContentType="application/vnd.ms-office.chartcolorstyle+xml"/>
  <Override PartName="/xl/drawings/drawing7.xml" ContentType="application/vnd.openxmlformats-officedocument.drawing+xml"/>
  <Override PartName="/xl/comments2.xml" ContentType="application/vnd.openxmlformats-officedocument.spreadsheetml.comments+xml"/>
  <Override PartName="/xl/charts/chartEx29.xml" ContentType="application/vnd.ms-office.chartex+xml"/>
  <Override PartName="/xl/charts/style72.xml" ContentType="application/vnd.ms-office.chartstyle+xml"/>
  <Override PartName="/xl/charts/colors72.xml" ContentType="application/vnd.ms-office.chartcolorstyle+xml"/>
  <Override PartName="/xl/charts/chartEx30.xml" ContentType="application/vnd.ms-office.chartex+xml"/>
  <Override PartName="/xl/charts/style73.xml" ContentType="application/vnd.ms-office.chartstyle+xml"/>
  <Override PartName="/xl/charts/colors73.xml" ContentType="application/vnd.ms-office.chartcolorstyle+xml"/>
  <Override PartName="/xl/charts/chartEx31.xml" ContentType="application/vnd.ms-office.chartex+xml"/>
  <Override PartName="/xl/charts/style74.xml" ContentType="application/vnd.ms-office.chartstyle+xml"/>
  <Override PartName="/xl/charts/colors74.xml" ContentType="application/vnd.ms-office.chartcolorstyle+xml"/>
  <Override PartName="/xl/charts/chartEx32.xml" ContentType="application/vnd.ms-office.chartex+xml"/>
  <Override PartName="/xl/charts/style75.xml" ContentType="application/vnd.ms-office.chartstyle+xml"/>
  <Override PartName="/xl/charts/colors75.xml" ContentType="application/vnd.ms-office.chartcolorstyle+xml"/>
  <Override PartName="/xl/charts/chartEx33.xml" ContentType="application/vnd.ms-office.chartex+xml"/>
  <Override PartName="/xl/charts/style76.xml" ContentType="application/vnd.ms-office.chartstyle+xml"/>
  <Override PartName="/xl/charts/colors76.xml" ContentType="application/vnd.ms-office.chartcolorstyle+xml"/>
  <Override PartName="/xl/charts/chartEx34.xml" ContentType="application/vnd.ms-office.chartex+xml"/>
  <Override PartName="/xl/charts/style77.xml" ContentType="application/vnd.ms-office.chartstyle+xml"/>
  <Override PartName="/xl/charts/colors77.xml" ContentType="application/vnd.ms-office.chartcolorstyle+xml"/>
  <Override PartName="/xl/charts/chart44.xml" ContentType="application/vnd.openxmlformats-officedocument.drawingml.chart+xml"/>
  <Override PartName="/xl/charts/style78.xml" ContentType="application/vnd.ms-office.chartstyle+xml"/>
  <Override PartName="/xl/charts/colors78.xml" ContentType="application/vnd.ms-office.chartcolorstyle+xml"/>
  <Override PartName="/xl/tables/table1.xml" ContentType="application/vnd.openxmlformats-officedocument.spreadsheetml.table+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harts/chartEx35.xml" ContentType="application/vnd.ms-office.chartex+xml"/>
  <Override PartName="/xl/charts/style79.xml" ContentType="application/vnd.ms-office.chartstyle+xml"/>
  <Override PartName="/xl/charts/colors79.xml" ContentType="application/vnd.ms-office.chartcolorstyle+xml"/>
  <Override PartName="/xl/charts/chartEx36.xml" ContentType="application/vnd.ms-office.chartex+xml"/>
  <Override PartName="/xl/charts/style80.xml" ContentType="application/vnd.ms-office.chartstyle+xml"/>
  <Override PartName="/xl/charts/colors80.xml" ContentType="application/vnd.ms-office.chartcolorstyle+xml"/>
  <Override PartName="/xl/charts/chartEx37.xml" ContentType="application/vnd.ms-office.chartex+xml"/>
  <Override PartName="/xl/charts/style81.xml" ContentType="application/vnd.ms-office.chartstyle+xml"/>
  <Override PartName="/xl/charts/colors81.xml" ContentType="application/vnd.ms-office.chartcolorstyle+xml"/>
  <Override PartName="/xl/charts/chartEx38.xml" ContentType="application/vnd.ms-office.chartex+xml"/>
  <Override PartName="/xl/charts/style82.xml" ContentType="application/vnd.ms-office.chartstyle+xml"/>
  <Override PartName="/xl/charts/colors82.xml" ContentType="application/vnd.ms-office.chartcolorstyle+xml"/>
  <Override PartName="/xl/charts/chartEx39.xml" ContentType="application/vnd.ms-office.chartex+xml"/>
  <Override PartName="/xl/charts/style83.xml" ContentType="application/vnd.ms-office.chartstyle+xml"/>
  <Override PartName="/xl/charts/colors83.xml" ContentType="application/vnd.ms-office.chartcolorstyle+xml"/>
  <Override PartName="/xl/charts/chartEx40.xml" ContentType="application/vnd.ms-office.chartex+xml"/>
  <Override PartName="/xl/charts/style84.xml" ContentType="application/vnd.ms-office.chartstyle+xml"/>
  <Override PartName="/xl/charts/colors84.xml" ContentType="application/vnd.ms-office.chartcolorstyle+xml"/>
  <Override PartName="/xl/charts/chart45.xml" ContentType="application/vnd.openxmlformats-officedocument.drawingml.chart+xml"/>
  <Override PartName="/xl/charts/style85.xml" ContentType="application/vnd.ms-office.chartstyle+xml"/>
  <Override PartName="/xl/charts/colors85.xml" ContentType="application/vnd.ms-office.chartcolorstyle+xml"/>
  <Override PartName="/xl/drawings/drawing11.xml" ContentType="application/vnd.openxmlformats-officedocument.drawing+xml"/>
  <Override PartName="/xl/charts/chartEx41.xml" ContentType="application/vnd.ms-office.chartex+xml"/>
  <Override PartName="/xl/charts/style86.xml" ContentType="application/vnd.ms-office.chartstyle+xml"/>
  <Override PartName="/xl/charts/colors86.xml" ContentType="application/vnd.ms-office.chartcolorstyle+xml"/>
  <Override PartName="/xl/charts/chartEx42.xml" ContentType="application/vnd.ms-office.chartex+xml"/>
  <Override PartName="/xl/charts/style87.xml" ContentType="application/vnd.ms-office.chartstyle+xml"/>
  <Override PartName="/xl/charts/colors87.xml" ContentType="application/vnd.ms-office.chartcolorstyle+xml"/>
  <Override PartName="/xl/charts/chartEx43.xml" ContentType="application/vnd.ms-office.chartex+xml"/>
  <Override PartName="/xl/charts/style88.xml" ContentType="application/vnd.ms-office.chartstyle+xml"/>
  <Override PartName="/xl/charts/colors88.xml" ContentType="application/vnd.ms-office.chartcolorstyle+xml"/>
  <Override PartName="/xl/charts/chartEx44.xml" ContentType="application/vnd.ms-office.chartex+xml"/>
  <Override PartName="/xl/charts/style89.xml" ContentType="application/vnd.ms-office.chartstyle+xml"/>
  <Override PartName="/xl/charts/colors89.xml" ContentType="application/vnd.ms-office.chartcolorstyle+xml"/>
  <Override PartName="/xl/charts/chartEx45.xml" ContentType="application/vnd.ms-office.chartex+xml"/>
  <Override PartName="/xl/charts/style90.xml" ContentType="application/vnd.ms-office.chartstyle+xml"/>
  <Override PartName="/xl/charts/colors90.xml" ContentType="application/vnd.ms-office.chartcolorstyle+xml"/>
  <Override PartName="/xl/charts/chartEx46.xml" ContentType="application/vnd.ms-office.chartex+xml"/>
  <Override PartName="/xl/charts/style91.xml" ContentType="application/vnd.ms-office.chartstyle+xml"/>
  <Override PartName="/xl/charts/colors91.xml" ContentType="application/vnd.ms-office.chartcolorstyle+xml"/>
  <Override PartName="/xl/charts/chart46.xml" ContentType="application/vnd.openxmlformats-officedocument.drawingml.chart+xml"/>
  <Override PartName="/xl/charts/style92.xml" ContentType="application/vnd.ms-office.chartstyle+xml"/>
  <Override PartName="/xl/charts/colors92.xml" ContentType="application/vnd.ms-office.chartcolorstyle+xml"/>
  <Override PartName="/xl/drawings/drawing12.xml" ContentType="application/vnd.openxmlformats-officedocument.drawing+xml"/>
  <Override PartName="/xl/charts/chartEx47.xml" ContentType="application/vnd.ms-office.chartex+xml"/>
  <Override PartName="/xl/charts/style93.xml" ContentType="application/vnd.ms-office.chartstyle+xml"/>
  <Override PartName="/xl/charts/colors93.xml" ContentType="application/vnd.ms-office.chartcolorstyle+xml"/>
  <Override PartName="/xl/charts/chartEx48.xml" ContentType="application/vnd.ms-office.chartex+xml"/>
  <Override PartName="/xl/charts/style94.xml" ContentType="application/vnd.ms-office.chartstyle+xml"/>
  <Override PartName="/xl/charts/colors94.xml" ContentType="application/vnd.ms-office.chartcolorstyle+xml"/>
  <Override PartName="/xl/charts/chartEx49.xml" ContentType="application/vnd.ms-office.chartex+xml"/>
  <Override PartName="/xl/charts/style95.xml" ContentType="application/vnd.ms-office.chartstyle+xml"/>
  <Override PartName="/xl/charts/colors95.xml" ContentType="application/vnd.ms-office.chartcolorstyle+xml"/>
  <Override PartName="/xl/charts/chartEx50.xml" ContentType="application/vnd.ms-office.chartex+xml"/>
  <Override PartName="/xl/charts/style96.xml" ContentType="application/vnd.ms-office.chartstyle+xml"/>
  <Override PartName="/xl/charts/colors96.xml" ContentType="application/vnd.ms-office.chartcolorstyle+xml"/>
  <Override PartName="/xl/charts/chartEx51.xml" ContentType="application/vnd.ms-office.chartex+xml"/>
  <Override PartName="/xl/charts/style97.xml" ContentType="application/vnd.ms-office.chartstyle+xml"/>
  <Override PartName="/xl/charts/colors97.xml" ContentType="application/vnd.ms-office.chartcolorstyle+xml"/>
  <Override PartName="/xl/charts/chartEx52.xml" ContentType="application/vnd.ms-office.chartex+xml"/>
  <Override PartName="/xl/charts/style98.xml" ContentType="application/vnd.ms-office.chartstyle+xml"/>
  <Override PartName="/xl/charts/colors98.xml" ContentType="application/vnd.ms-office.chartcolorstyle+xml"/>
  <Override PartName="/xl/charts/chart47.xml" ContentType="application/vnd.openxmlformats-officedocument.drawingml.chart+xml"/>
  <Override PartName="/xl/charts/style99.xml" ContentType="application/vnd.ms-office.chartstyle+xml"/>
  <Override PartName="/xl/charts/colors99.xml" ContentType="application/vnd.ms-office.chartcolorstyle+xml"/>
  <Override PartName="/xl/drawings/drawing13.xml" ContentType="application/vnd.openxmlformats-officedocument.drawing+xml"/>
  <Override PartName="/xl/charts/chartEx53.xml" ContentType="application/vnd.ms-office.chartex+xml"/>
  <Override PartName="/xl/charts/style100.xml" ContentType="application/vnd.ms-office.chartstyle+xml"/>
  <Override PartName="/xl/charts/colors100.xml" ContentType="application/vnd.ms-office.chartcolorstyle+xml"/>
  <Override PartName="/xl/charts/chartEx54.xml" ContentType="application/vnd.ms-office.chartex+xml"/>
  <Override PartName="/xl/charts/style101.xml" ContentType="application/vnd.ms-office.chartstyle+xml"/>
  <Override PartName="/xl/charts/colors101.xml" ContentType="application/vnd.ms-office.chartcolorstyle+xml"/>
  <Override PartName="/xl/charts/chartEx55.xml" ContentType="application/vnd.ms-office.chartex+xml"/>
  <Override PartName="/xl/charts/style102.xml" ContentType="application/vnd.ms-office.chartstyle+xml"/>
  <Override PartName="/xl/charts/colors102.xml" ContentType="application/vnd.ms-office.chartcolorstyle+xml"/>
  <Override PartName="/xl/charts/chartEx56.xml" ContentType="application/vnd.ms-office.chartex+xml"/>
  <Override PartName="/xl/charts/style103.xml" ContentType="application/vnd.ms-office.chartstyle+xml"/>
  <Override PartName="/xl/charts/colors103.xml" ContentType="application/vnd.ms-office.chartcolorstyle+xml"/>
  <Override PartName="/xl/charts/chartEx57.xml" ContentType="application/vnd.ms-office.chartex+xml"/>
  <Override PartName="/xl/charts/style104.xml" ContentType="application/vnd.ms-office.chartstyle+xml"/>
  <Override PartName="/xl/charts/colors104.xml" ContentType="application/vnd.ms-office.chartcolorstyle+xml"/>
  <Override PartName="/xl/charts/chartEx58.xml" ContentType="application/vnd.ms-office.chartex+xml"/>
  <Override PartName="/xl/charts/style105.xml" ContentType="application/vnd.ms-office.chartstyle+xml"/>
  <Override PartName="/xl/charts/colors105.xml" ContentType="application/vnd.ms-office.chartcolorstyle+xml"/>
  <Override PartName="/xl/charts/chart48.xml" ContentType="application/vnd.openxmlformats-officedocument.drawingml.chart+xml"/>
  <Override PartName="/xl/charts/style106.xml" ContentType="application/vnd.ms-office.chartstyle+xml"/>
  <Override PartName="/xl/charts/colors106.xml" ContentType="application/vnd.ms-office.chartcolorstyle+xml"/>
  <Override PartName="/xl/drawings/drawing14.xml" ContentType="application/vnd.openxmlformats-officedocument.drawing+xml"/>
  <Override PartName="/xl/charts/chartEx59.xml" ContentType="application/vnd.ms-office.chartex+xml"/>
  <Override PartName="/xl/charts/style107.xml" ContentType="application/vnd.ms-office.chartstyle+xml"/>
  <Override PartName="/xl/charts/colors107.xml" ContentType="application/vnd.ms-office.chartcolorstyle+xml"/>
  <Override PartName="/xl/charts/chartEx60.xml" ContentType="application/vnd.ms-office.chartex+xml"/>
  <Override PartName="/xl/charts/style108.xml" ContentType="application/vnd.ms-office.chartstyle+xml"/>
  <Override PartName="/xl/charts/colors108.xml" ContentType="application/vnd.ms-office.chartcolorstyle+xml"/>
  <Override PartName="/xl/charts/chartEx61.xml" ContentType="application/vnd.ms-office.chartex+xml"/>
  <Override PartName="/xl/charts/style109.xml" ContentType="application/vnd.ms-office.chartstyle+xml"/>
  <Override PartName="/xl/charts/colors109.xml" ContentType="application/vnd.ms-office.chartcolorstyle+xml"/>
  <Override PartName="/xl/charts/chartEx62.xml" ContentType="application/vnd.ms-office.chartex+xml"/>
  <Override PartName="/xl/charts/style110.xml" ContentType="application/vnd.ms-office.chartstyle+xml"/>
  <Override PartName="/xl/charts/colors110.xml" ContentType="application/vnd.ms-office.chartcolorstyle+xml"/>
  <Override PartName="/xl/charts/chartEx63.xml" ContentType="application/vnd.ms-office.chartex+xml"/>
  <Override PartName="/xl/charts/style111.xml" ContentType="application/vnd.ms-office.chartstyle+xml"/>
  <Override PartName="/xl/charts/colors111.xml" ContentType="application/vnd.ms-office.chartcolorstyle+xml"/>
  <Override PartName="/xl/charts/chartEx64.xml" ContentType="application/vnd.ms-office.chartex+xml"/>
  <Override PartName="/xl/charts/style112.xml" ContentType="application/vnd.ms-office.chartstyle+xml"/>
  <Override PartName="/xl/charts/colors112.xml" ContentType="application/vnd.ms-office.chartcolorstyle+xml"/>
  <Override PartName="/xl/charts/chart49.xml" ContentType="application/vnd.openxmlformats-officedocument.drawingml.chart+xml"/>
  <Override PartName="/xl/charts/style113.xml" ContentType="application/vnd.ms-office.chartstyle+xml"/>
  <Override PartName="/xl/charts/colors113.xml" ContentType="application/vnd.ms-office.chartcolorstyle+xml"/>
  <Override PartName="/xl/drawings/drawing15.xml" ContentType="application/vnd.openxmlformats-officedocument.drawing+xml"/>
  <Override PartName="/xl/charts/chartEx65.xml" ContentType="application/vnd.ms-office.chartex+xml"/>
  <Override PartName="/xl/charts/style114.xml" ContentType="application/vnd.ms-office.chartstyle+xml"/>
  <Override PartName="/xl/charts/colors114.xml" ContentType="application/vnd.ms-office.chartcolorstyle+xml"/>
  <Override PartName="/xl/charts/chartEx66.xml" ContentType="application/vnd.ms-office.chartex+xml"/>
  <Override PartName="/xl/charts/style115.xml" ContentType="application/vnd.ms-office.chartstyle+xml"/>
  <Override PartName="/xl/charts/colors115.xml" ContentType="application/vnd.ms-office.chartcolorstyle+xml"/>
  <Override PartName="/xl/charts/chartEx67.xml" ContentType="application/vnd.ms-office.chartex+xml"/>
  <Override PartName="/xl/charts/style116.xml" ContentType="application/vnd.ms-office.chartstyle+xml"/>
  <Override PartName="/xl/charts/colors116.xml" ContentType="application/vnd.ms-office.chartcolorstyle+xml"/>
  <Override PartName="/xl/charts/chartEx68.xml" ContentType="application/vnd.ms-office.chartex+xml"/>
  <Override PartName="/xl/charts/style117.xml" ContentType="application/vnd.ms-office.chartstyle+xml"/>
  <Override PartName="/xl/charts/colors117.xml" ContentType="application/vnd.ms-office.chartcolorstyle+xml"/>
  <Override PartName="/xl/charts/chartEx69.xml" ContentType="application/vnd.ms-office.chartex+xml"/>
  <Override PartName="/xl/charts/style118.xml" ContentType="application/vnd.ms-office.chartstyle+xml"/>
  <Override PartName="/xl/charts/colors118.xml" ContentType="application/vnd.ms-office.chartcolorstyle+xml"/>
  <Override PartName="/xl/charts/chartEx70.xml" ContentType="application/vnd.ms-office.chartex+xml"/>
  <Override PartName="/xl/charts/style119.xml" ContentType="application/vnd.ms-office.chartstyle+xml"/>
  <Override PartName="/xl/charts/colors119.xml" ContentType="application/vnd.ms-office.chartcolorstyle+xml"/>
  <Override PartName="/xl/charts/chart50.xml" ContentType="application/vnd.openxmlformats-officedocument.drawingml.chart+xml"/>
  <Override PartName="/xl/charts/style120.xml" ContentType="application/vnd.ms-office.chartstyle+xml"/>
  <Override PartName="/xl/charts/colors120.xml" ContentType="application/vnd.ms-office.chartcolorstyle+xml"/>
  <Override PartName="/xl/charts/chart51.xml" ContentType="application/vnd.openxmlformats-officedocument.drawingml.chart+xml"/>
  <Override PartName="/xl/charts/style121.xml" ContentType="application/vnd.ms-office.chartstyle+xml"/>
  <Override PartName="/xl/charts/colors121.xml" ContentType="application/vnd.ms-office.chartcolorstyle+xml"/>
  <Override PartName="/xl/drawings/drawing16.xml" ContentType="application/vnd.openxmlformats-officedocument.drawing+xml"/>
  <Override PartName="/xl/charts/chartEx71.xml" ContentType="application/vnd.ms-office.chartex+xml"/>
  <Override PartName="/xl/charts/style122.xml" ContentType="application/vnd.ms-office.chartstyle+xml"/>
  <Override PartName="/xl/charts/colors122.xml" ContentType="application/vnd.ms-office.chartcolorstyle+xml"/>
  <Override PartName="/xl/charts/chartEx72.xml" ContentType="application/vnd.ms-office.chartex+xml"/>
  <Override PartName="/xl/charts/style123.xml" ContentType="application/vnd.ms-office.chartstyle+xml"/>
  <Override PartName="/xl/charts/colors123.xml" ContentType="application/vnd.ms-office.chartcolorstyle+xml"/>
  <Override PartName="/xl/charts/chartEx73.xml" ContentType="application/vnd.ms-office.chartex+xml"/>
  <Override PartName="/xl/charts/style124.xml" ContentType="application/vnd.ms-office.chartstyle+xml"/>
  <Override PartName="/xl/charts/colors124.xml" ContentType="application/vnd.ms-office.chartcolorstyle+xml"/>
  <Override PartName="/xl/charts/chartEx74.xml" ContentType="application/vnd.ms-office.chartex+xml"/>
  <Override PartName="/xl/charts/style125.xml" ContentType="application/vnd.ms-office.chartstyle+xml"/>
  <Override PartName="/xl/charts/colors125.xml" ContentType="application/vnd.ms-office.chartcolorstyle+xml"/>
  <Override PartName="/xl/charts/chartEx75.xml" ContentType="application/vnd.ms-office.chartex+xml"/>
  <Override PartName="/xl/charts/style126.xml" ContentType="application/vnd.ms-office.chartstyle+xml"/>
  <Override PartName="/xl/charts/colors126.xml" ContentType="application/vnd.ms-office.chartcolorstyle+xml"/>
  <Override PartName="/xl/charts/chartEx76.xml" ContentType="application/vnd.ms-office.chartex+xml"/>
  <Override PartName="/xl/charts/style127.xml" ContentType="application/vnd.ms-office.chartstyle+xml"/>
  <Override PartName="/xl/charts/colors127.xml" ContentType="application/vnd.ms-office.chartcolorstyle+xml"/>
  <Override PartName="/xl/charts/chart52.xml" ContentType="application/vnd.openxmlformats-officedocument.drawingml.chart+xml"/>
  <Override PartName="/xl/charts/style128.xml" ContentType="application/vnd.ms-office.chartstyle+xml"/>
  <Override PartName="/xl/charts/colors128.xml" ContentType="application/vnd.ms-office.chartcolorstyle+xml"/>
  <Override PartName="/xl/drawings/drawing17.xml" ContentType="application/vnd.openxmlformats-officedocument.drawing+xml"/>
  <Override PartName="/xl/charts/chartEx77.xml" ContentType="application/vnd.ms-office.chartex+xml"/>
  <Override PartName="/xl/charts/style129.xml" ContentType="application/vnd.ms-office.chartstyle+xml"/>
  <Override PartName="/xl/charts/colors129.xml" ContentType="application/vnd.ms-office.chartcolorstyle+xml"/>
  <Override PartName="/xl/charts/chartEx78.xml" ContentType="application/vnd.ms-office.chartex+xml"/>
  <Override PartName="/xl/charts/style130.xml" ContentType="application/vnd.ms-office.chartstyle+xml"/>
  <Override PartName="/xl/charts/colors130.xml" ContentType="application/vnd.ms-office.chartcolorstyle+xml"/>
  <Override PartName="/xl/charts/chartEx79.xml" ContentType="application/vnd.ms-office.chartex+xml"/>
  <Override PartName="/xl/charts/style131.xml" ContentType="application/vnd.ms-office.chartstyle+xml"/>
  <Override PartName="/xl/charts/colors131.xml" ContentType="application/vnd.ms-office.chartcolorstyle+xml"/>
  <Override PartName="/xl/charts/chartEx80.xml" ContentType="application/vnd.ms-office.chartex+xml"/>
  <Override PartName="/xl/charts/style132.xml" ContentType="application/vnd.ms-office.chartstyle+xml"/>
  <Override PartName="/xl/charts/colors132.xml" ContentType="application/vnd.ms-office.chartcolorstyle+xml"/>
  <Override PartName="/xl/charts/chartEx81.xml" ContentType="application/vnd.ms-office.chartex+xml"/>
  <Override PartName="/xl/charts/style133.xml" ContentType="application/vnd.ms-office.chartstyle+xml"/>
  <Override PartName="/xl/charts/colors133.xml" ContentType="application/vnd.ms-office.chartcolorstyle+xml"/>
  <Override PartName="/xl/charts/chartEx82.xml" ContentType="application/vnd.ms-office.chartex+xml"/>
  <Override PartName="/xl/charts/style134.xml" ContentType="application/vnd.ms-office.chartstyle+xml"/>
  <Override PartName="/xl/charts/colors134.xml" ContentType="application/vnd.ms-office.chartcolorstyle+xml"/>
  <Override PartName="/xl/charts/chart53.xml" ContentType="application/vnd.openxmlformats-officedocument.drawingml.chart+xml"/>
  <Override PartName="/xl/charts/style135.xml" ContentType="application/vnd.ms-office.chartstyle+xml"/>
  <Override PartName="/xl/charts/colors135.xml" ContentType="application/vnd.ms-office.chartcolorstyle+xml"/>
  <Override PartName="/xl/drawings/drawing18.xml" ContentType="application/vnd.openxmlformats-officedocument.drawing+xml"/>
  <Override PartName="/xl/charts/chartEx83.xml" ContentType="application/vnd.ms-office.chartex+xml"/>
  <Override PartName="/xl/charts/style136.xml" ContentType="application/vnd.ms-office.chartstyle+xml"/>
  <Override PartName="/xl/charts/colors136.xml" ContentType="application/vnd.ms-office.chartcolorstyle+xml"/>
  <Override PartName="/xl/charts/chartEx84.xml" ContentType="application/vnd.ms-office.chartex+xml"/>
  <Override PartName="/xl/charts/style137.xml" ContentType="application/vnd.ms-office.chartstyle+xml"/>
  <Override PartName="/xl/charts/colors137.xml" ContentType="application/vnd.ms-office.chartcolorstyle+xml"/>
  <Override PartName="/xl/charts/chartEx85.xml" ContentType="application/vnd.ms-office.chartex+xml"/>
  <Override PartName="/xl/charts/style138.xml" ContentType="application/vnd.ms-office.chartstyle+xml"/>
  <Override PartName="/xl/charts/colors138.xml" ContentType="application/vnd.ms-office.chartcolorstyle+xml"/>
  <Override PartName="/xl/charts/chartEx86.xml" ContentType="application/vnd.ms-office.chartex+xml"/>
  <Override PartName="/xl/charts/style139.xml" ContentType="application/vnd.ms-office.chartstyle+xml"/>
  <Override PartName="/xl/charts/colors139.xml" ContentType="application/vnd.ms-office.chartcolorstyle+xml"/>
  <Override PartName="/xl/charts/chartEx87.xml" ContentType="application/vnd.ms-office.chartex+xml"/>
  <Override PartName="/xl/charts/style140.xml" ContentType="application/vnd.ms-office.chartstyle+xml"/>
  <Override PartName="/xl/charts/colors140.xml" ContentType="application/vnd.ms-office.chartcolorstyle+xml"/>
  <Override PartName="/xl/charts/chartEx88.xml" ContentType="application/vnd.ms-office.chartex+xml"/>
  <Override PartName="/xl/charts/style141.xml" ContentType="application/vnd.ms-office.chartstyle+xml"/>
  <Override PartName="/xl/charts/colors141.xml" ContentType="application/vnd.ms-office.chartcolorstyle+xml"/>
  <Override PartName="/xl/charts/chart54.xml" ContentType="application/vnd.openxmlformats-officedocument.drawingml.chart+xml"/>
  <Override PartName="/xl/charts/style142.xml" ContentType="application/vnd.ms-office.chartstyle+xml"/>
  <Override PartName="/xl/charts/colors142.xml" ContentType="application/vnd.ms-office.chartcolorstyle+xml"/>
  <Override PartName="/xl/drawings/drawing19.xml" ContentType="application/vnd.openxmlformats-officedocument.drawing+xml"/>
  <Override PartName="/xl/charts/chartEx89.xml" ContentType="application/vnd.ms-office.chartex+xml"/>
  <Override PartName="/xl/charts/style143.xml" ContentType="application/vnd.ms-office.chartstyle+xml"/>
  <Override PartName="/xl/charts/colors143.xml" ContentType="application/vnd.ms-office.chartcolorstyle+xml"/>
  <Override PartName="/xl/charts/chartEx90.xml" ContentType="application/vnd.ms-office.chartex+xml"/>
  <Override PartName="/xl/charts/style144.xml" ContentType="application/vnd.ms-office.chartstyle+xml"/>
  <Override PartName="/xl/charts/colors144.xml" ContentType="application/vnd.ms-office.chartcolorstyle+xml"/>
  <Override PartName="/xl/charts/chartEx91.xml" ContentType="application/vnd.ms-office.chartex+xml"/>
  <Override PartName="/xl/charts/style145.xml" ContentType="application/vnd.ms-office.chartstyle+xml"/>
  <Override PartName="/xl/charts/colors145.xml" ContentType="application/vnd.ms-office.chartcolorstyle+xml"/>
  <Override PartName="/xl/charts/chartEx92.xml" ContentType="application/vnd.ms-office.chartex+xml"/>
  <Override PartName="/xl/charts/style146.xml" ContentType="application/vnd.ms-office.chartstyle+xml"/>
  <Override PartName="/xl/charts/colors146.xml" ContentType="application/vnd.ms-office.chartcolorstyle+xml"/>
  <Override PartName="/xl/charts/chartEx93.xml" ContentType="application/vnd.ms-office.chartex+xml"/>
  <Override PartName="/xl/charts/style147.xml" ContentType="application/vnd.ms-office.chartstyle+xml"/>
  <Override PartName="/xl/charts/colors147.xml" ContentType="application/vnd.ms-office.chartcolorstyle+xml"/>
  <Override PartName="/xl/charts/chartEx94.xml" ContentType="application/vnd.ms-office.chartex+xml"/>
  <Override PartName="/xl/charts/style148.xml" ContentType="application/vnd.ms-office.chartstyle+xml"/>
  <Override PartName="/xl/charts/colors148.xml" ContentType="application/vnd.ms-office.chartcolorstyle+xml"/>
  <Override PartName="/xl/charts/chart55.xml" ContentType="application/vnd.openxmlformats-officedocument.drawingml.chart+xml"/>
  <Override PartName="/xl/charts/style149.xml" ContentType="application/vnd.ms-office.chartstyle+xml"/>
  <Override PartName="/xl/charts/colors149.xml" ContentType="application/vnd.ms-office.chartcolorstyle+xml"/>
  <Override PartName="/xl/drawings/drawing20.xml" ContentType="application/vnd.openxmlformats-officedocument.drawing+xml"/>
  <Override PartName="/xl/charts/chartEx95.xml" ContentType="application/vnd.ms-office.chartex+xml"/>
  <Override PartName="/xl/charts/style150.xml" ContentType="application/vnd.ms-office.chartstyle+xml"/>
  <Override PartName="/xl/charts/colors150.xml" ContentType="application/vnd.ms-office.chartcolorstyle+xml"/>
  <Override PartName="/xl/charts/chartEx96.xml" ContentType="application/vnd.ms-office.chartex+xml"/>
  <Override PartName="/xl/charts/style151.xml" ContentType="application/vnd.ms-office.chartstyle+xml"/>
  <Override PartName="/xl/charts/colors151.xml" ContentType="application/vnd.ms-office.chartcolorstyle+xml"/>
  <Override PartName="/xl/charts/chartEx97.xml" ContentType="application/vnd.ms-office.chartex+xml"/>
  <Override PartName="/xl/charts/style152.xml" ContentType="application/vnd.ms-office.chartstyle+xml"/>
  <Override PartName="/xl/charts/colors152.xml" ContentType="application/vnd.ms-office.chartcolorstyle+xml"/>
  <Override PartName="/xl/charts/chartEx98.xml" ContentType="application/vnd.ms-office.chartex+xml"/>
  <Override PartName="/xl/charts/style153.xml" ContentType="application/vnd.ms-office.chartstyle+xml"/>
  <Override PartName="/xl/charts/colors153.xml" ContentType="application/vnd.ms-office.chartcolorstyle+xml"/>
  <Override PartName="/xl/charts/chartEx99.xml" ContentType="application/vnd.ms-office.chartex+xml"/>
  <Override PartName="/xl/charts/style154.xml" ContentType="application/vnd.ms-office.chartstyle+xml"/>
  <Override PartName="/xl/charts/colors154.xml" ContentType="application/vnd.ms-office.chartcolorstyle+xml"/>
  <Override PartName="/xl/charts/chartEx100.xml" ContentType="application/vnd.ms-office.chartex+xml"/>
  <Override PartName="/xl/charts/style155.xml" ContentType="application/vnd.ms-office.chartstyle+xml"/>
  <Override PartName="/xl/charts/colors155.xml" ContentType="application/vnd.ms-office.chartcolorstyle+xml"/>
  <Override PartName="/xl/charts/chart56.xml" ContentType="application/vnd.openxmlformats-officedocument.drawingml.chart+xml"/>
  <Override PartName="/xl/charts/style156.xml" ContentType="application/vnd.ms-office.chartstyle+xml"/>
  <Override PartName="/xl/charts/colors15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codeName="ThisWorkbook" defaultThemeVersion="166925"/>
  <mc:AlternateContent xmlns:mc="http://schemas.openxmlformats.org/markup-compatibility/2006">
    <mc:Choice Requires="x15">
      <x15ac:absPath xmlns:x15ac="http://schemas.microsoft.com/office/spreadsheetml/2010/11/ac" url="C:\Users\nluan\Box Sync\Bioretention_Ergas\"/>
    </mc:Choice>
  </mc:AlternateContent>
  <xr:revisionPtr revIDLastSave="0" documentId="13_ncr:1_{28DAD8AE-4DF1-4064-925E-A6C4614EDB52}" xr6:coauthVersionLast="47" xr6:coauthVersionMax="47" xr10:uidLastSave="{00000000-0000-0000-0000-000000000000}"/>
  <bookViews>
    <workbookView xWindow="-80" yWindow="-80" windowWidth="19360" windowHeight="11440" firstSheet="1" activeTab="7" xr2:uid="{AE8FDD2A-1632-F94D-BD6E-AE5FA3E758AC}"/>
  </bookViews>
  <sheets>
    <sheet name="Table of Contents" sheetId="22" r:id="rId1"/>
    <sheet name="Calculations" sheetId="56" r:id="rId2"/>
    <sheet name="Date Key" sheetId="1" r:id="rId3"/>
    <sheet name="Summary Report" sheetId="21" state="hidden" r:id="rId4"/>
    <sheet name="Tracer study" sheetId="57" r:id="rId5"/>
    <sheet name="Figures" sheetId="54" r:id="rId6"/>
    <sheet name="Figures (2)" sheetId="62" state="hidden" r:id="rId7"/>
    <sheet name="Tables" sheetId="55" r:id="rId8"/>
    <sheet name="Organized Data" sheetId="23" r:id="rId9"/>
    <sheet name="Master Data Sheet" sheetId="20" r:id="rId10"/>
    <sheet name="ANOVA Data" sheetId="38" r:id="rId11"/>
    <sheet name="ANOVA TIN" sheetId="29" r:id="rId12"/>
    <sheet name="ANOVA TP" sheetId="41" r:id="rId13"/>
    <sheet name="NH4-N" sheetId="43" r:id="rId14"/>
    <sheet name="NO2-N" sheetId="44" r:id="rId15"/>
    <sheet name="NO3-N" sheetId="45" r:id="rId16"/>
    <sheet name="PO4-P" sheetId="46" state="hidden" r:id="rId17"/>
    <sheet name="SO4" sheetId="47" state="hidden" r:id="rId18"/>
    <sheet name="TIN" sheetId="48" r:id="rId19"/>
    <sheet name="Nick's Porosity test and HRT" sheetId="60" r:id="rId20"/>
    <sheet name="Nick's HLR of % area" sheetId="61" r:id="rId21"/>
    <sheet name="DO" sheetId="49" state="hidden" r:id="rId22"/>
    <sheet name="pH" sheetId="50" r:id="rId23"/>
    <sheet name="Alkalinity" sheetId="51" r:id="rId24"/>
    <sheet name="COD" sheetId="52" r:id="rId25"/>
    <sheet name="TP" sheetId="53" r:id="rId26"/>
  </sheets>
  <externalReferences>
    <externalReference r:id="rId27"/>
  </externalReferences>
  <definedNames>
    <definedName name="_xlnm._FilterDatabase" localSheetId="9" hidden="1">'Master Data Sheet'!#REF!</definedName>
    <definedName name="_xlchart.v1.0" hidden="1">TIN!$C$21</definedName>
    <definedName name="_xlchart.v1.1" hidden="1">TIN!$E$21:$E$29</definedName>
    <definedName name="_xlchart.v1.10" hidden="1">TIN!$E$39:$E$47</definedName>
    <definedName name="_xlchart.v1.100" hidden="1">'Organized Data'!$AD$25:$AQ$25</definedName>
    <definedName name="_xlchart.v1.101" hidden="1">'Organized Data'!$AD$28:$AP$28</definedName>
    <definedName name="_xlchart.v1.102" hidden="1">'Organized Data'!$X$22</definedName>
    <definedName name="_xlchart.v1.103" hidden="1">'Organized Data'!$X$25</definedName>
    <definedName name="_xlchart.v1.104" hidden="1">'Organized Data'!$X$28</definedName>
    <definedName name="_xlchart.v1.105" hidden="1">'Organized Data'!$Y$22:$AP$22</definedName>
    <definedName name="_xlchart.v1.106" hidden="1">'NH4-N'!$X$13</definedName>
    <definedName name="_xlchart.v1.107" hidden="1">'NH4-N'!$X$16</definedName>
    <definedName name="_xlchart.v1.108" hidden="1">'NH4-N'!$X$19</definedName>
    <definedName name="_xlchart.v1.109" hidden="1">'NH4-N'!$Y$13:$AO$13</definedName>
    <definedName name="_xlchart.v1.11" hidden="1">TIN!$O$39:$O$47</definedName>
    <definedName name="_xlchart.v1.110" hidden="1">'NH4-N'!$Y$16:$AS$16</definedName>
    <definedName name="_xlchart.v1.111" hidden="1">'NH4-N'!$Y$19:$AP$19</definedName>
    <definedName name="_xlchart.v1.112" hidden="1">'NH4-N'!$X$49</definedName>
    <definedName name="_xlchart.v1.113" hidden="1">'NH4-N'!$X$52</definedName>
    <definedName name="_xlchart.v1.114" hidden="1">'NH4-N'!$X$55</definedName>
    <definedName name="_xlchart.v1.115" hidden="1">'NH4-N'!$Y$49:$AN$49</definedName>
    <definedName name="_xlchart.v1.116" hidden="1">'NH4-N'!$Y$52:$AN$52</definedName>
    <definedName name="_xlchart.v1.117" hidden="1">'NH4-N'!$Y$55:$AL$55</definedName>
    <definedName name="_xlchart.v1.118" hidden="1">'NH4-N'!$X$10</definedName>
    <definedName name="_xlchart.v1.119" hidden="1">'NH4-N'!$X$4</definedName>
    <definedName name="_xlchart.v1.12" hidden="1">TP!$C$48</definedName>
    <definedName name="_xlchart.v1.120" hidden="1">'NH4-N'!$X$7</definedName>
    <definedName name="_xlchart.v1.121" hidden="1">'NH4-N'!$Y$10:$AS$10</definedName>
    <definedName name="_xlchart.v1.122" hidden="1">'NH4-N'!$Y$4:$AS$4</definedName>
    <definedName name="_xlchart.v1.123" hidden="1">'NH4-N'!$Y$7:$AS$7</definedName>
    <definedName name="_xlchart.v1.124" hidden="1">'NH4-N'!$AD$25:$AQ$25</definedName>
    <definedName name="_xlchart.v1.125" hidden="1">'NH4-N'!$AD$28:$AP$28</definedName>
    <definedName name="_xlchart.v1.126" hidden="1">'NH4-N'!$X$22</definedName>
    <definedName name="_xlchart.v1.127" hidden="1">'NH4-N'!$X$25</definedName>
    <definedName name="_xlchart.v1.128" hidden="1">'NH4-N'!$X$28</definedName>
    <definedName name="_xlchart.v1.129" hidden="1">'NH4-N'!$Y$22:$AP$22</definedName>
    <definedName name="_xlchart.v1.13" hidden="1">TP!$E$48:$E$56</definedName>
    <definedName name="_xlchart.v1.130" hidden="1">'NH4-N'!$X$31</definedName>
    <definedName name="_xlchart.v1.131" hidden="1">'NH4-N'!$X$34</definedName>
    <definedName name="_xlchart.v1.132" hidden="1">'NH4-N'!$X$37</definedName>
    <definedName name="_xlchart.v1.133" hidden="1">'NH4-N'!$Y$31:$AS$31</definedName>
    <definedName name="_xlchart.v1.134" hidden="1">'NH4-N'!$Y$34:$AS$34</definedName>
    <definedName name="_xlchart.v1.135" hidden="1">'NH4-N'!$Y$37:$AS$37</definedName>
    <definedName name="_xlchart.v1.136" hidden="1">'NH4-N'!$X$40</definedName>
    <definedName name="_xlchart.v1.137" hidden="1">'NH4-N'!$X$43</definedName>
    <definedName name="_xlchart.v1.138" hidden="1">'NH4-N'!$X$46</definedName>
    <definedName name="_xlchart.v1.139" hidden="1">'NH4-N'!$Y$40:$AO$40</definedName>
    <definedName name="_xlchart.v1.14" hidden="1">TP!$O$48:$O$56</definedName>
    <definedName name="_xlchart.v1.140" hidden="1">'NH4-N'!$Y$43:$AS$43</definedName>
    <definedName name="_xlchart.v1.141" hidden="1">'NH4-N'!$Y$46:$AS$46</definedName>
    <definedName name="_xlchart.v1.142" hidden="1">'NO2-N'!$X$49</definedName>
    <definedName name="_xlchart.v1.143" hidden="1">'NO2-N'!$X$52</definedName>
    <definedName name="_xlchart.v1.144" hidden="1">'NO2-N'!$X$55</definedName>
    <definedName name="_xlchart.v1.145" hidden="1">'NO2-N'!$Y$49:$AN$49</definedName>
    <definedName name="_xlchart.v1.146" hidden="1">'NO2-N'!$Y$52:$AN$52</definedName>
    <definedName name="_xlchart.v1.147" hidden="1">'NO2-N'!$Y$55:$AL$55</definedName>
    <definedName name="_xlchart.v1.148" hidden="1">'NO2-N'!$X$31</definedName>
    <definedName name="_xlchart.v1.149" hidden="1">'NO2-N'!$X$34</definedName>
    <definedName name="_xlchart.v1.15" hidden="1">TIN!$C$48</definedName>
    <definedName name="_xlchart.v1.150" hidden="1">'NO2-N'!$X$37</definedName>
    <definedName name="_xlchart.v1.151" hidden="1">'NO2-N'!$Y$31:$AS$31</definedName>
    <definedName name="_xlchart.v1.152" hidden="1">'NO2-N'!$Y$34:$AS$34</definedName>
    <definedName name="_xlchart.v1.153" hidden="1">'NO2-N'!$Y$37:$AS$37</definedName>
    <definedName name="_xlchart.v1.154" hidden="1">'NO2-N'!$X$40</definedName>
    <definedName name="_xlchart.v1.155" hidden="1">'NO2-N'!$X$43</definedName>
    <definedName name="_xlchart.v1.156" hidden="1">'NO2-N'!$X$46</definedName>
    <definedName name="_xlchart.v1.157" hidden="1">'NO2-N'!$Y$40:$AO$40</definedName>
    <definedName name="_xlchart.v1.158" hidden="1">'NO2-N'!$Y$43:$AS$43</definedName>
    <definedName name="_xlchart.v1.159" hidden="1">'NO2-N'!$Y$46:$AS$46</definedName>
    <definedName name="_xlchart.v1.16" hidden="1">TIN!$E$48:$E$56</definedName>
    <definedName name="_xlchart.v1.160" hidden="1">'NO2-N'!$AD$25:$AQ$25</definedName>
    <definedName name="_xlchart.v1.161" hidden="1">'NO2-N'!$AD$28:$AP$28</definedName>
    <definedName name="_xlchart.v1.162" hidden="1">'NO2-N'!$X$22</definedName>
    <definedName name="_xlchart.v1.163" hidden="1">'NO2-N'!$X$25</definedName>
    <definedName name="_xlchart.v1.164" hidden="1">'NO2-N'!$X$28</definedName>
    <definedName name="_xlchart.v1.165" hidden="1">'NO2-N'!$Y$22:$AP$22</definedName>
    <definedName name="_xlchart.v1.166" hidden="1">'NO2-N'!$X$13</definedName>
    <definedName name="_xlchart.v1.167" hidden="1">'NO2-N'!$X$16</definedName>
    <definedName name="_xlchart.v1.168" hidden="1">'NO2-N'!$X$19</definedName>
    <definedName name="_xlchart.v1.169" hidden="1">'NO2-N'!$Y$13:$AO$13</definedName>
    <definedName name="_xlchart.v1.17" hidden="1">TIN!$O$48:$O$56</definedName>
    <definedName name="_xlchart.v1.170" hidden="1">'NO2-N'!$Y$16:$AS$16</definedName>
    <definedName name="_xlchart.v1.171" hidden="1">'NO2-N'!$Y$19:$AP$19</definedName>
    <definedName name="_xlchart.v1.172" hidden="1">'NO2-N'!$X$10</definedName>
    <definedName name="_xlchart.v1.173" hidden="1">'NO2-N'!$X$4</definedName>
    <definedName name="_xlchart.v1.174" hidden="1">'NO2-N'!$X$7</definedName>
    <definedName name="_xlchart.v1.175" hidden="1">'NO2-N'!$Y$10:$AS$10</definedName>
    <definedName name="_xlchart.v1.176" hidden="1">'NO2-N'!$Y$4:$AS$4</definedName>
    <definedName name="_xlchart.v1.177" hidden="1">'NO2-N'!$Y$7:$AS$7</definedName>
    <definedName name="_xlchart.v1.178" hidden="1">'NO3-N'!$X$10</definedName>
    <definedName name="_xlchart.v1.179" hidden="1">'NO3-N'!$X$4</definedName>
    <definedName name="_xlchart.v1.18" hidden="1">TP!$C$21</definedName>
    <definedName name="_xlchart.v1.180" hidden="1">'NO3-N'!$X$7</definedName>
    <definedName name="_xlchart.v1.181" hidden="1">'NO3-N'!$Y$10:$AS$10</definedName>
    <definedName name="_xlchart.v1.182" hidden="1">'NO3-N'!$Y$4:$AS$4</definedName>
    <definedName name="_xlchart.v1.183" hidden="1">'NO3-N'!$Y$7:$AS$7</definedName>
    <definedName name="_xlchart.v1.184" hidden="1">'NO3-N'!$AD$25:$AQ$25</definedName>
    <definedName name="_xlchart.v1.185" hidden="1">'NO3-N'!$AD$28:$AP$28</definedName>
    <definedName name="_xlchart.v1.186" hidden="1">'NO3-N'!$X$22</definedName>
    <definedName name="_xlchart.v1.187" hidden="1">'NO3-N'!$X$25</definedName>
    <definedName name="_xlchart.v1.188" hidden="1">'NO3-N'!$X$28</definedName>
    <definedName name="_xlchart.v1.189" hidden="1">'NO3-N'!$Y$22:$AP$22</definedName>
    <definedName name="_xlchart.v1.19" hidden="1">TP!$E$21:$E$29</definedName>
    <definedName name="_xlchart.v1.190" hidden="1">'NO3-N'!$X$13</definedName>
    <definedName name="_xlchart.v1.191" hidden="1">'NO3-N'!$X$16</definedName>
    <definedName name="_xlchart.v1.192" hidden="1">'NO3-N'!$X$19</definedName>
    <definedName name="_xlchart.v1.193" hidden="1">'NO3-N'!$Y$13:$AO$13</definedName>
    <definedName name="_xlchart.v1.194" hidden="1">'NO3-N'!$Y$16:$AS$16</definedName>
    <definedName name="_xlchart.v1.195" hidden="1">'NO3-N'!$Y$19:$AP$19</definedName>
    <definedName name="_xlchart.v1.196" hidden="1">'NO3-N'!$X$49</definedName>
    <definedName name="_xlchart.v1.197" hidden="1">'NO3-N'!$X$52</definedName>
    <definedName name="_xlchart.v1.198" hidden="1">'NO3-N'!$X$55</definedName>
    <definedName name="_xlchart.v1.199" hidden="1">'NO3-N'!$Y$49:$AN$49</definedName>
    <definedName name="_xlchart.v1.2" hidden="1">TIN!$O$21:$O$29</definedName>
    <definedName name="_xlchart.v1.20" hidden="1">TP!$O$21:$O$29</definedName>
    <definedName name="_xlchart.v1.200" hidden="1">'NO3-N'!$Y$52:$AN$52</definedName>
    <definedName name="_xlchart.v1.201" hidden="1">'NO3-N'!$Y$55:$AL$55</definedName>
    <definedName name="_xlchart.v1.202" hidden="1">'NO3-N'!$X$40</definedName>
    <definedName name="_xlchart.v1.203" hidden="1">'NO3-N'!$X$43</definedName>
    <definedName name="_xlchart.v1.204" hidden="1">'NO3-N'!$X$46</definedName>
    <definedName name="_xlchart.v1.205" hidden="1">'NO3-N'!$Y$40:$AO$40</definedName>
    <definedName name="_xlchart.v1.206" hidden="1">'NO3-N'!$Y$43:$AS$43</definedName>
    <definedName name="_xlchart.v1.207" hidden="1">'NO3-N'!$Y$46:$AS$46</definedName>
    <definedName name="_xlchart.v1.208" hidden="1">'NO3-N'!$X$31</definedName>
    <definedName name="_xlchart.v1.209" hidden="1">'NO3-N'!$X$34</definedName>
    <definedName name="_xlchart.v1.21" hidden="1">TIN!$C$30</definedName>
    <definedName name="_xlchart.v1.210" hidden="1">'NO3-N'!$X$37</definedName>
    <definedName name="_xlchart.v1.211" hidden="1">'NO3-N'!$Y$31:$AS$31</definedName>
    <definedName name="_xlchart.v1.212" hidden="1">'NO3-N'!$Y$34:$AS$34</definedName>
    <definedName name="_xlchart.v1.213" hidden="1">'NO3-N'!$Y$37:$AS$37</definedName>
    <definedName name="_xlchart.v1.214" hidden="1">'PO4-P'!$X$40</definedName>
    <definedName name="_xlchart.v1.215" hidden="1">'PO4-P'!$X$43</definedName>
    <definedName name="_xlchart.v1.216" hidden="1">'PO4-P'!$X$46</definedName>
    <definedName name="_xlchart.v1.217" hidden="1">'PO4-P'!$Y$40:$AO$40</definedName>
    <definedName name="_xlchart.v1.218" hidden="1">'PO4-P'!$Y$43:$AS$43</definedName>
    <definedName name="_xlchart.v1.219" hidden="1">'PO4-P'!$Y$46:$AS$46</definedName>
    <definedName name="_xlchart.v1.22" hidden="1">TIN!$E$30:$E$38</definedName>
    <definedName name="_xlchart.v1.220" hidden="1">'PO4-P'!$X$13</definedName>
    <definedName name="_xlchart.v1.221" hidden="1">'PO4-P'!$X$16</definedName>
    <definedName name="_xlchart.v1.222" hidden="1">'PO4-P'!$X$19</definedName>
    <definedName name="_xlchart.v1.223" hidden="1">'PO4-P'!$Y$13:$AO$13</definedName>
    <definedName name="_xlchart.v1.224" hidden="1">'PO4-P'!$Y$16:$AS$16</definedName>
    <definedName name="_xlchart.v1.225" hidden="1">'PO4-P'!$Y$19:$AP$19</definedName>
    <definedName name="_xlchart.v1.226" hidden="1">'PO4-P'!$X$10</definedName>
    <definedName name="_xlchart.v1.227" hidden="1">'PO4-P'!$X$4</definedName>
    <definedName name="_xlchart.v1.228" hidden="1">'PO4-P'!$X$7</definedName>
    <definedName name="_xlchart.v1.229" hidden="1">'PO4-P'!$Y$10:$AS$10</definedName>
    <definedName name="_xlchart.v1.23" hidden="1">TIN!$O$30:$O$38</definedName>
    <definedName name="_xlchart.v1.230" hidden="1">'PO4-P'!$Y$4:$AS$4</definedName>
    <definedName name="_xlchart.v1.231" hidden="1">'PO4-P'!$Y$7:$AS$7</definedName>
    <definedName name="_xlchart.v1.232" hidden="1">'PO4-P'!$AD$25:$AQ$25</definedName>
    <definedName name="_xlchart.v1.233" hidden="1">'PO4-P'!$AD$28:$AP$28</definedName>
    <definedName name="_xlchart.v1.234" hidden="1">'PO4-P'!$X$22</definedName>
    <definedName name="_xlchart.v1.235" hidden="1">'PO4-P'!$X$25</definedName>
    <definedName name="_xlchart.v1.236" hidden="1">'PO4-P'!$X$28</definedName>
    <definedName name="_xlchart.v1.237" hidden="1">'PO4-P'!$Y$22:$AP$22</definedName>
    <definedName name="_xlchart.v1.238" hidden="1">'PO4-P'!$X$31</definedName>
    <definedName name="_xlchart.v1.239" hidden="1">'PO4-P'!$X$34</definedName>
    <definedName name="_xlchart.v1.24" hidden="1">TP!$C$21</definedName>
    <definedName name="_xlchart.v1.240" hidden="1">'PO4-P'!$X$37</definedName>
    <definedName name="_xlchart.v1.241" hidden="1">'PO4-P'!$Y$31:$AS$31</definedName>
    <definedName name="_xlchart.v1.242" hidden="1">'PO4-P'!$Y$34:$AS$34</definedName>
    <definedName name="_xlchart.v1.243" hidden="1">'PO4-P'!$Y$37:$AS$37</definedName>
    <definedName name="_xlchart.v1.244" hidden="1">'PO4-P'!$X$49</definedName>
    <definedName name="_xlchart.v1.245" hidden="1">'PO4-P'!$X$52</definedName>
    <definedName name="_xlchart.v1.246" hidden="1">'PO4-P'!$X$55</definedName>
    <definedName name="_xlchart.v1.247" hidden="1">'PO4-P'!$Y$49:$AN$49</definedName>
    <definedName name="_xlchart.v1.248" hidden="1">'PO4-P'!$Y$52:$AN$52</definedName>
    <definedName name="_xlchart.v1.249" hidden="1">'PO4-P'!$Y$55:$AL$55</definedName>
    <definedName name="_xlchart.v1.25" hidden="1">TP!$E$21:$E$29</definedName>
    <definedName name="_xlchart.v1.250" hidden="1">'SO4'!$X$49</definedName>
    <definedName name="_xlchart.v1.251" hidden="1">'SO4'!$X$52</definedName>
    <definedName name="_xlchart.v1.252" hidden="1">'SO4'!$X$55</definedName>
    <definedName name="_xlchart.v1.253" hidden="1">'SO4'!$Y$49:$AN$49</definedName>
    <definedName name="_xlchart.v1.254" hidden="1">'SO4'!$Y$52:$AN$52</definedName>
    <definedName name="_xlchart.v1.255" hidden="1">'SO4'!$Y$55:$AL$55</definedName>
    <definedName name="_xlchart.v1.256" hidden="1">'SO4'!$X$31</definedName>
    <definedName name="_xlchart.v1.257" hidden="1">'SO4'!$X$34</definedName>
    <definedName name="_xlchart.v1.258" hidden="1">'SO4'!$X$37</definedName>
    <definedName name="_xlchart.v1.259" hidden="1">'SO4'!$Y$31:$AS$31</definedName>
    <definedName name="_xlchart.v1.26" hidden="1">TP!$O$21:$O$29</definedName>
    <definedName name="_xlchart.v1.260" hidden="1">'SO4'!$Y$34:$AS$34</definedName>
    <definedName name="_xlchart.v1.261" hidden="1">'SO4'!$Y$37:$AS$37</definedName>
    <definedName name="_xlchart.v1.262" hidden="1">'SO4'!$X$10</definedName>
    <definedName name="_xlchart.v1.263" hidden="1">'SO4'!$X$4</definedName>
    <definedName name="_xlchart.v1.264" hidden="1">'SO4'!$X$7</definedName>
    <definedName name="_xlchart.v1.265" hidden="1">'SO4'!$Y$10:$AS$10</definedName>
    <definedName name="_xlchart.v1.266" hidden="1">'SO4'!$Y$4:$AS$4</definedName>
    <definedName name="_xlchart.v1.267" hidden="1">'SO4'!$Y$7:$AS$7</definedName>
    <definedName name="_xlchart.v1.268" hidden="1">'SO4'!$X$13</definedName>
    <definedName name="_xlchart.v1.269" hidden="1">'SO4'!$X$16</definedName>
    <definedName name="_xlchart.v1.27" hidden="1">TP!$C$12</definedName>
    <definedName name="_xlchart.v1.270" hidden="1">'SO4'!$X$19</definedName>
    <definedName name="_xlchart.v1.271" hidden="1">'SO4'!$Y$13:$AO$13</definedName>
    <definedName name="_xlchart.v1.272" hidden="1">'SO4'!$Y$16:$AS$16</definedName>
    <definedName name="_xlchart.v1.273" hidden="1">'SO4'!$Y$19:$AP$19</definedName>
    <definedName name="_xlchart.v1.274" hidden="1">'SO4'!$X$40</definedName>
    <definedName name="_xlchart.v1.275" hidden="1">'SO4'!$X$43</definedName>
    <definedName name="_xlchart.v1.276" hidden="1">'SO4'!$X$46</definedName>
    <definedName name="_xlchart.v1.277" hidden="1">'SO4'!$Y$40:$AO$40</definedName>
    <definedName name="_xlchart.v1.278" hidden="1">'SO4'!$Y$43:$AS$43</definedName>
    <definedName name="_xlchart.v1.279" hidden="1">'SO4'!$Y$46:$AS$46</definedName>
    <definedName name="_xlchart.v1.28" hidden="1">TP!$E$12:$E$20</definedName>
    <definedName name="_xlchart.v1.280" hidden="1">'SO4'!$AD$25:$AQ$25</definedName>
    <definedName name="_xlchart.v1.281" hidden="1">'SO4'!$AD$28:$AP$28</definedName>
    <definedName name="_xlchart.v1.282" hidden="1">'SO4'!$X$22</definedName>
    <definedName name="_xlchart.v1.283" hidden="1">'SO4'!$X$25</definedName>
    <definedName name="_xlchart.v1.284" hidden="1">'SO4'!$X$28</definedName>
    <definedName name="_xlchart.v1.285" hidden="1">'SO4'!$Y$22:$AP$22</definedName>
    <definedName name="_xlchart.v1.286" hidden="1">TIN!$AA$10</definedName>
    <definedName name="_xlchart.v1.287" hidden="1">TIN!$AA$4</definedName>
    <definedName name="_xlchart.v1.288" hidden="1">TIN!$AA$7</definedName>
    <definedName name="_xlchart.v1.289" hidden="1">TIN!$AB$10:$AV$10</definedName>
    <definedName name="_xlchart.v1.29" hidden="1">TP!$O$12:$O$20</definedName>
    <definedName name="_xlchart.v1.290" hidden="1">TIN!$AB$4:$AV$4</definedName>
    <definedName name="_xlchart.v1.291" hidden="1">TIN!$AB$7:$AV$7</definedName>
    <definedName name="_xlchart.v1.292" hidden="1">TIN!$AA$13</definedName>
    <definedName name="_xlchart.v1.293" hidden="1">TIN!$AA$16</definedName>
    <definedName name="_xlchart.v1.294" hidden="1">TIN!$AA$19</definedName>
    <definedName name="_xlchart.v1.295" hidden="1">TIN!$AB$13:$AR$13</definedName>
    <definedName name="_xlchart.v1.296" hidden="1">TIN!$AB$16:$AV$16</definedName>
    <definedName name="_xlchart.v1.297" hidden="1">TIN!$AB$19:$AS$19</definedName>
    <definedName name="_xlchart.v1.298" hidden="1">TIN!$AA$49</definedName>
    <definedName name="_xlchart.v1.299" hidden="1">TIN!$AA$52</definedName>
    <definedName name="_xlchart.v1.3" hidden="1">TIN!$C$12</definedName>
    <definedName name="_xlchart.v1.30" hidden="1">TP!$C$39</definedName>
    <definedName name="_xlchart.v1.300" hidden="1">TIN!$AA$55</definedName>
    <definedName name="_xlchart.v1.301" hidden="1">TIN!$AB$49:$AQ$49</definedName>
    <definedName name="_xlchart.v1.302" hidden="1">TIN!$AB$52:$AQ$52</definedName>
    <definedName name="_xlchart.v1.303" hidden="1">TIN!$AB$55:$AO$55</definedName>
    <definedName name="_xlchart.v1.304" hidden="1">TIN!$AA$22</definedName>
    <definedName name="_xlchart.v1.305" hidden="1">TIN!$AA$25</definedName>
    <definedName name="_xlchart.v1.306" hidden="1">TIN!$AA$28</definedName>
    <definedName name="_xlchart.v1.307" hidden="1">TIN!$AB$22:$AS$22</definedName>
    <definedName name="_xlchart.v1.308" hidden="1">TIN!$AG$25:$AT$25</definedName>
    <definedName name="_xlchart.v1.309" hidden="1">TIN!$AG$28:$AS$28</definedName>
    <definedName name="_xlchart.v1.31" hidden="1">TP!$E$39:$E$47</definedName>
    <definedName name="_xlchart.v1.310" hidden="1">TIN!$AA$40</definedName>
    <definedName name="_xlchart.v1.311" hidden="1">TIN!$AA$43</definedName>
    <definedName name="_xlchart.v1.312" hidden="1">TIN!$AA$46</definedName>
    <definedName name="_xlchart.v1.313" hidden="1">TIN!$AB$40:$AR$40</definedName>
    <definedName name="_xlchart.v1.314" hidden="1">TIN!$AB$43:$AV$43</definedName>
    <definedName name="_xlchart.v1.315" hidden="1">TIN!$AB$46:$AV$46</definedName>
    <definedName name="_xlchart.v1.316" hidden="1">TIN!$AA$31</definedName>
    <definedName name="_xlchart.v1.317" hidden="1">TIN!$AA$34</definedName>
    <definedName name="_xlchart.v1.318" hidden="1">TIN!$AA$37</definedName>
    <definedName name="_xlchart.v1.319" hidden="1">TIN!$AB$31:$AV$31</definedName>
    <definedName name="_xlchart.v1.32" hidden="1">TP!$O$39:$O$47</definedName>
    <definedName name="_xlchart.v1.320" hidden="1">TIN!$AB$34:$AV$34</definedName>
    <definedName name="_xlchart.v1.321" hidden="1">TIN!$AB$37:$AV$37</definedName>
    <definedName name="_xlchart.v1.322" hidden="1">DO!$X$49</definedName>
    <definedName name="_xlchart.v1.323" hidden="1">DO!$X$52</definedName>
    <definedName name="_xlchart.v1.324" hidden="1">DO!$X$55</definedName>
    <definedName name="_xlchart.v1.325" hidden="1">DO!$Y$49:$AN$49</definedName>
    <definedName name="_xlchart.v1.326" hidden="1">DO!$Y$52:$AN$52</definedName>
    <definedName name="_xlchart.v1.327" hidden="1">DO!$Y$55:$AL$55</definedName>
    <definedName name="_xlchart.v1.328" hidden="1">DO!$X$40</definedName>
    <definedName name="_xlchart.v1.329" hidden="1">DO!$X$43</definedName>
    <definedName name="_xlchart.v1.33" hidden="1">TIN!$C$21</definedName>
    <definedName name="_xlchart.v1.330" hidden="1">DO!$X$46</definedName>
    <definedName name="_xlchart.v1.331" hidden="1">DO!$Y$40:$AO$40</definedName>
    <definedName name="_xlchart.v1.332" hidden="1">DO!$Y$43:$AS$43</definedName>
    <definedName name="_xlchart.v1.333" hidden="1">DO!$Y$46:$AS$46</definedName>
    <definedName name="_xlchart.v1.334" hidden="1">DO!$X$10</definedName>
    <definedName name="_xlchart.v1.335" hidden="1">DO!$X$4</definedName>
    <definedName name="_xlchart.v1.336" hidden="1">DO!$X$7</definedName>
    <definedName name="_xlchart.v1.337" hidden="1">DO!$Y$10:$AS$10</definedName>
    <definedName name="_xlchart.v1.338" hidden="1">DO!$Y$4:$AS$4</definedName>
    <definedName name="_xlchart.v1.339" hidden="1">DO!$Y$7:$AS$7</definedName>
    <definedName name="_xlchart.v1.34" hidden="1">TIN!$E$21:$E$29</definedName>
    <definedName name="_xlchart.v1.340" hidden="1">DO!$X$13</definedName>
    <definedName name="_xlchart.v1.341" hidden="1">DO!$X$16</definedName>
    <definedName name="_xlchart.v1.342" hidden="1">DO!$X$19</definedName>
    <definedName name="_xlchart.v1.343" hidden="1">DO!$Y$13:$AO$13</definedName>
    <definedName name="_xlchart.v1.344" hidden="1">DO!$Y$16:$AS$16</definedName>
    <definedName name="_xlchart.v1.345" hidden="1">DO!$Y$19:$AP$19</definedName>
    <definedName name="_xlchart.v1.346" hidden="1">DO!$AD$25:$AQ$25</definedName>
    <definedName name="_xlchart.v1.347" hidden="1">DO!$AD$28:$AP$28</definedName>
    <definedName name="_xlchart.v1.348" hidden="1">DO!$X$22</definedName>
    <definedName name="_xlchart.v1.349" hidden="1">DO!$X$25</definedName>
    <definedName name="_xlchart.v1.35" hidden="1">TIN!$O$21:$O$29</definedName>
    <definedName name="_xlchart.v1.350" hidden="1">DO!$X$28</definedName>
    <definedName name="_xlchart.v1.351" hidden="1">DO!$Y$22:$AP$22</definedName>
    <definedName name="_xlchart.v1.352" hidden="1">DO!$X$31</definedName>
    <definedName name="_xlchart.v1.353" hidden="1">DO!$X$34</definedName>
    <definedName name="_xlchart.v1.354" hidden="1">DO!$X$37</definedName>
    <definedName name="_xlchart.v1.355" hidden="1">DO!$Y$31:$AS$31</definedName>
    <definedName name="_xlchart.v1.356" hidden="1">DO!$Y$34:$AS$34</definedName>
    <definedName name="_xlchart.v1.357" hidden="1">DO!$Y$37:$AS$37</definedName>
    <definedName name="_xlchart.v1.358" hidden="1">pH!$AD$25:$AQ$25</definedName>
    <definedName name="_xlchart.v1.359" hidden="1">pH!$AD$28:$AP$28</definedName>
    <definedName name="_xlchart.v1.36" hidden="1">TP!$C$30</definedName>
    <definedName name="_xlchart.v1.360" hidden="1">pH!$X$22</definedName>
    <definedName name="_xlchart.v1.361" hidden="1">pH!$X$25</definedName>
    <definedName name="_xlchart.v1.362" hidden="1">pH!$X$28</definedName>
    <definedName name="_xlchart.v1.363" hidden="1">pH!$Y$22:$AP$22</definedName>
    <definedName name="_xlchart.v1.364" hidden="1">pH!$X$40</definedName>
    <definedName name="_xlchart.v1.365" hidden="1">pH!$X$43</definedName>
    <definedName name="_xlchart.v1.366" hidden="1">pH!$X$46</definedName>
    <definedName name="_xlchart.v1.367" hidden="1">pH!$Y$40:$AO$40</definedName>
    <definedName name="_xlchart.v1.368" hidden="1">pH!$Y$43:$AS$43</definedName>
    <definedName name="_xlchart.v1.369" hidden="1">pH!$Y$46:$AS$46</definedName>
    <definedName name="_xlchart.v1.37" hidden="1">TP!$E$30:$E$38</definedName>
    <definedName name="_xlchart.v1.370" hidden="1">pH!$X$49</definedName>
    <definedName name="_xlchart.v1.371" hidden="1">pH!$X$52</definedName>
    <definedName name="_xlchart.v1.372" hidden="1">pH!$X$55</definedName>
    <definedName name="_xlchart.v1.373" hidden="1">pH!$Y$49:$AN$49</definedName>
    <definedName name="_xlchart.v1.374" hidden="1">pH!$Y$52:$AN$52</definedName>
    <definedName name="_xlchart.v1.375" hidden="1">pH!$Y$55:$AL$55</definedName>
    <definedName name="_xlchart.v1.376" hidden="1">pH!$X$10</definedName>
    <definedName name="_xlchart.v1.377" hidden="1">pH!$X$4</definedName>
    <definedName name="_xlchart.v1.378" hidden="1">pH!$X$7</definedName>
    <definedName name="_xlchart.v1.379" hidden="1">pH!$Y$10:$AS$10</definedName>
    <definedName name="_xlchart.v1.38" hidden="1">TP!$O$30:$O$38</definedName>
    <definedName name="_xlchart.v1.380" hidden="1">pH!$Y$4:$AS$4</definedName>
    <definedName name="_xlchart.v1.381" hidden="1">pH!$Y$7:$AS$7</definedName>
    <definedName name="_xlchart.v1.382" hidden="1">pH!$X$13</definedName>
    <definedName name="_xlchart.v1.383" hidden="1">pH!$X$16</definedName>
    <definedName name="_xlchart.v1.384" hidden="1">pH!$X$19</definedName>
    <definedName name="_xlchart.v1.385" hidden="1">pH!$Y$13:$AO$13</definedName>
    <definedName name="_xlchart.v1.386" hidden="1">pH!$Y$16:$AS$16</definedName>
    <definedName name="_xlchart.v1.387" hidden="1">pH!$Y$19:$AP$19</definedName>
    <definedName name="_xlchart.v1.388" hidden="1">pH!$X$31</definedName>
    <definedName name="_xlchart.v1.389" hidden="1">pH!$X$34</definedName>
    <definedName name="_xlchart.v1.39" hidden="1">(TP!$E$3,TP!$E$5,TP!$E$6,TP!$E$8,TP!$E$9,TP!$E$11)</definedName>
    <definedName name="_xlchart.v1.390" hidden="1">pH!$X$37</definedName>
    <definedName name="_xlchart.v1.391" hidden="1">pH!$Y$31:$AS$31</definedName>
    <definedName name="_xlchart.v1.392" hidden="1">pH!$Y$34:$AS$34</definedName>
    <definedName name="_xlchart.v1.393" hidden="1">pH!$Y$37:$AS$37</definedName>
    <definedName name="_xlchart.v1.394" hidden="1">Alkalinity!$X$49</definedName>
    <definedName name="_xlchart.v1.395" hidden="1">Alkalinity!$X$52</definedName>
    <definedName name="_xlchart.v1.396" hidden="1">Alkalinity!$X$55</definedName>
    <definedName name="_xlchart.v1.397" hidden="1">Alkalinity!$Y$49:$AN$49</definedName>
    <definedName name="_xlchart.v1.398" hidden="1">Alkalinity!$Y$52:$AN$52</definedName>
    <definedName name="_xlchart.v1.399" hidden="1">Alkalinity!$Y$55:$AL$55</definedName>
    <definedName name="_xlchart.v1.4" hidden="1">TIN!$E$12:$E$20</definedName>
    <definedName name="_xlchart.v1.40" hidden="1">(TP!$O$3,TP!$O$5,TP!$O$6,TP!$O$8,TP!$O$9,TP!$O$11)</definedName>
    <definedName name="_xlchart.v1.400" hidden="1">Alkalinity!$AD$25:$AQ$25</definedName>
    <definedName name="_xlchart.v1.401" hidden="1">Alkalinity!$AD$28:$AP$28</definedName>
    <definedName name="_xlchart.v1.402" hidden="1">Alkalinity!$X$22</definedName>
    <definedName name="_xlchart.v1.403" hidden="1">Alkalinity!$X$25</definedName>
    <definedName name="_xlchart.v1.404" hidden="1">Alkalinity!$X$28</definedName>
    <definedName name="_xlchart.v1.405" hidden="1">Alkalinity!$Y$22:$AP$22</definedName>
    <definedName name="_xlchart.v1.406" hidden="1">Alkalinity!$X$10</definedName>
    <definedName name="_xlchart.v1.407" hidden="1">Alkalinity!$X$4</definedName>
    <definedName name="_xlchart.v1.408" hidden="1">Alkalinity!$X$7</definedName>
    <definedName name="_xlchart.v1.409" hidden="1">Alkalinity!$Y$10:$AS$10</definedName>
    <definedName name="_xlchart.v1.41" hidden="1">TP!$C$3</definedName>
    <definedName name="_xlchart.v1.410" hidden="1">Alkalinity!$Y$4:$AS$4</definedName>
    <definedName name="_xlchart.v1.411" hidden="1">Alkalinity!$Y$7:$AS$7</definedName>
    <definedName name="_xlchart.v1.412" hidden="1">Alkalinity!$X$13</definedName>
    <definedName name="_xlchart.v1.413" hidden="1">Alkalinity!$X$16</definedName>
    <definedName name="_xlchart.v1.414" hidden="1">Alkalinity!$X$19</definedName>
    <definedName name="_xlchart.v1.415" hidden="1">Alkalinity!$Y$13:$AO$13</definedName>
    <definedName name="_xlchart.v1.416" hidden="1">Alkalinity!$Y$16:$AS$16</definedName>
    <definedName name="_xlchart.v1.417" hidden="1">Alkalinity!$Y$19:$AP$19</definedName>
    <definedName name="_xlchart.v1.418" hidden="1">Alkalinity!$X$31</definedName>
    <definedName name="_xlchart.v1.419" hidden="1">Alkalinity!$X$34</definedName>
    <definedName name="_xlchart.v1.42" hidden="1">TIN!$E$30:$E$38</definedName>
    <definedName name="_xlchart.v1.420" hidden="1">Alkalinity!$X$37</definedName>
    <definedName name="_xlchart.v1.421" hidden="1">Alkalinity!$Y$31:$AS$31</definedName>
    <definedName name="_xlchart.v1.422" hidden="1">Alkalinity!$Y$34:$AS$34</definedName>
    <definedName name="_xlchart.v1.423" hidden="1">Alkalinity!$Y$37:$AS$37</definedName>
    <definedName name="_xlchart.v1.424" hidden="1">Alkalinity!$X$40</definedName>
    <definedName name="_xlchart.v1.425" hidden="1">Alkalinity!$X$43</definedName>
    <definedName name="_xlchart.v1.426" hidden="1">Alkalinity!$X$46</definedName>
    <definedName name="_xlchart.v1.427" hidden="1">Alkalinity!$Y$40:$AO$40</definedName>
    <definedName name="_xlchart.v1.428" hidden="1">Alkalinity!$Y$43:$AS$43</definedName>
    <definedName name="_xlchart.v1.429" hidden="1">Alkalinity!$Y$46:$AS$46</definedName>
    <definedName name="_xlchart.v1.43" hidden="1">TIN!$O$30:$O$38</definedName>
    <definedName name="_xlchart.v1.430" hidden="1">COD!$X$49</definedName>
    <definedName name="_xlchart.v1.431" hidden="1">COD!$X$52</definedName>
    <definedName name="_xlchart.v1.432" hidden="1">COD!$X$55</definedName>
    <definedName name="_xlchart.v1.433" hidden="1">COD!$Y$49:$AN$49</definedName>
    <definedName name="_xlchart.v1.434" hidden="1">COD!$Y$52:$AN$52</definedName>
    <definedName name="_xlchart.v1.435" hidden="1">COD!$Y$55:$AL$55</definedName>
    <definedName name="_xlchart.v1.436" hidden="1">COD!$X$40</definedName>
    <definedName name="_xlchart.v1.437" hidden="1">COD!$X$43</definedName>
    <definedName name="_xlchart.v1.438" hidden="1">COD!$X$46</definedName>
    <definedName name="_xlchart.v1.439" hidden="1">COD!$Y$40:$AO$40</definedName>
    <definedName name="_xlchart.v1.44" hidden="1">TP!$E$21:$E$29</definedName>
    <definedName name="_xlchart.v1.440" hidden="1">COD!$Y$43:$AS$43</definedName>
    <definedName name="_xlchart.v1.441" hidden="1">COD!$Y$46:$AS$46</definedName>
    <definedName name="_xlchart.v1.442" hidden="1">COD!$X$31</definedName>
    <definedName name="_xlchart.v1.443" hidden="1">COD!$X$34</definedName>
    <definedName name="_xlchart.v1.444" hidden="1">COD!$X$37</definedName>
    <definedName name="_xlchart.v1.445" hidden="1">COD!$Y$31:$AS$31</definedName>
    <definedName name="_xlchart.v1.446" hidden="1">COD!$Y$34:$AS$34</definedName>
    <definedName name="_xlchart.v1.447" hidden="1">COD!$Y$37:$AS$37</definedName>
    <definedName name="_xlchart.v1.448" hidden="1">COD!$AD$25:$AQ$25</definedName>
    <definedName name="_xlchart.v1.449" hidden="1">COD!$AD$28:$AP$28</definedName>
    <definedName name="_xlchart.v1.45" hidden="1">TP!$O$21:$O$29</definedName>
    <definedName name="_xlchart.v1.450" hidden="1">COD!$X$22</definedName>
    <definedName name="_xlchart.v1.451" hidden="1">COD!$X$25</definedName>
    <definedName name="_xlchart.v1.452" hidden="1">COD!$X$28</definedName>
    <definedName name="_xlchart.v1.453" hidden="1">COD!$Y$22:$AP$22</definedName>
    <definedName name="_xlchart.v1.454" hidden="1">COD!$X$10</definedName>
    <definedName name="_xlchart.v1.455" hidden="1">COD!$X$4</definedName>
    <definedName name="_xlchart.v1.456" hidden="1">COD!$X$7</definedName>
    <definedName name="_xlchart.v1.457" hidden="1">COD!$Y$10:$AS$10</definedName>
    <definedName name="_xlchart.v1.458" hidden="1">COD!$Y$4:$AS$4</definedName>
    <definedName name="_xlchart.v1.459" hidden="1">COD!$Y$7:$AS$7</definedName>
    <definedName name="_xlchart.v1.46" hidden="1">TP!$E$30:$E$38</definedName>
    <definedName name="_xlchart.v1.460" hidden="1">COD!$X$13</definedName>
    <definedName name="_xlchart.v1.461" hidden="1">COD!$X$16</definedName>
    <definedName name="_xlchart.v1.462" hidden="1">COD!$X$19</definedName>
    <definedName name="_xlchart.v1.463" hidden="1">COD!$Y$13:$AO$13</definedName>
    <definedName name="_xlchart.v1.464" hidden="1">COD!$Y$16:$AS$16</definedName>
    <definedName name="_xlchart.v1.465" hidden="1">COD!$Y$19:$AP$19</definedName>
    <definedName name="_xlchart.v1.466" hidden="1">TP!$AA$10</definedName>
    <definedName name="_xlchart.v1.467" hidden="1">TP!$AA$4</definedName>
    <definedName name="_xlchart.v1.468" hidden="1">TP!$AA$7</definedName>
    <definedName name="_xlchart.v1.469" hidden="1">TP!$AB$10:$AV$10</definedName>
    <definedName name="_xlchart.v1.47" hidden="1">TP!$O$30:$O$38</definedName>
    <definedName name="_xlchart.v1.470" hidden="1">TP!$AB$4:$AV$4</definedName>
    <definedName name="_xlchart.v1.471" hidden="1">TP!$AB$7:$AV$7</definedName>
    <definedName name="_xlchart.v1.472" hidden="1">TP!$AA$13</definedName>
    <definedName name="_xlchart.v1.473" hidden="1">TP!$AA$16</definedName>
    <definedName name="_xlchart.v1.474" hidden="1">TP!$AA$19</definedName>
    <definedName name="_xlchart.v1.475" hidden="1">TP!$AB$13:$AR$13</definedName>
    <definedName name="_xlchart.v1.476" hidden="1">TP!$AB$16:$AV$16</definedName>
    <definedName name="_xlchart.v1.477" hidden="1">TP!$AB$19:$AS$19</definedName>
    <definedName name="_xlchart.v1.478" hidden="1">TP!$AA$22</definedName>
    <definedName name="_xlchart.v1.479" hidden="1">TP!$AA$25</definedName>
    <definedName name="_xlchart.v1.48" hidden="1">TIN!$E$39:$E$47</definedName>
    <definedName name="_xlchart.v1.480" hidden="1">TP!$AA$28</definedName>
    <definedName name="_xlchart.v1.481" hidden="1">TP!$AB$22:$AS$22</definedName>
    <definedName name="_xlchart.v1.482" hidden="1">TP!$AG$25:$AT$25</definedName>
    <definedName name="_xlchart.v1.483" hidden="1">TP!$AG$28:$AS$28</definedName>
    <definedName name="_xlchart.v1.484" hidden="1">TP!$AA$31</definedName>
    <definedName name="_xlchart.v1.485" hidden="1">TP!$AA$34</definedName>
    <definedName name="_xlchart.v1.486" hidden="1">TP!$AA$37</definedName>
    <definedName name="_xlchart.v1.487" hidden="1">TP!$AB$31:$AV$31</definedName>
    <definedName name="_xlchart.v1.488" hidden="1">TP!$AB$34:$AV$34</definedName>
    <definedName name="_xlchart.v1.489" hidden="1">TP!$AB$37:$AV$37</definedName>
    <definedName name="_xlchart.v1.49" hidden="1">TIN!$O$39:$O$47</definedName>
    <definedName name="_xlchart.v1.490" hidden="1">TP!$AA$40</definedName>
    <definedName name="_xlchart.v1.491" hidden="1">TP!$AA$43</definedName>
    <definedName name="_xlchart.v1.492" hidden="1">TP!$AA$46</definedName>
    <definedName name="_xlchart.v1.493" hidden="1">TP!$AB$40:$AR$40</definedName>
    <definedName name="_xlchart.v1.494" hidden="1">TP!$AB$43:$AV$43</definedName>
    <definedName name="_xlchart.v1.495" hidden="1">TP!$AB$46:$AV$46</definedName>
    <definedName name="_xlchart.v1.496" hidden="1">TP!$AA$49</definedName>
    <definedName name="_xlchart.v1.497" hidden="1">TP!$AA$52</definedName>
    <definedName name="_xlchart.v1.498" hidden="1">TP!$AA$55</definedName>
    <definedName name="_xlchart.v1.499" hidden="1">TP!$AB$49:$AQ$49</definedName>
    <definedName name="_xlchart.v1.5" hidden="1">TIN!$O$12:$O$20</definedName>
    <definedName name="_xlchart.v1.50" hidden="1">(TP!$E$3,TP!$E$5,TP!$E$6,TP!$E$8,TP!$E$9,TP!$E$11)</definedName>
    <definedName name="_xlchart.v1.500" hidden="1">TP!$AB$52:$AQ$52</definedName>
    <definedName name="_xlchart.v1.501" hidden="1">TP!$AB$55:$AO$55</definedName>
    <definedName name="_xlchart.v1.51" hidden="1">(TP!$O$3,TP!$O$5,TP!$O$6,TP!$O$8,TP!$O$9,TP!$O$11)</definedName>
    <definedName name="_xlchart.v1.52" hidden="1">TP!$E$21:$E$29</definedName>
    <definedName name="_xlchart.v1.53" hidden="1">TP!$O$21:$O$29</definedName>
    <definedName name="_xlchart.v1.54" hidden="1">TP!$E$48:$E$56</definedName>
    <definedName name="_xlchart.v1.55" hidden="1">TP!$O$48:$O$56</definedName>
    <definedName name="_xlchart.v1.56" hidden="1">TIN!$E$21:$E$29</definedName>
    <definedName name="_xlchart.v1.57" hidden="1">TIN!$O$21:$O$29</definedName>
    <definedName name="_xlchart.v1.58" hidden="1">TP!$E$39:$E$47</definedName>
    <definedName name="_xlchart.v1.59" hidden="1">TP!$O$39:$O$47</definedName>
    <definedName name="_xlchart.v1.6" hidden="1">(TIN!$E$3,TIN!$E$5,TIN!$E$6,TIN!$E$8,TIN!$E$9,TIN!$E$11)</definedName>
    <definedName name="_xlchart.v1.60" hidden="1">TIN!$E$48:$E$56</definedName>
    <definedName name="_xlchart.v1.61" hidden="1">TIN!$O$48:$O$56</definedName>
    <definedName name="_xlchart.v1.62" hidden="1">TP!$E$12:$E$20</definedName>
    <definedName name="_xlchart.v1.63" hidden="1">TP!$O$12:$O$20</definedName>
    <definedName name="_xlchart.v1.64" hidden="1">(TIN!$E$3,TIN!$E$5,TIN!$E$6,TIN!$E$8,TIN!$E$9,TIN!$E$11)</definedName>
    <definedName name="_xlchart.v1.65" hidden="1">(TIN!$O$3,TIN!$O$5,TIN!$O$6,TIN!$O$8,TIN!$O$9,TIN!$O$11)</definedName>
    <definedName name="_xlchart.v1.66" hidden="1">TIN!$E$21:$E$29</definedName>
    <definedName name="_xlchart.v1.67" hidden="1">TIN!$O$21:$O$29</definedName>
    <definedName name="_xlchart.v1.68" hidden="1">TIN!$E$12:$E$20</definedName>
    <definedName name="_xlchart.v1.69" hidden="1">TIN!$O$12:$O$20</definedName>
    <definedName name="_xlchart.v1.7" hidden="1">(TIN!$O$3,TIN!$O$5,TIN!$O$6,TIN!$O$8,TIN!$O$9,TIN!$O$11)</definedName>
    <definedName name="_xlchart.v1.70" hidden="1">'Organized Data'!$X$40</definedName>
    <definedName name="_xlchart.v1.71" hidden="1">'Organized Data'!$X$43</definedName>
    <definedName name="_xlchart.v1.72" hidden="1">'Organized Data'!$X$46</definedName>
    <definedName name="_xlchart.v1.73" hidden="1">'Organized Data'!$Y$40:$AO$40</definedName>
    <definedName name="_xlchart.v1.74" hidden="1">'Organized Data'!$Y$43:$AS$43</definedName>
    <definedName name="_xlchart.v1.75" hidden="1">'Organized Data'!$Y$46:$AS$46</definedName>
    <definedName name="_xlchart.v1.76" hidden="1">'Organized Data'!$X$49</definedName>
    <definedName name="_xlchart.v1.77" hidden="1">'Organized Data'!$X$52</definedName>
    <definedName name="_xlchart.v1.78" hidden="1">'Organized Data'!$X$55</definedName>
    <definedName name="_xlchart.v1.79" hidden="1">'Organized Data'!$Y$49:$AN$49</definedName>
    <definedName name="_xlchart.v1.8" hidden="1">TIN!$C$3</definedName>
    <definedName name="_xlchart.v1.80" hidden="1">'Organized Data'!$Y$52:$AN$52</definedName>
    <definedName name="_xlchart.v1.81" hidden="1">'Organized Data'!$Y$55:$AL$55</definedName>
    <definedName name="_xlchart.v1.82" hidden="1">'Organized Data'!$X$31</definedName>
    <definedName name="_xlchart.v1.83" hidden="1">'Organized Data'!$X$34</definedName>
    <definedName name="_xlchart.v1.84" hidden="1">'Organized Data'!$X$37</definedName>
    <definedName name="_xlchart.v1.85" hidden="1">'Organized Data'!$Y$31:$AS$31</definedName>
    <definedName name="_xlchart.v1.86" hidden="1">'Organized Data'!$Y$34:$AS$34</definedName>
    <definedName name="_xlchart.v1.87" hidden="1">'Organized Data'!$Y$37:$AS$37</definedName>
    <definedName name="_xlchart.v1.88" hidden="1">'Organized Data'!$X$13</definedName>
    <definedName name="_xlchart.v1.89" hidden="1">'Organized Data'!$X$16</definedName>
    <definedName name="_xlchart.v1.9" hidden="1">TIN!$C$39</definedName>
    <definedName name="_xlchart.v1.90" hidden="1">'Organized Data'!$X$19</definedName>
    <definedName name="_xlchart.v1.91" hidden="1">'Organized Data'!$Y$13:$AO$13</definedName>
    <definedName name="_xlchart.v1.92" hidden="1">'Organized Data'!$Y$16:$AS$16</definedName>
    <definedName name="_xlchart.v1.93" hidden="1">'Organized Data'!$Y$19:$AP$19</definedName>
    <definedName name="_xlchart.v1.94" hidden="1">'Organized Data'!$X$10</definedName>
    <definedName name="_xlchart.v1.95" hidden="1">'Organized Data'!$X$4</definedName>
    <definedName name="_xlchart.v1.96" hidden="1">'Organized Data'!$X$7</definedName>
    <definedName name="_xlchart.v1.97" hidden="1">'Organized Data'!$Y$10:$AS$10</definedName>
    <definedName name="_xlchart.v1.98" hidden="1">'Organized Data'!$Y$4:$AS$4</definedName>
    <definedName name="_xlchart.v1.99" hidden="1">'Organized Data'!$Y$7:$AS$7</definedName>
    <definedName name="SelectedSheet" localSheetId="6">INDIRECT("'" &amp; 'Figures (2)'!$B$159 &amp; "'!")</definedName>
    <definedName name="SelectedSheet">INDIRECT("'" &amp; Figures!$B$159 &amp; "'!")</definedName>
    <definedName name="SyncSelection">'Organized Data'!$F$1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23" i="56" l="1"/>
  <c r="J23" i="56"/>
  <c r="T3" i="43"/>
  <c r="E28" i="55" a="1"/>
  <c r="E28" i="55" l="1"/>
  <c r="Q6" i="43"/>
  <c r="Q3" i="43"/>
  <c r="U6" i="43"/>
  <c r="V3" i="43" s="1"/>
  <c r="AP29" i="55" a="1"/>
  <c r="AR32" i="55" a="1"/>
  <c r="AR31" i="55" a="1"/>
  <c r="AS33" i="55" a="1"/>
  <c r="AM29" i="55" a="1"/>
  <c r="AO32" i="55" a="1"/>
  <c r="AN31" i="55" a="1"/>
  <c r="AO33" i="55" a="1"/>
  <c r="AP43" i="55" a="1"/>
  <c r="AD38" i="55" a="1"/>
  <c r="K39" i="55" a="1"/>
  <c r="N43" i="55" a="1"/>
  <c r="AM43" i="55" a="1"/>
  <c r="X39" i="55" a="1"/>
  <c r="G41" i="55" a="1"/>
  <c r="N38" i="55" a="1"/>
  <c r="AL39" i="55" a="1"/>
  <c r="AB39" i="55" a="1"/>
  <c r="M42" i="55" a="1"/>
  <c r="J41" i="55" a="1"/>
  <c r="AQ40" i="55" a="1"/>
  <c r="AB38" i="55" a="1"/>
  <c r="F43" i="55" a="1"/>
  <c r="AB43" i="55" a="1"/>
  <c r="AM38" i="55" a="1"/>
  <c r="AD43" i="55" a="1"/>
  <c r="O43" i="55" a="1"/>
  <c r="AQ39" i="55" a="1"/>
  <c r="AS42" i="55" a="1"/>
  <c r="AA40" i="55" a="1"/>
  <c r="K40" i="55" a="1"/>
  <c r="AS41" i="55" a="1"/>
  <c r="AU38" i="55" a="1"/>
  <c r="AM28" i="55" a="1"/>
  <c r="AQ33" i="55" a="1"/>
  <c r="AL40" i="55" a="1"/>
  <c r="N40" i="55" a="1"/>
  <c r="AC43" i="55" a="1"/>
  <c r="AO42" i="55" a="1"/>
  <c r="I39" i="55" a="1"/>
  <c r="AM41" i="55" a="1"/>
  <c r="F42" i="55" a="1"/>
  <c r="AD40" i="55" a="1"/>
  <c r="AP41" i="55" a="1"/>
  <c r="L42" i="55" a="1"/>
  <c r="AL31" i="55" a="1"/>
  <c r="AS29" i="55" a="1"/>
  <c r="AQ30" i="55" a="1"/>
  <c r="AO29" i="55" a="1"/>
  <c r="G39" i="55" a="1"/>
  <c r="W38" i="55" a="1"/>
  <c r="AN40" i="55" a="1"/>
  <c r="K43" i="55" a="1"/>
  <c r="AK39" i="55" a="1"/>
  <c r="F40" i="55" a="1"/>
  <c r="AC38" i="55" a="1"/>
  <c r="AM39" i="55" a="1"/>
  <c r="Y41" i="55" a="1"/>
  <c r="AN29" i="55" a="1"/>
  <c r="AM32" i="55" a="1"/>
  <c r="AT28" i="55" a="1"/>
  <c r="AC41" i="55" a="1"/>
  <c r="AT39" i="55" a="1"/>
  <c r="AK38" i="55" a="1"/>
  <c r="M43" i="55" a="1"/>
  <c r="AD41" i="55" a="1"/>
  <c r="AT38" i="55" a="1"/>
  <c r="E41" i="55" a="1"/>
  <c r="Y40" i="55" a="1"/>
  <c r="AC40" i="55" a="1"/>
  <c r="AL30" i="55" a="1"/>
  <c r="AQ31" i="55" a="1"/>
  <c r="AO31" i="55" a="1"/>
  <c r="H40" i="55" a="1"/>
  <c r="AS39" i="55" a="1"/>
  <c r="W41" i="55" a="1"/>
  <c r="N41" i="55" a="1"/>
  <c r="AL41" i="55" a="1"/>
  <c r="G38" i="55" a="1"/>
  <c r="AA39" i="55" a="1"/>
  <c r="AN39" i="55" a="1"/>
  <c r="E40" i="55" a="1"/>
  <c r="AN32" i="55" a="1"/>
  <c r="AS28" i="55" a="1"/>
  <c r="AQ32" i="55" a="1"/>
  <c r="H38" i="55" a="1"/>
  <c r="AO43" i="55" a="1"/>
  <c r="O38" i="55" a="1"/>
  <c r="N39" i="55" a="1"/>
  <c r="Z41" i="55" a="1"/>
  <c r="AT43" i="55" a="1"/>
  <c r="AQ42" i="55" a="1"/>
  <c r="K42" i="55" a="1"/>
  <c r="G43" i="55" a="1"/>
  <c r="AT29" i="55" a="1"/>
  <c r="AL33" i="55" a="1"/>
  <c r="AP32" i="55" a="1"/>
  <c r="AU33" i="55" a="1"/>
  <c r="AQ29" i="55" a="1"/>
  <c r="AS32" i="55" a="1"/>
  <c r="AL32" i="55" a="1"/>
  <c r="AK30" i="55" a="1"/>
  <c r="AU39" i="55" a="1"/>
  <c r="V42" i="55" a="1"/>
  <c r="J40" i="55" a="1"/>
  <c r="E42" i="55" a="1"/>
  <c r="AO40" i="55" a="1"/>
  <c r="Z42" i="55" a="1"/>
  <c r="H41" i="55" a="1"/>
  <c r="F38" i="55" a="1"/>
  <c r="AS40" i="55" a="1"/>
  <c r="AD42" i="55" a="1"/>
  <c r="L41" i="55" a="1"/>
  <c r="AB41" i="55" a="1"/>
  <c r="AN38" i="55" a="1"/>
  <c r="Y38" i="55" a="1"/>
  <c r="L40" i="55" a="1"/>
  <c r="O41" i="55" a="1"/>
  <c r="AO41" i="55" a="1"/>
  <c r="Z39" i="55" a="1"/>
  <c r="M38" i="55" a="1"/>
  <c r="W42" i="55" a="1"/>
  <c r="AQ38" i="55" a="1"/>
  <c r="W39" i="55" a="1"/>
  <c r="L38" i="55" a="1"/>
  <c r="AU28" i="55" a="1"/>
  <c r="AE42" i="55" a="1"/>
  <c r="AP40" i="55" a="1"/>
  <c r="AT40" i="55" a="1"/>
  <c r="AP38" i="55" a="1"/>
  <c r="X43" i="55" a="1"/>
  <c r="AS38" i="55" a="1"/>
  <c r="X40" i="55" a="1"/>
  <c r="AK43" i="55" a="1"/>
  <c r="AL28" i="55" a="1"/>
  <c r="AS30" i="55" a="1"/>
  <c r="AN43" i="55" a="1"/>
  <c r="AP39" i="55" a="1"/>
  <c r="K41" i="55" a="1"/>
  <c r="AE38" i="55" a="1"/>
  <c r="AL38" i="55" a="1"/>
  <c r="E43" i="55" a="1"/>
  <c r="N42" i="55" a="1"/>
  <c r="X41" i="55" a="1"/>
  <c r="AP31" i="55" a="1"/>
  <c r="AM31" i="55" a="1"/>
  <c r="AR38" i="55" a="1"/>
  <c r="V43" i="55" a="1"/>
  <c r="O42" i="55" a="1"/>
  <c r="Y43" i="55" a="1"/>
  <c r="AN41" i="55" a="1"/>
  <c r="AR41" i="55" a="1"/>
  <c r="U39" i="55" a="1"/>
  <c r="AU43" i="55" a="1"/>
  <c r="AT31" i="55" a="1"/>
  <c r="AS31" i="55" a="1"/>
  <c r="AR29" i="55" a="1"/>
  <c r="Y42" i="55" a="1"/>
  <c r="AE43" i="55" a="1"/>
  <c r="AM40" i="55" a="1"/>
  <c r="Z40" i="55" a="1"/>
  <c r="AQ41" i="55" a="1"/>
  <c r="AT42" i="55" a="1"/>
  <c r="U38" i="55" a="1"/>
  <c r="AL29" i="55" a="1"/>
  <c r="AU31" i="55" a="1"/>
  <c r="AU42" i="55" a="1"/>
  <c r="U40" i="55" a="1"/>
  <c r="F39" i="55" a="1"/>
  <c r="Z43" i="55" a="1"/>
  <c r="AL43" i="55" a="1"/>
  <c r="AB42" i="55" a="1"/>
  <c r="M39" i="55" a="1"/>
  <c r="AE39" i="55" a="1"/>
  <c r="AN30" i="55" a="1"/>
  <c r="AP33" i="55" a="1"/>
  <c r="AN33" i="55" a="1"/>
  <c r="AT32" i="55" a="1"/>
  <c r="AU29" i="55" a="1"/>
  <c r="AM33" i="55" a="1"/>
  <c r="AR33" i="55" a="1"/>
  <c r="AK28" i="55" a="1"/>
  <c r="AK42" i="55" a="1"/>
  <c r="AA43" i="55" a="1"/>
  <c r="I38" i="55" a="1"/>
  <c r="J39" i="55" a="1"/>
  <c r="AK41" i="55" a="1"/>
  <c r="U43" i="55" a="1"/>
  <c r="I40" i="55" a="1"/>
  <c r="L43" i="55" a="1"/>
  <c r="AK40" i="55" a="1"/>
  <c r="U42" i="55" a="1"/>
  <c r="I42" i="55" a="1"/>
  <c r="I43" i="55" a="1"/>
  <c r="AQ43" i="55" a="1"/>
  <c r="V40" i="55" a="1"/>
  <c r="J38" i="55" a="1"/>
  <c r="J42" i="55" a="1"/>
  <c r="AR40" i="55" a="1"/>
  <c r="W43" i="55" a="1"/>
  <c r="H42" i="55" a="1"/>
  <c r="AA41" i="55" a="1"/>
  <c r="AM42" i="55" a="1"/>
  <c r="AD39" i="55" a="1"/>
  <c r="M40" i="55" a="1"/>
  <c r="AR42" i="55" a="1"/>
  <c r="AT33" i="55" a="1"/>
  <c r="AO30" i="55" a="1"/>
  <c r="AQ28" i="55" a="1"/>
  <c r="AN42" i="55" a="1"/>
  <c r="K38" i="55" a="1"/>
  <c r="V41" i="55" a="1"/>
  <c r="E39" i="55" a="1"/>
  <c r="I41" i="55" a="1"/>
  <c r="H39" i="55" a="1"/>
  <c r="V38" i="55" a="1"/>
  <c r="G9" i="55" a="1"/>
  <c r="AP28" i="55" a="1"/>
  <c r="AC42" i="55" a="1"/>
  <c r="AR43" i="55" a="1"/>
  <c r="AU40" i="55" a="1"/>
  <c r="AO38" i="55" a="1"/>
  <c r="U41" i="55" a="1"/>
  <c r="AU41" i="55" a="1"/>
  <c r="AE41" i="55" a="1"/>
  <c r="L39" i="55" a="1"/>
  <c r="AN28" i="55" a="1"/>
  <c r="AU30" i="55" a="1"/>
  <c r="AM30" i="55" a="1"/>
  <c r="G42" i="55" a="1"/>
  <c r="AA42" i="55" a="1"/>
  <c r="AT41" i="55" a="1"/>
  <c r="AC39" i="55" a="1"/>
  <c r="G40" i="55" a="1"/>
  <c r="AA38" i="55" a="1"/>
  <c r="J43" i="55" a="1"/>
  <c r="H43" i="55" a="1"/>
  <c r="AR28" i="55" a="1"/>
  <c r="AO28" i="55" a="1"/>
  <c r="AO39" i="55" a="1"/>
  <c r="V39" i="55" a="1"/>
  <c r="F41" i="55" a="1"/>
  <c r="X38" i="55" a="1"/>
  <c r="Y39" i="55" a="1"/>
  <c r="AL42" i="55" a="1"/>
  <c r="M41" i="55" a="1"/>
  <c r="AE40" i="55" a="1"/>
  <c r="Z38" i="55" a="1"/>
  <c r="AT30" i="55" a="1"/>
  <c r="AU32" i="55" a="1"/>
  <c r="AP30" i="55" a="1"/>
  <c r="AB40" i="55" a="1"/>
  <c r="X42" i="55" a="1"/>
  <c r="AS43" i="55" a="1"/>
  <c r="O40" i="55" a="1"/>
  <c r="O39" i="55" a="1"/>
  <c r="W40" i="55" a="1"/>
  <c r="AP42" i="55" a="1"/>
  <c r="AR39" i="55" a="1"/>
  <c r="AR30" i="55" a="1"/>
  <c r="G9" i="55" l="1"/>
  <c r="AO33" i="55"/>
  <c r="AQ32" i="55"/>
  <c r="AO31" i="55"/>
  <c r="AM30" i="55"/>
  <c r="AO29" i="55"/>
  <c r="AQ28" i="55"/>
  <c r="AR33" i="55"/>
  <c r="AL32" i="55"/>
  <c r="AN31" i="55"/>
  <c r="AP30" i="55"/>
  <c r="AR29" i="55"/>
  <c r="AT28" i="55"/>
  <c r="AP28" i="55"/>
  <c r="AQ33" i="55"/>
  <c r="AM33" i="55"/>
  <c r="AS32" i="55"/>
  <c r="AO32" i="55"/>
  <c r="AU31" i="55"/>
  <c r="AQ31" i="55"/>
  <c r="AM31" i="55"/>
  <c r="AS30" i="55"/>
  <c r="AO30" i="55"/>
  <c r="AU29" i="55"/>
  <c r="AQ29" i="55"/>
  <c r="AM29" i="55"/>
  <c r="AS28" i="55"/>
  <c r="AO28" i="55"/>
  <c r="AM32" i="55"/>
  <c r="AQ30" i="55"/>
  <c r="AU28" i="55"/>
  <c r="AT32" i="55"/>
  <c r="AU33" i="55"/>
  <c r="AS33" i="55"/>
  <c r="AU32" i="55"/>
  <c r="AS31" i="55"/>
  <c r="AU30" i="55"/>
  <c r="AS29" i="55"/>
  <c r="AM28" i="55"/>
  <c r="AN33" i="55"/>
  <c r="AP32" i="55"/>
  <c r="AR31" i="55"/>
  <c r="AT30" i="55"/>
  <c r="AL30" i="55"/>
  <c r="AN29" i="55"/>
  <c r="AL28" i="55"/>
  <c r="AT33" i="55"/>
  <c r="AP33" i="55"/>
  <c r="AL33" i="55"/>
  <c r="AR32" i="55"/>
  <c r="AN32" i="55"/>
  <c r="AT31" i="55"/>
  <c r="AP31" i="55"/>
  <c r="AL31" i="55"/>
  <c r="AR30" i="55"/>
  <c r="AN30" i="55"/>
  <c r="AT29" i="55"/>
  <c r="AP29" i="55"/>
  <c r="AL29" i="55"/>
  <c r="AR28" i="55"/>
  <c r="AN28" i="55"/>
  <c r="AK30" i="55"/>
  <c r="AK28" i="55"/>
  <c r="AU43" i="55"/>
  <c r="AU41" i="55"/>
  <c r="AQ41" i="55"/>
  <c r="AM41" i="55"/>
  <c r="AS40" i="55"/>
  <c r="AO40" i="55"/>
  <c r="AU39" i="55"/>
  <c r="AQ39" i="55"/>
  <c r="AM39" i="55"/>
  <c r="AS38" i="55"/>
  <c r="AO38" i="55"/>
  <c r="AQ43" i="55"/>
  <c r="AL39" i="55"/>
  <c r="AM43" i="55"/>
  <c r="AP43" i="55"/>
  <c r="AR42" i="55"/>
  <c r="AP41" i="55"/>
  <c r="AR40" i="55"/>
  <c r="AP39" i="55"/>
  <c r="AN38" i="55"/>
  <c r="AS43" i="55"/>
  <c r="AO43" i="55"/>
  <c r="AU42" i="55"/>
  <c r="AQ42" i="55"/>
  <c r="AM42" i="55"/>
  <c r="AO41" i="55"/>
  <c r="AU40" i="55"/>
  <c r="AQ40" i="55"/>
  <c r="AM40" i="55"/>
  <c r="AS39" i="55"/>
  <c r="AO39" i="55"/>
  <c r="AU38" i="55"/>
  <c r="AQ38" i="55"/>
  <c r="AM38" i="55"/>
  <c r="AO42" i="55"/>
  <c r="AL43" i="55"/>
  <c r="AT41" i="55"/>
  <c r="AT39" i="55"/>
  <c r="AR38" i="55"/>
  <c r="AS41" i="55"/>
  <c r="AS42" i="55"/>
  <c r="AT43" i="55"/>
  <c r="AN42" i="55"/>
  <c r="AL41" i="55"/>
  <c r="AN40" i="55"/>
  <c r="AR43" i="55"/>
  <c r="AN43" i="55"/>
  <c r="AT42" i="55"/>
  <c r="AP42" i="55"/>
  <c r="AL42" i="55"/>
  <c r="AR41" i="55"/>
  <c r="AN41" i="55"/>
  <c r="AT40" i="55"/>
  <c r="AP40" i="55"/>
  <c r="AL40" i="55"/>
  <c r="AR39" i="55"/>
  <c r="AN39" i="55"/>
  <c r="AT38" i="55"/>
  <c r="AP38" i="55"/>
  <c r="AL38" i="55"/>
  <c r="AK43" i="55"/>
  <c r="AK42" i="55"/>
  <c r="AK41" i="55"/>
  <c r="AK40" i="55"/>
  <c r="AK39" i="55"/>
  <c r="AK38" i="55"/>
  <c r="AA43" i="55"/>
  <c r="AE41" i="55"/>
  <c r="Y40" i="55"/>
  <c r="AC38" i="55"/>
  <c r="AB43" i="55"/>
  <c r="X43" i="55"/>
  <c r="AD42" i="55"/>
  <c r="Z42" i="55"/>
  <c r="V42" i="55"/>
  <c r="AB41" i="55"/>
  <c r="X41" i="55"/>
  <c r="AD40" i="55"/>
  <c r="Z40" i="55"/>
  <c r="V40" i="55"/>
  <c r="AB39" i="55"/>
  <c r="X39" i="55"/>
  <c r="AD38" i="55"/>
  <c r="Z38" i="55"/>
  <c r="V38" i="55"/>
  <c r="W43" i="55"/>
  <c r="W41" i="55"/>
  <c r="Y38" i="55"/>
  <c r="Z43" i="55"/>
  <c r="X42" i="55"/>
  <c r="AB40" i="55"/>
  <c r="X40" i="55"/>
  <c r="AD39" i="55"/>
  <c r="Z39" i="55"/>
  <c r="V39" i="55"/>
  <c r="AB38" i="55"/>
  <c r="X38" i="55"/>
  <c r="AE43" i="55"/>
  <c r="Y42" i="55"/>
  <c r="AC40" i="55"/>
  <c r="W39" i="55"/>
  <c r="AD43" i="55"/>
  <c r="AB42" i="55"/>
  <c r="Z41" i="55"/>
  <c r="Y43" i="55"/>
  <c r="AA42" i="55"/>
  <c r="AC41" i="55"/>
  <c r="Y41" i="55"/>
  <c r="AA40" i="55"/>
  <c r="W40" i="55"/>
  <c r="AC39" i="55"/>
  <c r="Y39" i="55"/>
  <c r="AE38" i="55"/>
  <c r="W38" i="55"/>
  <c r="AC42" i="55"/>
  <c r="AA41" i="55"/>
  <c r="AE39" i="55"/>
  <c r="AA39" i="55"/>
  <c r="V43" i="55"/>
  <c r="AD41" i="55"/>
  <c r="V41" i="55"/>
  <c r="AC43" i="55"/>
  <c r="AE42" i="55"/>
  <c r="W42" i="55"/>
  <c r="AE40" i="55"/>
  <c r="AA38" i="55"/>
  <c r="U43" i="55"/>
  <c r="U42" i="55"/>
  <c r="U41" i="55"/>
  <c r="U40" i="55"/>
  <c r="U39" i="55"/>
  <c r="U38" i="55"/>
  <c r="I42" i="55"/>
  <c r="I40" i="55"/>
  <c r="I38" i="55"/>
  <c r="L43" i="55"/>
  <c r="H43" i="55"/>
  <c r="N42" i="55"/>
  <c r="J42" i="55"/>
  <c r="F42" i="55"/>
  <c r="L41" i="55"/>
  <c r="H41" i="55"/>
  <c r="J40" i="55"/>
  <c r="F40" i="55"/>
  <c r="L39" i="55"/>
  <c r="H39" i="55"/>
  <c r="N38" i="55"/>
  <c r="J38" i="55"/>
  <c r="M42" i="55"/>
  <c r="G41" i="55"/>
  <c r="K39" i="55"/>
  <c r="J43" i="55"/>
  <c r="L42" i="55"/>
  <c r="H42" i="55"/>
  <c r="J41" i="55"/>
  <c r="L40" i="55"/>
  <c r="N39" i="55"/>
  <c r="F39" i="55"/>
  <c r="H38" i="55"/>
  <c r="G43" i="55"/>
  <c r="M40" i="55"/>
  <c r="M38" i="55"/>
  <c r="N43" i="55"/>
  <c r="F43" i="55"/>
  <c r="N41" i="55"/>
  <c r="F41" i="55"/>
  <c r="H40" i="55"/>
  <c r="J39" i="55"/>
  <c r="L38" i="55"/>
  <c r="O43" i="55"/>
  <c r="O41" i="55"/>
  <c r="O39" i="55"/>
  <c r="M43" i="55"/>
  <c r="O42" i="55"/>
  <c r="G42" i="55"/>
  <c r="I41" i="55"/>
  <c r="K40" i="55"/>
  <c r="M39" i="55"/>
  <c r="O38" i="55"/>
  <c r="G38" i="55"/>
  <c r="K43" i="55"/>
  <c r="K41" i="55"/>
  <c r="G39" i="55"/>
  <c r="I43" i="55"/>
  <c r="K42" i="55"/>
  <c r="M41" i="55"/>
  <c r="O40" i="55"/>
  <c r="G40" i="55"/>
  <c r="I39" i="55"/>
  <c r="K38" i="55"/>
  <c r="N40" i="55"/>
  <c r="F38" i="55"/>
  <c r="E43" i="55"/>
  <c r="E42" i="55"/>
  <c r="E41" i="55"/>
  <c r="E40" i="55"/>
  <c r="E39" i="55"/>
  <c r="AJ33" i="55"/>
  <c r="AI33" i="55"/>
  <c r="AJ32" i="55"/>
  <c r="AI32" i="55"/>
  <c r="AJ31" i="55"/>
  <c r="AI31" i="55"/>
  <c r="AJ30" i="55"/>
  <c r="AI30" i="55"/>
  <c r="AJ29" i="55"/>
  <c r="AI29" i="55"/>
  <c r="AJ28" i="55"/>
  <c r="AI28" i="55"/>
  <c r="AJ43" i="55"/>
  <c r="AI43" i="55"/>
  <c r="AJ42" i="55"/>
  <c r="AI42" i="55"/>
  <c r="AJ41" i="55"/>
  <c r="AI41" i="55"/>
  <c r="AJ40" i="55"/>
  <c r="AI40" i="55"/>
  <c r="AJ39" i="55"/>
  <c r="AI39" i="55"/>
  <c r="AJ38" i="55"/>
  <c r="AI38" i="55"/>
  <c r="AK33" i="55" a="1"/>
  <c r="G28" i="55" a="1"/>
  <c r="AK29" i="55" a="1"/>
  <c r="AK32" i="55" a="1"/>
  <c r="E38" i="55" a="1"/>
  <c r="AK31" i="55" a="1"/>
  <c r="AM34" i="55" l="1"/>
  <c r="F101" i="55" s="1"/>
  <c r="AU34" i="55"/>
  <c r="F109" i="55" s="1"/>
  <c r="AQ34" i="55"/>
  <c r="F105" i="55" s="1"/>
  <c r="AL34" i="55"/>
  <c r="F100" i="55" s="1"/>
  <c r="AP34" i="55"/>
  <c r="F104" i="55" s="1"/>
  <c r="AN34" i="55"/>
  <c r="F102" i="55" s="1"/>
  <c r="AT34" i="55"/>
  <c r="F108" i="55" s="1"/>
  <c r="AR34" i="55"/>
  <c r="F106" i="55" s="1"/>
  <c r="AO34" i="55"/>
  <c r="F103" i="55" s="1"/>
  <c r="AS34" i="55"/>
  <c r="F107" i="55" s="1"/>
  <c r="AK44" i="55"/>
  <c r="AL44" i="55"/>
  <c r="AQ44" i="55"/>
  <c r="AU44" i="55"/>
  <c r="AR44" i="55"/>
  <c r="I44" i="55"/>
  <c r="E103" i="55" s="1"/>
  <c r="AN44" i="55"/>
  <c r="AP44" i="55"/>
  <c r="AO44" i="55"/>
  <c r="AT44" i="55"/>
  <c r="AM44" i="55"/>
  <c r="AS44" i="55"/>
  <c r="AD44" i="55"/>
  <c r="G108" i="55" s="1"/>
  <c r="W44" i="55"/>
  <c r="G101" i="55" s="1"/>
  <c r="AB44" i="55"/>
  <c r="G106" i="55" s="1"/>
  <c r="Y44" i="55"/>
  <c r="G103" i="55" s="1"/>
  <c r="AC44" i="55"/>
  <c r="V44" i="55"/>
  <c r="G100" i="55" s="1"/>
  <c r="AA44" i="55"/>
  <c r="G105" i="55" s="1"/>
  <c r="U44" i="55"/>
  <c r="G99" i="55" s="1"/>
  <c r="Z44" i="55"/>
  <c r="G104" i="55" s="1"/>
  <c r="AE44" i="55"/>
  <c r="G109" i="55" s="1"/>
  <c r="X44" i="55"/>
  <c r="G102" i="55" s="1"/>
  <c r="L44" i="55"/>
  <c r="E106" i="55" s="1"/>
  <c r="M44" i="55"/>
  <c r="O44" i="55"/>
  <c r="E109" i="55" s="1"/>
  <c r="F44" i="55"/>
  <c r="E100" i="55" s="1"/>
  <c r="H44" i="55"/>
  <c r="E102" i="55" s="1"/>
  <c r="G44" i="55"/>
  <c r="E101" i="55" s="1"/>
  <c r="J44" i="55"/>
  <c r="E104" i="55" s="1"/>
  <c r="N44" i="55"/>
  <c r="E108" i="55" s="1"/>
  <c r="K44" i="55"/>
  <c r="E105" i="55" s="1"/>
  <c r="L49" i="55"/>
  <c r="E38" i="55"/>
  <c r="AK33" i="55"/>
  <c r="AK32" i="55"/>
  <c r="AK31" i="55"/>
  <c r="AK29" i="55"/>
  <c r="G28" i="55"/>
  <c r="G29" i="55" a="1"/>
  <c r="AK34" i="55" l="1"/>
  <c r="G107" i="55"/>
  <c r="E107" i="55"/>
  <c r="F89" i="55"/>
  <c r="F93" i="55"/>
  <c r="F87" i="55"/>
  <c r="F84" i="55"/>
  <c r="F86" i="55"/>
  <c r="F91" i="55"/>
  <c r="F88" i="55"/>
  <c r="F90" i="55"/>
  <c r="F92" i="55"/>
  <c r="F83" i="55"/>
  <c r="F85" i="55"/>
  <c r="E83" i="55"/>
  <c r="E44" i="55"/>
  <c r="G29" i="55"/>
  <c r="G30" i="55" a="1"/>
  <c r="F99" i="55" l="1"/>
  <c r="I101" i="55"/>
  <c r="I109" i="55"/>
  <c r="I104" i="55"/>
  <c r="I102" i="55"/>
  <c r="I103" i="55"/>
  <c r="I105" i="55"/>
  <c r="I107" i="55"/>
  <c r="I100" i="55"/>
  <c r="I108" i="55"/>
  <c r="I106" i="55"/>
  <c r="E99" i="55"/>
  <c r="I99" i="55" s="1"/>
  <c r="G30" i="55"/>
  <c r="G32" i="55" a="1"/>
  <c r="G31" i="55" a="1"/>
  <c r="G31" i="55" l="1"/>
  <c r="G32" i="55"/>
  <c r="P59" i="55" a="1"/>
  <c r="O68" i="55" a="1"/>
  <c r="I64" i="55" a="1"/>
  <c r="D73" i="55" a="1"/>
  <c r="AC31" i="55" a="1"/>
  <c r="F31" i="55" a="1"/>
  <c r="H71" i="55" a="1"/>
  <c r="E67" i="55" a="1"/>
  <c r="P58" i="55" a="1"/>
  <c r="E30" i="55" a="1"/>
  <c r="N60" i="55" a="1"/>
  <c r="O73" i="55" a="1"/>
  <c r="C70" i="55" a="1"/>
  <c r="H73" i="55" a="1"/>
  <c r="X28" i="55" a="1"/>
  <c r="H30" i="55" a="1"/>
  <c r="O70" i="55" a="1"/>
  <c r="H63" i="55" a="1"/>
  <c r="S67" i="55" a="1"/>
  <c r="P72" i="55" a="1"/>
  <c r="O61" i="55" a="1"/>
  <c r="H65" i="55" a="1"/>
  <c r="D70" i="55" a="1"/>
  <c r="AE32" i="55" a="1"/>
  <c r="K30" i="55" a="1"/>
  <c r="M71" i="55" a="1"/>
  <c r="E66" i="55" a="1"/>
  <c r="H60" i="55" a="1"/>
  <c r="I68" i="55" a="1"/>
  <c r="Q66" i="55" a="1"/>
  <c r="N73" i="55" a="1"/>
  <c r="M58" i="55" a="1"/>
  <c r="F63" i="55" a="1"/>
  <c r="H68" i="55" a="1"/>
  <c r="Z30" i="55" a="1"/>
  <c r="L31" i="55" a="1"/>
  <c r="N33" i="55" a="1"/>
  <c r="B66" i="55" a="1"/>
  <c r="H58" i="55" a="1"/>
  <c r="R59" i="55" a="1"/>
  <c r="S72" i="55" a="1"/>
  <c r="F69" i="55" a="1"/>
  <c r="C72" i="55" a="1"/>
  <c r="AC32" i="55" a="1"/>
  <c r="J29" i="55" a="1"/>
  <c r="D66" i="55" a="1"/>
  <c r="F70" i="55" a="1"/>
  <c r="E64" i="55" a="1"/>
  <c r="Q61" i="55" a="1"/>
  <c r="R64" i="55" a="1"/>
  <c r="T68" i="55" a="1"/>
  <c r="G74" i="55" a="1"/>
  <c r="F62" i="55" a="1"/>
  <c r="AC28" i="55" a="1"/>
  <c r="O33" i="55" a="1"/>
  <c r="F71" i="55" a="1"/>
  <c r="I70" i="55" a="1"/>
  <c r="H59" i="55" a="1"/>
  <c r="N72" i="55" a="1"/>
  <c r="O65" i="55" a="1"/>
  <c r="F61" i="55" a="1"/>
  <c r="I62" i="55" a="1"/>
  <c r="AE31" i="55" a="1"/>
  <c r="K31" i="55" a="1"/>
  <c r="R73" i="55" a="1"/>
  <c r="C75" i="55" a="1"/>
  <c r="AC29" i="55" a="1"/>
  <c r="I67" i="55" a="1"/>
  <c r="Q70" i="55" a="1"/>
  <c r="P73" i="55" a="1"/>
  <c r="B64" i="55" a="1"/>
  <c r="C61" i="55" a="1"/>
  <c r="I73" i="55" a="1"/>
  <c r="AB33" i="55" a="1"/>
  <c r="K33" i="55" a="1"/>
  <c r="D67" i="55" a="1"/>
  <c r="E33" i="55" a="1"/>
  <c r="N59" i="55" a="1"/>
  <c r="AD28" i="55" a="1"/>
  <c r="R66" i="55" a="1"/>
  <c r="S62" i="55" a="1"/>
  <c r="E74" i="55" a="1"/>
  <c r="C73" i="55" a="1"/>
  <c r="AD31" i="55" a="1"/>
  <c r="M31" i="55" a="1"/>
  <c r="M64" i="55" a="1"/>
  <c r="R67" i="55" a="1"/>
  <c r="O58" i="55" a="1"/>
  <c r="X30" i="55" a="1"/>
  <c r="H74" i="55" a="1"/>
  <c r="U32" i="55" a="1"/>
  <c r="M62" i="55" a="1"/>
  <c r="G63" i="55" a="1"/>
  <c r="N58" i="55" a="1"/>
  <c r="V31" i="55" a="1"/>
  <c r="C62" i="55" a="1"/>
  <c r="AA33" i="55" a="1"/>
  <c r="H64" i="55" a="1"/>
  <c r="N62" i="55" a="1"/>
  <c r="E72" i="55" a="1"/>
  <c r="I28" i="55" a="1"/>
  <c r="C63" i="55" a="1"/>
  <c r="Q62" i="55" a="1"/>
  <c r="J28" i="55" a="1"/>
  <c r="K29" i="55" a="1"/>
  <c r="B74" i="55" a="1"/>
  <c r="S71" i="55" a="1"/>
  <c r="Q75" i="55" a="1"/>
  <c r="R62" i="55" a="1"/>
  <c r="M61" i="55" a="1"/>
  <c r="R63" i="55" a="1"/>
  <c r="P66" i="55" a="1"/>
  <c r="C74" i="55" a="1"/>
  <c r="I61" i="55" a="1"/>
  <c r="AB32" i="55" a="1"/>
  <c r="I32" i="55" a="1"/>
  <c r="G59" i="55" a="1"/>
  <c r="W29" i="55" a="1"/>
  <c r="H69" i="55" a="1"/>
  <c r="Q65" i="55" a="1"/>
  <c r="R70" i="55" a="1"/>
  <c r="Q58" i="55" a="1"/>
  <c r="G60" i="55" a="1"/>
  <c r="G67" i="55" a="1"/>
  <c r="AB29" i="55" a="1"/>
  <c r="N30" i="55" a="1"/>
  <c r="E71" i="55" a="1"/>
  <c r="W30" i="55" a="1"/>
  <c r="E63" i="55" a="1"/>
  <c r="P64" i="55" a="1"/>
  <c r="O69" i="55" a="1"/>
  <c r="C66" i="55" a="1"/>
  <c r="C69" i="55" a="1"/>
  <c r="AC33" i="55" a="1"/>
  <c r="L32" i="55" a="1"/>
  <c r="N74" i="55" a="1"/>
  <c r="X32" i="55" a="1"/>
  <c r="AA31" i="55" a="1"/>
  <c r="E61" i="55" a="1"/>
  <c r="Q74" i="55" a="1"/>
  <c r="P70" i="55" a="1"/>
  <c r="B69" i="55" a="1"/>
  <c r="G65" i="55" a="1"/>
  <c r="C58" i="55" a="1"/>
  <c r="U30" i="55" a="1"/>
  <c r="M59" i="55" a="1"/>
  <c r="G61" i="55" a="1"/>
  <c r="E68" i="55" a="1"/>
  <c r="S59" i="55" a="1"/>
  <c r="O32" i="55" a="1"/>
  <c r="R74" i="55" a="1"/>
  <c r="S66" i="55" a="1"/>
  <c r="D63" i="55" a="1"/>
  <c r="C68" i="55" a="1"/>
  <c r="AE28" i="55" a="1"/>
  <c r="F29" i="55" a="1"/>
  <c r="M68" i="55" a="1"/>
  <c r="T59" i="55" a="1"/>
  <c r="B75" i="55" a="1"/>
  <c r="K28" i="55" a="1"/>
  <c r="G72" i="55" a="1"/>
  <c r="P65" i="55" a="1"/>
  <c r="O72" i="55" a="1"/>
  <c r="Q64" i="55" a="1"/>
  <c r="Y29" i="55" a="1"/>
  <c r="M65" i="55" a="1"/>
  <c r="R69" i="55" a="1"/>
  <c r="T58" i="55" a="1"/>
  <c r="I75" i="55" a="1"/>
  <c r="C67" i="55" a="1"/>
  <c r="X29" i="55" a="1"/>
  <c r="J30" i="55" a="1"/>
  <c r="AA28" i="55" a="1"/>
  <c r="K32" i="55" a="1"/>
  <c r="E70" i="55" a="1"/>
  <c r="Q69" i="55" a="1"/>
  <c r="P68" i="55" a="1"/>
  <c r="B71" i="55" a="1"/>
  <c r="I59" i="55" a="1"/>
  <c r="H72" i="55" a="1"/>
  <c r="AD32" i="55" a="1"/>
  <c r="I30" i="55" a="1"/>
  <c r="I71" i="55" a="1"/>
  <c r="Z28" i="55" a="1"/>
  <c r="G33" i="55" a="1"/>
  <c r="R60" i="55" a="1"/>
  <c r="S73" i="55" a="1"/>
  <c r="G70" i="55" a="1"/>
  <c r="F75" i="55" a="1"/>
  <c r="AB28" i="55" a="1"/>
  <c r="J31" i="55" a="1"/>
  <c r="O66" i="55" a="1"/>
  <c r="AD30" i="55" a="1"/>
  <c r="O29" i="55" a="1"/>
  <c r="AE30" i="55" a="1"/>
  <c r="T74" i="55" a="1"/>
  <c r="S61" i="55" a="1"/>
  <c r="D69" i="55" a="1"/>
  <c r="H70" i="55" a="1"/>
  <c r="Y33" i="55" a="1"/>
  <c r="O30" i="55" a="1"/>
  <c r="M75" i="55" a="1"/>
  <c r="E62" i="55" a="1"/>
  <c r="D74" i="55" a="1"/>
  <c r="T64" i="55" a="1"/>
  <c r="F30" i="55" a="1"/>
  <c r="P71" i="55" a="1"/>
  <c r="S70" i="55" a="1"/>
  <c r="H67" i="55" a="1"/>
  <c r="G64" i="55" a="1"/>
  <c r="Z33" i="55" a="1"/>
  <c r="M28" i="55" a="1"/>
  <c r="M72" i="55" a="1"/>
  <c r="S74" i="55" a="1"/>
  <c r="B60" i="55" a="1"/>
  <c r="L29" i="55" a="1"/>
  <c r="C71" i="55" a="1"/>
  <c r="B61" i="55" a="1"/>
  <c r="N29" i="55" a="1"/>
  <c r="T71" i="55" a="1"/>
  <c r="D75" i="55" a="1"/>
  <c r="F28" i="55" a="1"/>
  <c r="Q60" i="55" a="1"/>
  <c r="R72" i="55" a="1"/>
  <c r="C64" i="55" a="1"/>
  <c r="P69" i="55" a="1"/>
  <c r="I65" i="55" a="1"/>
  <c r="Q59" i="55" a="1"/>
  <c r="T60" i="55" a="1"/>
  <c r="AD29" i="55" a="1"/>
  <c r="O59" i="55" a="1"/>
  <c r="W31" i="55" a="1"/>
  <c r="P74" i="55" a="1"/>
  <c r="O75" i="55" a="1"/>
  <c r="Q71" i="55" a="1"/>
  <c r="AE29" i="55" a="1"/>
  <c r="T73" i="55" a="1"/>
  <c r="B72" i="55" a="1"/>
  <c r="H66" i="55" a="1"/>
  <c r="P62" i="55" a="1"/>
  <c r="M69" i="55" a="1"/>
  <c r="T65" i="55" a="1"/>
  <c r="B59" i="55" a="1"/>
  <c r="E59" i="55" a="1"/>
  <c r="G71" i="55" a="1"/>
  <c r="Z32" i="55" a="1"/>
  <c r="L33" i="55" a="1"/>
  <c r="AE33" i="55" a="1"/>
  <c r="N32" i="55" a="1"/>
  <c r="I58" i="55" a="1"/>
  <c r="Q73" i="55" a="1"/>
  <c r="F64" i="55" a="1"/>
  <c r="F58" i="55" a="1"/>
  <c r="M67" i="55" a="1"/>
  <c r="E69" i="55" a="1"/>
  <c r="N65" i="55" a="1"/>
  <c r="Y30" i="55" a="1"/>
  <c r="L28" i="55" a="1"/>
  <c r="S65" i="55" a="1"/>
  <c r="M32" i="55" a="1"/>
  <c r="B68" i="55" a="1"/>
  <c r="D60" i="55" a="1"/>
  <c r="P60" i="55" a="1"/>
  <c r="Q68" i="55" a="1"/>
  <c r="D64" i="55" a="1"/>
  <c r="F66" i="55" a="1"/>
  <c r="D58" i="55" a="1"/>
  <c r="F67" i="55" a="1"/>
  <c r="P75" i="55" a="1"/>
  <c r="M60" i="55" a="1"/>
  <c r="M73" i="55" a="1"/>
  <c r="T62" i="55" a="1"/>
  <c r="B58" i="55" a="1"/>
  <c r="I63" i="55" a="1"/>
  <c r="E58" i="55" a="1"/>
  <c r="U33" i="55" a="1"/>
  <c r="E29" i="55" a="1"/>
  <c r="I31" i="55" a="1"/>
  <c r="Q72" i="55" a="1"/>
  <c r="AA30" i="55" a="1"/>
  <c r="T69" i="55" a="1"/>
  <c r="S60" i="55" a="1"/>
  <c r="G75" i="55" a="1"/>
  <c r="G69" i="55" a="1"/>
  <c r="W32" i="55" a="1"/>
  <c r="M29" i="55" a="1"/>
  <c r="N64" i="55" a="1"/>
  <c r="W28" i="55" a="1"/>
  <c r="E31" i="55" a="1"/>
  <c r="M66" i="55" a="1"/>
  <c r="R71" i="55" a="1"/>
  <c r="R58" i="55" a="1"/>
  <c r="H61" i="55" a="1"/>
  <c r="D68" i="55" a="1"/>
  <c r="V30" i="55" a="1"/>
  <c r="H31" i="55" a="1"/>
  <c r="B73" i="55" a="1"/>
  <c r="F32" i="55" a="1"/>
  <c r="N63" i="55" a="1"/>
  <c r="O28" i="55" a="1"/>
  <c r="T66" i="55" a="1"/>
  <c r="S69" i="55" a="1"/>
  <c r="G66" i="55" a="1"/>
  <c r="C60" i="55" a="1"/>
  <c r="Z31" i="55" a="1"/>
  <c r="J33" i="55" a="1"/>
  <c r="T75" i="55" a="1"/>
  <c r="AB30" i="55" a="1"/>
  <c r="V33" i="55" a="1"/>
  <c r="F73" i="55" a="1"/>
  <c r="Q63" i="55" a="1"/>
  <c r="N67" i="55" a="1"/>
  <c r="S58" i="55" a="1"/>
  <c r="F72" i="55" a="1"/>
  <c r="E65" i="55" a="1"/>
  <c r="V28" i="55" a="1"/>
  <c r="H29" i="55" a="1"/>
  <c r="N68" i="55" a="1"/>
  <c r="O63" i="55" a="1"/>
  <c r="G73" i="55" a="1"/>
  <c r="S75" i="55" a="1"/>
  <c r="V32" i="55" a="1"/>
  <c r="O64" i="55" a="1"/>
  <c r="Y28" i="55" a="1"/>
  <c r="B63" i="55" a="1"/>
  <c r="P63" i="55" a="1"/>
  <c r="T61" i="55" a="1"/>
  <c r="I74" i="55" a="1"/>
  <c r="N31" i="55" a="1"/>
  <c r="F33" i="55" a="1"/>
  <c r="M74" i="55" a="1"/>
  <c r="B65" i="55" a="1"/>
  <c r="U31" i="55" a="1"/>
  <c r="D65" i="55" a="1"/>
  <c r="B62" i="55" a="1"/>
  <c r="P67" i="55" a="1"/>
  <c r="O60" i="55" a="1"/>
  <c r="F74" i="55" a="1"/>
  <c r="F68" i="55" a="1"/>
  <c r="Y31" i="55" a="1"/>
  <c r="I29" i="55" a="1"/>
  <c r="N66" i="55" a="1"/>
  <c r="N28" i="55" a="1"/>
  <c r="N69" i="55" a="1"/>
  <c r="W33" i="55" a="1"/>
  <c r="N71" i="55" a="1"/>
  <c r="S64" i="55" a="1"/>
  <c r="I60" i="55" a="1"/>
  <c r="D61" i="55" a="1"/>
  <c r="AC30" i="55" a="1"/>
  <c r="M33" i="55" a="1"/>
  <c r="R61" i="55" a="1"/>
  <c r="AA29" i="55" a="1"/>
  <c r="T63" i="55" a="1"/>
  <c r="M70" i="55" a="1"/>
  <c r="T70" i="55" a="1"/>
  <c r="B70" i="55" a="1"/>
  <c r="F60" i="55" a="1"/>
  <c r="E73" i="55" a="1"/>
  <c r="X33" i="55" a="1"/>
  <c r="O31" i="55" a="1"/>
  <c r="G62" i="55" a="1"/>
  <c r="I72" i="55" a="1"/>
  <c r="S63" i="55" a="1"/>
  <c r="M30" i="55" a="1"/>
  <c r="N61" i="55" a="1"/>
  <c r="O74" i="55" a="1"/>
  <c r="D71" i="55" a="1"/>
  <c r="C59" i="55" a="1"/>
  <c r="V29" i="55" a="1"/>
  <c r="H32" i="55" a="1"/>
  <c r="O62" i="55" a="1"/>
  <c r="Z29" i="55" a="1"/>
  <c r="AB31" i="55" a="1"/>
  <c r="E75" i="55" a="1"/>
  <c r="Q67" i="55" a="1"/>
  <c r="N75" i="55" a="1"/>
  <c r="B67" i="55" a="1"/>
  <c r="I66" i="55" a="1"/>
  <c r="I69" i="55" a="1"/>
  <c r="X31" i="55" a="1"/>
  <c r="J32" i="55" a="1"/>
  <c r="R75" i="55" a="1"/>
  <c r="O67" i="55" a="1"/>
  <c r="G68" i="55" a="1"/>
  <c r="P61" i="55" a="1"/>
  <c r="L30" i="55" a="1"/>
  <c r="N70" i="55" a="1"/>
  <c r="E60" i="55" a="1"/>
  <c r="F59" i="55" a="1"/>
  <c r="I33" i="55" a="1"/>
  <c r="D59" i="55" a="1"/>
  <c r="H28" i="55" a="1"/>
  <c r="S68" i="55" a="1"/>
  <c r="F65" i="55" a="1"/>
  <c r="AA32" i="55" a="1"/>
  <c r="T72" i="55" a="1"/>
  <c r="R68" i="55" a="1"/>
  <c r="T67" i="55" a="1"/>
  <c r="C65" i="55" a="1"/>
  <c r="G58" i="55" a="1"/>
  <c r="M63" i="55" a="1"/>
  <c r="H62" i="55" a="1"/>
  <c r="R65" i="55" a="1"/>
  <c r="H75" i="55" a="1"/>
  <c r="Y32" i="55" a="1"/>
  <c r="U29" i="55" a="1"/>
  <c r="O71" i="55" a="1"/>
  <c r="D62" i="55" a="1"/>
  <c r="E32" i="55" a="1"/>
  <c r="H33" i="55" a="1"/>
  <c r="AD33" i="55" a="1"/>
  <c r="U28" i="55" a="1"/>
  <c r="D72" i="55" a="1"/>
  <c r="G33" i="55" l="1"/>
  <c r="G34" i="55" s="1"/>
  <c r="C101" i="55" s="1"/>
  <c r="G91" i="55"/>
  <c r="G93" i="55"/>
  <c r="G92" i="55"/>
  <c r="P74" i="55"/>
  <c r="T71" i="55"/>
  <c r="T68" i="55"/>
  <c r="P66" i="55"/>
  <c r="T64" i="55"/>
  <c r="P62" i="55"/>
  <c r="T60" i="55"/>
  <c r="O75" i="55"/>
  <c r="O74" i="55"/>
  <c r="S73" i="55"/>
  <c r="O73" i="55"/>
  <c r="S72" i="55"/>
  <c r="O72" i="55"/>
  <c r="S71" i="55"/>
  <c r="S70" i="55"/>
  <c r="O70" i="55"/>
  <c r="S69" i="55"/>
  <c r="O69" i="55"/>
  <c r="S68" i="55"/>
  <c r="O68" i="55"/>
  <c r="S67" i="55"/>
  <c r="O67" i="55"/>
  <c r="S66" i="55"/>
  <c r="O66" i="55"/>
  <c r="S65" i="55"/>
  <c r="O65" i="55"/>
  <c r="S64" i="55"/>
  <c r="O64" i="55"/>
  <c r="S63" i="55"/>
  <c r="O63" i="55"/>
  <c r="S62" i="55"/>
  <c r="O62" i="55"/>
  <c r="S61" i="55"/>
  <c r="O61" i="55"/>
  <c r="S60" i="55"/>
  <c r="O60" i="55"/>
  <c r="S59" i="55"/>
  <c r="O59" i="55"/>
  <c r="P75" i="55"/>
  <c r="T72" i="55"/>
  <c r="P70" i="55"/>
  <c r="T67" i="55"/>
  <c r="P65" i="55"/>
  <c r="T62" i="55"/>
  <c r="P61" i="55"/>
  <c r="S74" i="55"/>
  <c r="O71" i="55"/>
  <c r="T75" i="55"/>
  <c r="P73" i="55"/>
  <c r="T70" i="55"/>
  <c r="P68" i="55"/>
  <c r="T65" i="55"/>
  <c r="P63" i="55"/>
  <c r="T59" i="55"/>
  <c r="N75" i="55"/>
  <c r="N74" i="55"/>
  <c r="N73" i="55"/>
  <c r="R71" i="55"/>
  <c r="R70" i="55"/>
  <c r="R69" i="55"/>
  <c r="R68" i="55"/>
  <c r="R67" i="55"/>
  <c r="N67" i="55"/>
  <c r="N66" i="55"/>
  <c r="R65" i="55"/>
  <c r="N65" i="55"/>
  <c r="R64" i="55"/>
  <c r="R63" i="55"/>
  <c r="N63" i="55"/>
  <c r="R62" i="55"/>
  <c r="N62" i="55"/>
  <c r="R61" i="55"/>
  <c r="N61" i="55"/>
  <c r="R60" i="55"/>
  <c r="N60" i="55"/>
  <c r="R59" i="55"/>
  <c r="N59" i="55"/>
  <c r="T73" i="55"/>
  <c r="P71" i="55"/>
  <c r="P69" i="55"/>
  <c r="T66" i="55"/>
  <c r="P64" i="55"/>
  <c r="T61" i="55"/>
  <c r="P59" i="55"/>
  <c r="S75" i="55"/>
  <c r="R75" i="55"/>
  <c r="R74" i="55"/>
  <c r="R73" i="55"/>
  <c r="R72" i="55"/>
  <c r="N72" i="55"/>
  <c r="N71" i="55"/>
  <c r="N70" i="55"/>
  <c r="N69" i="55"/>
  <c r="N68" i="55"/>
  <c r="R66" i="55"/>
  <c r="N64" i="55"/>
  <c r="T74" i="55"/>
  <c r="P72" i="55"/>
  <c r="T69" i="55"/>
  <c r="P67" i="55"/>
  <c r="T63" i="55"/>
  <c r="P60" i="55"/>
  <c r="Q75" i="55"/>
  <c r="M75" i="55"/>
  <c r="Q74" i="55"/>
  <c r="M74" i="55"/>
  <c r="Q73" i="55"/>
  <c r="M73" i="55"/>
  <c r="Q72" i="55"/>
  <c r="M72" i="55"/>
  <c r="Q71" i="55"/>
  <c r="M71" i="55"/>
  <c r="Q70" i="55"/>
  <c r="M70" i="55"/>
  <c r="Q69" i="55"/>
  <c r="M69" i="55"/>
  <c r="Q68" i="55"/>
  <c r="M68" i="55"/>
  <c r="Q67" i="55"/>
  <c r="M67" i="55"/>
  <c r="Q66" i="55"/>
  <c r="M66" i="55"/>
  <c r="Q65" i="55"/>
  <c r="M65" i="55"/>
  <c r="Q64" i="55"/>
  <c r="M64" i="55"/>
  <c r="Q63" i="55"/>
  <c r="M63" i="55"/>
  <c r="Q62" i="55"/>
  <c r="M62" i="55"/>
  <c r="Q61" i="55"/>
  <c r="M61" i="55"/>
  <c r="Q60" i="55"/>
  <c r="M60" i="55"/>
  <c r="Q59" i="55"/>
  <c r="M59" i="55"/>
  <c r="R58" i="55"/>
  <c r="Q58" i="55"/>
  <c r="T58" i="55"/>
  <c r="P58" i="55"/>
  <c r="O58" i="55"/>
  <c r="S58" i="55"/>
  <c r="N58" i="55"/>
  <c r="M58" i="55"/>
  <c r="B66" i="55"/>
  <c r="B73" i="55"/>
  <c r="B69" i="55"/>
  <c r="B65" i="55"/>
  <c r="B61" i="55"/>
  <c r="B58" i="55"/>
  <c r="B68" i="55"/>
  <c r="B60" i="55"/>
  <c r="B74" i="55"/>
  <c r="B72" i="55"/>
  <c r="B64" i="55"/>
  <c r="B70" i="55"/>
  <c r="B71" i="55"/>
  <c r="B59" i="55"/>
  <c r="B62" i="55"/>
  <c r="B75" i="55"/>
  <c r="B67" i="55"/>
  <c r="B63" i="55"/>
  <c r="C75" i="55"/>
  <c r="I73" i="55"/>
  <c r="E73" i="55"/>
  <c r="H72" i="55"/>
  <c r="G71" i="55"/>
  <c r="C71" i="55"/>
  <c r="F70" i="55"/>
  <c r="I69" i="55"/>
  <c r="E69" i="55"/>
  <c r="H68" i="55"/>
  <c r="D68" i="55"/>
  <c r="G67" i="55"/>
  <c r="C67" i="55"/>
  <c r="F66" i="55"/>
  <c r="I65" i="55"/>
  <c r="E65" i="55"/>
  <c r="H64" i="55"/>
  <c r="D64" i="55"/>
  <c r="G63" i="55"/>
  <c r="F62" i="55"/>
  <c r="I61" i="55"/>
  <c r="E61" i="55"/>
  <c r="H60" i="55"/>
  <c r="D60" i="55"/>
  <c r="G59" i="55"/>
  <c r="C59" i="55"/>
  <c r="F75" i="55"/>
  <c r="H73" i="55"/>
  <c r="C72" i="55"/>
  <c r="E70" i="55"/>
  <c r="F67" i="55"/>
  <c r="G64" i="55"/>
  <c r="E62" i="55"/>
  <c r="C60" i="55"/>
  <c r="C69" i="55"/>
  <c r="I74" i="55"/>
  <c r="D73" i="55"/>
  <c r="G72" i="55"/>
  <c r="I70" i="55"/>
  <c r="C68" i="55"/>
  <c r="E66" i="55"/>
  <c r="C64" i="55"/>
  <c r="I62" i="55"/>
  <c r="D61" i="55"/>
  <c r="F59" i="55"/>
  <c r="E75" i="55"/>
  <c r="D74" i="55"/>
  <c r="C73" i="55"/>
  <c r="I71" i="55"/>
  <c r="H70" i="55"/>
  <c r="D70" i="55"/>
  <c r="G69" i="55"/>
  <c r="F68" i="55"/>
  <c r="I67" i="55"/>
  <c r="E67" i="55"/>
  <c r="H66" i="55"/>
  <c r="D66" i="55"/>
  <c r="G65" i="55"/>
  <c r="C65" i="55"/>
  <c r="F64" i="55"/>
  <c r="I63" i="55"/>
  <c r="E63" i="55"/>
  <c r="H62" i="55"/>
  <c r="D62" i="55"/>
  <c r="G61" i="55"/>
  <c r="C61" i="55"/>
  <c r="F60" i="55"/>
  <c r="I59" i="55"/>
  <c r="E59" i="55"/>
  <c r="H69" i="55"/>
  <c r="G68" i="55"/>
  <c r="I66" i="55"/>
  <c r="D65" i="55"/>
  <c r="F63" i="55"/>
  <c r="H61" i="55"/>
  <c r="G60" i="55"/>
  <c r="I75" i="55"/>
  <c r="H74" i="55"/>
  <c r="G73" i="55"/>
  <c r="F72" i="55"/>
  <c r="E71" i="55"/>
  <c r="H75" i="55"/>
  <c r="D75" i="55"/>
  <c r="G74" i="55"/>
  <c r="C74" i="55"/>
  <c r="F73" i="55"/>
  <c r="I72" i="55"/>
  <c r="E72" i="55"/>
  <c r="H71" i="55"/>
  <c r="D71" i="55"/>
  <c r="G70" i="55"/>
  <c r="C70" i="55"/>
  <c r="F69" i="55"/>
  <c r="I68" i="55"/>
  <c r="E68" i="55"/>
  <c r="H67" i="55"/>
  <c r="D67" i="55"/>
  <c r="G66" i="55"/>
  <c r="C66" i="55"/>
  <c r="F65" i="55"/>
  <c r="I64" i="55"/>
  <c r="E64" i="55"/>
  <c r="H63" i="55"/>
  <c r="D63" i="55"/>
  <c r="G62" i="55"/>
  <c r="C62" i="55"/>
  <c r="F61" i="55"/>
  <c r="I60" i="55"/>
  <c r="E60" i="55"/>
  <c r="H59" i="55"/>
  <c r="D59" i="55"/>
  <c r="E74" i="55"/>
  <c r="F71" i="55"/>
  <c r="D69" i="55"/>
  <c r="H65" i="55"/>
  <c r="G75" i="55"/>
  <c r="F74" i="55"/>
  <c r="D72" i="55"/>
  <c r="C63" i="55"/>
  <c r="G58" i="55"/>
  <c r="F58" i="55"/>
  <c r="E58" i="55"/>
  <c r="I58" i="55"/>
  <c r="H58" i="55"/>
  <c r="D58" i="55"/>
  <c r="C58" i="55"/>
  <c r="W33" i="55"/>
  <c r="AA31" i="55"/>
  <c r="AE29" i="55"/>
  <c r="AA29" i="55"/>
  <c r="AB33" i="55"/>
  <c r="X33" i="55"/>
  <c r="AD32" i="55"/>
  <c r="Z32" i="55"/>
  <c r="V32" i="55"/>
  <c r="AB31" i="55"/>
  <c r="X31" i="55"/>
  <c r="AD30" i="55"/>
  <c r="Z30" i="55"/>
  <c r="V30" i="55"/>
  <c r="AB29" i="55"/>
  <c r="X29" i="55"/>
  <c r="AD28" i="55"/>
  <c r="Z28" i="55"/>
  <c r="V28" i="55"/>
  <c r="AE33" i="55"/>
  <c r="Y32" i="55"/>
  <c r="Y30" i="55"/>
  <c r="AC28" i="55"/>
  <c r="AB32" i="55"/>
  <c r="V31" i="55"/>
  <c r="X30" i="55"/>
  <c r="AD29" i="55"/>
  <c r="Z29" i="55"/>
  <c r="V29" i="55"/>
  <c r="AB28" i="55"/>
  <c r="X28" i="55"/>
  <c r="AC32" i="55"/>
  <c r="W31" i="55"/>
  <c r="W29" i="55"/>
  <c r="Z33" i="55"/>
  <c r="X32" i="55"/>
  <c r="Z31" i="55"/>
  <c r="AC33" i="55"/>
  <c r="AA32" i="55"/>
  <c r="AC31" i="55"/>
  <c r="AA30" i="55"/>
  <c r="AC29" i="55"/>
  <c r="AE28" i="55"/>
  <c r="W28" i="55"/>
  <c r="AA33" i="55"/>
  <c r="AE31" i="55"/>
  <c r="AC30" i="55"/>
  <c r="Y28" i="55"/>
  <c r="AD33" i="55"/>
  <c r="V33" i="55"/>
  <c r="AD31" i="55"/>
  <c r="AB30" i="55"/>
  <c r="Y33" i="55"/>
  <c r="AE32" i="55"/>
  <c r="W32" i="55"/>
  <c r="Y31" i="55"/>
  <c r="AE30" i="55"/>
  <c r="W30" i="55"/>
  <c r="Y29" i="55"/>
  <c r="AA28" i="55"/>
  <c r="U33" i="55"/>
  <c r="U32" i="55"/>
  <c r="U31" i="55"/>
  <c r="U30" i="55"/>
  <c r="U29" i="55"/>
  <c r="U28" i="55"/>
  <c r="K33" i="55"/>
  <c r="O31" i="55"/>
  <c r="I30" i="55"/>
  <c r="L33" i="55"/>
  <c r="H33" i="55"/>
  <c r="N32" i="55"/>
  <c r="J32" i="55"/>
  <c r="F32" i="55"/>
  <c r="L31" i="55"/>
  <c r="H31" i="55"/>
  <c r="N30" i="55"/>
  <c r="J30" i="55"/>
  <c r="F30" i="55"/>
  <c r="L29" i="55"/>
  <c r="H29" i="55"/>
  <c r="N28" i="55"/>
  <c r="J28" i="55"/>
  <c r="F28" i="55"/>
  <c r="O33" i="55"/>
  <c r="I32" i="55"/>
  <c r="M30" i="55"/>
  <c r="K29" i="55"/>
  <c r="I28" i="55"/>
  <c r="F33" i="55"/>
  <c r="H32" i="55"/>
  <c r="J31" i="55"/>
  <c r="H30" i="55"/>
  <c r="J29" i="55"/>
  <c r="H28" i="55"/>
  <c r="O29" i="55"/>
  <c r="M28" i="55"/>
  <c r="N33" i="55"/>
  <c r="J33" i="55"/>
  <c r="L32" i="55"/>
  <c r="N31" i="55"/>
  <c r="F31" i="55"/>
  <c r="L30" i="55"/>
  <c r="N29" i="55"/>
  <c r="F29" i="55"/>
  <c r="L28" i="55"/>
  <c r="M32" i="55"/>
  <c r="K31" i="55"/>
  <c r="M33" i="55"/>
  <c r="I33" i="55"/>
  <c r="O32" i="55"/>
  <c r="K32" i="55"/>
  <c r="M31" i="55"/>
  <c r="I31" i="55"/>
  <c r="O30" i="55"/>
  <c r="K30" i="55"/>
  <c r="M29" i="55"/>
  <c r="I29" i="55"/>
  <c r="O28" i="55"/>
  <c r="K28" i="55"/>
  <c r="C85" i="55"/>
  <c r="E33" i="55"/>
  <c r="E32" i="55"/>
  <c r="E31" i="55"/>
  <c r="E30" i="55"/>
  <c r="E29" i="55"/>
  <c r="C83" i="55"/>
  <c r="U34" i="55" l="1"/>
  <c r="W34" i="55"/>
  <c r="D101" i="55" s="1"/>
  <c r="L34" i="55"/>
  <c r="C106" i="55" s="1"/>
  <c r="N34" i="55"/>
  <c r="C108" i="55" s="1"/>
  <c r="I34" i="55"/>
  <c r="C103" i="55" s="1"/>
  <c r="O34" i="55"/>
  <c r="C109" i="55" s="1"/>
  <c r="J34" i="55"/>
  <c r="C104" i="55" s="1"/>
  <c r="M34" i="55"/>
  <c r="C107" i="55" s="1"/>
  <c r="K34" i="55"/>
  <c r="C105" i="55" s="1"/>
  <c r="H34" i="55"/>
  <c r="C102" i="55" s="1"/>
  <c r="E34" i="55"/>
  <c r="C84" i="55"/>
  <c r="F34" i="55"/>
  <c r="C100" i="55" s="1"/>
  <c r="D89" i="55"/>
  <c r="H89" i="55" s="1"/>
  <c r="AA34" i="55"/>
  <c r="D105" i="55" s="1"/>
  <c r="D87" i="55"/>
  <c r="H87" i="55" s="1"/>
  <c r="Y34" i="55"/>
  <c r="D103" i="55" s="1"/>
  <c r="D93" i="55"/>
  <c r="H93" i="55" s="1"/>
  <c r="AE34" i="55"/>
  <c r="D109" i="55" s="1"/>
  <c r="D86" i="55"/>
  <c r="H86" i="55" s="1"/>
  <c r="X34" i="55"/>
  <c r="D102" i="55" s="1"/>
  <c r="D90" i="55"/>
  <c r="H90" i="55" s="1"/>
  <c r="AB34" i="55"/>
  <c r="D106" i="55" s="1"/>
  <c r="D91" i="55"/>
  <c r="H91" i="55" s="1"/>
  <c r="AC34" i="55"/>
  <c r="D107" i="55" s="1"/>
  <c r="D84" i="55"/>
  <c r="H84" i="55" s="1"/>
  <c r="V34" i="55"/>
  <c r="D100" i="55" s="1"/>
  <c r="D88" i="55"/>
  <c r="H88" i="55" s="1"/>
  <c r="Z34" i="55"/>
  <c r="D104" i="55" s="1"/>
  <c r="D92" i="55"/>
  <c r="H92" i="55" s="1"/>
  <c r="AD34" i="55"/>
  <c r="D108" i="55" s="1"/>
  <c r="E93" i="55"/>
  <c r="I93" i="55" s="1"/>
  <c r="E92" i="55"/>
  <c r="I92" i="55" s="1"/>
  <c r="E91" i="55"/>
  <c r="I91" i="55" s="1"/>
  <c r="C89" i="55"/>
  <c r="C93" i="55"/>
  <c r="C90" i="55"/>
  <c r="C91" i="55"/>
  <c r="C86" i="55"/>
  <c r="C87" i="55"/>
  <c r="C88" i="55"/>
  <c r="D85" i="55"/>
  <c r="H85" i="55" s="1"/>
  <c r="C92" i="55"/>
  <c r="D83" i="55"/>
  <c r="BA28" i="55"/>
  <c r="AZ33" i="55"/>
  <c r="AY33" i="55"/>
  <c r="AZ32" i="55"/>
  <c r="AY32" i="55"/>
  <c r="AZ31" i="55"/>
  <c r="AY31" i="55"/>
  <c r="AZ30" i="55"/>
  <c r="AY30" i="55"/>
  <c r="AZ29" i="55"/>
  <c r="AY29" i="55"/>
  <c r="AZ28" i="55"/>
  <c r="AY28" i="55"/>
  <c r="Q9" i="43"/>
  <c r="P3" i="43"/>
  <c r="Q54" i="43"/>
  <c r="Q51" i="43"/>
  <c r="Q48" i="43"/>
  <c r="Q45" i="43"/>
  <c r="Q42" i="43"/>
  <c r="Q39" i="43"/>
  <c r="Q36" i="43"/>
  <c r="Q33" i="43"/>
  <c r="Q30" i="43"/>
  <c r="Q27" i="43"/>
  <c r="Q24" i="43"/>
  <c r="Q21" i="43"/>
  <c r="Q18" i="43"/>
  <c r="Q15" i="43"/>
  <c r="Q12" i="43"/>
  <c r="T33" i="55"/>
  <c r="S33" i="55"/>
  <c r="T32" i="55"/>
  <c r="S32" i="55"/>
  <c r="T31" i="55"/>
  <c r="S31" i="55"/>
  <c r="T30" i="55"/>
  <c r="S30" i="55"/>
  <c r="T29" i="55"/>
  <c r="S29" i="55"/>
  <c r="T28" i="55"/>
  <c r="S28" i="55"/>
  <c r="C99" i="55" l="1"/>
  <c r="D99" i="55"/>
  <c r="H83" i="55"/>
  <c r="BJ28" i="55" l="1"/>
  <c r="BJ29" i="55"/>
  <c r="BK33" i="55"/>
  <c r="BK29" i="55"/>
  <c r="BK32" i="55"/>
  <c r="BK28" i="55"/>
  <c r="BI28" i="55"/>
  <c r="BJ31" i="55"/>
  <c r="BI33" i="55"/>
  <c r="BJ33" i="55"/>
  <c r="BI32" i="55"/>
  <c r="BI29" i="55"/>
  <c r="BJ32" i="55"/>
  <c r="BK31" i="55"/>
  <c r="BI31" i="55"/>
  <c r="AE49" i="55"/>
  <c r="AE48" i="55"/>
  <c r="U49" i="55"/>
  <c r="B50" i="55"/>
  <c r="V48" i="55" s="1"/>
  <c r="N48" i="55" a="1"/>
  <c r="N48" i="55" s="1"/>
  <c r="AA82" i="53"/>
  <c r="AA83" i="53" s="1"/>
  <c r="AA84" i="53" s="1"/>
  <c r="AA85" i="53" s="1"/>
  <c r="AA86" i="53" s="1"/>
  <c r="AA87" i="53" s="1"/>
  <c r="C343" i="62" a="1"/>
  <c r="C343" i="62" s="1"/>
  <c r="C342" i="62" a="1"/>
  <c r="C342" i="62" s="1"/>
  <c r="C341" i="62" a="1"/>
  <c r="C341" i="62" s="1"/>
  <c r="E340" i="62"/>
  <c r="F340" i="62" s="1"/>
  <c r="G340" i="62" s="1"/>
  <c r="H340" i="62" s="1"/>
  <c r="I340" i="62" s="1"/>
  <c r="J340" i="62" s="1"/>
  <c r="Q307" i="62" a="1"/>
  <c r="Q307" i="62" s="1"/>
  <c r="C307" i="62" a="1"/>
  <c r="C307" i="62" s="1"/>
  <c r="Q306" i="62" a="1"/>
  <c r="Q306" i="62" s="1"/>
  <c r="C306" i="62" a="1"/>
  <c r="C306" i="62" s="1"/>
  <c r="Q305" i="62" a="1"/>
  <c r="Q305" i="62" s="1"/>
  <c r="C305" i="62" a="1"/>
  <c r="C305" i="62" s="1"/>
  <c r="S304" i="62"/>
  <c r="T304" i="62" s="1"/>
  <c r="U304" i="62" s="1"/>
  <c r="V304" i="62" s="1"/>
  <c r="W304" i="62" s="1"/>
  <c r="X304" i="62" s="1"/>
  <c r="H304" i="62"/>
  <c r="I304" i="62" s="1"/>
  <c r="J304" i="62" s="1"/>
  <c r="G304" i="62"/>
  <c r="F304" i="62"/>
  <c r="E304" i="62"/>
  <c r="Q271" i="62"/>
  <c r="Q271" i="62" a="1"/>
  <c r="C271" i="62" a="1"/>
  <c r="C271" i="62" s="1"/>
  <c r="Q270" i="62" a="1"/>
  <c r="Q270" i="62" s="1"/>
  <c r="C270" i="62" a="1"/>
  <c r="C270" i="62" s="1"/>
  <c r="Q269" i="62" a="1"/>
  <c r="Q269" i="62" s="1"/>
  <c r="C269" i="62" a="1"/>
  <c r="C269" i="62" s="1"/>
  <c r="S268" i="62"/>
  <c r="T268" i="62" s="1"/>
  <c r="U268" i="62" s="1"/>
  <c r="V268" i="62" s="1"/>
  <c r="W268" i="62" s="1"/>
  <c r="X268" i="62" s="1"/>
  <c r="F268" i="62"/>
  <c r="G268" i="62" s="1"/>
  <c r="H268" i="62" s="1"/>
  <c r="I268" i="62" s="1"/>
  <c r="J268" i="62" s="1"/>
  <c r="E268" i="62"/>
  <c r="Q235" i="62" a="1"/>
  <c r="Q235" i="62" s="1"/>
  <c r="C235" i="62"/>
  <c r="C235" i="62" a="1"/>
  <c r="Q234" i="62" a="1"/>
  <c r="Q234" i="62" s="1"/>
  <c r="C234" i="62"/>
  <c r="C234" i="62" a="1"/>
  <c r="Q233" i="62" a="1"/>
  <c r="Q233" i="62" s="1"/>
  <c r="C233" i="62" a="1"/>
  <c r="C233" i="62" s="1"/>
  <c r="S232" i="62"/>
  <c r="T232" i="62" s="1"/>
  <c r="U232" i="62" s="1"/>
  <c r="V232" i="62" s="1"/>
  <c r="W232" i="62" s="1"/>
  <c r="X232" i="62" s="1"/>
  <c r="E232" i="62"/>
  <c r="F232" i="62" s="1"/>
  <c r="G232" i="62" s="1"/>
  <c r="H232" i="62" s="1"/>
  <c r="I232" i="62" s="1"/>
  <c r="J232" i="62" s="1"/>
  <c r="Q199" i="62" a="1"/>
  <c r="Q199" i="62" s="1"/>
  <c r="C199" i="62" a="1"/>
  <c r="C199" i="62" s="1"/>
  <c r="Q198" i="62" a="1"/>
  <c r="Q198" i="62" s="1"/>
  <c r="C198" i="62" a="1"/>
  <c r="C198" i="62" s="1"/>
  <c r="Q197" i="62" a="1"/>
  <c r="Q197" i="62" s="1"/>
  <c r="C197" i="62" a="1"/>
  <c r="C197" i="62" s="1"/>
  <c r="S196" i="62"/>
  <c r="T196" i="62" s="1"/>
  <c r="U196" i="62" s="1"/>
  <c r="V196" i="62" s="1"/>
  <c r="W196" i="62" s="1"/>
  <c r="X196" i="62" s="1"/>
  <c r="F196" i="62"/>
  <c r="G196" i="62" s="1"/>
  <c r="H196" i="62" s="1"/>
  <c r="I196" i="62" s="1"/>
  <c r="J196" i="62" s="1"/>
  <c r="E196" i="62"/>
  <c r="Q164" i="62" a="1"/>
  <c r="Q164" i="62" s="1"/>
  <c r="C164" i="62" a="1"/>
  <c r="C164" i="62" s="1"/>
  <c r="Q163" i="62" a="1"/>
  <c r="Q163" i="62" s="1"/>
  <c r="C163" i="62"/>
  <c r="C163" i="62" a="1"/>
  <c r="Q162" i="62" a="1"/>
  <c r="Q162" i="62" s="1"/>
  <c r="C162" i="62" a="1"/>
  <c r="C162" i="62" s="1"/>
  <c r="S161" i="62"/>
  <c r="T161" i="62" s="1"/>
  <c r="U161" i="62" s="1"/>
  <c r="V161" i="62" s="1"/>
  <c r="W161" i="62" s="1"/>
  <c r="X161" i="62" s="1"/>
  <c r="E161" i="62"/>
  <c r="F161" i="62" s="1"/>
  <c r="G161" i="62" s="1"/>
  <c r="H161" i="62" s="1"/>
  <c r="I161" i="62" s="1"/>
  <c r="J161" i="62" s="1"/>
  <c r="AF48" i="55" l="1"/>
  <c r="G23" i="56"/>
  <c r="K17" i="56"/>
  <c r="L17" i="56"/>
  <c r="H25" i="56" l="1"/>
  <c r="G25" i="56"/>
  <c r="E26" i="1" l="1"/>
  <c r="E27" i="1"/>
  <c r="E28" i="1"/>
  <c r="E29" i="1"/>
  <c r="E30" i="1"/>
  <c r="E31" i="1"/>
  <c r="E32" i="1"/>
  <c r="E33" i="1"/>
  <c r="E34" i="1"/>
  <c r="E35" i="1"/>
  <c r="E36" i="1"/>
  <c r="E37" i="1"/>
  <c r="E38" i="1"/>
  <c r="E39" i="1"/>
  <c r="E40" i="1"/>
  <c r="E41" i="1"/>
  <c r="E42" i="1"/>
  <c r="E25" i="1"/>
  <c r="D46" i="1"/>
  <c r="E46" i="1"/>
  <c r="D45" i="1"/>
  <c r="L23" i="56"/>
  <c r="D52" i="1"/>
  <c r="D51" i="1"/>
  <c r="K18" i="56"/>
  <c r="L18" i="56" s="1"/>
  <c r="B5" i="61"/>
  <c r="C5" i="61"/>
  <c r="C3" i="61"/>
  <c r="B21" i="61"/>
  <c r="B20" i="61"/>
  <c r="C19" i="61"/>
  <c r="C21" i="61" s="1"/>
  <c r="C17" i="61"/>
  <c r="C20" i="61" s="1"/>
  <c r="B17" i="61"/>
  <c r="C16" i="61"/>
  <c r="B3" i="61"/>
  <c r="B1" i="61"/>
  <c r="C1" i="61" s="1"/>
  <c r="E1" i="61" s="1"/>
  <c r="F10" i="60"/>
  <c r="E10" i="60"/>
  <c r="D10" i="60"/>
  <c r="C10" i="60"/>
  <c r="B10" i="60"/>
  <c r="E8" i="60"/>
  <c r="B8" i="60"/>
  <c r="B7" i="60"/>
  <c r="F6" i="60"/>
  <c r="F8" i="60" s="1"/>
  <c r="E6" i="60"/>
  <c r="D6" i="60"/>
  <c r="D8" i="60" s="1"/>
  <c r="C6" i="60"/>
  <c r="C8" i="60" s="1"/>
  <c r="F4" i="60"/>
  <c r="F7" i="60" s="1"/>
  <c r="E4" i="60"/>
  <c r="E7" i="60" s="1"/>
  <c r="B4" i="60"/>
  <c r="F3" i="60"/>
  <c r="E3" i="60"/>
  <c r="D3" i="60"/>
  <c r="D4" i="60" s="1"/>
  <c r="D7" i="60" s="1"/>
  <c r="C3" i="60"/>
  <c r="C4" i="60" s="1"/>
  <c r="C7" i="60" s="1"/>
  <c r="C7" i="61" l="1"/>
  <c r="B6" i="61"/>
  <c r="B8" i="61" s="1"/>
  <c r="B9" i="61" s="1"/>
  <c r="B23" i="61" s="1"/>
  <c r="B7" i="61" l="1"/>
  <c r="B10" i="61"/>
  <c r="B11" i="60"/>
  <c r="D7" i="61"/>
  <c r="E7" i="61" s="1"/>
  <c r="C23" i="61"/>
  <c r="B11" i="61"/>
  <c r="C11" i="60" l="1"/>
  <c r="B14" i="60"/>
  <c r="B15" i="60" s="1"/>
  <c r="B12" i="60"/>
  <c r="B24" i="61"/>
  <c r="B26" i="61"/>
  <c r="C24" i="61"/>
  <c r="D23" i="61"/>
  <c r="C26" i="61"/>
  <c r="D24" i="61" l="1"/>
  <c r="D25" i="61" s="1"/>
  <c r="C25" i="61" s="1"/>
  <c r="B25" i="61" s="1"/>
  <c r="D26" i="61"/>
  <c r="D27" i="61" s="1"/>
  <c r="D28" i="61" s="1"/>
  <c r="D11" i="60"/>
  <c r="C14" i="60"/>
  <c r="C15" i="60" s="1"/>
  <c r="C12" i="60"/>
  <c r="E11" i="60" l="1"/>
  <c r="D12" i="60"/>
  <c r="D14" i="60"/>
  <c r="D15" i="60" s="1"/>
  <c r="C27" i="61"/>
  <c r="C28" i="61" l="1"/>
  <c r="B27" i="61"/>
  <c r="B28" i="61" s="1"/>
  <c r="F11" i="60"/>
  <c r="E12" i="60"/>
  <c r="E14" i="60"/>
  <c r="E15" i="60" s="1"/>
  <c r="B17" i="60" s="1"/>
  <c r="C17" i="60" s="1"/>
  <c r="F12" i="60" l="1"/>
  <c r="F13" i="60" s="1"/>
  <c r="E13" i="60" s="1"/>
  <c r="D13" i="60" s="1"/>
  <c r="C13" i="60" s="1"/>
  <c r="B13" i="60" s="1"/>
  <c r="F14" i="60"/>
  <c r="F15" i="60" s="1"/>
  <c r="B18" i="60" s="1"/>
  <c r="C18" i="60" s="1"/>
  <c r="C47" i="1" l="1"/>
  <c r="C46" i="1"/>
  <c r="C45" i="1"/>
  <c r="G25" i="1"/>
  <c r="G26" i="1"/>
  <c r="G27" i="1"/>
  <c r="G28" i="1"/>
  <c r="G29" i="1"/>
  <c r="G30" i="1"/>
  <c r="G31" i="1"/>
  <c r="G32" i="1"/>
  <c r="G33" i="1"/>
  <c r="G34" i="1"/>
  <c r="G35" i="1"/>
  <c r="G36" i="1"/>
  <c r="G37" i="1"/>
  <c r="G38" i="1"/>
  <c r="G39" i="1"/>
  <c r="G40" i="1"/>
  <c r="G41" i="1"/>
  <c r="G42" i="1"/>
  <c r="M18" i="56"/>
  <c r="N18" i="56" s="1"/>
  <c r="M17" i="56"/>
  <c r="N17" i="56" s="1"/>
  <c r="O17" i="56" l="1"/>
  <c r="O18" i="56"/>
  <c r="C52" i="1" l="1"/>
  <c r="B52" i="1"/>
  <c r="C51" i="1"/>
  <c r="B51" i="1"/>
  <c r="G11" i="56"/>
  <c r="I11" i="56"/>
  <c r="I12" i="56" s="1"/>
  <c r="L10" i="56" s="1"/>
  <c r="L11" i="56" l="1"/>
  <c r="L12" i="56"/>
  <c r="G12" i="56"/>
  <c r="G13" i="56" s="1"/>
  <c r="M23" i="56" l="1"/>
  <c r="G24" i="56"/>
  <c r="H24" i="56"/>
  <c r="C341" i="54" a="1"/>
  <c r="C341" i="54" s="1"/>
  <c r="Q271" i="54" a="1"/>
  <c r="Q271" i="54" s="1"/>
  <c r="Q270" i="54" a="1"/>
  <c r="Q270" i="54" s="1"/>
  <c r="Q269" i="54" a="1"/>
  <c r="Q269" i="54" s="1"/>
  <c r="C343" i="54" a="1"/>
  <c r="C343" i="54" s="1"/>
  <c r="C342" i="54" a="1"/>
  <c r="C342" i="54" s="1"/>
  <c r="Q307" i="54" a="1"/>
  <c r="Q307" i="54" s="1"/>
  <c r="Q306" i="54" a="1"/>
  <c r="Q306" i="54" s="1"/>
  <c r="Q305" i="54" a="1"/>
  <c r="Q305" i="54" s="1"/>
  <c r="C307" i="54" a="1"/>
  <c r="C307" i="54" s="1"/>
  <c r="C306" i="54" a="1"/>
  <c r="C306" i="54" s="1"/>
  <c r="C305" i="54" a="1"/>
  <c r="C305" i="54" s="1"/>
  <c r="L25" i="56" l="1"/>
  <c r="M25" i="56"/>
  <c r="K24" i="56"/>
  <c r="M24" i="56"/>
  <c r="L24" i="56"/>
  <c r="I25" i="56"/>
  <c r="J25" i="56"/>
  <c r="D47" i="1" s="1"/>
  <c r="K25" i="56"/>
  <c r="E47" i="1" s="1"/>
  <c r="K23" i="56"/>
  <c r="E45" i="1" s="1"/>
  <c r="I23" i="56"/>
  <c r="I24" i="56"/>
  <c r="J24" i="56"/>
  <c r="B47" i="1"/>
  <c r="B46" i="1"/>
  <c r="B45" i="1"/>
  <c r="C25" i="1" s="1"/>
  <c r="C271" i="54" a="1"/>
  <c r="C271" i="54" s="1"/>
  <c r="C270" i="54" a="1"/>
  <c r="C270" i="54" s="1"/>
  <c r="C269" i="54" a="1"/>
  <c r="C269" i="54" s="1"/>
  <c r="Q235" i="54" a="1"/>
  <c r="Q235" i="54" s="1"/>
  <c r="Q234" i="54" a="1"/>
  <c r="Q234" i="54" s="1"/>
  <c r="Q233" i="54" a="1"/>
  <c r="Q233" i="54" s="1"/>
  <c r="C235" i="54" a="1"/>
  <c r="C235" i="54" s="1"/>
  <c r="C234" i="54" a="1"/>
  <c r="C234" i="54" s="1"/>
  <c r="C233" i="54" a="1"/>
  <c r="C233" i="54" s="1"/>
  <c r="Q199" i="54" a="1"/>
  <c r="Q199" i="54" s="1"/>
  <c r="Q198" i="54" a="1"/>
  <c r="Q198" i="54" s="1"/>
  <c r="Q197" i="54" a="1"/>
  <c r="Q197" i="54" s="1"/>
  <c r="C199" i="54" a="1"/>
  <c r="C199" i="54" s="1"/>
  <c r="C198" i="54" a="1"/>
  <c r="C198" i="54" s="1"/>
  <c r="C197" i="54" a="1"/>
  <c r="C197" i="54" s="1"/>
  <c r="Q164" i="54" a="1"/>
  <c r="Q164" i="54" s="1"/>
  <c r="Q162" i="54" a="1"/>
  <c r="Q162" i="54" s="1"/>
  <c r="Q163" i="54" a="1"/>
  <c r="Q163" i="54" s="1"/>
  <c r="C163" i="54" a="1"/>
  <c r="C163" i="54" s="1"/>
  <c r="C164" i="54" a="1"/>
  <c r="C164" i="54" s="1"/>
  <c r="C162" i="54" a="1"/>
  <c r="C162" i="54" s="1"/>
  <c r="F340" i="54"/>
  <c r="G340" i="54" s="1"/>
  <c r="H340" i="54" s="1"/>
  <c r="I340" i="54" s="1"/>
  <c r="J340" i="54" s="1"/>
  <c r="E340" i="54"/>
  <c r="T304" i="54"/>
  <c r="U304" i="54" s="1"/>
  <c r="V304" i="54" s="1"/>
  <c r="W304" i="54" s="1"/>
  <c r="X304" i="54" s="1"/>
  <c r="S304" i="54"/>
  <c r="E304" i="54"/>
  <c r="F304" i="54" s="1"/>
  <c r="G304" i="54" s="1"/>
  <c r="H304" i="54" s="1"/>
  <c r="I304" i="54" s="1"/>
  <c r="J304" i="54" s="1"/>
  <c r="S268" i="54"/>
  <c r="T268" i="54" s="1"/>
  <c r="U268" i="54" s="1"/>
  <c r="V268" i="54" s="1"/>
  <c r="W268" i="54" s="1"/>
  <c r="X268" i="54" s="1"/>
  <c r="E268" i="54"/>
  <c r="F268" i="54" s="1"/>
  <c r="G268" i="54" s="1"/>
  <c r="H268" i="54" s="1"/>
  <c r="I268" i="54" s="1"/>
  <c r="J268" i="54" s="1"/>
  <c r="T232" i="54"/>
  <c r="U232" i="54" s="1"/>
  <c r="V232" i="54" s="1"/>
  <c r="W232" i="54" s="1"/>
  <c r="X232" i="54" s="1"/>
  <c r="S232" i="54"/>
  <c r="F232" i="54"/>
  <c r="G232" i="54" s="1"/>
  <c r="H232" i="54" s="1"/>
  <c r="I232" i="54" s="1"/>
  <c r="J232" i="54" s="1"/>
  <c r="E232" i="54"/>
  <c r="S196" i="54"/>
  <c r="T196" i="54" s="1"/>
  <c r="U196" i="54" s="1"/>
  <c r="V196" i="54" s="1"/>
  <c r="W196" i="54" s="1"/>
  <c r="X196" i="54" s="1"/>
  <c r="E196" i="54"/>
  <c r="F196" i="54" s="1"/>
  <c r="G196" i="54" s="1"/>
  <c r="H196" i="54" s="1"/>
  <c r="I196" i="54" s="1"/>
  <c r="J196" i="54" s="1"/>
  <c r="S161" i="54"/>
  <c r="T161" i="54" s="1"/>
  <c r="U161" i="54" s="1"/>
  <c r="V161" i="54" s="1"/>
  <c r="W161" i="54" s="1"/>
  <c r="X161" i="54" s="1"/>
  <c r="E161" i="54"/>
  <c r="F161" i="54" s="1"/>
  <c r="G161" i="54" s="1"/>
  <c r="H161" i="54" s="1"/>
  <c r="I161" i="54" s="1"/>
  <c r="J161" i="54" s="1"/>
  <c r="B38" i="55"/>
  <c r="B39" i="55"/>
  <c r="B40" i="55"/>
  <c r="B41" i="55"/>
  <c r="B42" i="55"/>
  <c r="B43" i="55"/>
  <c r="C38" i="55" l="1"/>
  <c r="F25" i="1"/>
  <c r="C28" i="55"/>
  <c r="S38" i="55"/>
  <c r="H25" i="1" l="1"/>
  <c r="F2" i="1"/>
  <c r="E2" i="1"/>
  <c r="I25" i="1"/>
  <c r="B48" i="55"/>
  <c r="BQ45" i="55"/>
  <c r="BP45" i="55"/>
  <c r="BQ44" i="55"/>
  <c r="BP44" i="55"/>
  <c r="BI44" i="55"/>
  <c r="BI39" i="55" s="1"/>
  <c r="BH44" i="55"/>
  <c r="BH39" i="55" s="1"/>
  <c r="BI43" i="55"/>
  <c r="BI38" i="55" s="1"/>
  <c r="BH43" i="55"/>
  <c r="BH38" i="55" s="1"/>
  <c r="CG41" i="55"/>
  <c r="CF41" i="55"/>
  <c r="BY41" i="55"/>
  <c r="BX41" i="55"/>
  <c r="CG40" i="55"/>
  <c r="CF40" i="55"/>
  <c r="BY40" i="55"/>
  <c r="BX40" i="55"/>
  <c r="BQ40" i="55"/>
  <c r="BP40" i="55"/>
  <c r="CG39" i="55"/>
  <c r="CF39" i="55"/>
  <c r="BY39" i="55"/>
  <c r="BX39" i="55"/>
  <c r="BQ39" i="55"/>
  <c r="BP39" i="55"/>
  <c r="CG38" i="55"/>
  <c r="CF38" i="55"/>
  <c r="BY38" i="55"/>
  <c r="BX38" i="55"/>
  <c r="BQ38" i="55"/>
  <c r="BP38" i="55"/>
  <c r="J25" i="1" l="1"/>
  <c r="C40" i="1" l="1"/>
  <c r="F40" i="1" s="1"/>
  <c r="I40" i="1" l="1"/>
  <c r="E17" i="1"/>
  <c r="F17" i="1"/>
  <c r="H40" i="1"/>
  <c r="C43" i="55"/>
  <c r="C33" i="55"/>
  <c r="S43" i="55"/>
  <c r="B53" i="55"/>
  <c r="G14" i="43"/>
  <c r="G56" i="53"/>
  <c r="F56" i="53"/>
  <c r="A56" i="53" s="1"/>
  <c r="E56" i="53"/>
  <c r="B56" i="53"/>
  <c r="G55" i="53"/>
  <c r="F55" i="53"/>
  <c r="D55" i="53" s="1"/>
  <c r="E55" i="53"/>
  <c r="B55" i="53"/>
  <c r="C55" i="53" s="1"/>
  <c r="G54" i="53"/>
  <c r="F54" i="53"/>
  <c r="D54" i="53" s="1"/>
  <c r="E54" i="53"/>
  <c r="B54" i="53"/>
  <c r="AA55" i="53" s="1"/>
  <c r="G53" i="53"/>
  <c r="F53" i="53"/>
  <c r="A53" i="53" s="1"/>
  <c r="E53" i="53"/>
  <c r="B53" i="53"/>
  <c r="C53" i="53" s="1"/>
  <c r="G52" i="53"/>
  <c r="F52" i="53"/>
  <c r="D52" i="53" s="1"/>
  <c r="E52" i="53"/>
  <c r="B52" i="53"/>
  <c r="G51" i="53"/>
  <c r="F51" i="53"/>
  <c r="E51" i="53"/>
  <c r="B51" i="53"/>
  <c r="G50" i="53"/>
  <c r="F50" i="53"/>
  <c r="D50" i="53" s="1"/>
  <c r="E50" i="53"/>
  <c r="B50" i="53"/>
  <c r="C50" i="53" s="1"/>
  <c r="G49" i="53"/>
  <c r="F49" i="53"/>
  <c r="D49" i="53" s="1"/>
  <c r="E49" i="53"/>
  <c r="B49" i="53"/>
  <c r="G48" i="53"/>
  <c r="F48" i="53"/>
  <c r="A48" i="53" s="1"/>
  <c r="E48" i="53"/>
  <c r="B48" i="53"/>
  <c r="AA49" i="53" s="1"/>
  <c r="G47" i="53"/>
  <c r="F47" i="53"/>
  <c r="A47" i="53" s="1"/>
  <c r="E47" i="53"/>
  <c r="B47" i="53"/>
  <c r="C47" i="53" s="1"/>
  <c r="G46" i="53"/>
  <c r="F46" i="53"/>
  <c r="D46" i="53" s="1"/>
  <c r="E46" i="53"/>
  <c r="B46" i="53"/>
  <c r="C46" i="53" s="1"/>
  <c r="G45" i="53"/>
  <c r="F45" i="53"/>
  <c r="D45" i="53" s="1"/>
  <c r="E45" i="53"/>
  <c r="B45" i="53"/>
  <c r="AA46" i="53" s="1"/>
  <c r="G44" i="53"/>
  <c r="F44" i="53"/>
  <c r="D44" i="53" s="1"/>
  <c r="E44" i="53"/>
  <c r="B44" i="53"/>
  <c r="C44" i="53" s="1"/>
  <c r="G43" i="53"/>
  <c r="F43" i="53"/>
  <c r="E43" i="53"/>
  <c r="B43" i="53"/>
  <c r="G42" i="53"/>
  <c r="F42" i="53"/>
  <c r="D42" i="53" s="1"/>
  <c r="E42" i="53"/>
  <c r="B42" i="53"/>
  <c r="G41" i="53"/>
  <c r="F41" i="53"/>
  <c r="A41" i="53" s="1"/>
  <c r="E41" i="53"/>
  <c r="B41" i="53"/>
  <c r="C41" i="53" s="1"/>
  <c r="G40" i="53"/>
  <c r="F40" i="53"/>
  <c r="D40" i="53" s="1"/>
  <c r="E40" i="53"/>
  <c r="B40" i="53"/>
  <c r="C40" i="53" s="1"/>
  <c r="G39" i="53"/>
  <c r="F39" i="53"/>
  <c r="D39" i="53" s="1"/>
  <c r="E39" i="53"/>
  <c r="B39" i="53"/>
  <c r="AA40" i="53" s="1"/>
  <c r="G38" i="53"/>
  <c r="F38" i="53"/>
  <c r="D38" i="53" s="1"/>
  <c r="E38" i="53"/>
  <c r="B38" i="53"/>
  <c r="G37" i="53"/>
  <c r="F37" i="53"/>
  <c r="E37" i="53"/>
  <c r="B37" i="53"/>
  <c r="C37" i="53" s="1"/>
  <c r="G36" i="53"/>
  <c r="F36" i="53"/>
  <c r="D36" i="53" s="1"/>
  <c r="E36" i="53"/>
  <c r="B36" i="53"/>
  <c r="AA37" i="53" s="1"/>
  <c r="G35" i="53"/>
  <c r="F35" i="53"/>
  <c r="D35" i="53" s="1"/>
  <c r="E35" i="53"/>
  <c r="B35" i="53"/>
  <c r="C35" i="53" s="1"/>
  <c r="G34" i="53"/>
  <c r="F34" i="53"/>
  <c r="A34" i="53" s="1"/>
  <c r="E34" i="53"/>
  <c r="B34" i="53"/>
  <c r="C34" i="53" s="1"/>
  <c r="G33" i="53"/>
  <c r="F33" i="53"/>
  <c r="A33" i="53" s="1"/>
  <c r="E33" i="53"/>
  <c r="B33" i="53"/>
  <c r="AA34" i="53" s="1"/>
  <c r="G32" i="53"/>
  <c r="F32" i="53"/>
  <c r="D32" i="53" s="1"/>
  <c r="E32" i="53"/>
  <c r="B32" i="53"/>
  <c r="G31" i="53"/>
  <c r="F31" i="53"/>
  <c r="A31" i="53" s="1"/>
  <c r="E31" i="53"/>
  <c r="B31" i="53"/>
  <c r="C31" i="53" s="1"/>
  <c r="G30" i="53"/>
  <c r="F30" i="53"/>
  <c r="A30" i="53" s="1"/>
  <c r="E30" i="53"/>
  <c r="B30" i="53"/>
  <c r="AA31" i="53" s="1"/>
  <c r="G29" i="53"/>
  <c r="F29" i="53"/>
  <c r="D29" i="53" s="1"/>
  <c r="E29" i="53"/>
  <c r="B29" i="53"/>
  <c r="C29" i="53" s="1"/>
  <c r="G28" i="53"/>
  <c r="F28" i="53"/>
  <c r="E28" i="53"/>
  <c r="B28" i="53"/>
  <c r="G27" i="53"/>
  <c r="F27" i="53"/>
  <c r="A27" i="53" s="1"/>
  <c r="E27" i="53"/>
  <c r="B27" i="53"/>
  <c r="AA28" i="53" s="1"/>
  <c r="G26" i="53"/>
  <c r="F26" i="53"/>
  <c r="A26" i="53" s="1"/>
  <c r="E26" i="53"/>
  <c r="B26" i="53"/>
  <c r="G25" i="53"/>
  <c r="F25" i="53"/>
  <c r="D25" i="53" s="1"/>
  <c r="E25" i="53"/>
  <c r="B25" i="53"/>
  <c r="G24" i="53"/>
  <c r="F24" i="53"/>
  <c r="E24" i="53"/>
  <c r="B24" i="53"/>
  <c r="G23" i="53"/>
  <c r="F23" i="53"/>
  <c r="A23" i="53" s="1"/>
  <c r="E23" i="53"/>
  <c r="B23" i="53"/>
  <c r="G22" i="53"/>
  <c r="F22" i="53"/>
  <c r="A22" i="53" s="1"/>
  <c r="E22" i="53"/>
  <c r="B22" i="53"/>
  <c r="G21" i="53"/>
  <c r="F21" i="53"/>
  <c r="A21" i="53" s="1"/>
  <c r="E21" i="53"/>
  <c r="B21" i="53"/>
  <c r="AA22" i="53" s="1"/>
  <c r="G20" i="53"/>
  <c r="F20" i="53"/>
  <c r="A20" i="53" s="1"/>
  <c r="E20" i="53"/>
  <c r="B20" i="53"/>
  <c r="G19" i="53"/>
  <c r="F19" i="53"/>
  <c r="D19" i="53" s="1"/>
  <c r="E19" i="53"/>
  <c r="B19" i="53"/>
  <c r="C19" i="53" s="1"/>
  <c r="G18" i="53"/>
  <c r="F18" i="53"/>
  <c r="D18" i="53" s="1"/>
  <c r="E18" i="53"/>
  <c r="B18" i="53"/>
  <c r="AA19" i="53" s="1"/>
  <c r="G17" i="53"/>
  <c r="F17" i="53"/>
  <c r="E17" i="53"/>
  <c r="B17" i="53"/>
  <c r="C17" i="53" s="1"/>
  <c r="G16" i="53"/>
  <c r="F16" i="53"/>
  <c r="D16" i="53" s="1"/>
  <c r="E16" i="53"/>
  <c r="B16" i="53"/>
  <c r="G15" i="53"/>
  <c r="F15" i="53"/>
  <c r="A15" i="53" s="1"/>
  <c r="E15" i="53"/>
  <c r="B15" i="53"/>
  <c r="AA16" i="53" s="1"/>
  <c r="G14" i="53"/>
  <c r="F14" i="53"/>
  <c r="D14" i="53" s="1"/>
  <c r="E14" i="53"/>
  <c r="B14" i="53"/>
  <c r="G13" i="53"/>
  <c r="F13" i="53"/>
  <c r="E13" i="53"/>
  <c r="B13" i="53"/>
  <c r="C13" i="53" s="1"/>
  <c r="G12" i="53"/>
  <c r="F12" i="53"/>
  <c r="A12" i="53" s="1"/>
  <c r="E12" i="53"/>
  <c r="B12" i="53"/>
  <c r="G11" i="53"/>
  <c r="F11" i="53"/>
  <c r="D11" i="53" s="1"/>
  <c r="E11" i="53"/>
  <c r="B11" i="53"/>
  <c r="G10" i="53"/>
  <c r="F10" i="53"/>
  <c r="D10" i="53" s="1"/>
  <c r="E10" i="53"/>
  <c r="B10" i="53"/>
  <c r="A10" i="53"/>
  <c r="G9" i="53"/>
  <c r="F9" i="53"/>
  <c r="A9" i="53" s="1"/>
  <c r="E9" i="53"/>
  <c r="B9" i="53"/>
  <c r="AA10" i="53" s="1"/>
  <c r="G8" i="53"/>
  <c r="F8" i="53"/>
  <c r="D8" i="53" s="1"/>
  <c r="E8" i="53"/>
  <c r="B8" i="53"/>
  <c r="G7" i="53"/>
  <c r="F7" i="53"/>
  <c r="D7" i="53" s="1"/>
  <c r="E7" i="53"/>
  <c r="B7" i="53"/>
  <c r="C7" i="53" s="1"/>
  <c r="G6" i="53"/>
  <c r="F6" i="53"/>
  <c r="D6" i="53" s="1"/>
  <c r="E6" i="53"/>
  <c r="B6" i="53"/>
  <c r="G5" i="53"/>
  <c r="F5" i="53"/>
  <c r="A5" i="53" s="1"/>
  <c r="E5" i="53"/>
  <c r="B5" i="53"/>
  <c r="G4" i="53"/>
  <c r="F4" i="53"/>
  <c r="A4" i="53" s="1"/>
  <c r="E4" i="53"/>
  <c r="B4" i="53"/>
  <c r="G3" i="53"/>
  <c r="F3" i="53"/>
  <c r="E3" i="53"/>
  <c r="B3" i="53"/>
  <c r="AA4" i="53" s="1"/>
  <c r="X82" i="52"/>
  <c r="X83" i="52" s="1"/>
  <c r="X84" i="52" s="1"/>
  <c r="X85" i="52" s="1"/>
  <c r="X86" i="52" s="1"/>
  <c r="X87" i="52" s="1"/>
  <c r="G56" i="52"/>
  <c r="F56" i="52"/>
  <c r="A56" i="52" s="1"/>
  <c r="E56" i="52"/>
  <c r="B56" i="52"/>
  <c r="G55" i="52"/>
  <c r="F55" i="52"/>
  <c r="D55" i="52" s="1"/>
  <c r="E55" i="52"/>
  <c r="B55" i="52"/>
  <c r="C55" i="52" s="1"/>
  <c r="G54" i="52"/>
  <c r="F54" i="52"/>
  <c r="D54" i="52" s="1"/>
  <c r="E54" i="52"/>
  <c r="B54" i="52"/>
  <c r="G53" i="52"/>
  <c r="F53" i="52"/>
  <c r="A53" i="52" s="1"/>
  <c r="E53" i="52"/>
  <c r="B53" i="52"/>
  <c r="C53" i="52" s="1"/>
  <c r="G52" i="52"/>
  <c r="F52" i="52"/>
  <c r="D52" i="52" s="1"/>
  <c r="E52" i="52"/>
  <c r="B52" i="52"/>
  <c r="G51" i="52"/>
  <c r="F51" i="52"/>
  <c r="E51" i="52"/>
  <c r="B51" i="52"/>
  <c r="C51" i="52" s="1"/>
  <c r="G50" i="52"/>
  <c r="F50" i="52"/>
  <c r="E50" i="52"/>
  <c r="B50" i="52"/>
  <c r="C50" i="52" s="1"/>
  <c r="G49" i="52"/>
  <c r="F49" i="52"/>
  <c r="D49" i="52" s="1"/>
  <c r="E49" i="52"/>
  <c r="B49" i="52"/>
  <c r="G48" i="52"/>
  <c r="F48" i="52"/>
  <c r="A48" i="52" s="1"/>
  <c r="E48" i="52"/>
  <c r="B48" i="52"/>
  <c r="G47" i="52"/>
  <c r="F47" i="52"/>
  <c r="A47" i="52" s="1"/>
  <c r="E47" i="52"/>
  <c r="B47" i="52"/>
  <c r="G46" i="52"/>
  <c r="F46" i="52"/>
  <c r="D46" i="52" s="1"/>
  <c r="E46" i="52"/>
  <c r="B46" i="52"/>
  <c r="G45" i="52"/>
  <c r="F45" i="52"/>
  <c r="A45" i="52" s="1"/>
  <c r="E45" i="52"/>
  <c r="B45" i="52"/>
  <c r="C45" i="52" s="1"/>
  <c r="G44" i="52"/>
  <c r="F44" i="52"/>
  <c r="A44" i="52" s="1"/>
  <c r="E44" i="52"/>
  <c r="B44" i="52"/>
  <c r="G43" i="52"/>
  <c r="F43" i="52"/>
  <c r="D43" i="52" s="1"/>
  <c r="E43" i="52"/>
  <c r="B43" i="52"/>
  <c r="G42" i="52"/>
  <c r="F42" i="52"/>
  <c r="A42" i="52" s="1"/>
  <c r="E42" i="52"/>
  <c r="B42" i="52"/>
  <c r="G41" i="52"/>
  <c r="F41" i="52"/>
  <c r="A41" i="52" s="1"/>
  <c r="E41" i="52"/>
  <c r="B41" i="52"/>
  <c r="C41" i="52" s="1"/>
  <c r="G40" i="52"/>
  <c r="F40" i="52"/>
  <c r="A40" i="52" s="1"/>
  <c r="E40" i="52"/>
  <c r="B40" i="52"/>
  <c r="G39" i="52"/>
  <c r="F39" i="52"/>
  <c r="D39" i="52" s="1"/>
  <c r="E39" i="52"/>
  <c r="B39" i="52"/>
  <c r="X40" i="52" s="1"/>
  <c r="G38" i="52"/>
  <c r="F38" i="52"/>
  <c r="D38" i="52" s="1"/>
  <c r="E38" i="52"/>
  <c r="B38" i="52"/>
  <c r="G37" i="52"/>
  <c r="F37" i="52"/>
  <c r="A37" i="52" s="1"/>
  <c r="E37" i="52"/>
  <c r="B37" i="52"/>
  <c r="G36" i="52"/>
  <c r="F36" i="52"/>
  <c r="D36" i="52" s="1"/>
  <c r="E36" i="52"/>
  <c r="B36" i="52"/>
  <c r="X37" i="52" s="1"/>
  <c r="G35" i="52"/>
  <c r="F35" i="52"/>
  <c r="A35" i="52" s="1"/>
  <c r="E35" i="52"/>
  <c r="B35" i="52"/>
  <c r="G34" i="52"/>
  <c r="F34" i="52"/>
  <c r="D34" i="52" s="1"/>
  <c r="E34" i="52"/>
  <c r="B34" i="52"/>
  <c r="G33" i="52"/>
  <c r="F33" i="52"/>
  <c r="E33" i="52"/>
  <c r="B33" i="52"/>
  <c r="G32" i="52"/>
  <c r="F32" i="52"/>
  <c r="A32" i="52" s="1"/>
  <c r="E32" i="52"/>
  <c r="B32" i="52"/>
  <c r="G31" i="52"/>
  <c r="F31" i="52"/>
  <c r="E31" i="52"/>
  <c r="B31" i="52"/>
  <c r="G30" i="52"/>
  <c r="F30" i="52"/>
  <c r="E30" i="52"/>
  <c r="B30" i="52"/>
  <c r="G29" i="52"/>
  <c r="F29" i="52"/>
  <c r="A29" i="52" s="1"/>
  <c r="E29" i="52"/>
  <c r="B29" i="52"/>
  <c r="G28" i="52"/>
  <c r="F28" i="52"/>
  <c r="D28" i="52" s="1"/>
  <c r="E28" i="52"/>
  <c r="B28" i="52"/>
  <c r="G27" i="52"/>
  <c r="F27" i="52"/>
  <c r="D27" i="52" s="1"/>
  <c r="E27" i="52"/>
  <c r="B27" i="52"/>
  <c r="G26" i="52"/>
  <c r="F26" i="52"/>
  <c r="D26" i="52" s="1"/>
  <c r="E26" i="52"/>
  <c r="B26" i="52"/>
  <c r="C26" i="52" s="1"/>
  <c r="G25" i="52"/>
  <c r="F25" i="52"/>
  <c r="E25" i="52"/>
  <c r="B25" i="52"/>
  <c r="C25" i="52" s="1"/>
  <c r="G24" i="52"/>
  <c r="F24" i="52"/>
  <c r="A24" i="52" s="1"/>
  <c r="E24" i="52"/>
  <c r="B24" i="52"/>
  <c r="X25" i="52" s="1"/>
  <c r="G23" i="52"/>
  <c r="F23" i="52"/>
  <c r="A23" i="52" s="1"/>
  <c r="E23" i="52"/>
  <c r="B23" i="52"/>
  <c r="G22" i="52"/>
  <c r="F22" i="52"/>
  <c r="D22" i="52" s="1"/>
  <c r="E22" i="52"/>
  <c r="B22" i="52"/>
  <c r="G21" i="52"/>
  <c r="F21" i="52"/>
  <c r="E21" i="52"/>
  <c r="B21" i="52"/>
  <c r="G20" i="52"/>
  <c r="F20" i="52"/>
  <c r="E20" i="52"/>
  <c r="B20" i="52"/>
  <c r="G19" i="52"/>
  <c r="F19" i="52"/>
  <c r="A19" i="52" s="1"/>
  <c r="E19" i="52"/>
  <c r="D19" i="52"/>
  <c r="B19" i="52"/>
  <c r="G18" i="52"/>
  <c r="F18" i="52"/>
  <c r="A18" i="52" s="1"/>
  <c r="E18" i="52"/>
  <c r="B18" i="52"/>
  <c r="G17" i="52"/>
  <c r="F17" i="52"/>
  <c r="E17" i="52"/>
  <c r="B17" i="52"/>
  <c r="G16" i="52"/>
  <c r="F16" i="52"/>
  <c r="D16" i="52" s="1"/>
  <c r="E16" i="52"/>
  <c r="B16" i="52"/>
  <c r="G15" i="52"/>
  <c r="F15" i="52"/>
  <c r="D15" i="52" s="1"/>
  <c r="E15" i="52"/>
  <c r="B15" i="52"/>
  <c r="G14" i="52"/>
  <c r="F14" i="52"/>
  <c r="E14" i="52"/>
  <c r="B14" i="52"/>
  <c r="G13" i="52"/>
  <c r="F13" i="52"/>
  <c r="A13" i="52" s="1"/>
  <c r="E13" i="52"/>
  <c r="B13" i="52"/>
  <c r="G12" i="52"/>
  <c r="F12" i="52"/>
  <c r="D12" i="52" s="1"/>
  <c r="E12" i="52"/>
  <c r="B12" i="52"/>
  <c r="X13" i="52" s="1"/>
  <c r="G11" i="52"/>
  <c r="F11" i="52"/>
  <c r="D11" i="52" s="1"/>
  <c r="E11" i="52"/>
  <c r="B11" i="52"/>
  <c r="C11" i="52" s="1"/>
  <c r="G10" i="52"/>
  <c r="F10" i="52"/>
  <c r="A10" i="52" s="1"/>
  <c r="E10" i="52"/>
  <c r="B10" i="52"/>
  <c r="C10" i="52" s="1"/>
  <c r="G9" i="52"/>
  <c r="F9" i="52"/>
  <c r="A9" i="52" s="1"/>
  <c r="E9" i="52"/>
  <c r="B9" i="52"/>
  <c r="X10" i="52" s="1"/>
  <c r="G8" i="52"/>
  <c r="F8" i="52"/>
  <c r="A8" i="52" s="1"/>
  <c r="E8" i="52"/>
  <c r="D8" i="52"/>
  <c r="B8" i="52"/>
  <c r="G7" i="52"/>
  <c r="F7" i="52"/>
  <c r="E7" i="52"/>
  <c r="B7" i="52"/>
  <c r="G6" i="52"/>
  <c r="F6" i="52"/>
  <c r="D6" i="52" s="1"/>
  <c r="E6" i="52"/>
  <c r="B6" i="52"/>
  <c r="G5" i="52"/>
  <c r="F5" i="52"/>
  <c r="E5" i="52"/>
  <c r="B5" i="52"/>
  <c r="G4" i="52"/>
  <c r="F4" i="52"/>
  <c r="D4" i="52" s="1"/>
  <c r="E4" i="52"/>
  <c r="B4" i="52"/>
  <c r="G3" i="52"/>
  <c r="F3" i="52"/>
  <c r="A3" i="52" s="1"/>
  <c r="E3" i="52"/>
  <c r="B3" i="52"/>
  <c r="X4" i="52" s="1"/>
  <c r="X82" i="51"/>
  <c r="X83" i="51" s="1"/>
  <c r="X84" i="51" s="1"/>
  <c r="X85" i="51" s="1"/>
  <c r="X86" i="51" s="1"/>
  <c r="X87" i="51" s="1"/>
  <c r="G56" i="51"/>
  <c r="F56" i="51"/>
  <c r="A56" i="51" s="1"/>
  <c r="E56" i="51"/>
  <c r="B56" i="51"/>
  <c r="G55" i="51"/>
  <c r="F55" i="51"/>
  <c r="A55" i="51" s="1"/>
  <c r="E55" i="51"/>
  <c r="B55" i="51"/>
  <c r="C55" i="51" s="1"/>
  <c r="G54" i="51"/>
  <c r="F54" i="51"/>
  <c r="D54" i="51" s="1"/>
  <c r="E54" i="51"/>
  <c r="B54" i="51"/>
  <c r="G53" i="51"/>
  <c r="F53" i="51"/>
  <c r="D53" i="51" s="1"/>
  <c r="E53" i="51"/>
  <c r="B53" i="51"/>
  <c r="C53" i="51" s="1"/>
  <c r="G52" i="51"/>
  <c r="F52" i="51"/>
  <c r="D52" i="51" s="1"/>
  <c r="E52" i="51"/>
  <c r="B52" i="51"/>
  <c r="G51" i="51"/>
  <c r="F51" i="51"/>
  <c r="E51" i="51"/>
  <c r="B51" i="51"/>
  <c r="G50" i="51"/>
  <c r="F50" i="51"/>
  <c r="D50" i="51" s="1"/>
  <c r="E50" i="51"/>
  <c r="B50" i="51"/>
  <c r="G49" i="51"/>
  <c r="F49" i="51"/>
  <c r="A49" i="51" s="1"/>
  <c r="E49" i="51"/>
  <c r="B49" i="51"/>
  <c r="G48" i="51"/>
  <c r="F48" i="51"/>
  <c r="A48" i="51" s="1"/>
  <c r="E48" i="51"/>
  <c r="B48" i="51"/>
  <c r="G47" i="51"/>
  <c r="F47" i="51"/>
  <c r="E47" i="51"/>
  <c r="B47" i="51"/>
  <c r="C47" i="51" s="1"/>
  <c r="G46" i="51"/>
  <c r="F46" i="51"/>
  <c r="D46" i="51" s="1"/>
  <c r="E46" i="51"/>
  <c r="B46" i="51"/>
  <c r="G45" i="51"/>
  <c r="F45" i="51"/>
  <c r="D45" i="51" s="1"/>
  <c r="E45" i="51"/>
  <c r="B45" i="51"/>
  <c r="G44" i="51"/>
  <c r="F44" i="51"/>
  <c r="A44" i="51" s="1"/>
  <c r="E44" i="51"/>
  <c r="B44" i="51"/>
  <c r="G43" i="51"/>
  <c r="F43" i="51"/>
  <c r="E43" i="51"/>
  <c r="B43" i="51"/>
  <c r="G42" i="51"/>
  <c r="F42" i="51"/>
  <c r="D42" i="51" s="1"/>
  <c r="E42" i="51"/>
  <c r="B42" i="51"/>
  <c r="G41" i="51"/>
  <c r="F41" i="51"/>
  <c r="A41" i="51" s="1"/>
  <c r="E41" i="51"/>
  <c r="B41" i="51"/>
  <c r="G40" i="51"/>
  <c r="F40" i="51"/>
  <c r="E40" i="51"/>
  <c r="B40" i="51"/>
  <c r="C40" i="51" s="1"/>
  <c r="G39" i="51"/>
  <c r="F39" i="51"/>
  <c r="D39" i="51" s="1"/>
  <c r="E39" i="51"/>
  <c r="B39" i="51"/>
  <c r="G38" i="51"/>
  <c r="F38" i="51"/>
  <c r="E38" i="51"/>
  <c r="B38" i="51"/>
  <c r="G37" i="51"/>
  <c r="F37" i="51"/>
  <c r="A37" i="51" s="1"/>
  <c r="E37" i="51"/>
  <c r="B37" i="51"/>
  <c r="G36" i="51"/>
  <c r="F36" i="51"/>
  <c r="D36" i="51" s="1"/>
  <c r="E36" i="51"/>
  <c r="B36" i="51"/>
  <c r="G35" i="51"/>
  <c r="F35" i="51"/>
  <c r="D35" i="51" s="1"/>
  <c r="E35" i="51"/>
  <c r="B35" i="51"/>
  <c r="G34" i="51"/>
  <c r="F34" i="51"/>
  <c r="D34" i="51" s="1"/>
  <c r="E34" i="51"/>
  <c r="B34" i="51"/>
  <c r="C34" i="51" s="1"/>
  <c r="G33" i="51"/>
  <c r="F33" i="51"/>
  <c r="E33" i="51"/>
  <c r="B33" i="51"/>
  <c r="G32" i="51"/>
  <c r="F32" i="51"/>
  <c r="E32" i="51"/>
  <c r="B32" i="51"/>
  <c r="G31" i="51"/>
  <c r="F31" i="51"/>
  <c r="D31" i="51" s="1"/>
  <c r="E31" i="51"/>
  <c r="B31" i="51"/>
  <c r="G30" i="51"/>
  <c r="F30" i="51"/>
  <c r="E30" i="51"/>
  <c r="B30" i="51"/>
  <c r="X31" i="51" s="1"/>
  <c r="G29" i="51"/>
  <c r="F29" i="51"/>
  <c r="E29" i="51"/>
  <c r="B29" i="51"/>
  <c r="G28" i="51"/>
  <c r="F28" i="51"/>
  <c r="A28" i="51" s="1"/>
  <c r="E28" i="51"/>
  <c r="B28" i="51"/>
  <c r="G27" i="51"/>
  <c r="F27" i="51"/>
  <c r="E27" i="51"/>
  <c r="B27" i="51"/>
  <c r="C27" i="51" s="1"/>
  <c r="G26" i="51"/>
  <c r="F26" i="51"/>
  <c r="A26" i="51" s="1"/>
  <c r="E26" i="51"/>
  <c r="B26" i="51"/>
  <c r="G25" i="51"/>
  <c r="F25" i="51"/>
  <c r="D25" i="51" s="1"/>
  <c r="E25" i="51"/>
  <c r="B25" i="51"/>
  <c r="G24" i="51"/>
  <c r="F24" i="51"/>
  <c r="D24" i="51" s="1"/>
  <c r="E24" i="51"/>
  <c r="B24" i="51"/>
  <c r="G23" i="51"/>
  <c r="F23" i="51"/>
  <c r="E23" i="51"/>
  <c r="B23" i="51"/>
  <c r="G22" i="51"/>
  <c r="F22" i="51"/>
  <c r="D22" i="51" s="1"/>
  <c r="E22" i="51"/>
  <c r="B22" i="51"/>
  <c r="G21" i="51"/>
  <c r="F21" i="51"/>
  <c r="A21" i="51" s="1"/>
  <c r="E21" i="51"/>
  <c r="B21" i="51"/>
  <c r="G20" i="51"/>
  <c r="F20" i="51"/>
  <c r="A20" i="51" s="1"/>
  <c r="E20" i="51"/>
  <c r="B20" i="51"/>
  <c r="G19" i="51"/>
  <c r="F19" i="51"/>
  <c r="A19" i="51" s="1"/>
  <c r="E19" i="51"/>
  <c r="B19" i="51"/>
  <c r="G18" i="51"/>
  <c r="F18" i="51"/>
  <c r="D18" i="51" s="1"/>
  <c r="E18" i="51"/>
  <c r="B18" i="51"/>
  <c r="G17" i="51"/>
  <c r="F17" i="51"/>
  <c r="D17" i="51" s="1"/>
  <c r="E17" i="51"/>
  <c r="B17" i="51"/>
  <c r="G16" i="51"/>
  <c r="F16" i="51"/>
  <c r="D16" i="51" s="1"/>
  <c r="E16" i="51"/>
  <c r="B16" i="51"/>
  <c r="G15" i="51"/>
  <c r="F15" i="51"/>
  <c r="E15" i="51"/>
  <c r="B15" i="51"/>
  <c r="G14" i="51"/>
  <c r="F14" i="51"/>
  <c r="E14" i="51"/>
  <c r="B14" i="51"/>
  <c r="C14" i="51" s="1"/>
  <c r="G13" i="51"/>
  <c r="F13" i="51"/>
  <c r="D13" i="51" s="1"/>
  <c r="E13" i="51"/>
  <c r="B13" i="51"/>
  <c r="G12" i="51"/>
  <c r="F12" i="51"/>
  <c r="D12" i="51" s="1"/>
  <c r="E12" i="51"/>
  <c r="B12" i="51"/>
  <c r="X13" i="51" s="1"/>
  <c r="G11" i="51"/>
  <c r="F11" i="51"/>
  <c r="D11" i="51" s="1"/>
  <c r="E11" i="51"/>
  <c r="B11" i="51"/>
  <c r="G10" i="51"/>
  <c r="F10" i="51"/>
  <c r="D10" i="51" s="1"/>
  <c r="E10" i="51"/>
  <c r="B10" i="51"/>
  <c r="G9" i="51"/>
  <c r="F9" i="51"/>
  <c r="A9" i="51" s="1"/>
  <c r="E9" i="51"/>
  <c r="B9" i="51"/>
  <c r="G8" i="51"/>
  <c r="F8" i="51"/>
  <c r="E8" i="51"/>
  <c r="B8" i="51"/>
  <c r="G7" i="51"/>
  <c r="F7" i="51"/>
  <c r="A7" i="51" s="1"/>
  <c r="E7" i="51"/>
  <c r="B7" i="51"/>
  <c r="C7" i="51" s="1"/>
  <c r="G6" i="51"/>
  <c r="F6" i="51"/>
  <c r="A6" i="51" s="1"/>
  <c r="E6" i="51"/>
  <c r="B6" i="51"/>
  <c r="G5" i="51"/>
  <c r="F5" i="51"/>
  <c r="E5" i="51"/>
  <c r="B5" i="51"/>
  <c r="G4" i="51"/>
  <c r="F4" i="51"/>
  <c r="E4" i="51"/>
  <c r="B4" i="51"/>
  <c r="G3" i="51"/>
  <c r="F3" i="51"/>
  <c r="D3" i="51" s="1"/>
  <c r="E3" i="51"/>
  <c r="B3" i="51"/>
  <c r="X82" i="50"/>
  <c r="X83" i="50" s="1"/>
  <c r="X84" i="50" s="1"/>
  <c r="X85" i="50" s="1"/>
  <c r="X86" i="50" s="1"/>
  <c r="X87" i="50" s="1"/>
  <c r="G56" i="50"/>
  <c r="F56" i="50"/>
  <c r="A56" i="50" s="1"/>
  <c r="E56" i="50"/>
  <c r="B56" i="50"/>
  <c r="G55" i="50"/>
  <c r="F55" i="50"/>
  <c r="A55" i="50" s="1"/>
  <c r="E55" i="50"/>
  <c r="B55" i="50"/>
  <c r="C55" i="50" s="1"/>
  <c r="G54" i="50"/>
  <c r="F54" i="50"/>
  <c r="D54" i="50" s="1"/>
  <c r="E54" i="50"/>
  <c r="B54" i="50"/>
  <c r="G53" i="50"/>
  <c r="F53" i="50"/>
  <c r="A53" i="50" s="1"/>
  <c r="E53" i="50"/>
  <c r="B53" i="50"/>
  <c r="C53" i="50" s="1"/>
  <c r="G52" i="50"/>
  <c r="F52" i="50"/>
  <c r="E52" i="50"/>
  <c r="B52" i="50"/>
  <c r="G51" i="50"/>
  <c r="F51" i="50"/>
  <c r="E51" i="50"/>
  <c r="B51" i="50"/>
  <c r="X52" i="50" s="1"/>
  <c r="G50" i="50"/>
  <c r="F50" i="50"/>
  <c r="D50" i="50" s="1"/>
  <c r="E50" i="50"/>
  <c r="B50" i="50"/>
  <c r="G49" i="50"/>
  <c r="F49" i="50"/>
  <c r="D49" i="50" s="1"/>
  <c r="E49" i="50"/>
  <c r="B49" i="50"/>
  <c r="G48" i="50"/>
  <c r="F48" i="50"/>
  <c r="A48" i="50" s="1"/>
  <c r="E48" i="50"/>
  <c r="B48" i="50"/>
  <c r="X49" i="50" s="1"/>
  <c r="G47" i="50"/>
  <c r="F47" i="50"/>
  <c r="D47" i="50" s="1"/>
  <c r="E47" i="50"/>
  <c r="B47" i="50"/>
  <c r="C47" i="50" s="1"/>
  <c r="G46" i="50"/>
  <c r="F46" i="50"/>
  <c r="E46" i="50"/>
  <c r="B46" i="50"/>
  <c r="C46" i="50" s="1"/>
  <c r="G45" i="50"/>
  <c r="F45" i="50"/>
  <c r="D45" i="50" s="1"/>
  <c r="E45" i="50"/>
  <c r="B45" i="50"/>
  <c r="G44" i="50"/>
  <c r="F44" i="50"/>
  <c r="D44" i="50" s="1"/>
  <c r="E44" i="50"/>
  <c r="B44" i="50"/>
  <c r="C44" i="50" s="1"/>
  <c r="G43" i="50"/>
  <c r="F43" i="50"/>
  <c r="D43" i="50" s="1"/>
  <c r="E43" i="50"/>
  <c r="B43" i="50"/>
  <c r="G42" i="50"/>
  <c r="F42" i="50"/>
  <c r="E42" i="50"/>
  <c r="B42" i="50"/>
  <c r="X43" i="50" s="1"/>
  <c r="G41" i="50"/>
  <c r="F41" i="50"/>
  <c r="E41" i="50"/>
  <c r="B41" i="50"/>
  <c r="C41" i="50" s="1"/>
  <c r="G40" i="50"/>
  <c r="F40" i="50"/>
  <c r="A40" i="50" s="1"/>
  <c r="E40" i="50"/>
  <c r="B40" i="50"/>
  <c r="G39" i="50"/>
  <c r="F39" i="50"/>
  <c r="A39" i="50" s="1"/>
  <c r="E39" i="50"/>
  <c r="B39" i="50"/>
  <c r="G38" i="50"/>
  <c r="F38" i="50"/>
  <c r="D38" i="50" s="1"/>
  <c r="E38" i="50"/>
  <c r="B38" i="50"/>
  <c r="G37" i="50"/>
  <c r="F37" i="50"/>
  <c r="A37" i="50" s="1"/>
  <c r="E37" i="50"/>
  <c r="B37" i="50"/>
  <c r="C37" i="50" s="1"/>
  <c r="G36" i="50"/>
  <c r="F36" i="50"/>
  <c r="D36" i="50" s="1"/>
  <c r="E36" i="50"/>
  <c r="B36" i="50"/>
  <c r="G35" i="50"/>
  <c r="F35" i="50"/>
  <c r="E35" i="50"/>
  <c r="B35" i="50"/>
  <c r="C35" i="50" s="1"/>
  <c r="G34" i="50"/>
  <c r="F34" i="50"/>
  <c r="A34" i="50" s="1"/>
  <c r="E34" i="50"/>
  <c r="B34" i="50"/>
  <c r="C34" i="50" s="1"/>
  <c r="G33" i="50"/>
  <c r="F33" i="50"/>
  <c r="E33" i="50"/>
  <c r="B33" i="50"/>
  <c r="G32" i="50"/>
  <c r="F32" i="50"/>
  <c r="A32" i="50" s="1"/>
  <c r="E32" i="50"/>
  <c r="B32" i="50"/>
  <c r="G31" i="50"/>
  <c r="F31" i="50"/>
  <c r="D31" i="50" s="1"/>
  <c r="E31" i="50"/>
  <c r="B31" i="50"/>
  <c r="G30" i="50"/>
  <c r="F30" i="50"/>
  <c r="A30" i="50" s="1"/>
  <c r="E30" i="50"/>
  <c r="B30" i="50"/>
  <c r="G29" i="50"/>
  <c r="F29" i="50"/>
  <c r="A29" i="50" s="1"/>
  <c r="E29" i="50"/>
  <c r="B29" i="50"/>
  <c r="C29" i="50" s="1"/>
  <c r="G28" i="50"/>
  <c r="F28" i="50"/>
  <c r="D28" i="50" s="1"/>
  <c r="E28" i="50"/>
  <c r="B28" i="50"/>
  <c r="G27" i="50"/>
  <c r="F27" i="50"/>
  <c r="D27" i="50" s="1"/>
  <c r="E27" i="50"/>
  <c r="B27" i="50"/>
  <c r="G26" i="50"/>
  <c r="F26" i="50"/>
  <c r="D26" i="50" s="1"/>
  <c r="E26" i="50"/>
  <c r="B26" i="50"/>
  <c r="G25" i="50"/>
  <c r="F25" i="50"/>
  <c r="D25" i="50" s="1"/>
  <c r="E25" i="50"/>
  <c r="B25" i="50"/>
  <c r="G24" i="50"/>
  <c r="F24" i="50"/>
  <c r="D24" i="50" s="1"/>
  <c r="E24" i="50"/>
  <c r="B24" i="50"/>
  <c r="G23" i="50"/>
  <c r="F23" i="50"/>
  <c r="A23" i="50" s="1"/>
  <c r="E23" i="50"/>
  <c r="B23" i="50"/>
  <c r="G22" i="50"/>
  <c r="F22" i="50"/>
  <c r="A22" i="50" s="1"/>
  <c r="E22" i="50"/>
  <c r="B22" i="50"/>
  <c r="C22" i="50" s="1"/>
  <c r="G21" i="50"/>
  <c r="F21" i="50"/>
  <c r="D21" i="50" s="1"/>
  <c r="E21" i="50"/>
  <c r="B21" i="50"/>
  <c r="G20" i="50"/>
  <c r="F20" i="50"/>
  <c r="D20" i="50" s="1"/>
  <c r="E20" i="50"/>
  <c r="B20" i="50"/>
  <c r="G19" i="50"/>
  <c r="F19" i="50"/>
  <c r="A19" i="50" s="1"/>
  <c r="E19" i="50"/>
  <c r="B19" i="50"/>
  <c r="G18" i="50"/>
  <c r="F18" i="50"/>
  <c r="D18" i="50" s="1"/>
  <c r="E18" i="50"/>
  <c r="B18" i="50"/>
  <c r="C18" i="50" s="1"/>
  <c r="G17" i="50"/>
  <c r="F17" i="50"/>
  <c r="A17" i="50" s="1"/>
  <c r="E17" i="50"/>
  <c r="B17" i="50"/>
  <c r="C17" i="50" s="1"/>
  <c r="G16" i="50"/>
  <c r="F16" i="50"/>
  <c r="A16" i="50" s="1"/>
  <c r="E16" i="50"/>
  <c r="B16" i="50"/>
  <c r="G15" i="50"/>
  <c r="F15" i="50"/>
  <c r="A15" i="50" s="1"/>
  <c r="E15" i="50"/>
  <c r="B15" i="50"/>
  <c r="X16" i="50" s="1"/>
  <c r="G14" i="50"/>
  <c r="F14" i="50"/>
  <c r="E14" i="50"/>
  <c r="B14" i="50"/>
  <c r="G13" i="50"/>
  <c r="F13" i="50"/>
  <c r="A13" i="50" s="1"/>
  <c r="E13" i="50"/>
  <c r="B13" i="50"/>
  <c r="C13" i="50" s="1"/>
  <c r="G12" i="50"/>
  <c r="F12" i="50"/>
  <c r="A12" i="50" s="1"/>
  <c r="E12" i="50"/>
  <c r="D12" i="50"/>
  <c r="B12" i="50"/>
  <c r="G11" i="50"/>
  <c r="F11" i="50"/>
  <c r="D11" i="50" s="1"/>
  <c r="E11" i="50"/>
  <c r="B11" i="50"/>
  <c r="G10" i="50"/>
  <c r="F10" i="50"/>
  <c r="A10" i="50" s="1"/>
  <c r="E10" i="50"/>
  <c r="B10" i="50"/>
  <c r="C10" i="50" s="1"/>
  <c r="G9" i="50"/>
  <c r="F9" i="50"/>
  <c r="D9" i="50" s="1"/>
  <c r="E9" i="50"/>
  <c r="B9" i="50"/>
  <c r="G8" i="50"/>
  <c r="F8" i="50"/>
  <c r="D8" i="50" s="1"/>
  <c r="E8" i="50"/>
  <c r="B8" i="50"/>
  <c r="G7" i="50"/>
  <c r="F7" i="50"/>
  <c r="D7" i="50" s="1"/>
  <c r="E7" i="50"/>
  <c r="B7" i="50"/>
  <c r="G6" i="50"/>
  <c r="F6" i="50"/>
  <c r="D6" i="50" s="1"/>
  <c r="E6" i="50"/>
  <c r="B6" i="50"/>
  <c r="G5" i="50"/>
  <c r="F5" i="50"/>
  <c r="E5" i="50"/>
  <c r="B5" i="50"/>
  <c r="C5" i="50" s="1"/>
  <c r="G4" i="50"/>
  <c r="F4" i="50"/>
  <c r="D4" i="50" s="1"/>
  <c r="E4" i="50"/>
  <c r="B4" i="50"/>
  <c r="G3" i="50"/>
  <c r="F3" i="50"/>
  <c r="A3" i="50" s="1"/>
  <c r="E3" i="50"/>
  <c r="B3" i="50"/>
  <c r="X82" i="49"/>
  <c r="X83" i="49" s="1"/>
  <c r="X84" i="49" s="1"/>
  <c r="X85" i="49" s="1"/>
  <c r="X86" i="49" s="1"/>
  <c r="X87" i="49" s="1"/>
  <c r="G56" i="49"/>
  <c r="F56" i="49"/>
  <c r="E56" i="49"/>
  <c r="B56" i="49"/>
  <c r="G55" i="49"/>
  <c r="F55" i="49"/>
  <c r="A55" i="49" s="1"/>
  <c r="E55" i="49"/>
  <c r="D55" i="49"/>
  <c r="B55" i="49"/>
  <c r="G54" i="49"/>
  <c r="F54" i="49"/>
  <c r="A54" i="49" s="1"/>
  <c r="E54" i="49"/>
  <c r="B54" i="49"/>
  <c r="G53" i="49"/>
  <c r="F53" i="49"/>
  <c r="A53" i="49" s="1"/>
  <c r="E53" i="49"/>
  <c r="B53" i="49"/>
  <c r="C53" i="49" s="1"/>
  <c r="G52" i="49"/>
  <c r="F52" i="49"/>
  <c r="E52" i="49"/>
  <c r="B52" i="49"/>
  <c r="G51" i="49"/>
  <c r="F51" i="49"/>
  <c r="E51" i="49"/>
  <c r="B51" i="49"/>
  <c r="G50" i="49"/>
  <c r="F50" i="49"/>
  <c r="A50" i="49" s="1"/>
  <c r="E50" i="49"/>
  <c r="B50" i="49"/>
  <c r="C50" i="49" s="1"/>
  <c r="G49" i="49"/>
  <c r="F49" i="49"/>
  <c r="E49" i="49"/>
  <c r="B49" i="49"/>
  <c r="G48" i="49"/>
  <c r="F48" i="49"/>
  <c r="E48" i="49"/>
  <c r="B48" i="49"/>
  <c r="G47" i="49"/>
  <c r="F47" i="49"/>
  <c r="E47" i="49"/>
  <c r="B47" i="49"/>
  <c r="C47" i="49" s="1"/>
  <c r="G46" i="49"/>
  <c r="F46" i="49"/>
  <c r="D46" i="49" s="1"/>
  <c r="E46" i="49"/>
  <c r="B46" i="49"/>
  <c r="G45" i="49"/>
  <c r="F45" i="49"/>
  <c r="D45" i="49" s="1"/>
  <c r="E45" i="49"/>
  <c r="B45" i="49"/>
  <c r="G44" i="49"/>
  <c r="F44" i="49"/>
  <c r="E44" i="49"/>
  <c r="B44" i="49"/>
  <c r="G43" i="49"/>
  <c r="F43" i="49"/>
  <c r="D43" i="49" s="1"/>
  <c r="E43" i="49"/>
  <c r="B43" i="49"/>
  <c r="G42" i="49"/>
  <c r="F42" i="49"/>
  <c r="A42" i="49" s="1"/>
  <c r="E42" i="49"/>
  <c r="B42" i="49"/>
  <c r="X43" i="49" s="1"/>
  <c r="G41" i="49"/>
  <c r="F41" i="49"/>
  <c r="A41" i="49" s="1"/>
  <c r="E41" i="49"/>
  <c r="B41" i="49"/>
  <c r="C41" i="49" s="1"/>
  <c r="G40" i="49"/>
  <c r="F40" i="49"/>
  <c r="A40" i="49" s="1"/>
  <c r="E40" i="49"/>
  <c r="B40" i="49"/>
  <c r="C40" i="49" s="1"/>
  <c r="G39" i="49"/>
  <c r="F39" i="49"/>
  <c r="A39" i="49" s="1"/>
  <c r="E39" i="49"/>
  <c r="B39" i="49"/>
  <c r="X40" i="49" s="1"/>
  <c r="G38" i="49"/>
  <c r="F38" i="49"/>
  <c r="D38" i="49" s="1"/>
  <c r="E38" i="49"/>
  <c r="B38" i="49"/>
  <c r="G37" i="49"/>
  <c r="F37" i="49"/>
  <c r="A37" i="49" s="1"/>
  <c r="E37" i="49"/>
  <c r="B37" i="49"/>
  <c r="C37" i="49" s="1"/>
  <c r="G36" i="49"/>
  <c r="F36" i="49"/>
  <c r="D36" i="49" s="1"/>
  <c r="E36" i="49"/>
  <c r="B36" i="49"/>
  <c r="X37" i="49" s="1"/>
  <c r="G35" i="49"/>
  <c r="F35" i="49"/>
  <c r="A35" i="49" s="1"/>
  <c r="E35" i="49"/>
  <c r="B35" i="49"/>
  <c r="G34" i="49"/>
  <c r="F34" i="49"/>
  <c r="D34" i="49" s="1"/>
  <c r="E34" i="49"/>
  <c r="B34" i="49"/>
  <c r="G33" i="49"/>
  <c r="F33" i="49"/>
  <c r="A33" i="49" s="1"/>
  <c r="E33" i="49"/>
  <c r="B33" i="49"/>
  <c r="X34" i="49" s="1"/>
  <c r="G32" i="49"/>
  <c r="F32" i="49"/>
  <c r="E32" i="49"/>
  <c r="B32" i="49"/>
  <c r="G31" i="49"/>
  <c r="F31" i="49"/>
  <c r="A31" i="49" s="1"/>
  <c r="E31" i="49"/>
  <c r="B31" i="49"/>
  <c r="C31" i="49" s="1"/>
  <c r="G30" i="49"/>
  <c r="F30" i="49"/>
  <c r="E30" i="49"/>
  <c r="B30" i="49"/>
  <c r="G29" i="49"/>
  <c r="F29" i="49"/>
  <c r="D29" i="49" s="1"/>
  <c r="E29" i="49"/>
  <c r="B29" i="49"/>
  <c r="G28" i="49"/>
  <c r="F28" i="49"/>
  <c r="E28" i="49"/>
  <c r="B28" i="49"/>
  <c r="C28" i="49" s="1"/>
  <c r="G27" i="49"/>
  <c r="F27" i="49"/>
  <c r="E27" i="49"/>
  <c r="B27" i="49"/>
  <c r="G26" i="49"/>
  <c r="F26" i="49"/>
  <c r="A26" i="49" s="1"/>
  <c r="E26" i="49"/>
  <c r="B26" i="49"/>
  <c r="G25" i="49"/>
  <c r="F25" i="49"/>
  <c r="E25" i="49"/>
  <c r="B25" i="49"/>
  <c r="G24" i="49"/>
  <c r="F24" i="49"/>
  <c r="A24" i="49" s="1"/>
  <c r="E24" i="49"/>
  <c r="B24" i="49"/>
  <c r="G23" i="49"/>
  <c r="F23" i="49"/>
  <c r="D23" i="49" s="1"/>
  <c r="E23" i="49"/>
  <c r="B23" i="49"/>
  <c r="G22" i="49"/>
  <c r="F22" i="49"/>
  <c r="D22" i="49" s="1"/>
  <c r="E22" i="49"/>
  <c r="B22" i="49"/>
  <c r="G21" i="49"/>
  <c r="F21" i="49"/>
  <c r="A21" i="49" s="1"/>
  <c r="E21" i="49"/>
  <c r="B21" i="49"/>
  <c r="G20" i="49"/>
  <c r="F20" i="49"/>
  <c r="D20" i="49" s="1"/>
  <c r="E20" i="49"/>
  <c r="B20" i="49"/>
  <c r="G19" i="49"/>
  <c r="F19" i="49"/>
  <c r="E19" i="49"/>
  <c r="B19" i="49"/>
  <c r="G18" i="49"/>
  <c r="F18" i="49"/>
  <c r="E18" i="49"/>
  <c r="B18" i="49"/>
  <c r="G17" i="49"/>
  <c r="F17" i="49"/>
  <c r="E17" i="49"/>
  <c r="B17" i="49"/>
  <c r="G16" i="49"/>
  <c r="F16" i="49"/>
  <c r="A16" i="49" s="1"/>
  <c r="E16" i="49"/>
  <c r="B16" i="49"/>
  <c r="C16" i="49" s="1"/>
  <c r="G15" i="49"/>
  <c r="F15" i="49"/>
  <c r="D15" i="49" s="1"/>
  <c r="E15" i="49"/>
  <c r="B15" i="49"/>
  <c r="G14" i="49"/>
  <c r="F14" i="49"/>
  <c r="A14" i="49" s="1"/>
  <c r="E14" i="49"/>
  <c r="B14" i="49"/>
  <c r="G13" i="49"/>
  <c r="F13" i="49"/>
  <c r="D13" i="49" s="1"/>
  <c r="E13" i="49"/>
  <c r="B13" i="49"/>
  <c r="G12" i="49"/>
  <c r="F12" i="49"/>
  <c r="D12" i="49" s="1"/>
  <c r="E12" i="49"/>
  <c r="B12" i="49"/>
  <c r="C12" i="49" s="1"/>
  <c r="G11" i="49"/>
  <c r="F11" i="49"/>
  <c r="A11" i="49" s="1"/>
  <c r="E11" i="49"/>
  <c r="B11" i="49"/>
  <c r="G10" i="49"/>
  <c r="F10" i="49"/>
  <c r="A10" i="49" s="1"/>
  <c r="E10" i="49"/>
  <c r="B10" i="49"/>
  <c r="G9" i="49"/>
  <c r="F9" i="49"/>
  <c r="D9" i="49" s="1"/>
  <c r="E9" i="49"/>
  <c r="B9" i="49"/>
  <c r="G8" i="49"/>
  <c r="F8" i="49"/>
  <c r="D8" i="49" s="1"/>
  <c r="E8" i="49"/>
  <c r="B8" i="49"/>
  <c r="G7" i="49"/>
  <c r="F7" i="49"/>
  <c r="D7" i="49" s="1"/>
  <c r="E7" i="49"/>
  <c r="B7" i="49"/>
  <c r="G6" i="49"/>
  <c r="F6" i="49"/>
  <c r="E6" i="49"/>
  <c r="B6" i="49"/>
  <c r="G5" i="49"/>
  <c r="F5" i="49"/>
  <c r="D5" i="49" s="1"/>
  <c r="E5" i="49"/>
  <c r="B5" i="49"/>
  <c r="C5" i="49" s="1"/>
  <c r="G4" i="49"/>
  <c r="F4" i="49"/>
  <c r="D4" i="49" s="1"/>
  <c r="E4" i="49"/>
  <c r="B4" i="49"/>
  <c r="C4" i="49" s="1"/>
  <c r="G3" i="49"/>
  <c r="F3" i="49"/>
  <c r="D3" i="49" s="1"/>
  <c r="E3" i="49"/>
  <c r="B3" i="49"/>
  <c r="X4" i="49" s="1"/>
  <c r="AA82" i="48"/>
  <c r="AA83" i="48" s="1"/>
  <c r="AA84" i="48" s="1"/>
  <c r="AA85" i="48" s="1"/>
  <c r="AA86" i="48" s="1"/>
  <c r="AA87" i="48" s="1"/>
  <c r="G56" i="48"/>
  <c r="F56" i="48"/>
  <c r="A56" i="48" s="1"/>
  <c r="E56" i="48"/>
  <c r="B56" i="48"/>
  <c r="G55" i="48"/>
  <c r="F55" i="48"/>
  <c r="A55" i="48" s="1"/>
  <c r="E55" i="48"/>
  <c r="B55" i="48"/>
  <c r="C55" i="48" s="1"/>
  <c r="G54" i="48"/>
  <c r="F54" i="48"/>
  <c r="E54" i="48"/>
  <c r="B54" i="48"/>
  <c r="G53" i="48"/>
  <c r="F53" i="48"/>
  <c r="D53" i="48" s="1"/>
  <c r="E53" i="48"/>
  <c r="B53" i="48"/>
  <c r="C53" i="48" s="1"/>
  <c r="G52" i="48"/>
  <c r="F52" i="48"/>
  <c r="D52" i="48" s="1"/>
  <c r="E52" i="48"/>
  <c r="B52" i="48"/>
  <c r="G51" i="48"/>
  <c r="F51" i="48"/>
  <c r="D51" i="48" s="1"/>
  <c r="E51" i="48"/>
  <c r="B51" i="48"/>
  <c r="AA52" i="48" s="1"/>
  <c r="G50" i="48"/>
  <c r="F50" i="48"/>
  <c r="A50" i="48" s="1"/>
  <c r="E50" i="48"/>
  <c r="B50" i="48"/>
  <c r="C50" i="48" s="1"/>
  <c r="G49" i="48"/>
  <c r="F49" i="48"/>
  <c r="E49" i="48"/>
  <c r="B49" i="48"/>
  <c r="G48" i="48"/>
  <c r="F48" i="48"/>
  <c r="A48" i="48" s="1"/>
  <c r="E48" i="48"/>
  <c r="B48" i="48"/>
  <c r="G47" i="48"/>
  <c r="F47" i="48"/>
  <c r="A47" i="48" s="1"/>
  <c r="E47" i="48"/>
  <c r="B47" i="48"/>
  <c r="G46" i="48"/>
  <c r="F46" i="48"/>
  <c r="D46" i="48" s="1"/>
  <c r="E46" i="48"/>
  <c r="B46" i="48"/>
  <c r="G45" i="48"/>
  <c r="F45" i="48"/>
  <c r="D45" i="48" s="1"/>
  <c r="E45" i="48"/>
  <c r="B45" i="48"/>
  <c r="G44" i="48"/>
  <c r="F44" i="48"/>
  <c r="D44" i="48" s="1"/>
  <c r="E44" i="48"/>
  <c r="B44" i="48"/>
  <c r="G43" i="48"/>
  <c r="F43" i="48"/>
  <c r="D43" i="48" s="1"/>
  <c r="E43" i="48"/>
  <c r="B43" i="48"/>
  <c r="G42" i="48"/>
  <c r="F42" i="48"/>
  <c r="A42" i="48" s="1"/>
  <c r="E42" i="48"/>
  <c r="B42" i="48"/>
  <c r="G41" i="48"/>
  <c r="F41" i="48"/>
  <c r="E41" i="48"/>
  <c r="B41" i="48"/>
  <c r="C41" i="48" s="1"/>
  <c r="G40" i="48"/>
  <c r="F40" i="48"/>
  <c r="E40" i="48"/>
  <c r="B40" i="48"/>
  <c r="G39" i="48"/>
  <c r="F39" i="48"/>
  <c r="E39" i="48"/>
  <c r="B39" i="48"/>
  <c r="C39" i="48" s="1"/>
  <c r="G38" i="48"/>
  <c r="F38" i="48"/>
  <c r="A38" i="48" s="1"/>
  <c r="E38" i="48"/>
  <c r="B38" i="48"/>
  <c r="G37" i="48"/>
  <c r="F37" i="48"/>
  <c r="A37" i="48" s="1"/>
  <c r="E37" i="48"/>
  <c r="B37" i="48"/>
  <c r="G36" i="48"/>
  <c r="F36" i="48"/>
  <c r="A36" i="48" s="1"/>
  <c r="E36" i="48"/>
  <c r="B36" i="48"/>
  <c r="C36" i="48" s="1"/>
  <c r="G35" i="48"/>
  <c r="F35" i="48"/>
  <c r="D35" i="48" s="1"/>
  <c r="E35" i="48"/>
  <c r="B35" i="48"/>
  <c r="G34" i="48"/>
  <c r="F34" i="48"/>
  <c r="A34" i="48" s="1"/>
  <c r="E34" i="48"/>
  <c r="B34" i="48"/>
  <c r="G33" i="48"/>
  <c r="F33" i="48"/>
  <c r="D33" i="48" s="1"/>
  <c r="E33" i="48"/>
  <c r="B33" i="48"/>
  <c r="C33" i="48" s="1"/>
  <c r="G32" i="48"/>
  <c r="F32" i="48"/>
  <c r="E32" i="48"/>
  <c r="B32" i="48"/>
  <c r="G31" i="48"/>
  <c r="F31" i="48"/>
  <c r="D31" i="48" s="1"/>
  <c r="E31" i="48"/>
  <c r="B31" i="48"/>
  <c r="G30" i="48"/>
  <c r="F30" i="48"/>
  <c r="E30" i="48"/>
  <c r="B30" i="48"/>
  <c r="C30" i="48" s="1"/>
  <c r="G29" i="48"/>
  <c r="F29" i="48"/>
  <c r="D29" i="48" s="1"/>
  <c r="E29" i="48"/>
  <c r="B29" i="48"/>
  <c r="G28" i="48"/>
  <c r="F28" i="48"/>
  <c r="E28" i="48"/>
  <c r="B28" i="48"/>
  <c r="G27" i="48"/>
  <c r="F27" i="48"/>
  <c r="D27" i="48" s="1"/>
  <c r="E27" i="48"/>
  <c r="B27" i="48"/>
  <c r="C27" i="48" s="1"/>
  <c r="G26" i="48"/>
  <c r="F26" i="48"/>
  <c r="E26" i="48"/>
  <c r="B26" i="48"/>
  <c r="G25" i="48"/>
  <c r="F25" i="48"/>
  <c r="D25" i="48" s="1"/>
  <c r="E25" i="48"/>
  <c r="B25" i="48"/>
  <c r="G24" i="48"/>
  <c r="F24" i="48"/>
  <c r="A24" i="48" s="1"/>
  <c r="E24" i="48"/>
  <c r="B24" i="48"/>
  <c r="G23" i="48"/>
  <c r="F23" i="48"/>
  <c r="A23" i="48" s="1"/>
  <c r="E23" i="48"/>
  <c r="B23" i="48"/>
  <c r="G22" i="48"/>
  <c r="F22" i="48"/>
  <c r="D22" i="48" s="1"/>
  <c r="E22" i="48"/>
  <c r="B22" i="48"/>
  <c r="C22" i="48" s="1"/>
  <c r="G21" i="48"/>
  <c r="F21" i="48"/>
  <c r="A21" i="48" s="1"/>
  <c r="E21" i="48"/>
  <c r="B21" i="48"/>
  <c r="G20" i="48"/>
  <c r="F20" i="48"/>
  <c r="A20" i="48" s="1"/>
  <c r="E20" i="48"/>
  <c r="B20" i="48"/>
  <c r="G19" i="48"/>
  <c r="F19" i="48"/>
  <c r="D19" i="48" s="1"/>
  <c r="E19" i="48"/>
  <c r="B19" i="48"/>
  <c r="C19" i="48" s="1"/>
  <c r="G18" i="48"/>
  <c r="F18" i="48"/>
  <c r="E18" i="48"/>
  <c r="B18" i="48"/>
  <c r="G17" i="48"/>
  <c r="F17" i="48"/>
  <c r="D17" i="48" s="1"/>
  <c r="E17" i="48"/>
  <c r="B17" i="48"/>
  <c r="C17" i="48" s="1"/>
  <c r="G16" i="48"/>
  <c r="F16" i="48"/>
  <c r="A16" i="48" s="1"/>
  <c r="E16" i="48"/>
  <c r="B16" i="48"/>
  <c r="G15" i="48"/>
  <c r="F15" i="48"/>
  <c r="E15" i="48"/>
  <c r="B15" i="48"/>
  <c r="G14" i="48"/>
  <c r="F14" i="48"/>
  <c r="A14" i="48" s="1"/>
  <c r="E14" i="48"/>
  <c r="B14" i="48"/>
  <c r="G13" i="48"/>
  <c r="F13" i="48"/>
  <c r="E13" i="48"/>
  <c r="B13" i="48"/>
  <c r="C13" i="48" s="1"/>
  <c r="G12" i="48"/>
  <c r="F12" i="48"/>
  <c r="A12" i="48" s="1"/>
  <c r="E12" i="48"/>
  <c r="B12" i="48"/>
  <c r="G11" i="48"/>
  <c r="F11" i="48"/>
  <c r="A11" i="48" s="1"/>
  <c r="E11" i="48"/>
  <c r="B11" i="48"/>
  <c r="G10" i="48"/>
  <c r="F10" i="48"/>
  <c r="D10" i="48" s="1"/>
  <c r="E10" i="48"/>
  <c r="B10" i="48"/>
  <c r="C10" i="48" s="1"/>
  <c r="G9" i="48"/>
  <c r="F9" i="48"/>
  <c r="D9" i="48" s="1"/>
  <c r="E9" i="48"/>
  <c r="B9" i="48"/>
  <c r="AA10" i="48" s="1"/>
  <c r="G8" i="48"/>
  <c r="F8" i="48"/>
  <c r="D8" i="48" s="1"/>
  <c r="E8" i="48"/>
  <c r="B8" i="48"/>
  <c r="G7" i="48"/>
  <c r="F7" i="48"/>
  <c r="E7" i="48"/>
  <c r="B7" i="48"/>
  <c r="G6" i="48"/>
  <c r="F6" i="48"/>
  <c r="D6" i="48" s="1"/>
  <c r="E6" i="48"/>
  <c r="B6" i="48"/>
  <c r="G5" i="48"/>
  <c r="F5" i="48"/>
  <c r="E5" i="48"/>
  <c r="B5" i="48"/>
  <c r="G4" i="48"/>
  <c r="F4" i="48"/>
  <c r="A4" i="48" s="1"/>
  <c r="E4" i="48"/>
  <c r="B4" i="48"/>
  <c r="G3" i="48"/>
  <c r="F3" i="48"/>
  <c r="E3" i="48"/>
  <c r="B3" i="48"/>
  <c r="X82" i="47"/>
  <c r="X83" i="47" s="1"/>
  <c r="X84" i="47" s="1"/>
  <c r="X85" i="47" s="1"/>
  <c r="X86" i="47" s="1"/>
  <c r="X87" i="47" s="1"/>
  <c r="G56" i="47"/>
  <c r="F56" i="47"/>
  <c r="E56" i="47"/>
  <c r="B56" i="47"/>
  <c r="G55" i="47"/>
  <c r="F55" i="47"/>
  <c r="A55" i="47" s="1"/>
  <c r="E55" i="47"/>
  <c r="B55" i="47"/>
  <c r="C55" i="47" s="1"/>
  <c r="G54" i="47"/>
  <c r="F54" i="47"/>
  <c r="A54" i="47" s="1"/>
  <c r="E54" i="47"/>
  <c r="D54" i="47"/>
  <c r="B54" i="47"/>
  <c r="G53" i="47"/>
  <c r="F53" i="47"/>
  <c r="D53" i="47" s="1"/>
  <c r="E53" i="47"/>
  <c r="B53" i="47"/>
  <c r="G52" i="47"/>
  <c r="F52" i="47"/>
  <c r="D52" i="47" s="1"/>
  <c r="E52" i="47"/>
  <c r="B52" i="47"/>
  <c r="G51" i="47"/>
  <c r="F51" i="47"/>
  <c r="D51" i="47" s="1"/>
  <c r="E51" i="47"/>
  <c r="B51" i="47"/>
  <c r="G50" i="47"/>
  <c r="F50" i="47"/>
  <c r="E50" i="47"/>
  <c r="B50" i="47"/>
  <c r="C50" i="47" s="1"/>
  <c r="G49" i="47"/>
  <c r="F49" i="47"/>
  <c r="A49" i="47" s="1"/>
  <c r="E49" i="47"/>
  <c r="B49" i="47"/>
  <c r="G48" i="47"/>
  <c r="F48" i="47"/>
  <c r="A48" i="47" s="1"/>
  <c r="E48" i="47"/>
  <c r="B48" i="47"/>
  <c r="G47" i="47"/>
  <c r="F47" i="47"/>
  <c r="A47" i="47" s="1"/>
  <c r="E47" i="47"/>
  <c r="B47" i="47"/>
  <c r="G46" i="47"/>
  <c r="F46" i="47"/>
  <c r="E46" i="47"/>
  <c r="B46" i="47"/>
  <c r="G45" i="47"/>
  <c r="F45" i="47"/>
  <c r="D45" i="47" s="1"/>
  <c r="E45" i="47"/>
  <c r="B45" i="47"/>
  <c r="C45" i="47" s="1"/>
  <c r="G44" i="47"/>
  <c r="F44" i="47"/>
  <c r="A44" i="47" s="1"/>
  <c r="E44" i="47"/>
  <c r="B44" i="47"/>
  <c r="G43" i="47"/>
  <c r="F43" i="47"/>
  <c r="D43" i="47" s="1"/>
  <c r="E43" i="47"/>
  <c r="B43" i="47"/>
  <c r="G42" i="47"/>
  <c r="F42" i="47"/>
  <c r="D42" i="47" s="1"/>
  <c r="E42" i="47"/>
  <c r="B42" i="47"/>
  <c r="G41" i="47"/>
  <c r="F41" i="47"/>
  <c r="E41" i="47"/>
  <c r="B41" i="47"/>
  <c r="G40" i="47"/>
  <c r="F40" i="47"/>
  <c r="D40" i="47" s="1"/>
  <c r="E40" i="47"/>
  <c r="B40" i="47"/>
  <c r="G39" i="47"/>
  <c r="F39" i="47"/>
  <c r="E39" i="47"/>
  <c r="B39" i="47"/>
  <c r="G38" i="47"/>
  <c r="F38" i="47"/>
  <c r="D38" i="47" s="1"/>
  <c r="E38" i="47"/>
  <c r="B38" i="47"/>
  <c r="G37" i="47"/>
  <c r="F37" i="47"/>
  <c r="D37" i="47" s="1"/>
  <c r="E37" i="47"/>
  <c r="B37" i="47"/>
  <c r="G36" i="47"/>
  <c r="F36" i="47"/>
  <c r="A36" i="47" s="1"/>
  <c r="E36" i="47"/>
  <c r="B36" i="47"/>
  <c r="G35" i="47"/>
  <c r="F35" i="47"/>
  <c r="D35" i="47" s="1"/>
  <c r="E35" i="47"/>
  <c r="B35" i="47"/>
  <c r="G34" i="47"/>
  <c r="F34" i="47"/>
  <c r="D34" i="47" s="1"/>
  <c r="E34" i="47"/>
  <c r="B34" i="47"/>
  <c r="G33" i="47"/>
  <c r="F33" i="47"/>
  <c r="E33" i="47"/>
  <c r="B33" i="47"/>
  <c r="G32" i="47"/>
  <c r="F32" i="47"/>
  <c r="E32" i="47"/>
  <c r="B32" i="47"/>
  <c r="G31" i="47"/>
  <c r="F31" i="47"/>
  <c r="E31" i="47"/>
  <c r="B31" i="47"/>
  <c r="C31" i="47" s="1"/>
  <c r="G30" i="47"/>
  <c r="F30" i="47"/>
  <c r="D30" i="47" s="1"/>
  <c r="E30" i="47"/>
  <c r="B30" i="47"/>
  <c r="G29" i="47"/>
  <c r="F29" i="47"/>
  <c r="E29" i="47"/>
  <c r="B29" i="47"/>
  <c r="C29" i="47" s="1"/>
  <c r="G28" i="47"/>
  <c r="F28" i="47"/>
  <c r="E28" i="47"/>
  <c r="B28" i="47"/>
  <c r="G27" i="47"/>
  <c r="F27" i="47"/>
  <c r="D27" i="47" s="1"/>
  <c r="E27" i="47"/>
  <c r="B27" i="47"/>
  <c r="C27" i="47" s="1"/>
  <c r="G26" i="47"/>
  <c r="F26" i="47"/>
  <c r="A26" i="47" s="1"/>
  <c r="E26" i="47"/>
  <c r="B26" i="47"/>
  <c r="C26" i="47" s="1"/>
  <c r="G25" i="47"/>
  <c r="F25" i="47"/>
  <c r="D25" i="47" s="1"/>
  <c r="E25" i="47"/>
  <c r="B25" i="47"/>
  <c r="G24" i="47"/>
  <c r="F24" i="47"/>
  <c r="A24" i="47" s="1"/>
  <c r="E24" i="47"/>
  <c r="B24" i="47"/>
  <c r="C24" i="47" s="1"/>
  <c r="G23" i="47"/>
  <c r="F23" i="47"/>
  <c r="E23" i="47"/>
  <c r="B23" i="47"/>
  <c r="G22" i="47"/>
  <c r="F22" i="47"/>
  <c r="D22" i="47" s="1"/>
  <c r="E22" i="47"/>
  <c r="B22" i="47"/>
  <c r="G21" i="47"/>
  <c r="F21" i="47"/>
  <c r="D21" i="47" s="1"/>
  <c r="E21" i="47"/>
  <c r="B21" i="47"/>
  <c r="X22" i="47" s="1"/>
  <c r="G20" i="47"/>
  <c r="F20" i="47"/>
  <c r="E20" i="47"/>
  <c r="B20" i="47"/>
  <c r="G19" i="47"/>
  <c r="F19" i="47"/>
  <c r="E19" i="47"/>
  <c r="B19" i="47"/>
  <c r="G18" i="47"/>
  <c r="F18" i="47"/>
  <c r="A18" i="47" s="1"/>
  <c r="E18" i="47"/>
  <c r="B18" i="47"/>
  <c r="C18" i="47" s="1"/>
  <c r="G17" i="47"/>
  <c r="F17" i="47"/>
  <c r="E17" i="47"/>
  <c r="B17" i="47"/>
  <c r="C17" i="47" s="1"/>
  <c r="G16" i="47"/>
  <c r="F16" i="47"/>
  <c r="E16" i="47"/>
  <c r="B16" i="47"/>
  <c r="G15" i="47"/>
  <c r="F15" i="47"/>
  <c r="E15" i="47"/>
  <c r="B15" i="47"/>
  <c r="G14" i="47"/>
  <c r="F14" i="47"/>
  <c r="D14" i="47" s="1"/>
  <c r="E14" i="47"/>
  <c r="B14" i="47"/>
  <c r="C14" i="47" s="1"/>
  <c r="G13" i="47"/>
  <c r="F13" i="47"/>
  <c r="A13" i="47" s="1"/>
  <c r="E13" i="47"/>
  <c r="B13" i="47"/>
  <c r="G12" i="47"/>
  <c r="F12" i="47"/>
  <c r="E12" i="47"/>
  <c r="B12" i="47"/>
  <c r="G11" i="47"/>
  <c r="F11" i="47"/>
  <c r="A11" i="47" s="1"/>
  <c r="E11" i="47"/>
  <c r="B11" i="47"/>
  <c r="C11" i="47" s="1"/>
  <c r="G10" i="47"/>
  <c r="F10" i="47"/>
  <c r="E10" i="47"/>
  <c r="B10" i="47"/>
  <c r="G9" i="47"/>
  <c r="F9" i="47"/>
  <c r="E9" i="47"/>
  <c r="B9" i="47"/>
  <c r="G8" i="47"/>
  <c r="F8" i="47"/>
  <c r="A8" i="47" s="1"/>
  <c r="E8" i="47"/>
  <c r="B8" i="47"/>
  <c r="C8" i="47" s="1"/>
  <c r="G7" i="47"/>
  <c r="F7" i="47"/>
  <c r="A7" i="47" s="1"/>
  <c r="E7" i="47"/>
  <c r="B7" i="47"/>
  <c r="G6" i="47"/>
  <c r="F6" i="47"/>
  <c r="A6" i="47" s="1"/>
  <c r="E6" i="47"/>
  <c r="B6" i="47"/>
  <c r="G5" i="47"/>
  <c r="F5" i="47"/>
  <c r="A5" i="47" s="1"/>
  <c r="E5" i="47"/>
  <c r="B5" i="47"/>
  <c r="G4" i="47"/>
  <c r="F4" i="47"/>
  <c r="D4" i="47" s="1"/>
  <c r="E4" i="47"/>
  <c r="B4" i="47"/>
  <c r="G3" i="47"/>
  <c r="F3" i="47"/>
  <c r="D3" i="47" s="1"/>
  <c r="E3" i="47"/>
  <c r="B3" i="47"/>
  <c r="X82" i="46"/>
  <c r="X83" i="46" s="1"/>
  <c r="X84" i="46" s="1"/>
  <c r="X85" i="46" s="1"/>
  <c r="X86" i="46" s="1"/>
  <c r="X87" i="46" s="1"/>
  <c r="G56" i="46"/>
  <c r="F56" i="46"/>
  <c r="E56" i="46"/>
  <c r="B56" i="46"/>
  <c r="G55" i="46"/>
  <c r="F55" i="46"/>
  <c r="A55" i="46" s="1"/>
  <c r="E55" i="46"/>
  <c r="B55" i="46"/>
  <c r="C55" i="46" s="1"/>
  <c r="G54" i="46"/>
  <c r="F54" i="46"/>
  <c r="D54" i="46" s="1"/>
  <c r="E54" i="46"/>
  <c r="B54" i="46"/>
  <c r="G53" i="46"/>
  <c r="F53" i="46"/>
  <c r="D53" i="46" s="1"/>
  <c r="E53" i="46"/>
  <c r="B53" i="46"/>
  <c r="G52" i="46"/>
  <c r="F52" i="46"/>
  <c r="E52" i="46"/>
  <c r="B52" i="46"/>
  <c r="G51" i="46"/>
  <c r="F51" i="46"/>
  <c r="E51" i="46"/>
  <c r="B51" i="46"/>
  <c r="G50" i="46"/>
  <c r="F50" i="46"/>
  <c r="D50" i="46" s="1"/>
  <c r="E50" i="46"/>
  <c r="B50" i="46"/>
  <c r="G49" i="46"/>
  <c r="F49" i="46"/>
  <c r="A49" i="46" s="1"/>
  <c r="E49" i="46"/>
  <c r="B49" i="46"/>
  <c r="G48" i="46"/>
  <c r="F48" i="46"/>
  <c r="E48" i="46"/>
  <c r="B48" i="46"/>
  <c r="C48" i="46" s="1"/>
  <c r="G47" i="46"/>
  <c r="F47" i="46"/>
  <c r="E47" i="46"/>
  <c r="B47" i="46"/>
  <c r="C47" i="46" s="1"/>
  <c r="G46" i="46"/>
  <c r="F46" i="46"/>
  <c r="D46" i="46" s="1"/>
  <c r="E46" i="46"/>
  <c r="B46" i="46"/>
  <c r="C46" i="46" s="1"/>
  <c r="G45" i="46"/>
  <c r="F45" i="46"/>
  <c r="A45" i="46" s="1"/>
  <c r="E45" i="46"/>
  <c r="B45" i="46"/>
  <c r="G44" i="46"/>
  <c r="F44" i="46"/>
  <c r="A44" i="46" s="1"/>
  <c r="E44" i="46"/>
  <c r="B44" i="46"/>
  <c r="G43" i="46"/>
  <c r="F43" i="46"/>
  <c r="E43" i="46"/>
  <c r="B43" i="46"/>
  <c r="G42" i="46"/>
  <c r="F42" i="46"/>
  <c r="E42" i="46"/>
  <c r="B42" i="46"/>
  <c r="G41" i="46"/>
  <c r="F41" i="46"/>
  <c r="D41" i="46" s="1"/>
  <c r="E41" i="46"/>
  <c r="B41" i="46"/>
  <c r="G40" i="46"/>
  <c r="F40" i="46"/>
  <c r="A40" i="46" s="1"/>
  <c r="E40" i="46"/>
  <c r="B40" i="46"/>
  <c r="G39" i="46"/>
  <c r="F39" i="46"/>
  <c r="A39" i="46" s="1"/>
  <c r="E39" i="46"/>
  <c r="B39" i="46"/>
  <c r="G38" i="46"/>
  <c r="F38" i="46"/>
  <c r="D38" i="46" s="1"/>
  <c r="E38" i="46"/>
  <c r="B38" i="46"/>
  <c r="C38" i="46" s="1"/>
  <c r="G37" i="46"/>
  <c r="F37" i="46"/>
  <c r="E37" i="46"/>
  <c r="B37" i="46"/>
  <c r="G36" i="46"/>
  <c r="F36" i="46"/>
  <c r="E36" i="46"/>
  <c r="B36" i="46"/>
  <c r="G35" i="46"/>
  <c r="F35" i="46"/>
  <c r="E35" i="46"/>
  <c r="B35" i="46"/>
  <c r="G34" i="46"/>
  <c r="F34" i="46"/>
  <c r="E34" i="46"/>
  <c r="B34" i="46"/>
  <c r="G33" i="46"/>
  <c r="F33" i="46"/>
  <c r="D33" i="46" s="1"/>
  <c r="E33" i="46"/>
  <c r="B33" i="46"/>
  <c r="G32" i="46"/>
  <c r="F32" i="46"/>
  <c r="D32" i="46" s="1"/>
  <c r="E32" i="46"/>
  <c r="B32" i="46"/>
  <c r="G31" i="46"/>
  <c r="F31" i="46"/>
  <c r="E31" i="46"/>
  <c r="B31" i="46"/>
  <c r="G30" i="46"/>
  <c r="F30" i="46"/>
  <c r="A30" i="46" s="1"/>
  <c r="E30" i="46"/>
  <c r="B30" i="46"/>
  <c r="G29" i="46"/>
  <c r="F29" i="46"/>
  <c r="D29" i="46" s="1"/>
  <c r="E29" i="46"/>
  <c r="B29" i="46"/>
  <c r="G28" i="46"/>
  <c r="F28" i="46"/>
  <c r="A28" i="46" s="1"/>
  <c r="E28" i="46"/>
  <c r="B28" i="46"/>
  <c r="C28" i="46" s="1"/>
  <c r="G27" i="46"/>
  <c r="F27" i="46"/>
  <c r="E27" i="46"/>
  <c r="B27" i="46"/>
  <c r="G26" i="46"/>
  <c r="F26" i="46"/>
  <c r="A26" i="46" s="1"/>
  <c r="E26" i="46"/>
  <c r="B26" i="46"/>
  <c r="C26" i="46" s="1"/>
  <c r="G25" i="46"/>
  <c r="F25" i="46"/>
  <c r="D25" i="46" s="1"/>
  <c r="E25" i="46"/>
  <c r="B25" i="46"/>
  <c r="G24" i="46"/>
  <c r="F24" i="46"/>
  <c r="A24" i="46" s="1"/>
  <c r="E24" i="46"/>
  <c r="B24" i="46"/>
  <c r="G23" i="46"/>
  <c r="F23" i="46"/>
  <c r="E23" i="46"/>
  <c r="B23" i="46"/>
  <c r="G22" i="46"/>
  <c r="F22" i="46"/>
  <c r="A22" i="46" s="1"/>
  <c r="E22" i="46"/>
  <c r="B22" i="46"/>
  <c r="G21" i="46"/>
  <c r="F21" i="46"/>
  <c r="E21" i="46"/>
  <c r="B21" i="46"/>
  <c r="G20" i="46"/>
  <c r="F20" i="46"/>
  <c r="E20" i="46"/>
  <c r="B20" i="46"/>
  <c r="C20" i="46" s="1"/>
  <c r="G19" i="46"/>
  <c r="F19" i="46"/>
  <c r="E19" i="46"/>
  <c r="B19" i="46"/>
  <c r="C19" i="46" s="1"/>
  <c r="G18" i="46"/>
  <c r="F18" i="46"/>
  <c r="A18" i="46" s="1"/>
  <c r="E18" i="46"/>
  <c r="B18" i="46"/>
  <c r="G17" i="46"/>
  <c r="F17" i="46"/>
  <c r="A17" i="46" s="1"/>
  <c r="E17" i="46"/>
  <c r="B17" i="46"/>
  <c r="C17" i="46" s="1"/>
  <c r="G16" i="46"/>
  <c r="F16" i="46"/>
  <c r="D16" i="46" s="1"/>
  <c r="E16" i="46"/>
  <c r="B16" i="46"/>
  <c r="C16" i="46" s="1"/>
  <c r="G15" i="46"/>
  <c r="F15" i="46"/>
  <c r="D15" i="46" s="1"/>
  <c r="E15" i="46"/>
  <c r="B15" i="46"/>
  <c r="G14" i="46"/>
  <c r="F14" i="46"/>
  <c r="A14" i="46" s="1"/>
  <c r="E14" i="46"/>
  <c r="B14" i="46"/>
  <c r="C14" i="46" s="1"/>
  <c r="G13" i="46"/>
  <c r="F13" i="46"/>
  <c r="A13" i="46" s="1"/>
  <c r="E13" i="46"/>
  <c r="B13" i="46"/>
  <c r="G12" i="46"/>
  <c r="F12" i="46"/>
  <c r="D12" i="46" s="1"/>
  <c r="E12" i="46"/>
  <c r="B12" i="46"/>
  <c r="X13" i="46" s="1"/>
  <c r="G11" i="46"/>
  <c r="F11" i="46"/>
  <c r="D11" i="46" s="1"/>
  <c r="E11" i="46"/>
  <c r="B11" i="46"/>
  <c r="C11" i="46" s="1"/>
  <c r="G10" i="46"/>
  <c r="F10" i="46"/>
  <c r="A10" i="46" s="1"/>
  <c r="E10" i="46"/>
  <c r="B10" i="46"/>
  <c r="C10" i="46" s="1"/>
  <c r="G9" i="46"/>
  <c r="F9" i="46"/>
  <c r="A9" i="46" s="1"/>
  <c r="E9" i="46"/>
  <c r="B9" i="46"/>
  <c r="G8" i="46"/>
  <c r="F8" i="46"/>
  <c r="A8" i="46" s="1"/>
  <c r="E8" i="46"/>
  <c r="B8" i="46"/>
  <c r="G7" i="46"/>
  <c r="F7" i="46"/>
  <c r="D7" i="46" s="1"/>
  <c r="E7" i="46"/>
  <c r="B7" i="46"/>
  <c r="G6" i="46"/>
  <c r="F6" i="46"/>
  <c r="A6" i="46" s="1"/>
  <c r="E6" i="46"/>
  <c r="B6" i="46"/>
  <c r="X7" i="46" s="1"/>
  <c r="G5" i="46"/>
  <c r="F5" i="46"/>
  <c r="D5" i="46" s="1"/>
  <c r="E5" i="46"/>
  <c r="B5" i="46"/>
  <c r="G4" i="46"/>
  <c r="F4" i="46"/>
  <c r="A4" i="46" s="1"/>
  <c r="E4" i="46"/>
  <c r="B4" i="46"/>
  <c r="G3" i="46"/>
  <c r="F3" i="46"/>
  <c r="A3" i="46" s="1"/>
  <c r="E3" i="46"/>
  <c r="B3" i="46"/>
  <c r="X4" i="46" s="1"/>
  <c r="X82" i="45"/>
  <c r="X83" i="45" s="1"/>
  <c r="X84" i="45" s="1"/>
  <c r="X85" i="45" s="1"/>
  <c r="X86" i="45" s="1"/>
  <c r="X87" i="45" s="1"/>
  <c r="G56" i="45"/>
  <c r="F56" i="45"/>
  <c r="E56" i="45"/>
  <c r="B56" i="45"/>
  <c r="G55" i="45"/>
  <c r="F55" i="45"/>
  <c r="A55" i="45" s="1"/>
  <c r="E55" i="45"/>
  <c r="B55" i="45"/>
  <c r="C55" i="45" s="1"/>
  <c r="G54" i="45"/>
  <c r="F54" i="45"/>
  <c r="D54" i="45" s="1"/>
  <c r="E54" i="45"/>
  <c r="B54" i="45"/>
  <c r="G53" i="45"/>
  <c r="F53" i="45"/>
  <c r="A53" i="45" s="1"/>
  <c r="E53" i="45"/>
  <c r="D53" i="45"/>
  <c r="B53" i="45"/>
  <c r="C53" i="45" s="1"/>
  <c r="G52" i="45"/>
  <c r="F52" i="45"/>
  <c r="A52" i="45" s="1"/>
  <c r="E52" i="45"/>
  <c r="B52" i="45"/>
  <c r="G51" i="45"/>
  <c r="F51" i="45"/>
  <c r="E51" i="45"/>
  <c r="B51" i="45"/>
  <c r="X52" i="45" s="1"/>
  <c r="G50" i="45"/>
  <c r="F50" i="45"/>
  <c r="D50" i="45" s="1"/>
  <c r="E50" i="45"/>
  <c r="B50" i="45"/>
  <c r="G49" i="45"/>
  <c r="F49" i="45"/>
  <c r="A49" i="45" s="1"/>
  <c r="E49" i="45"/>
  <c r="B49" i="45"/>
  <c r="G48" i="45"/>
  <c r="F48" i="45"/>
  <c r="A48" i="45" s="1"/>
  <c r="E48" i="45"/>
  <c r="B48" i="45"/>
  <c r="G47" i="45"/>
  <c r="F47" i="45"/>
  <c r="A47" i="45" s="1"/>
  <c r="E47" i="45"/>
  <c r="B47" i="45"/>
  <c r="C47" i="45" s="1"/>
  <c r="G46" i="45"/>
  <c r="F46" i="45"/>
  <c r="D46" i="45" s="1"/>
  <c r="E46" i="45"/>
  <c r="B46" i="45"/>
  <c r="C46" i="45" s="1"/>
  <c r="G45" i="45"/>
  <c r="F45" i="45"/>
  <c r="A45" i="45" s="1"/>
  <c r="E45" i="45"/>
  <c r="B45" i="45"/>
  <c r="X46" i="45" s="1"/>
  <c r="G44" i="45"/>
  <c r="F44" i="45"/>
  <c r="E44" i="45"/>
  <c r="B44" i="45"/>
  <c r="C44" i="45" s="1"/>
  <c r="G43" i="45"/>
  <c r="F43" i="45"/>
  <c r="A43" i="45" s="1"/>
  <c r="E43" i="45"/>
  <c r="B43" i="45"/>
  <c r="G42" i="45"/>
  <c r="F42" i="45"/>
  <c r="E42" i="45"/>
  <c r="B42" i="45"/>
  <c r="G41" i="45"/>
  <c r="F41" i="45"/>
  <c r="A41" i="45" s="1"/>
  <c r="E41" i="45"/>
  <c r="B41" i="45"/>
  <c r="G40" i="45"/>
  <c r="F40" i="45"/>
  <c r="D40" i="45" s="1"/>
  <c r="E40" i="45"/>
  <c r="B40" i="45"/>
  <c r="G39" i="45"/>
  <c r="F39" i="45"/>
  <c r="D39" i="45" s="1"/>
  <c r="E39" i="45"/>
  <c r="B39" i="45"/>
  <c r="G38" i="45"/>
  <c r="F38" i="45"/>
  <c r="A38" i="45" s="1"/>
  <c r="E38" i="45"/>
  <c r="B38" i="45"/>
  <c r="G37" i="45"/>
  <c r="F37" i="45"/>
  <c r="E37" i="45"/>
  <c r="B37" i="45"/>
  <c r="C37" i="45" s="1"/>
  <c r="G36" i="45"/>
  <c r="F36" i="45"/>
  <c r="D36" i="45" s="1"/>
  <c r="E36" i="45"/>
  <c r="B36" i="45"/>
  <c r="X37" i="45" s="1"/>
  <c r="G35" i="45"/>
  <c r="F35" i="45"/>
  <c r="E35" i="45"/>
  <c r="B35" i="45"/>
  <c r="C35" i="45" s="1"/>
  <c r="G34" i="45"/>
  <c r="F34" i="45"/>
  <c r="E34" i="45"/>
  <c r="B34" i="45"/>
  <c r="G33" i="45"/>
  <c r="F33" i="45"/>
  <c r="A33" i="45" s="1"/>
  <c r="E33" i="45"/>
  <c r="B33" i="45"/>
  <c r="G32" i="45"/>
  <c r="F32" i="45"/>
  <c r="A32" i="45" s="1"/>
  <c r="E32" i="45"/>
  <c r="B32" i="45"/>
  <c r="G31" i="45"/>
  <c r="F31" i="45"/>
  <c r="A31" i="45" s="1"/>
  <c r="E31" i="45"/>
  <c r="B31" i="45"/>
  <c r="C31" i="45" s="1"/>
  <c r="G30" i="45"/>
  <c r="F30" i="45"/>
  <c r="E30" i="45"/>
  <c r="B30" i="45"/>
  <c r="C30" i="45" s="1"/>
  <c r="G29" i="45"/>
  <c r="F29" i="45"/>
  <c r="D29" i="45" s="1"/>
  <c r="E29" i="45"/>
  <c r="B29" i="45"/>
  <c r="G28" i="45"/>
  <c r="F28" i="45"/>
  <c r="A28" i="45" s="1"/>
  <c r="E28" i="45"/>
  <c r="B28" i="45"/>
  <c r="G27" i="45"/>
  <c r="F27" i="45"/>
  <c r="D27" i="45" s="1"/>
  <c r="E27" i="45"/>
  <c r="B27" i="45"/>
  <c r="G26" i="45"/>
  <c r="F26" i="45"/>
  <c r="A26" i="45" s="1"/>
  <c r="E26" i="45"/>
  <c r="B26" i="45"/>
  <c r="G25" i="45"/>
  <c r="F25" i="45"/>
  <c r="A25" i="45" s="1"/>
  <c r="E25" i="45"/>
  <c r="B25" i="45"/>
  <c r="C25" i="45" s="1"/>
  <c r="G24" i="45"/>
  <c r="F24" i="45"/>
  <c r="D24" i="45" s="1"/>
  <c r="E24" i="45"/>
  <c r="B24" i="45"/>
  <c r="X25" i="45" s="1"/>
  <c r="G23" i="45"/>
  <c r="F23" i="45"/>
  <c r="E23" i="45"/>
  <c r="B23" i="45"/>
  <c r="G22" i="45"/>
  <c r="F22" i="45"/>
  <c r="E22" i="45"/>
  <c r="B22" i="45"/>
  <c r="G21" i="45"/>
  <c r="F21" i="45"/>
  <c r="A21" i="45" s="1"/>
  <c r="E21" i="45"/>
  <c r="B21" i="45"/>
  <c r="G20" i="45"/>
  <c r="F20" i="45"/>
  <c r="D20" i="45" s="1"/>
  <c r="E20" i="45"/>
  <c r="B20" i="45"/>
  <c r="G19" i="45"/>
  <c r="F19" i="45"/>
  <c r="A19" i="45" s="1"/>
  <c r="E19" i="45"/>
  <c r="B19" i="45"/>
  <c r="G18" i="45"/>
  <c r="F18" i="45"/>
  <c r="E18" i="45"/>
  <c r="B18" i="45"/>
  <c r="G17" i="45"/>
  <c r="F17" i="45"/>
  <c r="D17" i="45" s="1"/>
  <c r="E17" i="45"/>
  <c r="B17" i="45"/>
  <c r="G16" i="45"/>
  <c r="F16" i="45"/>
  <c r="A16" i="45" s="1"/>
  <c r="E16" i="45"/>
  <c r="B16" i="45"/>
  <c r="C16" i="45" s="1"/>
  <c r="G15" i="45"/>
  <c r="F15" i="45"/>
  <c r="A15" i="45" s="1"/>
  <c r="E15" i="45"/>
  <c r="B15" i="45"/>
  <c r="C15" i="45" s="1"/>
  <c r="G14" i="45"/>
  <c r="F14" i="45"/>
  <c r="D14" i="45" s="1"/>
  <c r="E14" i="45"/>
  <c r="B14" i="45"/>
  <c r="C14" i="45" s="1"/>
  <c r="G13" i="45"/>
  <c r="F13" i="45"/>
  <c r="A13" i="45" s="1"/>
  <c r="E13" i="45"/>
  <c r="B13" i="45"/>
  <c r="G12" i="45"/>
  <c r="F12" i="45"/>
  <c r="E12" i="45"/>
  <c r="B12" i="45"/>
  <c r="C12" i="45" s="1"/>
  <c r="G11" i="45"/>
  <c r="F11" i="45"/>
  <c r="D11" i="45" s="1"/>
  <c r="E11" i="45"/>
  <c r="B11" i="45"/>
  <c r="G10" i="45"/>
  <c r="F10" i="45"/>
  <c r="D10" i="45" s="1"/>
  <c r="E10" i="45"/>
  <c r="B10" i="45"/>
  <c r="G9" i="45"/>
  <c r="F9" i="45"/>
  <c r="A9" i="45" s="1"/>
  <c r="E9" i="45"/>
  <c r="B9" i="45"/>
  <c r="G8" i="45"/>
  <c r="F8" i="45"/>
  <c r="D8" i="45" s="1"/>
  <c r="E8" i="45"/>
  <c r="B8" i="45"/>
  <c r="C8" i="45" s="1"/>
  <c r="G7" i="45"/>
  <c r="F7" i="45"/>
  <c r="E7" i="45"/>
  <c r="B7" i="45"/>
  <c r="C7" i="45" s="1"/>
  <c r="G6" i="45"/>
  <c r="F6" i="45"/>
  <c r="A6" i="45" s="1"/>
  <c r="E6" i="45"/>
  <c r="B6" i="45"/>
  <c r="G5" i="45"/>
  <c r="F5" i="45"/>
  <c r="D5" i="45" s="1"/>
  <c r="E5" i="45"/>
  <c r="B5" i="45"/>
  <c r="G4" i="45"/>
  <c r="F4" i="45"/>
  <c r="A4" i="45" s="1"/>
  <c r="E4" i="45"/>
  <c r="B4" i="45"/>
  <c r="G3" i="45"/>
  <c r="F3" i="45"/>
  <c r="A3" i="45" s="1"/>
  <c r="E3" i="45"/>
  <c r="B3" i="45"/>
  <c r="X82" i="44"/>
  <c r="X83" i="44" s="1"/>
  <c r="X84" i="44" s="1"/>
  <c r="X85" i="44" s="1"/>
  <c r="X86" i="44" s="1"/>
  <c r="X87" i="44" s="1"/>
  <c r="G56" i="44"/>
  <c r="F56" i="44"/>
  <c r="E56" i="44"/>
  <c r="B56" i="44"/>
  <c r="G55" i="44"/>
  <c r="F55" i="44"/>
  <c r="A55" i="44" s="1"/>
  <c r="E55" i="44"/>
  <c r="B55" i="44"/>
  <c r="C55" i="44" s="1"/>
  <c r="G54" i="44"/>
  <c r="F54" i="44"/>
  <c r="E54" i="44"/>
  <c r="B54" i="44"/>
  <c r="G53" i="44"/>
  <c r="F53" i="44"/>
  <c r="D53" i="44" s="1"/>
  <c r="E53" i="44"/>
  <c r="B53" i="44"/>
  <c r="C53" i="44" s="1"/>
  <c r="G52" i="44"/>
  <c r="F52" i="44"/>
  <c r="D52" i="44" s="1"/>
  <c r="E52" i="44"/>
  <c r="B52" i="44"/>
  <c r="G51" i="44"/>
  <c r="F51" i="44"/>
  <c r="E51" i="44"/>
  <c r="B51" i="44"/>
  <c r="G50" i="44"/>
  <c r="F50" i="44"/>
  <c r="D50" i="44" s="1"/>
  <c r="E50" i="44"/>
  <c r="B50" i="44"/>
  <c r="C50" i="44" s="1"/>
  <c r="G49" i="44"/>
  <c r="F49" i="44"/>
  <c r="D49" i="44" s="1"/>
  <c r="E49" i="44"/>
  <c r="B49" i="44"/>
  <c r="G48" i="44"/>
  <c r="F48" i="44"/>
  <c r="A48" i="44" s="1"/>
  <c r="E48" i="44"/>
  <c r="B48" i="44"/>
  <c r="X49" i="44" s="1"/>
  <c r="G47" i="44"/>
  <c r="F47" i="44"/>
  <c r="A47" i="44" s="1"/>
  <c r="E47" i="44"/>
  <c r="B47" i="44"/>
  <c r="G46" i="44"/>
  <c r="F46" i="44"/>
  <c r="D46" i="44" s="1"/>
  <c r="E46" i="44"/>
  <c r="B46" i="44"/>
  <c r="G45" i="44"/>
  <c r="F45" i="44"/>
  <c r="A45" i="44" s="1"/>
  <c r="E45" i="44"/>
  <c r="B45" i="44"/>
  <c r="G44" i="44"/>
  <c r="F44" i="44"/>
  <c r="D44" i="44" s="1"/>
  <c r="E44" i="44"/>
  <c r="B44" i="44"/>
  <c r="G43" i="44"/>
  <c r="F43" i="44"/>
  <c r="E43" i="44"/>
  <c r="B43" i="44"/>
  <c r="C43" i="44" s="1"/>
  <c r="G42" i="44"/>
  <c r="F42" i="44"/>
  <c r="E42" i="44"/>
  <c r="B42" i="44"/>
  <c r="G41" i="44"/>
  <c r="F41" i="44"/>
  <c r="A41" i="44" s="1"/>
  <c r="E41" i="44"/>
  <c r="B41" i="44"/>
  <c r="G40" i="44"/>
  <c r="F40" i="44"/>
  <c r="D40" i="44" s="1"/>
  <c r="E40" i="44"/>
  <c r="B40" i="44"/>
  <c r="G39" i="44"/>
  <c r="F39" i="44"/>
  <c r="A39" i="44" s="1"/>
  <c r="E39" i="44"/>
  <c r="B39" i="44"/>
  <c r="G38" i="44"/>
  <c r="F38" i="44"/>
  <c r="D38" i="44" s="1"/>
  <c r="E38" i="44"/>
  <c r="B38" i="44"/>
  <c r="G37" i="44"/>
  <c r="F37" i="44"/>
  <c r="A37" i="44" s="1"/>
  <c r="E37" i="44"/>
  <c r="B37" i="44"/>
  <c r="G36" i="44"/>
  <c r="F36" i="44"/>
  <c r="E36" i="44"/>
  <c r="B36" i="44"/>
  <c r="G35" i="44"/>
  <c r="F35" i="44"/>
  <c r="A35" i="44" s="1"/>
  <c r="E35" i="44"/>
  <c r="B35" i="44"/>
  <c r="C35" i="44" s="1"/>
  <c r="G34" i="44"/>
  <c r="F34" i="44"/>
  <c r="D34" i="44" s="1"/>
  <c r="E34" i="44"/>
  <c r="B34" i="44"/>
  <c r="C34" i="44" s="1"/>
  <c r="G33" i="44"/>
  <c r="F33" i="44"/>
  <c r="A33" i="44" s="1"/>
  <c r="E33" i="44"/>
  <c r="B33" i="44"/>
  <c r="G32" i="44"/>
  <c r="F32" i="44"/>
  <c r="A32" i="44" s="1"/>
  <c r="E32" i="44"/>
  <c r="B32" i="44"/>
  <c r="G31" i="44"/>
  <c r="F31" i="44"/>
  <c r="A31" i="44" s="1"/>
  <c r="E31" i="44"/>
  <c r="B31" i="44"/>
  <c r="G30" i="44"/>
  <c r="F30" i="44"/>
  <c r="D30" i="44" s="1"/>
  <c r="E30" i="44"/>
  <c r="B30" i="44"/>
  <c r="G29" i="44"/>
  <c r="F29" i="44"/>
  <c r="A29" i="44" s="1"/>
  <c r="E29" i="44"/>
  <c r="B29" i="44"/>
  <c r="G28" i="44"/>
  <c r="F28" i="44"/>
  <c r="E28" i="44"/>
  <c r="B28" i="44"/>
  <c r="G27" i="44"/>
  <c r="F27" i="44"/>
  <c r="E27" i="44"/>
  <c r="B27" i="44"/>
  <c r="X28" i="44" s="1"/>
  <c r="G26" i="44"/>
  <c r="F26" i="44"/>
  <c r="A26" i="44" s="1"/>
  <c r="E26" i="44"/>
  <c r="B26" i="44"/>
  <c r="C26" i="44" s="1"/>
  <c r="G25" i="44"/>
  <c r="F25" i="44"/>
  <c r="A25" i="44" s="1"/>
  <c r="E25" i="44"/>
  <c r="B25" i="44"/>
  <c r="C25" i="44" s="1"/>
  <c r="G24" i="44"/>
  <c r="F24" i="44"/>
  <c r="D24" i="44" s="1"/>
  <c r="E24" i="44"/>
  <c r="B24" i="44"/>
  <c r="G23" i="44"/>
  <c r="F23" i="44"/>
  <c r="D23" i="44" s="1"/>
  <c r="E23" i="44"/>
  <c r="B23" i="44"/>
  <c r="C23" i="44" s="1"/>
  <c r="G22" i="44"/>
  <c r="F22" i="44"/>
  <c r="E22" i="44"/>
  <c r="B22" i="44"/>
  <c r="C22" i="44" s="1"/>
  <c r="G21" i="44"/>
  <c r="F21" i="44"/>
  <c r="D21" i="44" s="1"/>
  <c r="E21" i="44"/>
  <c r="B21" i="44"/>
  <c r="G20" i="44"/>
  <c r="F20" i="44"/>
  <c r="A20" i="44" s="1"/>
  <c r="E20" i="44"/>
  <c r="B20" i="44"/>
  <c r="G19" i="44"/>
  <c r="F19" i="44"/>
  <c r="A19" i="44" s="1"/>
  <c r="E19" i="44"/>
  <c r="B19" i="44"/>
  <c r="C19" i="44" s="1"/>
  <c r="G18" i="44"/>
  <c r="F18" i="44"/>
  <c r="A18" i="44" s="1"/>
  <c r="E18" i="44"/>
  <c r="B18" i="44"/>
  <c r="X19" i="44" s="1"/>
  <c r="G17" i="44"/>
  <c r="F17" i="44"/>
  <c r="A17" i="44" s="1"/>
  <c r="E17" i="44"/>
  <c r="B17" i="44"/>
  <c r="C17" i="44" s="1"/>
  <c r="G16" i="44"/>
  <c r="F16" i="44"/>
  <c r="A16" i="44" s="1"/>
  <c r="E16" i="44"/>
  <c r="B16" i="44"/>
  <c r="C16" i="44" s="1"/>
  <c r="G15" i="44"/>
  <c r="F15" i="44"/>
  <c r="A15" i="44" s="1"/>
  <c r="E15" i="44"/>
  <c r="B15" i="44"/>
  <c r="G14" i="44"/>
  <c r="F14" i="44"/>
  <c r="D14" i="44" s="1"/>
  <c r="E14" i="44"/>
  <c r="B14" i="44"/>
  <c r="G13" i="44"/>
  <c r="F13" i="44"/>
  <c r="E13" i="44"/>
  <c r="B13" i="44"/>
  <c r="G12" i="44"/>
  <c r="F12" i="44"/>
  <c r="D12" i="44" s="1"/>
  <c r="E12" i="44"/>
  <c r="B12" i="44"/>
  <c r="X13" i="44" s="1"/>
  <c r="G11" i="44"/>
  <c r="F11" i="44"/>
  <c r="E11" i="44"/>
  <c r="B11" i="44"/>
  <c r="G10" i="44"/>
  <c r="F10" i="44"/>
  <c r="A10" i="44" s="1"/>
  <c r="E10" i="44"/>
  <c r="B10" i="44"/>
  <c r="G9" i="44"/>
  <c r="F9" i="44"/>
  <c r="A9" i="44" s="1"/>
  <c r="E9" i="44"/>
  <c r="B9" i="44"/>
  <c r="C9" i="44" s="1"/>
  <c r="G8" i="44"/>
  <c r="F8" i="44"/>
  <c r="A8" i="44" s="1"/>
  <c r="E8" i="44"/>
  <c r="B8" i="44"/>
  <c r="G7" i="44"/>
  <c r="F7" i="44"/>
  <c r="D7" i="44" s="1"/>
  <c r="E7" i="44"/>
  <c r="B7" i="44"/>
  <c r="G6" i="44"/>
  <c r="F6" i="44"/>
  <c r="D6" i="44" s="1"/>
  <c r="E6" i="44"/>
  <c r="B6" i="44"/>
  <c r="G5" i="44"/>
  <c r="F5" i="44"/>
  <c r="D5" i="44" s="1"/>
  <c r="E5" i="44"/>
  <c r="B5" i="44"/>
  <c r="G4" i="44"/>
  <c r="F4" i="44"/>
  <c r="A4" i="44" s="1"/>
  <c r="E4" i="44"/>
  <c r="B4" i="44"/>
  <c r="G3" i="44"/>
  <c r="F3" i="44"/>
  <c r="D3" i="44" s="1"/>
  <c r="E3" i="44"/>
  <c r="B3" i="44"/>
  <c r="X82" i="43"/>
  <c r="X83" i="43" s="1"/>
  <c r="X84" i="43" s="1"/>
  <c r="X85" i="43" s="1"/>
  <c r="X86" i="43" s="1"/>
  <c r="X87" i="43" s="1"/>
  <c r="G56" i="43"/>
  <c r="F56" i="43"/>
  <c r="A56" i="43" s="1"/>
  <c r="E56" i="43"/>
  <c r="B56" i="43"/>
  <c r="G55" i="43"/>
  <c r="F55" i="43"/>
  <c r="D55" i="43" s="1"/>
  <c r="E55" i="43"/>
  <c r="B55" i="43"/>
  <c r="C55" i="43" s="1"/>
  <c r="G54" i="43"/>
  <c r="F54" i="43"/>
  <c r="D54" i="43" s="1"/>
  <c r="E54" i="43"/>
  <c r="B54" i="43"/>
  <c r="G53" i="43"/>
  <c r="F53" i="43"/>
  <c r="D53" i="43" s="1"/>
  <c r="E53" i="43"/>
  <c r="B53" i="43"/>
  <c r="C53" i="43" s="1"/>
  <c r="G52" i="43"/>
  <c r="F52" i="43"/>
  <c r="A52" i="43" s="1"/>
  <c r="E52" i="43"/>
  <c r="B52" i="43"/>
  <c r="G51" i="43"/>
  <c r="F51" i="43"/>
  <c r="E51" i="43"/>
  <c r="B51" i="43"/>
  <c r="G50" i="43"/>
  <c r="F50" i="43"/>
  <c r="A50" i="43" s="1"/>
  <c r="E50" i="43"/>
  <c r="B50" i="43"/>
  <c r="C50" i="43" s="1"/>
  <c r="G49" i="43"/>
  <c r="F49" i="43"/>
  <c r="A49" i="43" s="1"/>
  <c r="E49" i="43"/>
  <c r="B49" i="43"/>
  <c r="C49" i="43" s="1"/>
  <c r="G48" i="43"/>
  <c r="F48" i="43"/>
  <c r="A48" i="43" s="1"/>
  <c r="E48" i="43"/>
  <c r="B48" i="43"/>
  <c r="C48" i="43" s="1"/>
  <c r="G47" i="43"/>
  <c r="F47" i="43"/>
  <c r="D47" i="43" s="1"/>
  <c r="E47" i="43"/>
  <c r="B47" i="43"/>
  <c r="C47" i="43" s="1"/>
  <c r="G46" i="43"/>
  <c r="F46" i="43"/>
  <c r="A46" i="43" s="1"/>
  <c r="E46" i="43"/>
  <c r="B46" i="43"/>
  <c r="C46" i="43" s="1"/>
  <c r="G45" i="43"/>
  <c r="F45" i="43"/>
  <c r="D45" i="43" s="1"/>
  <c r="E45" i="43"/>
  <c r="B45" i="43"/>
  <c r="G44" i="43"/>
  <c r="F44" i="43"/>
  <c r="A44" i="43" s="1"/>
  <c r="E44" i="43"/>
  <c r="B44" i="43"/>
  <c r="G43" i="43"/>
  <c r="F43" i="43"/>
  <c r="A43" i="43" s="1"/>
  <c r="E43" i="43"/>
  <c r="B43" i="43"/>
  <c r="C43" i="43" s="1"/>
  <c r="G42" i="43"/>
  <c r="F42" i="43"/>
  <c r="D42" i="43" s="1"/>
  <c r="E42" i="43"/>
  <c r="B42" i="43"/>
  <c r="G41" i="43"/>
  <c r="F41" i="43"/>
  <c r="D41" i="43" s="1"/>
  <c r="E41" i="43"/>
  <c r="B41" i="43"/>
  <c r="G40" i="43"/>
  <c r="F40" i="43"/>
  <c r="E40" i="43"/>
  <c r="B40" i="43"/>
  <c r="C40" i="43" s="1"/>
  <c r="G39" i="43"/>
  <c r="F39" i="43"/>
  <c r="A39" i="43" s="1"/>
  <c r="E39" i="43"/>
  <c r="B39" i="43"/>
  <c r="X40" i="43" s="1"/>
  <c r="G38" i="43"/>
  <c r="F38" i="43"/>
  <c r="D38" i="43" s="1"/>
  <c r="E38" i="43"/>
  <c r="B38" i="43"/>
  <c r="G37" i="43"/>
  <c r="F37" i="43"/>
  <c r="E37" i="43"/>
  <c r="B37" i="43"/>
  <c r="C37" i="43" s="1"/>
  <c r="G36" i="43"/>
  <c r="F36" i="43"/>
  <c r="A36" i="43" s="1"/>
  <c r="E36" i="43"/>
  <c r="B36" i="43"/>
  <c r="G35" i="43"/>
  <c r="F35" i="43"/>
  <c r="E35" i="43"/>
  <c r="B35" i="43"/>
  <c r="G34" i="43"/>
  <c r="F34" i="43"/>
  <c r="D34" i="43" s="1"/>
  <c r="E34" i="43"/>
  <c r="B34" i="43"/>
  <c r="C34" i="43" s="1"/>
  <c r="G33" i="43"/>
  <c r="F33" i="43"/>
  <c r="A33" i="43" s="1"/>
  <c r="E33" i="43"/>
  <c r="B33" i="43"/>
  <c r="G32" i="43"/>
  <c r="F32" i="43"/>
  <c r="A32" i="43" s="1"/>
  <c r="E32" i="43"/>
  <c r="B32" i="43"/>
  <c r="G31" i="43"/>
  <c r="F31" i="43"/>
  <c r="E31" i="43"/>
  <c r="B31" i="43"/>
  <c r="G30" i="43"/>
  <c r="F30" i="43"/>
  <c r="A30" i="43" s="1"/>
  <c r="E30" i="43"/>
  <c r="B30" i="43"/>
  <c r="X31" i="43" s="1"/>
  <c r="G29" i="43"/>
  <c r="F29" i="43"/>
  <c r="D29" i="43" s="1"/>
  <c r="E29" i="43"/>
  <c r="B29" i="43"/>
  <c r="G28" i="43"/>
  <c r="F28" i="43"/>
  <c r="D28" i="43" s="1"/>
  <c r="E28" i="43"/>
  <c r="B28" i="43"/>
  <c r="G27" i="43"/>
  <c r="F27" i="43"/>
  <c r="D27" i="43" s="1"/>
  <c r="E27" i="43"/>
  <c r="B27" i="43"/>
  <c r="C27" i="43" s="1"/>
  <c r="G26" i="43"/>
  <c r="F26" i="43"/>
  <c r="A26" i="43" s="1"/>
  <c r="E26" i="43"/>
  <c r="B26" i="43"/>
  <c r="G25" i="43"/>
  <c r="F25" i="43"/>
  <c r="D25" i="43" s="1"/>
  <c r="E25" i="43"/>
  <c r="B25" i="43"/>
  <c r="C25" i="43" s="1"/>
  <c r="G24" i="43"/>
  <c r="F24" i="43"/>
  <c r="A24" i="43" s="1"/>
  <c r="E24" i="43"/>
  <c r="B24" i="43"/>
  <c r="C24" i="43" s="1"/>
  <c r="G23" i="43"/>
  <c r="F23" i="43"/>
  <c r="A23" i="43" s="1"/>
  <c r="E23" i="43"/>
  <c r="B23" i="43"/>
  <c r="G22" i="43"/>
  <c r="F22" i="43"/>
  <c r="A22" i="43" s="1"/>
  <c r="E22" i="43"/>
  <c r="B22" i="43"/>
  <c r="G21" i="43"/>
  <c r="F21" i="43"/>
  <c r="E21" i="43"/>
  <c r="B21" i="43"/>
  <c r="C21" i="43" s="1"/>
  <c r="G20" i="43"/>
  <c r="F20" i="43"/>
  <c r="A20" i="43" s="1"/>
  <c r="E20" i="43"/>
  <c r="B20" i="43"/>
  <c r="G19" i="43"/>
  <c r="F19" i="43"/>
  <c r="A19" i="43" s="1"/>
  <c r="E19" i="43"/>
  <c r="B19" i="43"/>
  <c r="C19" i="43" s="1"/>
  <c r="G18" i="43"/>
  <c r="F18" i="43"/>
  <c r="D18" i="43" s="1"/>
  <c r="E18" i="43"/>
  <c r="B18" i="43"/>
  <c r="G17" i="43"/>
  <c r="F17" i="43"/>
  <c r="A17" i="43" s="1"/>
  <c r="E17" i="43"/>
  <c r="B17" i="43"/>
  <c r="C17" i="43" s="1"/>
  <c r="G16" i="43"/>
  <c r="F16" i="43"/>
  <c r="D16" i="43" s="1"/>
  <c r="E16" i="43"/>
  <c r="B16" i="43"/>
  <c r="C16" i="43" s="1"/>
  <c r="G15" i="43"/>
  <c r="F15" i="43"/>
  <c r="E15" i="43"/>
  <c r="B15" i="43"/>
  <c r="F14" i="43"/>
  <c r="E14" i="43"/>
  <c r="B14" i="43"/>
  <c r="C14" i="43" s="1"/>
  <c r="G13" i="43"/>
  <c r="F13" i="43"/>
  <c r="D13" i="43" s="1"/>
  <c r="E13" i="43"/>
  <c r="B13" i="43"/>
  <c r="G12" i="43"/>
  <c r="F12" i="43"/>
  <c r="D12" i="43" s="1"/>
  <c r="E12" i="43"/>
  <c r="B12" i="43"/>
  <c r="X13" i="43" s="1"/>
  <c r="G11" i="43"/>
  <c r="F11" i="43"/>
  <c r="D11" i="43" s="1"/>
  <c r="E11" i="43"/>
  <c r="B11" i="43"/>
  <c r="G10" i="43"/>
  <c r="F10" i="43"/>
  <c r="A10" i="43" s="1"/>
  <c r="E10" i="43"/>
  <c r="B10" i="43"/>
  <c r="G9" i="43"/>
  <c r="F9" i="43"/>
  <c r="D9" i="43" s="1"/>
  <c r="E9" i="43"/>
  <c r="B9" i="43"/>
  <c r="G8" i="43"/>
  <c r="F8" i="43"/>
  <c r="D8" i="43" s="1"/>
  <c r="E8" i="43"/>
  <c r="B8" i="43"/>
  <c r="G7" i="43"/>
  <c r="F7" i="43"/>
  <c r="D7" i="43" s="1"/>
  <c r="E7" i="43"/>
  <c r="B7" i="43"/>
  <c r="G6" i="43"/>
  <c r="F6" i="43"/>
  <c r="A6" i="43" s="1"/>
  <c r="E6" i="43"/>
  <c r="B6" i="43"/>
  <c r="G5" i="43"/>
  <c r="F5" i="43"/>
  <c r="D5" i="43" s="1"/>
  <c r="E5" i="43"/>
  <c r="B5" i="43"/>
  <c r="C5" i="43" s="1"/>
  <c r="G4" i="43"/>
  <c r="F4" i="43"/>
  <c r="A4" i="43" s="1"/>
  <c r="E4" i="43"/>
  <c r="B4" i="43"/>
  <c r="C4" i="43" s="1"/>
  <c r="G3" i="43"/>
  <c r="F3" i="43"/>
  <c r="E3" i="43"/>
  <c r="B3" i="43"/>
  <c r="X4" i="43" s="1"/>
  <c r="X82" i="23"/>
  <c r="X83" i="23" s="1"/>
  <c r="X84" i="23" s="1"/>
  <c r="X85" i="23" s="1"/>
  <c r="X86" i="23" s="1"/>
  <c r="X87" i="23" s="1"/>
  <c r="I2" i="1" a="1"/>
  <c r="I2" i="1" s="1"/>
  <c r="G2" i="20" s="1"/>
  <c r="F3" i="23"/>
  <c r="B3" i="23"/>
  <c r="C26" i="1"/>
  <c r="F26" i="1" s="1"/>
  <c r="D40" i="52" l="1"/>
  <c r="D24" i="52"/>
  <c r="A53" i="51"/>
  <c r="A34" i="49"/>
  <c r="D54" i="49"/>
  <c r="A9" i="49"/>
  <c r="A27" i="47"/>
  <c r="D47" i="47"/>
  <c r="A34" i="47"/>
  <c r="D26" i="46"/>
  <c r="D45" i="46"/>
  <c r="D16" i="45"/>
  <c r="D15" i="44"/>
  <c r="D26" i="44"/>
  <c r="D3" i="43"/>
  <c r="D36" i="43"/>
  <c r="C6" i="53"/>
  <c r="AA7" i="53"/>
  <c r="C42" i="53"/>
  <c r="AA43" i="53"/>
  <c r="C51" i="53"/>
  <c r="AA52" i="53"/>
  <c r="C12" i="53"/>
  <c r="AA13" i="53"/>
  <c r="C24" i="53"/>
  <c r="AA25" i="53"/>
  <c r="A6" i="53"/>
  <c r="F3" i="1"/>
  <c r="E3" i="1"/>
  <c r="I26" i="1"/>
  <c r="H26" i="1"/>
  <c r="D37" i="48"/>
  <c r="A45" i="48"/>
  <c r="A3" i="23"/>
  <c r="A15" i="46"/>
  <c r="D55" i="50"/>
  <c r="A11" i="53"/>
  <c r="A28" i="43"/>
  <c r="A45" i="51"/>
  <c r="A14" i="44"/>
  <c r="A30" i="47"/>
  <c r="D55" i="48"/>
  <c r="D16" i="49"/>
  <c r="D18" i="46"/>
  <c r="A7" i="44"/>
  <c r="AA37" i="48"/>
  <c r="D56" i="50"/>
  <c r="A38" i="53"/>
  <c r="A49" i="53"/>
  <c r="D29" i="44"/>
  <c r="A39" i="45"/>
  <c r="A8" i="50"/>
  <c r="D15" i="53"/>
  <c r="A42" i="43"/>
  <c r="D25" i="45"/>
  <c r="D49" i="48"/>
  <c r="A54" i="43"/>
  <c r="A24" i="44"/>
  <c r="A22" i="47"/>
  <c r="C24" i="52"/>
  <c r="A46" i="53"/>
  <c r="A34" i="52"/>
  <c r="A8" i="53"/>
  <c r="D6" i="43"/>
  <c r="C21" i="44"/>
  <c r="D45" i="44"/>
  <c r="D22" i="46"/>
  <c r="C48" i="50"/>
  <c r="D5" i="53"/>
  <c r="A43" i="49"/>
  <c r="A9" i="50"/>
  <c r="D30" i="43"/>
  <c r="D9" i="44"/>
  <c r="A13" i="44"/>
  <c r="A23" i="44"/>
  <c r="D48" i="45"/>
  <c r="A7" i="46"/>
  <c r="C12" i="46"/>
  <c r="A16" i="47"/>
  <c r="D36" i="47"/>
  <c r="A42" i="47"/>
  <c r="A9" i="48"/>
  <c r="A29" i="49"/>
  <c r="C36" i="49"/>
  <c r="A11" i="50"/>
  <c r="D16" i="50"/>
  <c r="D23" i="52"/>
  <c r="D29" i="52"/>
  <c r="C36" i="52"/>
  <c r="C44" i="52"/>
  <c r="D53" i="52"/>
  <c r="D9" i="53"/>
  <c r="D23" i="53"/>
  <c r="C26" i="53"/>
  <c r="C38" i="44"/>
  <c r="D4" i="44"/>
  <c r="D55" i="44"/>
  <c r="D6" i="45"/>
  <c r="A11" i="43"/>
  <c r="A55" i="43"/>
  <c r="C14" i="44"/>
  <c r="A34" i="44"/>
  <c r="A5" i="45"/>
  <c r="A10" i="45"/>
  <c r="D32" i="45"/>
  <c r="C45" i="45"/>
  <c r="D52" i="45"/>
  <c r="D4" i="48"/>
  <c r="A53" i="48"/>
  <c r="A38" i="49"/>
  <c r="D53" i="49"/>
  <c r="A24" i="50"/>
  <c r="A24" i="51"/>
  <c r="D37" i="51"/>
  <c r="C12" i="52"/>
  <c r="D44" i="52"/>
  <c r="A18" i="53"/>
  <c r="A25" i="53"/>
  <c r="D53" i="53"/>
  <c r="A17" i="45"/>
  <c r="D48" i="52"/>
  <c r="D33" i="53"/>
  <c r="D13" i="44"/>
  <c r="D44" i="46"/>
  <c r="D5" i="47"/>
  <c r="D16" i="47"/>
  <c r="D44" i="47"/>
  <c r="D47" i="45"/>
  <c r="A29" i="46"/>
  <c r="A8" i="48"/>
  <c r="A25" i="48"/>
  <c r="C42" i="49"/>
  <c r="A36" i="50"/>
  <c r="A49" i="50"/>
  <c r="C9" i="52"/>
  <c r="D41" i="52"/>
  <c r="A32" i="53"/>
  <c r="D38" i="48"/>
  <c r="D50" i="48"/>
  <c r="D40" i="50"/>
  <c r="C51" i="50"/>
  <c r="D19" i="51"/>
  <c r="D32" i="52"/>
  <c r="C27" i="53"/>
  <c r="C45" i="44"/>
  <c r="A14" i="47"/>
  <c r="A44" i="44"/>
  <c r="X13" i="45"/>
  <c r="D15" i="45"/>
  <c r="A29" i="47"/>
  <c r="D29" i="47"/>
  <c r="A38" i="47"/>
  <c r="A50" i="47"/>
  <c r="A10" i="48"/>
  <c r="D13" i="48"/>
  <c r="A13" i="48"/>
  <c r="A15" i="48"/>
  <c r="D15" i="48"/>
  <c r="C43" i="48"/>
  <c r="X28" i="49"/>
  <c r="C27" i="49"/>
  <c r="D45" i="45"/>
  <c r="D3" i="46"/>
  <c r="X7" i="47"/>
  <c r="C6" i="47"/>
  <c r="D48" i="48"/>
  <c r="X7" i="49"/>
  <c r="C6" i="49"/>
  <c r="A13" i="49"/>
  <c r="X19" i="46"/>
  <c r="C18" i="46"/>
  <c r="A34" i="46"/>
  <c r="D34" i="46"/>
  <c r="AA13" i="48"/>
  <c r="C12" i="48"/>
  <c r="D26" i="45"/>
  <c r="C28" i="45"/>
  <c r="D42" i="45"/>
  <c r="A42" i="45"/>
  <c r="A6" i="49"/>
  <c r="D6" i="49"/>
  <c r="A35" i="45"/>
  <c r="D35" i="45"/>
  <c r="D27" i="46"/>
  <c r="A27" i="46"/>
  <c r="D40" i="48"/>
  <c r="A40" i="48"/>
  <c r="A56" i="45"/>
  <c r="D56" i="45"/>
  <c r="D47" i="46"/>
  <c r="A47" i="46"/>
  <c r="A48" i="46"/>
  <c r="D48" i="46"/>
  <c r="D46" i="47"/>
  <c r="A46" i="47"/>
  <c r="C21" i="48"/>
  <c r="AA40" i="48"/>
  <c r="C6" i="45"/>
  <c r="X7" i="45"/>
  <c r="A29" i="45"/>
  <c r="A30" i="45"/>
  <c r="D30" i="45"/>
  <c r="A16" i="46"/>
  <c r="A52" i="46"/>
  <c r="D52" i="46"/>
  <c r="C5" i="48"/>
  <c r="A46" i="48"/>
  <c r="X19" i="50"/>
  <c r="D48" i="50"/>
  <c r="D53" i="50"/>
  <c r="D55" i="51"/>
  <c r="A36" i="52"/>
  <c r="D14" i="48"/>
  <c r="D21" i="48"/>
  <c r="A33" i="48"/>
  <c r="D34" i="48"/>
  <c r="D10" i="49"/>
  <c r="A20" i="49"/>
  <c r="D10" i="50"/>
  <c r="A20" i="50"/>
  <c r="A25" i="50"/>
  <c r="A50" i="50"/>
  <c r="A18" i="51"/>
  <c r="A36" i="51"/>
  <c r="A46" i="51"/>
  <c r="D49" i="51"/>
  <c r="A6" i="52"/>
  <c r="A16" i="52"/>
  <c r="A28" i="52"/>
  <c r="A7" i="53"/>
  <c r="D45" i="52"/>
  <c r="D47" i="48"/>
  <c r="D15" i="50"/>
  <c r="C25" i="50"/>
  <c r="D32" i="50"/>
  <c r="C21" i="52"/>
  <c r="X22" i="52"/>
  <c r="D47" i="52"/>
  <c r="A4" i="50"/>
  <c r="A27" i="50"/>
  <c r="A10" i="51"/>
  <c r="A7" i="50"/>
  <c r="A44" i="50"/>
  <c r="A11" i="51"/>
  <c r="C12" i="51"/>
  <c r="C20" i="51"/>
  <c r="C30" i="51"/>
  <c r="C38" i="51"/>
  <c r="A53" i="46"/>
  <c r="A17" i="48"/>
  <c r="D26" i="49"/>
  <c r="D39" i="49"/>
  <c r="A46" i="49"/>
  <c r="D20" i="51"/>
  <c r="D38" i="51"/>
  <c r="C50" i="51"/>
  <c r="A43" i="48"/>
  <c r="D41" i="49"/>
  <c r="A26" i="50"/>
  <c r="A38" i="50"/>
  <c r="A43" i="50"/>
  <c r="A4" i="52"/>
  <c r="C25" i="48"/>
  <c r="C48" i="53"/>
  <c r="C24" i="44"/>
  <c r="C36" i="44"/>
  <c r="X46" i="44"/>
  <c r="X37" i="44"/>
  <c r="A53" i="44"/>
  <c r="C31" i="44"/>
  <c r="D10" i="44"/>
  <c r="D16" i="44"/>
  <c r="A38" i="44"/>
  <c r="D18" i="44"/>
  <c r="D19" i="44"/>
  <c r="A21" i="44"/>
  <c r="D24" i="43"/>
  <c r="D39" i="43"/>
  <c r="A41" i="43"/>
  <c r="C6" i="43"/>
  <c r="A8" i="43"/>
  <c r="D4" i="43"/>
  <c r="D26" i="43"/>
  <c r="D33" i="43"/>
  <c r="A53" i="43"/>
  <c r="A27" i="43"/>
  <c r="C20" i="43"/>
  <c r="D50" i="43"/>
  <c r="D56" i="43"/>
  <c r="D20" i="53"/>
  <c r="D21" i="53"/>
  <c r="D27" i="53"/>
  <c r="A43" i="53"/>
  <c r="A44" i="53"/>
  <c r="A45" i="53"/>
  <c r="D3" i="53"/>
  <c r="C5" i="53"/>
  <c r="C8" i="53"/>
  <c r="C18" i="53"/>
  <c r="D56" i="53"/>
  <c r="A14" i="53"/>
  <c r="A39" i="53"/>
  <c r="C43" i="53"/>
  <c r="A55" i="53"/>
  <c r="C28" i="53"/>
  <c r="C38" i="53"/>
  <c r="A40" i="53"/>
  <c r="A42" i="53"/>
  <c r="C14" i="53"/>
  <c r="C22" i="53"/>
  <c r="D30" i="53"/>
  <c r="D43" i="53"/>
  <c r="D22" i="53"/>
  <c r="D10" i="43"/>
  <c r="C32" i="43"/>
  <c r="D37" i="43"/>
  <c r="D43" i="43"/>
  <c r="C44" i="43"/>
  <c r="D46" i="43"/>
  <c r="D20" i="44"/>
  <c r="A46" i="44"/>
  <c r="D9" i="45"/>
  <c r="C18" i="45"/>
  <c r="X49" i="45"/>
  <c r="D49" i="45"/>
  <c r="C29" i="43"/>
  <c r="A12" i="43"/>
  <c r="A13" i="43"/>
  <c r="D19" i="43"/>
  <c r="D20" i="43"/>
  <c r="X28" i="43"/>
  <c r="D22" i="44"/>
  <c r="D3" i="45"/>
  <c r="D4" i="45"/>
  <c r="A9" i="43"/>
  <c r="C11" i="43"/>
  <c r="A18" i="43"/>
  <c r="A29" i="43"/>
  <c r="D32" i="43"/>
  <c r="D44" i="43"/>
  <c r="A3" i="44"/>
  <c r="D17" i="44"/>
  <c r="C37" i="44"/>
  <c r="D39" i="44"/>
  <c r="X43" i="44"/>
  <c r="A56" i="44"/>
  <c r="D56" i="44"/>
  <c r="D13" i="45"/>
  <c r="D34" i="45"/>
  <c r="A34" i="45"/>
  <c r="C40" i="45"/>
  <c r="D55" i="45"/>
  <c r="A5" i="46"/>
  <c r="C6" i="46"/>
  <c r="X10" i="46"/>
  <c r="D21" i="46"/>
  <c r="A21" i="46"/>
  <c r="C29" i="46"/>
  <c r="A19" i="47"/>
  <c r="D19" i="47"/>
  <c r="C32" i="47"/>
  <c r="C35" i="47"/>
  <c r="X19" i="45"/>
  <c r="A11" i="46"/>
  <c r="X37" i="46"/>
  <c r="C36" i="46"/>
  <c r="D10" i="47"/>
  <c r="A10" i="47"/>
  <c r="C28" i="47"/>
  <c r="C37" i="47"/>
  <c r="C3" i="44"/>
  <c r="A11" i="45"/>
  <c r="C17" i="45"/>
  <c r="A20" i="45"/>
  <c r="C24" i="45"/>
  <c r="C25" i="46"/>
  <c r="D15" i="47"/>
  <c r="A15" i="47"/>
  <c r="A23" i="47"/>
  <c r="D23" i="47"/>
  <c r="A32" i="47"/>
  <c r="D32" i="47"/>
  <c r="A6" i="44"/>
  <c r="C27" i="44"/>
  <c r="X19" i="43"/>
  <c r="D22" i="43"/>
  <c r="X25" i="43"/>
  <c r="A38" i="43"/>
  <c r="A47" i="43"/>
  <c r="D8" i="44"/>
  <c r="C12" i="44"/>
  <c r="X25" i="44"/>
  <c r="A30" i="44"/>
  <c r="D33" i="44"/>
  <c r="C42" i="44"/>
  <c r="C48" i="44"/>
  <c r="A49" i="44"/>
  <c r="A50" i="44"/>
  <c r="C20" i="45"/>
  <c r="A22" i="45"/>
  <c r="D22" i="45"/>
  <c r="A27" i="45"/>
  <c r="C38" i="45"/>
  <c r="C42" i="45"/>
  <c r="C50" i="45"/>
  <c r="C9" i="46"/>
  <c r="D14" i="46"/>
  <c r="X34" i="46"/>
  <c r="C33" i="46"/>
  <c r="C34" i="47"/>
  <c r="C22" i="43"/>
  <c r="D17" i="43"/>
  <c r="A22" i="44"/>
  <c r="D25" i="44"/>
  <c r="X31" i="44"/>
  <c r="D42" i="44"/>
  <c r="D48" i="44"/>
  <c r="D51" i="45"/>
  <c r="A51" i="45"/>
  <c r="D9" i="46"/>
  <c r="C44" i="46"/>
  <c r="C13" i="47"/>
  <c r="A39" i="47"/>
  <c r="D39" i="47"/>
  <c r="D7" i="48"/>
  <c r="A37" i="43"/>
  <c r="C18" i="44"/>
  <c r="X22" i="44"/>
  <c r="C30" i="44"/>
  <c r="D31" i="44"/>
  <c r="C27" i="46"/>
  <c r="X28" i="46"/>
  <c r="D40" i="46"/>
  <c r="A42" i="46"/>
  <c r="D42" i="46"/>
  <c r="A31" i="43"/>
  <c r="A12" i="46"/>
  <c r="A19" i="46"/>
  <c r="D19" i="46"/>
  <c r="C30" i="46"/>
  <c r="D11" i="47"/>
  <c r="A25" i="46"/>
  <c r="A41" i="46"/>
  <c r="D9" i="47"/>
  <c r="A9" i="47"/>
  <c r="D55" i="47"/>
  <c r="C14" i="48"/>
  <c r="D20" i="48"/>
  <c r="D24" i="48"/>
  <c r="A29" i="48"/>
  <c r="A35" i="48"/>
  <c r="A44" i="48"/>
  <c r="C45" i="48"/>
  <c r="A3" i="49"/>
  <c r="A17" i="49"/>
  <c r="D17" i="49"/>
  <c r="X25" i="49"/>
  <c r="C24" i="49"/>
  <c r="X7" i="50"/>
  <c r="D42" i="50"/>
  <c r="A42" i="50"/>
  <c r="D8" i="51"/>
  <c r="AA49" i="48"/>
  <c r="C40" i="46"/>
  <c r="A12" i="47"/>
  <c r="D12" i="47"/>
  <c r="C41" i="47"/>
  <c r="A53" i="47"/>
  <c r="A6" i="48"/>
  <c r="A22" i="48"/>
  <c r="A32" i="48"/>
  <c r="A51" i="48"/>
  <c r="A15" i="49"/>
  <c r="C18" i="49"/>
  <c r="X19" i="49"/>
  <c r="A19" i="49"/>
  <c r="D19" i="49"/>
  <c r="X22" i="49"/>
  <c r="C21" i="49"/>
  <c r="C26" i="50"/>
  <c r="C37" i="46"/>
  <c r="C50" i="46"/>
  <c r="A56" i="46"/>
  <c r="D56" i="46"/>
  <c r="C10" i="47"/>
  <c r="A17" i="47"/>
  <c r="D17" i="47"/>
  <c r="A40" i="47"/>
  <c r="C48" i="47"/>
  <c r="C53" i="47"/>
  <c r="A5" i="48"/>
  <c r="D5" i="48"/>
  <c r="A31" i="48"/>
  <c r="C32" i="48"/>
  <c r="A54" i="48"/>
  <c r="D54" i="48"/>
  <c r="D56" i="48"/>
  <c r="C15" i="49"/>
  <c r="C32" i="49"/>
  <c r="C38" i="49"/>
  <c r="A44" i="49"/>
  <c r="D44" i="49"/>
  <c r="C46" i="49"/>
  <c r="D49" i="49"/>
  <c r="A49" i="49"/>
  <c r="D46" i="50"/>
  <c r="A46" i="50"/>
  <c r="C43" i="46"/>
  <c r="D55" i="46"/>
  <c r="C4" i="47"/>
  <c r="X25" i="47"/>
  <c r="A43" i="47"/>
  <c r="A28" i="48"/>
  <c r="D28" i="48"/>
  <c r="C47" i="48"/>
  <c r="A5" i="49"/>
  <c r="D18" i="49"/>
  <c r="A18" i="49"/>
  <c r="D27" i="49"/>
  <c r="A27" i="49"/>
  <c r="C35" i="49"/>
  <c r="A56" i="49"/>
  <c r="D56" i="49"/>
  <c r="C20" i="50"/>
  <c r="C15" i="48"/>
  <c r="C55" i="49"/>
  <c r="C50" i="50"/>
  <c r="AA16" i="48"/>
  <c r="C42" i="48"/>
  <c r="C46" i="48"/>
  <c r="C14" i="49"/>
  <c r="C45" i="49"/>
  <c r="A48" i="49"/>
  <c r="D48" i="49"/>
  <c r="C19" i="50"/>
  <c r="D4" i="51"/>
  <c r="A4" i="51"/>
  <c r="C53" i="46"/>
  <c r="A31" i="47"/>
  <c r="D31" i="47"/>
  <c r="X49" i="47"/>
  <c r="A56" i="47"/>
  <c r="D56" i="47"/>
  <c r="C20" i="48"/>
  <c r="A26" i="48"/>
  <c r="D26" i="48"/>
  <c r="AA43" i="48"/>
  <c r="AA46" i="48"/>
  <c r="A49" i="48"/>
  <c r="C10" i="49"/>
  <c r="D42" i="49"/>
  <c r="D52" i="49"/>
  <c r="C26" i="51"/>
  <c r="A33" i="51"/>
  <c r="D33" i="51"/>
  <c r="C20" i="52"/>
  <c r="C46" i="52"/>
  <c r="A3" i="47"/>
  <c r="A51" i="47"/>
  <c r="A19" i="48"/>
  <c r="D14" i="49"/>
  <c r="A23" i="49"/>
  <c r="A45" i="49"/>
  <c r="A6" i="50"/>
  <c r="D19" i="50"/>
  <c r="D30" i="50"/>
  <c r="D6" i="51"/>
  <c r="A13" i="51"/>
  <c r="A16" i="51"/>
  <c r="A17" i="51"/>
  <c r="X22" i="51"/>
  <c r="A25" i="51"/>
  <c r="D26" i="51"/>
  <c r="C44" i="51"/>
  <c r="A54" i="51"/>
  <c r="D56" i="51"/>
  <c r="C5" i="52"/>
  <c r="C18" i="52"/>
  <c r="C19" i="52"/>
  <c r="C29" i="52"/>
  <c r="C33" i="52"/>
  <c r="X34" i="52"/>
  <c r="C40" i="52"/>
  <c r="C42" i="52"/>
  <c r="A14" i="52"/>
  <c r="A17" i="52"/>
  <c r="A38" i="52"/>
  <c r="D39" i="50"/>
  <c r="C5" i="51"/>
  <c r="A30" i="51"/>
  <c r="D41" i="51"/>
  <c r="A52" i="51"/>
  <c r="A7" i="52"/>
  <c r="A11" i="52"/>
  <c r="A26" i="52"/>
  <c r="A49" i="52"/>
  <c r="A52" i="52"/>
  <c r="D56" i="52"/>
  <c r="C14" i="50"/>
  <c r="D29" i="50"/>
  <c r="A47" i="51"/>
  <c r="D3" i="52"/>
  <c r="D13" i="52"/>
  <c r="C14" i="52"/>
  <c r="C17" i="52"/>
  <c r="C35" i="52"/>
  <c r="C38" i="52"/>
  <c r="X43" i="52"/>
  <c r="A55" i="52"/>
  <c r="A38" i="51"/>
  <c r="D7" i="52"/>
  <c r="D14" i="52"/>
  <c r="D17" i="52"/>
  <c r="X19" i="52"/>
  <c r="D35" i="52"/>
  <c r="D30" i="51"/>
  <c r="A46" i="52"/>
  <c r="X46" i="52"/>
  <c r="A3" i="51"/>
  <c r="D3" i="50"/>
  <c r="D3" i="48"/>
  <c r="A3" i="43"/>
  <c r="C23" i="53"/>
  <c r="C21" i="53"/>
  <c r="C25" i="53"/>
  <c r="C15" i="53"/>
  <c r="C3" i="53"/>
  <c r="D13" i="53"/>
  <c r="A13" i="53"/>
  <c r="C4" i="53"/>
  <c r="D4" i="53"/>
  <c r="A3" i="53"/>
  <c r="A16" i="53"/>
  <c r="A17" i="53"/>
  <c r="A24" i="53"/>
  <c r="C30" i="53"/>
  <c r="C10" i="53"/>
  <c r="C11" i="53"/>
  <c r="C16" i="53"/>
  <c r="D17" i="53"/>
  <c r="A19" i="53"/>
  <c r="D24" i="53"/>
  <c r="D26" i="53"/>
  <c r="C32" i="53"/>
  <c r="D37" i="53"/>
  <c r="A37" i="53"/>
  <c r="C9" i="53"/>
  <c r="C20" i="53"/>
  <c r="A29" i="53"/>
  <c r="D34" i="53"/>
  <c r="A35" i="53"/>
  <c r="C33" i="53"/>
  <c r="C39" i="53"/>
  <c r="A28" i="53"/>
  <c r="D28" i="53"/>
  <c r="D12" i="53"/>
  <c r="D31" i="53"/>
  <c r="A36" i="53"/>
  <c r="A50" i="53"/>
  <c r="C36" i="53"/>
  <c r="D41" i="53"/>
  <c r="D47" i="53"/>
  <c r="A51" i="53"/>
  <c r="D51" i="53"/>
  <c r="C45" i="53"/>
  <c r="D48" i="53"/>
  <c r="C49" i="53"/>
  <c r="A52" i="53"/>
  <c r="C52" i="53"/>
  <c r="A54" i="53"/>
  <c r="C56" i="53"/>
  <c r="C54" i="53"/>
  <c r="C4" i="52"/>
  <c r="X7" i="52"/>
  <c r="C8" i="52"/>
  <c r="D9" i="52"/>
  <c r="D10" i="52"/>
  <c r="C13" i="52"/>
  <c r="C16" i="52"/>
  <c r="D18" i="52"/>
  <c r="X16" i="52"/>
  <c r="D20" i="52"/>
  <c r="A20" i="52"/>
  <c r="A22" i="52"/>
  <c r="D21" i="52"/>
  <c r="C3" i="52"/>
  <c r="A5" i="52"/>
  <c r="C6" i="52"/>
  <c r="A12" i="52"/>
  <c r="C7" i="52"/>
  <c r="A15" i="52"/>
  <c r="C22" i="52"/>
  <c r="D25" i="52"/>
  <c r="A25" i="52"/>
  <c r="C30" i="52"/>
  <c r="X31" i="52"/>
  <c r="C31" i="52"/>
  <c r="C15" i="52"/>
  <c r="C23" i="52"/>
  <c r="D30" i="52"/>
  <c r="A30" i="52"/>
  <c r="D5" i="52"/>
  <c r="C28" i="52"/>
  <c r="A31" i="52"/>
  <c r="D31" i="52"/>
  <c r="C32" i="52"/>
  <c r="A21" i="52"/>
  <c r="A33" i="52"/>
  <c r="C37" i="52"/>
  <c r="C27" i="52"/>
  <c r="X28" i="52"/>
  <c r="C34" i="52"/>
  <c r="D37" i="52"/>
  <c r="A39" i="52"/>
  <c r="D33" i="52"/>
  <c r="A27" i="52"/>
  <c r="D42" i="52"/>
  <c r="A43" i="52"/>
  <c r="X52" i="52"/>
  <c r="C39" i="52"/>
  <c r="C43" i="52"/>
  <c r="A50" i="52"/>
  <c r="C47" i="52"/>
  <c r="A51" i="52"/>
  <c r="D51" i="52"/>
  <c r="X49" i="52"/>
  <c r="D50" i="52"/>
  <c r="C48" i="52"/>
  <c r="C49" i="52"/>
  <c r="C52" i="52"/>
  <c r="A54" i="52"/>
  <c r="X55" i="52"/>
  <c r="C56" i="52"/>
  <c r="C54" i="52"/>
  <c r="C19" i="51"/>
  <c r="C23" i="51"/>
  <c r="X28" i="51"/>
  <c r="C43" i="51"/>
  <c r="C21" i="51"/>
  <c r="C37" i="51"/>
  <c r="X4" i="51"/>
  <c r="C13" i="51"/>
  <c r="C6" i="51"/>
  <c r="X7" i="51"/>
  <c r="A8" i="51"/>
  <c r="C18" i="51"/>
  <c r="X19" i="51"/>
  <c r="C3" i="51"/>
  <c r="D7" i="51"/>
  <c r="D14" i="51"/>
  <c r="C15" i="51"/>
  <c r="X16" i="51"/>
  <c r="D5" i="51"/>
  <c r="A5" i="51"/>
  <c r="C11" i="51"/>
  <c r="C4" i="51"/>
  <c r="D15" i="51"/>
  <c r="A15" i="51"/>
  <c r="X10" i="51"/>
  <c r="C9" i="51"/>
  <c r="A14" i="51"/>
  <c r="C17" i="51"/>
  <c r="A27" i="51"/>
  <c r="D27" i="51"/>
  <c r="C29" i="51"/>
  <c r="C31" i="51"/>
  <c r="C16" i="51"/>
  <c r="C22" i="51"/>
  <c r="A23" i="51"/>
  <c r="D23" i="51"/>
  <c r="C25" i="51"/>
  <c r="C32" i="51"/>
  <c r="C8" i="51"/>
  <c r="D9" i="51"/>
  <c r="C10" i="51"/>
  <c r="D21" i="51"/>
  <c r="X25" i="51"/>
  <c r="C24" i="51"/>
  <c r="C28" i="51"/>
  <c r="D29" i="51"/>
  <c r="A29" i="51"/>
  <c r="X34" i="51"/>
  <c r="C33" i="51"/>
  <c r="D32" i="51"/>
  <c r="A32" i="51"/>
  <c r="A12" i="51"/>
  <c r="A22" i="51"/>
  <c r="D40" i="51"/>
  <c r="X46" i="51"/>
  <c r="C45" i="51"/>
  <c r="C46" i="51"/>
  <c r="A31" i="51"/>
  <c r="C36" i="51"/>
  <c r="A42" i="51"/>
  <c r="A35" i="51"/>
  <c r="X37" i="51"/>
  <c r="A39" i="51"/>
  <c r="C42" i="51"/>
  <c r="X43" i="51"/>
  <c r="D43" i="51"/>
  <c r="A43" i="51"/>
  <c r="A34" i="51"/>
  <c r="X40" i="51"/>
  <c r="C39" i="51"/>
  <c r="A40" i="51"/>
  <c r="C41" i="51"/>
  <c r="D28" i="51"/>
  <c r="C35" i="51"/>
  <c r="C48" i="51"/>
  <c r="D44" i="51"/>
  <c r="D47" i="51"/>
  <c r="D48" i="51"/>
  <c r="X49" i="51"/>
  <c r="A50" i="51"/>
  <c r="X52" i="51"/>
  <c r="C51" i="51"/>
  <c r="A51" i="51"/>
  <c r="D51" i="51"/>
  <c r="C49" i="51"/>
  <c r="C52" i="51"/>
  <c r="X55" i="51"/>
  <c r="C56" i="51"/>
  <c r="C54" i="51"/>
  <c r="C11" i="50"/>
  <c r="C9" i="50"/>
  <c r="C45" i="50"/>
  <c r="C27" i="50"/>
  <c r="C24" i="50"/>
  <c r="C30" i="50"/>
  <c r="X31" i="50"/>
  <c r="D35" i="50"/>
  <c r="A35" i="50"/>
  <c r="A31" i="50"/>
  <c r="C12" i="50"/>
  <c r="C3" i="50"/>
  <c r="A5" i="50"/>
  <c r="C6" i="50"/>
  <c r="C23" i="50"/>
  <c r="X28" i="50"/>
  <c r="C31" i="50"/>
  <c r="A33" i="50"/>
  <c r="D33" i="50"/>
  <c r="C8" i="50"/>
  <c r="C16" i="50"/>
  <c r="C7" i="50"/>
  <c r="D13" i="50"/>
  <c r="D23" i="50"/>
  <c r="X10" i="50"/>
  <c r="X13" i="50"/>
  <c r="A14" i="50"/>
  <c r="X4" i="50"/>
  <c r="A21" i="50"/>
  <c r="A28" i="50"/>
  <c r="D5" i="50"/>
  <c r="D14" i="50"/>
  <c r="D17" i="50"/>
  <c r="A18" i="50"/>
  <c r="X22" i="50"/>
  <c r="C21" i="50"/>
  <c r="C28" i="50"/>
  <c r="C4" i="50"/>
  <c r="C15" i="50"/>
  <c r="D22" i="50"/>
  <c r="X25" i="50"/>
  <c r="C32" i="50"/>
  <c r="C36" i="50"/>
  <c r="X37" i="50"/>
  <c r="C40" i="50"/>
  <c r="D34" i="50"/>
  <c r="X40" i="50"/>
  <c r="C39" i="50"/>
  <c r="D41" i="50"/>
  <c r="A41" i="50"/>
  <c r="C33" i="50"/>
  <c r="X34" i="50"/>
  <c r="D37" i="50"/>
  <c r="C42" i="50"/>
  <c r="A47" i="50"/>
  <c r="C38" i="50"/>
  <c r="C43" i="50"/>
  <c r="C52" i="50"/>
  <c r="A45" i="50"/>
  <c r="X46" i="50"/>
  <c r="A51" i="50"/>
  <c r="D51" i="50"/>
  <c r="D52" i="50"/>
  <c r="A52" i="50"/>
  <c r="C49" i="50"/>
  <c r="A54" i="50"/>
  <c r="X55" i="50"/>
  <c r="C56" i="50"/>
  <c r="C54" i="50"/>
  <c r="X46" i="49"/>
  <c r="C11" i="49"/>
  <c r="X16" i="49"/>
  <c r="C7" i="49"/>
  <c r="C19" i="49"/>
  <c r="C17" i="49"/>
  <c r="D28" i="49"/>
  <c r="A28" i="49"/>
  <c r="X31" i="49"/>
  <c r="C13" i="49"/>
  <c r="C9" i="49"/>
  <c r="D11" i="49"/>
  <c r="C23" i="49"/>
  <c r="C30" i="49"/>
  <c r="A8" i="49"/>
  <c r="X10" i="49"/>
  <c r="X13" i="49"/>
  <c r="C20" i="49"/>
  <c r="D24" i="49"/>
  <c r="C25" i="49"/>
  <c r="A12" i="49"/>
  <c r="A22" i="49"/>
  <c r="A30" i="49"/>
  <c r="D30" i="49"/>
  <c r="A4" i="49"/>
  <c r="C8" i="49"/>
  <c r="D21" i="49"/>
  <c r="C22" i="49"/>
  <c r="D25" i="49"/>
  <c r="A25" i="49"/>
  <c r="C3" i="49"/>
  <c r="A7" i="49"/>
  <c r="C26" i="49"/>
  <c r="C43" i="49"/>
  <c r="C44" i="49"/>
  <c r="A32" i="49"/>
  <c r="C34" i="49"/>
  <c r="D37" i="49"/>
  <c r="D31" i="49"/>
  <c r="C39" i="49"/>
  <c r="D40" i="49"/>
  <c r="D47" i="49"/>
  <c r="A47" i="49"/>
  <c r="D32" i="49"/>
  <c r="D35" i="49"/>
  <c r="A36" i="49"/>
  <c r="C29" i="49"/>
  <c r="C33" i="49"/>
  <c r="D33" i="49"/>
  <c r="C48" i="49"/>
  <c r="C49" i="49"/>
  <c r="C54" i="49"/>
  <c r="X55" i="49"/>
  <c r="X52" i="49"/>
  <c r="C51" i="49"/>
  <c r="A51" i="49"/>
  <c r="D51" i="49"/>
  <c r="X49" i="49"/>
  <c r="D50" i="49"/>
  <c r="A52" i="49"/>
  <c r="C52" i="49"/>
  <c r="C56" i="49"/>
  <c r="C3" i="48"/>
  <c r="C6" i="48"/>
  <c r="C11" i="48"/>
  <c r="C9" i="48"/>
  <c r="D11" i="48"/>
  <c r="D12" i="48"/>
  <c r="A3" i="48"/>
  <c r="A7" i="48"/>
  <c r="C18" i="48"/>
  <c r="AA19" i="48"/>
  <c r="C4" i="48"/>
  <c r="AA4" i="48"/>
  <c r="AA7" i="48"/>
  <c r="C16" i="48"/>
  <c r="D16" i="48"/>
  <c r="D18" i="48"/>
  <c r="A18" i="48"/>
  <c r="C8" i="48"/>
  <c r="C7" i="48"/>
  <c r="C26" i="48"/>
  <c r="AA31" i="48"/>
  <c r="AA34" i="48"/>
  <c r="C40" i="48"/>
  <c r="C34" i="48"/>
  <c r="C28" i="48"/>
  <c r="C29" i="48"/>
  <c r="D30" i="48"/>
  <c r="A30" i="48"/>
  <c r="AA22" i="48"/>
  <c r="C23" i="48"/>
  <c r="AA25" i="48"/>
  <c r="C24" i="48"/>
  <c r="C31" i="48"/>
  <c r="D41" i="48"/>
  <c r="A41" i="48"/>
  <c r="D23" i="48"/>
  <c r="C35" i="48"/>
  <c r="D36" i="48"/>
  <c r="C37" i="48"/>
  <c r="A39" i="48"/>
  <c r="C44" i="48"/>
  <c r="A27" i="48"/>
  <c r="AA28" i="48"/>
  <c r="D32" i="48"/>
  <c r="C38" i="48"/>
  <c r="D39" i="48"/>
  <c r="D42" i="48"/>
  <c r="C48" i="48"/>
  <c r="C49" i="48"/>
  <c r="A52" i="48"/>
  <c r="C54" i="48"/>
  <c r="AA55" i="48"/>
  <c r="C51" i="48"/>
  <c r="C52" i="48"/>
  <c r="C56" i="48"/>
  <c r="C15" i="47"/>
  <c r="C3" i="47"/>
  <c r="C23" i="47"/>
  <c r="D33" i="47"/>
  <c r="A33" i="47"/>
  <c r="D6" i="47"/>
  <c r="C7" i="47"/>
  <c r="D8" i="47"/>
  <c r="X13" i="47"/>
  <c r="D26" i="47"/>
  <c r="X28" i="47"/>
  <c r="X4" i="47"/>
  <c r="C5" i="47"/>
  <c r="D7" i="47"/>
  <c r="D13" i="47"/>
  <c r="X16" i="47"/>
  <c r="C19" i="47"/>
  <c r="A4" i="47"/>
  <c r="C9" i="47"/>
  <c r="X10" i="47"/>
  <c r="C16" i="47"/>
  <c r="D18" i="47"/>
  <c r="D20" i="47"/>
  <c r="A20" i="47"/>
  <c r="C22" i="47"/>
  <c r="C30" i="47"/>
  <c r="X31" i="47"/>
  <c r="C12" i="47"/>
  <c r="A21" i="47"/>
  <c r="D24" i="47"/>
  <c r="X40" i="47"/>
  <c r="C39" i="47"/>
  <c r="C42" i="47"/>
  <c r="X43" i="47"/>
  <c r="A25" i="47"/>
  <c r="A28" i="47"/>
  <c r="C40" i="47"/>
  <c r="C21" i="47"/>
  <c r="C47" i="47"/>
  <c r="X19" i="47"/>
  <c r="C20" i="47"/>
  <c r="C25" i="47"/>
  <c r="D28" i="47"/>
  <c r="A37" i="47"/>
  <c r="A41" i="47"/>
  <c r="D41" i="47"/>
  <c r="C33" i="47"/>
  <c r="X34" i="47"/>
  <c r="A35" i="47"/>
  <c r="C36" i="47"/>
  <c r="A45" i="47"/>
  <c r="X46" i="47"/>
  <c r="D49" i="47"/>
  <c r="X52" i="47"/>
  <c r="C51" i="47"/>
  <c r="C44" i="47"/>
  <c r="C46" i="47"/>
  <c r="A52" i="47"/>
  <c r="X37" i="47"/>
  <c r="C38" i="47"/>
  <c r="C43" i="47"/>
  <c r="D50" i="47"/>
  <c r="D48" i="47"/>
  <c r="C49" i="47"/>
  <c r="C52" i="47"/>
  <c r="X55" i="47"/>
  <c r="C56" i="47"/>
  <c r="C54" i="47"/>
  <c r="C5" i="46"/>
  <c r="C4" i="46"/>
  <c r="D8" i="46"/>
  <c r="D13" i="46"/>
  <c r="X16" i="46"/>
  <c r="X22" i="46"/>
  <c r="C21" i="46"/>
  <c r="C3" i="46"/>
  <c r="D6" i="46"/>
  <c r="D10" i="46"/>
  <c r="A20" i="46"/>
  <c r="C23" i="46"/>
  <c r="X25" i="46"/>
  <c r="C24" i="46"/>
  <c r="C15" i="46"/>
  <c r="D17" i="46"/>
  <c r="D23" i="46"/>
  <c r="A23" i="46"/>
  <c r="D20" i="46"/>
  <c r="D4" i="46"/>
  <c r="C22" i="46"/>
  <c r="C7" i="46"/>
  <c r="C8" i="46"/>
  <c r="C13" i="46"/>
  <c r="D28" i="46"/>
  <c r="D24" i="46"/>
  <c r="X31" i="46"/>
  <c r="C34" i="46"/>
  <c r="D35" i="46"/>
  <c r="A35" i="46"/>
  <c r="D37" i="46"/>
  <c r="A37" i="46"/>
  <c r="C39" i="46"/>
  <c r="X40" i="46"/>
  <c r="D30" i="46"/>
  <c r="C31" i="46"/>
  <c r="D39" i="46"/>
  <c r="A43" i="46"/>
  <c r="D43" i="46"/>
  <c r="X46" i="46"/>
  <c r="C45" i="46"/>
  <c r="A38" i="46"/>
  <c r="D31" i="46"/>
  <c r="A31" i="46"/>
  <c r="A33" i="46"/>
  <c r="A36" i="46"/>
  <c r="A32" i="46"/>
  <c r="C32" i="46"/>
  <c r="C35" i="46"/>
  <c r="D36" i="46"/>
  <c r="C41" i="46"/>
  <c r="D49" i="46"/>
  <c r="A46" i="46"/>
  <c r="X49" i="46"/>
  <c r="A50" i="46"/>
  <c r="X52" i="46"/>
  <c r="C51" i="46"/>
  <c r="X43" i="46"/>
  <c r="A51" i="46"/>
  <c r="D51" i="46"/>
  <c r="C42" i="46"/>
  <c r="C49" i="46"/>
  <c r="C52" i="46"/>
  <c r="A54" i="46"/>
  <c r="X55" i="46"/>
  <c r="C56" i="46"/>
  <c r="C54" i="46"/>
  <c r="X28" i="45"/>
  <c r="C21" i="45"/>
  <c r="C27" i="45"/>
  <c r="C43" i="45"/>
  <c r="C11" i="45"/>
  <c r="X22" i="45"/>
  <c r="C33" i="45"/>
  <c r="C4" i="45"/>
  <c r="C5" i="45"/>
  <c r="A12" i="45"/>
  <c r="D12" i="45"/>
  <c r="D18" i="45"/>
  <c r="C22" i="45"/>
  <c r="A8" i="45"/>
  <c r="A14" i="45"/>
  <c r="D21" i="45"/>
  <c r="X4" i="45"/>
  <c r="X10" i="45"/>
  <c r="X16" i="45"/>
  <c r="C19" i="45"/>
  <c r="A7" i="45"/>
  <c r="C3" i="45"/>
  <c r="D7" i="45"/>
  <c r="C9" i="45"/>
  <c r="D19" i="45"/>
  <c r="D23" i="45"/>
  <c r="A23" i="45"/>
  <c r="C13" i="45"/>
  <c r="A18" i="45"/>
  <c r="A24" i="45"/>
  <c r="C10" i="45"/>
  <c r="C26" i="45"/>
  <c r="D28" i="45"/>
  <c r="D33" i="45"/>
  <c r="D37" i="45"/>
  <c r="A37" i="45"/>
  <c r="C32" i="45"/>
  <c r="C23" i="45"/>
  <c r="D31" i="45"/>
  <c r="A36" i="45"/>
  <c r="X31" i="45"/>
  <c r="A40" i="45"/>
  <c r="C29" i="45"/>
  <c r="C39" i="45"/>
  <c r="X40" i="45"/>
  <c r="X34" i="45"/>
  <c r="C34" i="45"/>
  <c r="C41" i="45"/>
  <c r="D38" i="45"/>
  <c r="D43" i="45"/>
  <c r="A46" i="45"/>
  <c r="A50" i="45"/>
  <c r="C36" i="45"/>
  <c r="D41" i="45"/>
  <c r="A44" i="45"/>
  <c r="X43" i="45"/>
  <c r="C49" i="45"/>
  <c r="D44" i="45"/>
  <c r="C48" i="45"/>
  <c r="C51" i="45"/>
  <c r="C52" i="45"/>
  <c r="A54" i="45"/>
  <c r="X55" i="45"/>
  <c r="C56" i="45"/>
  <c r="C54" i="45"/>
  <c r="C5" i="44"/>
  <c r="C10" i="44"/>
  <c r="C20" i="44"/>
  <c r="C6" i="44"/>
  <c r="C8" i="44"/>
  <c r="D11" i="44"/>
  <c r="A11" i="44"/>
  <c r="A12" i="44"/>
  <c r="C13" i="44"/>
  <c r="X7" i="44"/>
  <c r="C7" i="44"/>
  <c r="C4" i="44"/>
  <c r="X4" i="44"/>
  <c r="A5" i="44"/>
  <c r="C11" i="44"/>
  <c r="X16" i="44"/>
  <c r="C15" i="44"/>
  <c r="D28" i="44"/>
  <c r="A28" i="44"/>
  <c r="D27" i="44"/>
  <c r="A27" i="44"/>
  <c r="C29" i="44"/>
  <c r="C32" i="44"/>
  <c r="D32" i="44"/>
  <c r="X34" i="44"/>
  <c r="C33" i="44"/>
  <c r="X10" i="44"/>
  <c r="C28" i="44"/>
  <c r="D35" i="44"/>
  <c r="D37" i="44"/>
  <c r="A36" i="44"/>
  <c r="C39" i="44"/>
  <c r="X40" i="44"/>
  <c r="A43" i="44"/>
  <c r="D43" i="44"/>
  <c r="D47" i="44"/>
  <c r="D36" i="44"/>
  <c r="C44" i="44"/>
  <c r="C46" i="44"/>
  <c r="A40" i="44"/>
  <c r="C41" i="44"/>
  <c r="C40" i="44"/>
  <c r="D41" i="44"/>
  <c r="A42" i="44"/>
  <c r="X52" i="44"/>
  <c r="C54" i="44"/>
  <c r="X55" i="44"/>
  <c r="C47" i="44"/>
  <c r="C51" i="44"/>
  <c r="D54" i="44"/>
  <c r="A54" i="44"/>
  <c r="A51" i="44"/>
  <c r="D51" i="44"/>
  <c r="C49" i="44"/>
  <c r="A52" i="44"/>
  <c r="C52" i="44"/>
  <c r="C56" i="44"/>
  <c r="C35" i="43"/>
  <c r="C3" i="43"/>
  <c r="C31" i="43"/>
  <c r="C41" i="43"/>
  <c r="A5" i="43"/>
  <c r="C9" i="43"/>
  <c r="A14" i="43"/>
  <c r="C8" i="43"/>
  <c r="X7" i="43"/>
  <c r="X16" i="43"/>
  <c r="C15" i="43"/>
  <c r="X10" i="43"/>
  <c r="D14" i="43"/>
  <c r="A7" i="43"/>
  <c r="A15" i="43"/>
  <c r="D15" i="43"/>
  <c r="C7" i="43"/>
  <c r="C10" i="43"/>
  <c r="C18" i="43"/>
  <c r="C23" i="43"/>
  <c r="C12" i="43"/>
  <c r="D23" i="43"/>
  <c r="A21" i="43"/>
  <c r="C26" i="43"/>
  <c r="A25" i="43"/>
  <c r="C13" i="43"/>
  <c r="A16" i="43"/>
  <c r="D21" i="43"/>
  <c r="C28" i="43"/>
  <c r="X22" i="43"/>
  <c r="A40" i="43"/>
  <c r="C33" i="43"/>
  <c r="C42" i="43"/>
  <c r="X43" i="43"/>
  <c r="D35" i="43"/>
  <c r="D40" i="43"/>
  <c r="C30" i="43"/>
  <c r="A34" i="43"/>
  <c r="C36" i="43"/>
  <c r="C39" i="43"/>
  <c r="X34" i="43"/>
  <c r="C38" i="43"/>
  <c r="D31" i="43"/>
  <c r="A35" i="43"/>
  <c r="X37" i="43"/>
  <c r="C45" i="43"/>
  <c r="X46" i="43"/>
  <c r="D52" i="43"/>
  <c r="A45" i="43"/>
  <c r="X52" i="43"/>
  <c r="C51" i="43"/>
  <c r="D48" i="43"/>
  <c r="X49" i="43"/>
  <c r="D49" i="43"/>
  <c r="A51" i="43"/>
  <c r="D51" i="43"/>
  <c r="C52" i="43"/>
  <c r="X55" i="43"/>
  <c r="C56" i="43"/>
  <c r="C54" i="43"/>
  <c r="D3" i="23"/>
  <c r="A1" i="38"/>
  <c r="C39" i="1"/>
  <c r="F39" i="1" s="1"/>
  <c r="D25" i="1"/>
  <c r="M22" i="38"/>
  <c r="I39" i="1" l="1"/>
  <c r="F16" i="1"/>
  <c r="E16" i="1"/>
  <c r="H39" i="1"/>
  <c r="V2" i="20"/>
  <c r="F317" i="20"/>
  <c r="F318" i="20"/>
  <c r="F319" i="20"/>
  <c r="F320" i="20"/>
  <c r="T320" i="20" s="1"/>
  <c r="F321" i="20"/>
  <c r="T321" i="20" s="1"/>
  <c r="F322" i="20"/>
  <c r="T322" i="20" s="1"/>
  <c r="F323" i="20"/>
  <c r="T323" i="20" s="1"/>
  <c r="F324" i="20"/>
  <c r="T324" i="20" s="1"/>
  <c r="F325" i="20"/>
  <c r="F326" i="20"/>
  <c r="F327" i="20"/>
  <c r="F328" i="20"/>
  <c r="T328" i="20" s="1"/>
  <c r="F329" i="20"/>
  <c r="T329" i="20" s="1"/>
  <c r="F330" i="20"/>
  <c r="T330" i="20" s="1"/>
  <c r="F331" i="20"/>
  <c r="T331" i="20" s="1"/>
  <c r="F332" i="20"/>
  <c r="T332" i="20" s="1"/>
  <c r="F333" i="20"/>
  <c r="F334" i="20"/>
  <c r="F335" i="20"/>
  <c r="F336" i="20"/>
  <c r="T336" i="20" s="1"/>
  <c r="F337" i="20"/>
  <c r="T337" i="20" s="1"/>
  <c r="F12" i="23"/>
  <c r="F13" i="23"/>
  <c r="F14" i="23"/>
  <c r="F15" i="23"/>
  <c r="F16" i="23"/>
  <c r="F17" i="23"/>
  <c r="F18" i="23"/>
  <c r="F19" i="23"/>
  <c r="F20" i="23"/>
  <c r="F21" i="23"/>
  <c r="F22" i="23"/>
  <c r="F23" i="23"/>
  <c r="F24" i="23"/>
  <c r="F25" i="23"/>
  <c r="F26" i="23"/>
  <c r="F27" i="23"/>
  <c r="F28" i="23"/>
  <c r="F29" i="23"/>
  <c r="F30" i="23"/>
  <c r="F31" i="23"/>
  <c r="F32" i="23"/>
  <c r="F33" i="23"/>
  <c r="F34" i="23"/>
  <c r="F35" i="23"/>
  <c r="F36" i="23"/>
  <c r="F37" i="23"/>
  <c r="F38" i="23"/>
  <c r="F39" i="23"/>
  <c r="F40" i="23"/>
  <c r="F41" i="23"/>
  <c r="F42" i="23"/>
  <c r="F43" i="23"/>
  <c r="F44" i="23"/>
  <c r="F45" i="23"/>
  <c r="F46" i="23"/>
  <c r="F47" i="23"/>
  <c r="F48" i="23"/>
  <c r="F49" i="23"/>
  <c r="F50" i="23"/>
  <c r="F51" i="23"/>
  <c r="F52" i="23"/>
  <c r="F53" i="23"/>
  <c r="F54" i="23"/>
  <c r="F55" i="23"/>
  <c r="F56" i="23"/>
  <c r="F4" i="23"/>
  <c r="F5" i="23"/>
  <c r="F6" i="23"/>
  <c r="F7" i="23"/>
  <c r="F8" i="23"/>
  <c r="F9" i="23"/>
  <c r="F10" i="23"/>
  <c r="F11" i="23"/>
  <c r="E16" i="23"/>
  <c r="E17" i="23"/>
  <c r="E18" i="23"/>
  <c r="E19" i="23"/>
  <c r="E20" i="23"/>
  <c r="E21" i="23"/>
  <c r="E22" i="23"/>
  <c r="E23" i="23"/>
  <c r="E24" i="23"/>
  <c r="E25" i="23"/>
  <c r="E26" i="23"/>
  <c r="E27" i="23"/>
  <c r="E28" i="23"/>
  <c r="E29" i="23"/>
  <c r="E30" i="23"/>
  <c r="E31" i="23"/>
  <c r="E32" i="23"/>
  <c r="E33" i="23"/>
  <c r="C21" i="38" s="1"/>
  <c r="E34" i="23"/>
  <c r="C22" i="38" s="1"/>
  <c r="E35" i="23"/>
  <c r="C23" i="38" s="1"/>
  <c r="E36" i="23"/>
  <c r="C24" i="38" s="1"/>
  <c r="E37" i="23"/>
  <c r="C25" i="38" s="1"/>
  <c r="E38" i="23"/>
  <c r="C26" i="38" s="1"/>
  <c r="E39" i="23"/>
  <c r="E40" i="23"/>
  <c r="E41" i="23"/>
  <c r="E42" i="23"/>
  <c r="C27" i="38" s="1"/>
  <c r="E43" i="23"/>
  <c r="C28" i="38" s="1"/>
  <c r="E44" i="23"/>
  <c r="C29" i="38" s="1"/>
  <c r="E45" i="23"/>
  <c r="C30" i="38" s="1"/>
  <c r="E46" i="23"/>
  <c r="C31" i="38" s="1"/>
  <c r="E47" i="23"/>
  <c r="C32" i="38" s="1"/>
  <c r="E48" i="23"/>
  <c r="E49" i="23"/>
  <c r="E50" i="23"/>
  <c r="E51" i="23"/>
  <c r="C33" i="38" s="1"/>
  <c r="E52" i="23"/>
  <c r="C34" i="38" s="1"/>
  <c r="E53" i="23"/>
  <c r="C35" i="38" s="1"/>
  <c r="E54" i="23"/>
  <c r="C36" i="38" s="1"/>
  <c r="E55" i="23"/>
  <c r="C37" i="38" s="1"/>
  <c r="E56" i="23"/>
  <c r="C38" i="38" s="1"/>
  <c r="E4" i="23"/>
  <c r="E5" i="23"/>
  <c r="E6" i="23"/>
  <c r="C3" i="38" s="1"/>
  <c r="E7" i="23"/>
  <c r="C4" i="38" s="1"/>
  <c r="E8" i="23"/>
  <c r="C5" i="38" s="1"/>
  <c r="E9" i="23"/>
  <c r="C6" i="38" s="1"/>
  <c r="E10" i="23"/>
  <c r="C7" i="38" s="1"/>
  <c r="E11" i="23"/>
  <c r="C8" i="38" s="1"/>
  <c r="E12" i="23"/>
  <c r="E13" i="23"/>
  <c r="E14" i="23"/>
  <c r="E15" i="23"/>
  <c r="E3" i="23"/>
  <c r="G19" i="23"/>
  <c r="G20" i="23"/>
  <c r="G21" i="23"/>
  <c r="G22" i="23"/>
  <c r="G23" i="23"/>
  <c r="G24" i="23"/>
  <c r="G25" i="23"/>
  <c r="G26" i="23"/>
  <c r="G27" i="23"/>
  <c r="G28" i="23"/>
  <c r="G29" i="23"/>
  <c r="G30" i="23"/>
  <c r="G31" i="23"/>
  <c r="G32" i="23"/>
  <c r="G33" i="23"/>
  <c r="G34" i="23"/>
  <c r="G35" i="23"/>
  <c r="G36" i="23"/>
  <c r="G37" i="23"/>
  <c r="G38" i="23"/>
  <c r="G39" i="23"/>
  <c r="G40" i="23"/>
  <c r="G41" i="23"/>
  <c r="G42" i="23"/>
  <c r="G43" i="23"/>
  <c r="G44" i="23"/>
  <c r="G45" i="23"/>
  <c r="G46" i="23"/>
  <c r="G47" i="23"/>
  <c r="G48" i="23"/>
  <c r="G49" i="23"/>
  <c r="G50" i="23"/>
  <c r="G51" i="23"/>
  <c r="G52" i="23"/>
  <c r="G53" i="23"/>
  <c r="G54" i="23"/>
  <c r="G55" i="23"/>
  <c r="G56" i="23"/>
  <c r="G16" i="23"/>
  <c r="B25" i="23"/>
  <c r="B26" i="23"/>
  <c r="B20" i="38" s="1"/>
  <c r="B27" i="23"/>
  <c r="X28" i="23" s="1"/>
  <c r="B28" i="23"/>
  <c r="C28" i="23" s="1"/>
  <c r="B29" i="23"/>
  <c r="B30" i="23"/>
  <c r="C30" i="23" s="1"/>
  <c r="B31" i="23"/>
  <c r="B32" i="23"/>
  <c r="B23" i="38" s="1"/>
  <c r="B33" i="23"/>
  <c r="B34" i="23"/>
  <c r="B25" i="38" s="1"/>
  <c r="B35" i="23"/>
  <c r="B36" i="23"/>
  <c r="X37" i="23" s="1"/>
  <c r="B37" i="23"/>
  <c r="B38" i="23"/>
  <c r="C38" i="23" s="1"/>
  <c r="B39" i="23"/>
  <c r="B40" i="23"/>
  <c r="B28" i="38" s="1"/>
  <c r="B41" i="23"/>
  <c r="B42" i="23"/>
  <c r="C42" i="23" s="1"/>
  <c r="B43" i="23"/>
  <c r="B44" i="23"/>
  <c r="B32" i="38" s="1"/>
  <c r="B45" i="23"/>
  <c r="X46" i="23" s="1"/>
  <c r="B46" i="23"/>
  <c r="C46" i="23" s="1"/>
  <c r="B47" i="23"/>
  <c r="B48" i="23"/>
  <c r="C48" i="23" s="1"/>
  <c r="B49" i="23"/>
  <c r="B50" i="23"/>
  <c r="B35" i="38" s="1"/>
  <c r="B51" i="23"/>
  <c r="B52" i="23"/>
  <c r="B37" i="38" s="1"/>
  <c r="B53" i="23"/>
  <c r="B54" i="23"/>
  <c r="X55" i="23" s="1"/>
  <c r="B55" i="23"/>
  <c r="B56" i="23"/>
  <c r="C56" i="23" s="1"/>
  <c r="B19" i="23"/>
  <c r="B20" i="23"/>
  <c r="B14" i="38" s="1"/>
  <c r="B21" i="23"/>
  <c r="B22" i="23"/>
  <c r="B16" i="38" s="1"/>
  <c r="B23" i="23"/>
  <c r="C23" i="23" s="1"/>
  <c r="B24" i="23"/>
  <c r="C24" i="23" s="1"/>
  <c r="G3" i="23"/>
  <c r="G4" i="23"/>
  <c r="G5" i="23"/>
  <c r="G6" i="23"/>
  <c r="G7" i="23"/>
  <c r="G8" i="23"/>
  <c r="G9" i="23"/>
  <c r="G10" i="23"/>
  <c r="G11" i="23"/>
  <c r="G12" i="23"/>
  <c r="G13" i="23"/>
  <c r="G14" i="23"/>
  <c r="G15" i="23"/>
  <c r="G17" i="23"/>
  <c r="G18" i="23"/>
  <c r="B12" i="23"/>
  <c r="X13" i="23" s="1"/>
  <c r="B13" i="23"/>
  <c r="B14" i="23"/>
  <c r="C14" i="23" s="1"/>
  <c r="B15" i="23"/>
  <c r="B16" i="23"/>
  <c r="B10" i="38" s="1"/>
  <c r="B17" i="23"/>
  <c r="B18" i="23"/>
  <c r="B4" i="23"/>
  <c r="C4" i="23" s="1"/>
  <c r="B5" i="23"/>
  <c r="B6" i="23"/>
  <c r="B7" i="23"/>
  <c r="B8" i="23"/>
  <c r="B5" i="38" s="1"/>
  <c r="B9" i="23"/>
  <c r="B10" i="23"/>
  <c r="B7" i="38" s="1"/>
  <c r="B11" i="23"/>
  <c r="B71" i="1"/>
  <c r="G3" i="20"/>
  <c r="G6" i="20"/>
  <c r="G45" i="20"/>
  <c r="G11" i="20"/>
  <c r="G25" i="20"/>
  <c r="G17" i="20"/>
  <c r="G13" i="20"/>
  <c r="G22" i="20"/>
  <c r="K25" i="1"/>
  <c r="U52" i="20"/>
  <c r="G10" i="20"/>
  <c r="W52" i="20"/>
  <c r="I3" i="1" a="1"/>
  <c r="I3" i="1" s="1"/>
  <c r="G26" i="20" s="1"/>
  <c r="I4" i="1" a="1"/>
  <c r="I4" i="1" s="1"/>
  <c r="G50" i="20" s="1"/>
  <c r="I5" i="1" a="1"/>
  <c r="I5" i="1" s="1"/>
  <c r="I6" i="1" a="1"/>
  <c r="I6" i="1" s="1"/>
  <c r="I7" i="1" a="1"/>
  <c r="I7" i="1" s="1"/>
  <c r="G108" i="20" s="1"/>
  <c r="I8" i="1" a="1"/>
  <c r="I8" i="1" s="1"/>
  <c r="G130" i="20" s="1"/>
  <c r="I9" i="1" a="1"/>
  <c r="I9" i="1" s="1"/>
  <c r="I10" i="1" a="1"/>
  <c r="I10" i="1" s="1"/>
  <c r="I11" i="1" a="1"/>
  <c r="I11" i="1" s="1"/>
  <c r="G194" i="20" s="1"/>
  <c r="I12" i="1" a="1"/>
  <c r="I12" i="1" s="1"/>
  <c r="G218" i="20" s="1"/>
  <c r="I13" i="1" a="1"/>
  <c r="I13" i="1" s="1"/>
  <c r="G234" i="20" s="1"/>
  <c r="I14" i="1" a="1"/>
  <c r="I14" i="1" s="1"/>
  <c r="G258" i="20" s="1"/>
  <c r="I15" i="1" a="1"/>
  <c r="I15" i="1" s="1"/>
  <c r="G276" i="20" s="1"/>
  <c r="I16" i="1" a="1"/>
  <c r="I16" i="1" s="1"/>
  <c r="G300" i="20" s="1"/>
  <c r="I17" i="1" a="1"/>
  <c r="I17" i="1" s="1"/>
  <c r="I18" i="1" a="1"/>
  <c r="I18" i="1" s="1"/>
  <c r="G338" i="20" s="1"/>
  <c r="I19" i="1" a="1"/>
  <c r="I19" i="1" s="1"/>
  <c r="G362" i="20" s="1"/>
  <c r="V254" i="20"/>
  <c r="V255" i="20"/>
  <c r="V256" i="20"/>
  <c r="V257" i="20"/>
  <c r="V258" i="20"/>
  <c r="V259" i="20"/>
  <c r="V260" i="20"/>
  <c r="V261" i="20"/>
  <c r="V262" i="20"/>
  <c r="V263" i="20"/>
  <c r="V264" i="20"/>
  <c r="V265" i="20"/>
  <c r="V266" i="20"/>
  <c r="V267" i="20"/>
  <c r="V268" i="20"/>
  <c r="V269" i="20"/>
  <c r="V270" i="20"/>
  <c r="V271" i="20"/>
  <c r="V272" i="20"/>
  <c r="V273" i="20"/>
  <c r="V274" i="20"/>
  <c r="V275" i="20"/>
  <c r="V276" i="20"/>
  <c r="V277" i="20"/>
  <c r="V278" i="20"/>
  <c r="V279" i="20"/>
  <c r="V280" i="20"/>
  <c r="V281" i="20"/>
  <c r="V282" i="20"/>
  <c r="V283" i="20"/>
  <c r="V284" i="20"/>
  <c r="V285" i="20"/>
  <c r="V286" i="20"/>
  <c r="V287" i="20"/>
  <c r="V288" i="20"/>
  <c r="V289" i="20"/>
  <c r="V290" i="20"/>
  <c r="V291" i="20"/>
  <c r="V292" i="20"/>
  <c r="V293" i="20"/>
  <c r="V294" i="20"/>
  <c r="V295" i="20"/>
  <c r="V296" i="20"/>
  <c r="V297" i="20"/>
  <c r="V298" i="20"/>
  <c r="V299" i="20"/>
  <c r="V300" i="20"/>
  <c r="V301" i="20"/>
  <c r="V302" i="20"/>
  <c r="V303" i="20"/>
  <c r="V304" i="20"/>
  <c r="V305" i="20"/>
  <c r="V306" i="20"/>
  <c r="V307" i="20"/>
  <c r="V308" i="20"/>
  <c r="V309" i="20"/>
  <c r="V310" i="20"/>
  <c r="V311" i="20"/>
  <c r="V312" i="20"/>
  <c r="V313" i="20"/>
  <c r="V314" i="20"/>
  <c r="V315" i="20"/>
  <c r="V316" i="20"/>
  <c r="U3" i="20"/>
  <c r="V3" i="20"/>
  <c r="W3" i="20"/>
  <c r="X3" i="20"/>
  <c r="Y3" i="20"/>
  <c r="U20" i="20"/>
  <c r="V20" i="20"/>
  <c r="W20" i="20"/>
  <c r="X20" i="20"/>
  <c r="Y20" i="20"/>
  <c r="U5" i="20"/>
  <c r="V5" i="20"/>
  <c r="W5" i="20"/>
  <c r="X5" i="20"/>
  <c r="Y5" i="20"/>
  <c r="U6" i="20"/>
  <c r="V6" i="20"/>
  <c r="W6" i="20"/>
  <c r="X6" i="20"/>
  <c r="Y6" i="20"/>
  <c r="U7" i="20"/>
  <c r="V7" i="20"/>
  <c r="W7" i="20"/>
  <c r="X7" i="20"/>
  <c r="Y7" i="20"/>
  <c r="U8" i="20"/>
  <c r="V8" i="20"/>
  <c r="W8" i="20"/>
  <c r="X8" i="20"/>
  <c r="Y8" i="20"/>
  <c r="U45" i="20"/>
  <c r="V45" i="20"/>
  <c r="W45" i="20"/>
  <c r="X45" i="20"/>
  <c r="Y45" i="20"/>
  <c r="U10" i="20"/>
  <c r="V10" i="20"/>
  <c r="W10" i="20"/>
  <c r="X10" i="20"/>
  <c r="Y10" i="20"/>
  <c r="U11" i="20"/>
  <c r="V11" i="20"/>
  <c r="W11" i="20"/>
  <c r="X11" i="20"/>
  <c r="Y11" i="20"/>
  <c r="U12" i="20"/>
  <c r="V12" i="20"/>
  <c r="W12" i="20"/>
  <c r="X12" i="20"/>
  <c r="Y12" i="20"/>
  <c r="U40" i="20"/>
  <c r="V40" i="20"/>
  <c r="W40" i="20"/>
  <c r="X40" i="20"/>
  <c r="Y40" i="20"/>
  <c r="U25" i="20"/>
  <c r="V25" i="20"/>
  <c r="W25" i="20"/>
  <c r="X25" i="20"/>
  <c r="Y25" i="20"/>
  <c r="U15" i="20"/>
  <c r="V15" i="20"/>
  <c r="W15" i="20"/>
  <c r="X15" i="20"/>
  <c r="Y15" i="20"/>
  <c r="U16" i="20"/>
  <c r="V16" i="20"/>
  <c r="W16" i="20"/>
  <c r="X16" i="20"/>
  <c r="Y16" i="20"/>
  <c r="U17" i="20"/>
  <c r="V17" i="20"/>
  <c r="W17" i="20"/>
  <c r="X17" i="20"/>
  <c r="Y17" i="20"/>
  <c r="U18" i="20"/>
  <c r="V18" i="20"/>
  <c r="W18" i="20"/>
  <c r="X18" i="20"/>
  <c r="Y18" i="20"/>
  <c r="U13" i="20"/>
  <c r="V13" i="20"/>
  <c r="W13" i="20"/>
  <c r="X13" i="20"/>
  <c r="Y13" i="20"/>
  <c r="U2" i="20"/>
  <c r="W2" i="20"/>
  <c r="X2" i="20"/>
  <c r="Y2" i="20"/>
  <c r="U21" i="20"/>
  <c r="V21" i="20"/>
  <c r="W21" i="20"/>
  <c r="X21" i="20"/>
  <c r="Y21" i="20"/>
  <c r="U22" i="20"/>
  <c r="V22" i="20"/>
  <c r="W22" i="20"/>
  <c r="X22" i="20"/>
  <c r="Y22" i="20"/>
  <c r="U55" i="20"/>
  <c r="V55" i="20"/>
  <c r="W55" i="20"/>
  <c r="X55" i="20"/>
  <c r="Y55" i="20"/>
  <c r="U46" i="20"/>
  <c r="V46" i="20"/>
  <c r="W46" i="20"/>
  <c r="X46" i="20"/>
  <c r="Y46" i="20"/>
  <c r="U43" i="20"/>
  <c r="V43" i="20"/>
  <c r="W43" i="20"/>
  <c r="X43" i="20"/>
  <c r="Y43" i="20"/>
  <c r="U26" i="20"/>
  <c r="V26" i="20"/>
  <c r="W26" i="20"/>
  <c r="X26" i="20"/>
  <c r="Y26" i="20"/>
  <c r="U27" i="20"/>
  <c r="V27" i="20"/>
  <c r="W27" i="20"/>
  <c r="X27" i="20"/>
  <c r="Y27" i="20"/>
  <c r="U28" i="20"/>
  <c r="V28" i="20"/>
  <c r="W28" i="20"/>
  <c r="X28" i="20"/>
  <c r="Y28" i="20"/>
  <c r="U29" i="20"/>
  <c r="V29" i="20"/>
  <c r="W29" i="20"/>
  <c r="X29" i="20"/>
  <c r="Y29" i="20"/>
  <c r="U30" i="20"/>
  <c r="V30" i="20"/>
  <c r="W30" i="20"/>
  <c r="X30" i="20"/>
  <c r="Y30" i="20"/>
  <c r="U31" i="20"/>
  <c r="V31" i="20"/>
  <c r="W31" i="20"/>
  <c r="X31" i="20"/>
  <c r="Y31" i="20"/>
  <c r="U32" i="20"/>
  <c r="V32" i="20"/>
  <c r="W32" i="20"/>
  <c r="X32" i="20"/>
  <c r="Y32" i="20"/>
  <c r="U23" i="20"/>
  <c r="V23" i="20"/>
  <c r="W23" i="20"/>
  <c r="X23" i="20"/>
  <c r="Y23" i="20"/>
  <c r="U14" i="20"/>
  <c r="V14" i="20"/>
  <c r="W14" i="20"/>
  <c r="X14" i="20"/>
  <c r="Y14" i="20"/>
  <c r="U35" i="20"/>
  <c r="V35" i="20"/>
  <c r="W35" i="20"/>
  <c r="X35" i="20"/>
  <c r="Y35" i="20"/>
  <c r="U36" i="20"/>
  <c r="V36" i="20"/>
  <c r="W36" i="20"/>
  <c r="X36" i="20"/>
  <c r="Y36" i="20"/>
  <c r="U37" i="20"/>
  <c r="V37" i="20"/>
  <c r="W37" i="20"/>
  <c r="X37" i="20"/>
  <c r="Y37" i="20"/>
  <c r="U38" i="20"/>
  <c r="V38" i="20"/>
  <c r="W38" i="20"/>
  <c r="X38" i="20"/>
  <c r="Y38" i="20"/>
  <c r="U39" i="20"/>
  <c r="V39" i="20"/>
  <c r="W39" i="20"/>
  <c r="X39" i="20"/>
  <c r="Y39" i="20"/>
  <c r="U4" i="20"/>
  <c r="V4" i="20"/>
  <c r="W4" i="20"/>
  <c r="X4" i="20"/>
  <c r="Y4" i="20"/>
  <c r="U41" i="20"/>
  <c r="V41" i="20"/>
  <c r="W41" i="20"/>
  <c r="X41" i="20"/>
  <c r="Y41" i="20"/>
  <c r="U42" i="20"/>
  <c r="V42" i="20"/>
  <c r="W42" i="20"/>
  <c r="X42" i="20"/>
  <c r="Y42" i="20"/>
  <c r="U33" i="20"/>
  <c r="V33" i="20"/>
  <c r="W33" i="20"/>
  <c r="X33" i="20"/>
  <c r="Y33" i="20"/>
  <c r="U9" i="20"/>
  <c r="V9" i="20"/>
  <c r="W9" i="20"/>
  <c r="X9" i="20"/>
  <c r="Y9" i="20"/>
  <c r="U34" i="20"/>
  <c r="V34" i="20"/>
  <c r="W34" i="20"/>
  <c r="X34" i="20"/>
  <c r="Y34" i="20"/>
  <c r="U44" i="20"/>
  <c r="V44" i="20"/>
  <c r="W44" i="20"/>
  <c r="X44" i="20"/>
  <c r="Y44" i="20"/>
  <c r="U47" i="20"/>
  <c r="V47" i="20"/>
  <c r="W47" i="20"/>
  <c r="X47" i="20"/>
  <c r="Y47" i="20"/>
  <c r="U48" i="20"/>
  <c r="V48" i="20"/>
  <c r="W48" i="20"/>
  <c r="X48" i="20"/>
  <c r="Y48" i="20"/>
  <c r="U49" i="20"/>
  <c r="V49" i="20"/>
  <c r="W49" i="20"/>
  <c r="X49" i="20"/>
  <c r="Y49" i="20"/>
  <c r="U50" i="20"/>
  <c r="V50" i="20"/>
  <c r="W50" i="20"/>
  <c r="X50" i="20"/>
  <c r="Y50" i="20"/>
  <c r="U51" i="20"/>
  <c r="V51" i="20"/>
  <c r="W51" i="20"/>
  <c r="X51" i="20"/>
  <c r="Y51" i="20"/>
  <c r="U24" i="20"/>
  <c r="V24" i="20"/>
  <c r="W24" i="20"/>
  <c r="X24" i="20"/>
  <c r="Y24" i="20"/>
  <c r="U53" i="20"/>
  <c r="V53" i="20"/>
  <c r="W53" i="20"/>
  <c r="X53" i="20"/>
  <c r="Y53" i="20"/>
  <c r="U54" i="20"/>
  <c r="V54" i="20"/>
  <c r="W54" i="20"/>
  <c r="X54" i="20"/>
  <c r="Y54" i="20"/>
  <c r="U19" i="20"/>
  <c r="V19" i="20"/>
  <c r="W19" i="20"/>
  <c r="X19" i="20"/>
  <c r="Y19" i="20"/>
  <c r="U56" i="20"/>
  <c r="V56" i="20"/>
  <c r="W56" i="20"/>
  <c r="X56" i="20"/>
  <c r="Y56" i="20"/>
  <c r="U57" i="20"/>
  <c r="V57" i="20"/>
  <c r="W57" i="20"/>
  <c r="X57" i="20"/>
  <c r="Y57" i="20"/>
  <c r="U58" i="20"/>
  <c r="V58" i="20"/>
  <c r="W58" i="20"/>
  <c r="X58" i="20"/>
  <c r="Y58" i="20"/>
  <c r="U59" i="20"/>
  <c r="V59" i="20"/>
  <c r="W59" i="20"/>
  <c r="X59" i="20"/>
  <c r="Y59" i="20"/>
  <c r="U60" i="20"/>
  <c r="V60" i="20"/>
  <c r="W60" i="20"/>
  <c r="X60" i="20"/>
  <c r="Y60" i="20"/>
  <c r="U61" i="20"/>
  <c r="V61" i="20"/>
  <c r="W61" i="20"/>
  <c r="X61" i="20"/>
  <c r="Y61" i="20"/>
  <c r="U62" i="20"/>
  <c r="V62" i="20"/>
  <c r="W62" i="20"/>
  <c r="X62" i="20"/>
  <c r="Y62" i="20"/>
  <c r="U63" i="20"/>
  <c r="V63" i="20"/>
  <c r="W63" i="20"/>
  <c r="X63" i="20"/>
  <c r="Y63" i="20"/>
  <c r="U64" i="20"/>
  <c r="V64" i="20"/>
  <c r="W64" i="20"/>
  <c r="X64" i="20"/>
  <c r="Y64" i="20"/>
  <c r="U65" i="20"/>
  <c r="V65" i="20"/>
  <c r="W65" i="20"/>
  <c r="X65" i="20"/>
  <c r="Y65" i="20"/>
  <c r="U66" i="20"/>
  <c r="V66" i="20"/>
  <c r="W66" i="20"/>
  <c r="X66" i="20"/>
  <c r="Y66" i="20"/>
  <c r="U67" i="20"/>
  <c r="V67" i="20"/>
  <c r="W67" i="20"/>
  <c r="X67" i="20"/>
  <c r="Y67" i="20"/>
  <c r="U68" i="20"/>
  <c r="V68" i="20"/>
  <c r="W68" i="20"/>
  <c r="X68" i="20"/>
  <c r="Y68" i="20"/>
  <c r="U69" i="20"/>
  <c r="V69" i="20"/>
  <c r="W69" i="20"/>
  <c r="X69" i="20"/>
  <c r="Y69" i="20"/>
  <c r="U70" i="20"/>
  <c r="V70" i="20"/>
  <c r="W70" i="20"/>
  <c r="X70" i="20"/>
  <c r="Y70" i="20"/>
  <c r="U71" i="20"/>
  <c r="V71" i="20"/>
  <c r="W71" i="20"/>
  <c r="X71" i="20"/>
  <c r="Y71" i="20"/>
  <c r="U72" i="20"/>
  <c r="V72" i="20"/>
  <c r="W72" i="20"/>
  <c r="X72" i="20"/>
  <c r="Y72" i="20"/>
  <c r="U73" i="20"/>
  <c r="V73" i="20"/>
  <c r="W73" i="20"/>
  <c r="X73" i="20"/>
  <c r="Y73" i="20"/>
  <c r="U74" i="20"/>
  <c r="V74" i="20"/>
  <c r="W74" i="20"/>
  <c r="X74" i="20"/>
  <c r="Y74" i="20"/>
  <c r="U75" i="20"/>
  <c r="V75" i="20"/>
  <c r="W75" i="20"/>
  <c r="X75" i="20"/>
  <c r="Y75" i="20"/>
  <c r="U76" i="20"/>
  <c r="V76" i="20"/>
  <c r="W76" i="20"/>
  <c r="X76" i="20"/>
  <c r="Y76" i="20"/>
  <c r="U77" i="20"/>
  <c r="V77" i="20"/>
  <c r="W77" i="20"/>
  <c r="X77" i="20"/>
  <c r="Y77" i="20"/>
  <c r="U78" i="20"/>
  <c r="V78" i="20"/>
  <c r="W78" i="20"/>
  <c r="X78" i="20"/>
  <c r="Y78" i="20"/>
  <c r="U79" i="20"/>
  <c r="V79" i="20"/>
  <c r="W79" i="20"/>
  <c r="X79" i="20"/>
  <c r="Y79" i="20"/>
  <c r="U80" i="20"/>
  <c r="V80" i="20"/>
  <c r="W80" i="20"/>
  <c r="X80" i="20"/>
  <c r="Y80" i="20"/>
  <c r="U81" i="20"/>
  <c r="V81" i="20"/>
  <c r="W81" i="20"/>
  <c r="X81" i="20"/>
  <c r="Y81" i="20"/>
  <c r="U82" i="20"/>
  <c r="V82" i="20"/>
  <c r="W82" i="20"/>
  <c r="X82" i="20"/>
  <c r="Y82" i="20"/>
  <c r="U83" i="20"/>
  <c r="V83" i="20"/>
  <c r="W83" i="20"/>
  <c r="X83" i="20"/>
  <c r="Y83" i="20"/>
  <c r="U84" i="20"/>
  <c r="V84" i="20"/>
  <c r="W84" i="20"/>
  <c r="X84" i="20"/>
  <c r="Y84" i="20"/>
  <c r="U85" i="20"/>
  <c r="V85" i="20"/>
  <c r="W85" i="20"/>
  <c r="X85" i="20"/>
  <c r="Y85" i="20"/>
  <c r="U86" i="20"/>
  <c r="V86" i="20"/>
  <c r="W86" i="20"/>
  <c r="X86" i="20"/>
  <c r="Y86" i="20"/>
  <c r="U87" i="20"/>
  <c r="V87" i="20"/>
  <c r="W87" i="20"/>
  <c r="X87" i="20"/>
  <c r="Y87" i="20"/>
  <c r="U88" i="20"/>
  <c r="V88" i="20"/>
  <c r="W88" i="20"/>
  <c r="X88" i="20"/>
  <c r="Y88" i="20"/>
  <c r="U89" i="20"/>
  <c r="V89" i="20"/>
  <c r="W89" i="20"/>
  <c r="X89" i="20"/>
  <c r="Y89" i="20"/>
  <c r="U90" i="20"/>
  <c r="V90" i="20"/>
  <c r="W90" i="20"/>
  <c r="X90" i="20"/>
  <c r="Y90" i="20"/>
  <c r="U91" i="20"/>
  <c r="V91" i="20"/>
  <c r="W91" i="20"/>
  <c r="X91" i="20"/>
  <c r="Y91" i="20"/>
  <c r="U92" i="20"/>
  <c r="V92" i="20"/>
  <c r="W92" i="20"/>
  <c r="X92" i="20"/>
  <c r="Y92" i="20"/>
  <c r="U93" i="20"/>
  <c r="V93" i="20"/>
  <c r="W93" i="20"/>
  <c r="X93" i="20"/>
  <c r="Y93" i="20"/>
  <c r="U94" i="20"/>
  <c r="V94" i="20"/>
  <c r="W94" i="20"/>
  <c r="X94" i="20"/>
  <c r="Y94" i="20"/>
  <c r="U95" i="20"/>
  <c r="V95" i="20"/>
  <c r="W95" i="20"/>
  <c r="X95" i="20"/>
  <c r="Y95" i="20"/>
  <c r="U96" i="20"/>
  <c r="V96" i="20"/>
  <c r="W96" i="20"/>
  <c r="X96" i="20"/>
  <c r="Y96" i="20"/>
  <c r="U97" i="20"/>
  <c r="V97" i="20"/>
  <c r="W97" i="20"/>
  <c r="X97" i="20"/>
  <c r="Y97" i="20"/>
  <c r="U98" i="20"/>
  <c r="V98" i="20"/>
  <c r="W98" i="20"/>
  <c r="X98" i="20"/>
  <c r="Y98" i="20"/>
  <c r="U99" i="20"/>
  <c r="V99" i="20"/>
  <c r="W99" i="20"/>
  <c r="X99" i="20"/>
  <c r="Y99" i="20"/>
  <c r="U100" i="20"/>
  <c r="V100" i="20"/>
  <c r="W100" i="20"/>
  <c r="X100" i="20"/>
  <c r="Y100" i="20"/>
  <c r="U101" i="20"/>
  <c r="V101" i="20"/>
  <c r="W101" i="20"/>
  <c r="X101" i="20"/>
  <c r="Y101" i="20"/>
  <c r="U102" i="20"/>
  <c r="V102" i="20"/>
  <c r="W102" i="20"/>
  <c r="X102" i="20"/>
  <c r="Y102" i="20"/>
  <c r="U103" i="20"/>
  <c r="V103" i="20"/>
  <c r="W103" i="20"/>
  <c r="X103" i="20"/>
  <c r="Y103" i="20"/>
  <c r="U104" i="20"/>
  <c r="V104" i="20"/>
  <c r="W104" i="20"/>
  <c r="X104" i="20"/>
  <c r="Y104" i="20"/>
  <c r="U105" i="20"/>
  <c r="V105" i="20"/>
  <c r="W105" i="20"/>
  <c r="X105" i="20"/>
  <c r="Y105" i="20"/>
  <c r="U106" i="20"/>
  <c r="V106" i="20"/>
  <c r="W106" i="20"/>
  <c r="X106" i="20"/>
  <c r="Y106" i="20"/>
  <c r="U107" i="20"/>
  <c r="V107" i="20"/>
  <c r="W107" i="20"/>
  <c r="X107" i="20"/>
  <c r="Y107" i="20"/>
  <c r="U108" i="20"/>
  <c r="V108" i="20"/>
  <c r="W108" i="20"/>
  <c r="X108" i="20"/>
  <c r="Y108" i="20"/>
  <c r="U109" i="20"/>
  <c r="V109" i="20"/>
  <c r="W109" i="20"/>
  <c r="X109" i="20"/>
  <c r="Y109" i="20"/>
  <c r="U110" i="20"/>
  <c r="V110" i="20"/>
  <c r="W110" i="20"/>
  <c r="X110" i="20"/>
  <c r="Y110" i="20"/>
  <c r="U111" i="20"/>
  <c r="V111" i="20"/>
  <c r="W111" i="20"/>
  <c r="X111" i="20"/>
  <c r="Y111" i="20"/>
  <c r="U112" i="20"/>
  <c r="V112" i="20"/>
  <c r="W112" i="20"/>
  <c r="X112" i="20"/>
  <c r="Y112" i="20"/>
  <c r="U113" i="20"/>
  <c r="V113" i="20"/>
  <c r="W113" i="20"/>
  <c r="X113" i="20"/>
  <c r="Y113" i="20"/>
  <c r="U114" i="20"/>
  <c r="V114" i="20"/>
  <c r="W114" i="20"/>
  <c r="X114" i="20"/>
  <c r="Y114" i="20"/>
  <c r="U115" i="20"/>
  <c r="V115" i="20"/>
  <c r="W115" i="20"/>
  <c r="X115" i="20"/>
  <c r="Y115" i="20"/>
  <c r="U116" i="20"/>
  <c r="V116" i="20"/>
  <c r="W116" i="20"/>
  <c r="X116" i="20"/>
  <c r="Y116" i="20"/>
  <c r="U117" i="20"/>
  <c r="V117" i="20"/>
  <c r="W117" i="20"/>
  <c r="X117" i="20"/>
  <c r="Y117" i="20"/>
  <c r="U118" i="20"/>
  <c r="V118" i="20"/>
  <c r="W118" i="20"/>
  <c r="X118" i="20"/>
  <c r="Y118" i="20"/>
  <c r="U119" i="20"/>
  <c r="V119" i="20"/>
  <c r="W119" i="20"/>
  <c r="X119" i="20"/>
  <c r="Y119" i="20"/>
  <c r="U120" i="20"/>
  <c r="V120" i="20"/>
  <c r="W120" i="20"/>
  <c r="X120" i="20"/>
  <c r="Y120" i="20"/>
  <c r="U121" i="20"/>
  <c r="V121" i="20"/>
  <c r="W121" i="20"/>
  <c r="X121" i="20"/>
  <c r="Y121" i="20"/>
  <c r="U122" i="20"/>
  <c r="V122" i="20"/>
  <c r="W122" i="20"/>
  <c r="X122" i="20"/>
  <c r="Y122" i="20"/>
  <c r="U123" i="20"/>
  <c r="V123" i="20"/>
  <c r="W123" i="20"/>
  <c r="X123" i="20"/>
  <c r="Y123" i="20"/>
  <c r="U124" i="20"/>
  <c r="V124" i="20"/>
  <c r="W124" i="20"/>
  <c r="X124" i="20"/>
  <c r="Y124" i="20"/>
  <c r="U125" i="20"/>
  <c r="V125" i="20"/>
  <c r="W125" i="20"/>
  <c r="X125" i="20"/>
  <c r="Y125" i="20"/>
  <c r="U126" i="20"/>
  <c r="V126" i="20"/>
  <c r="W126" i="20"/>
  <c r="X126" i="20"/>
  <c r="Y126" i="20"/>
  <c r="U127" i="20"/>
  <c r="V127" i="20"/>
  <c r="W127" i="20"/>
  <c r="X127" i="20"/>
  <c r="Y127" i="20"/>
  <c r="U128" i="20"/>
  <c r="V128" i="20"/>
  <c r="W128" i="20"/>
  <c r="X128" i="20"/>
  <c r="Y128" i="20"/>
  <c r="U129" i="20"/>
  <c r="V129" i="20"/>
  <c r="W129" i="20"/>
  <c r="X129" i="20"/>
  <c r="Y129" i="20"/>
  <c r="U130" i="20"/>
  <c r="V130" i="20"/>
  <c r="W130" i="20"/>
  <c r="X130" i="20"/>
  <c r="Y130" i="20"/>
  <c r="U131" i="20"/>
  <c r="V131" i="20"/>
  <c r="W131" i="20"/>
  <c r="X131" i="20"/>
  <c r="Y131" i="20"/>
  <c r="U132" i="20"/>
  <c r="V132" i="20"/>
  <c r="W132" i="20"/>
  <c r="X132" i="20"/>
  <c r="Y132" i="20"/>
  <c r="U133" i="20"/>
  <c r="V133" i="20"/>
  <c r="W133" i="20"/>
  <c r="X133" i="20"/>
  <c r="Y133" i="20"/>
  <c r="U134" i="20"/>
  <c r="V134" i="20"/>
  <c r="W134" i="20"/>
  <c r="X134" i="20"/>
  <c r="Y134" i="20"/>
  <c r="U135" i="20"/>
  <c r="V135" i="20"/>
  <c r="W135" i="20"/>
  <c r="X135" i="20"/>
  <c r="Y135" i="20"/>
  <c r="U136" i="20"/>
  <c r="V136" i="20"/>
  <c r="W136" i="20"/>
  <c r="X136" i="20"/>
  <c r="Y136" i="20"/>
  <c r="U137" i="20"/>
  <c r="V137" i="20"/>
  <c r="W137" i="20"/>
  <c r="X137" i="20"/>
  <c r="Y137" i="20"/>
  <c r="U138" i="20"/>
  <c r="V138" i="20"/>
  <c r="W138" i="20"/>
  <c r="X138" i="20"/>
  <c r="Y138" i="20"/>
  <c r="U139" i="20"/>
  <c r="V139" i="20"/>
  <c r="W139" i="20"/>
  <c r="X139" i="20"/>
  <c r="Y139" i="20"/>
  <c r="U140" i="20"/>
  <c r="V140" i="20"/>
  <c r="W140" i="20"/>
  <c r="X140" i="20"/>
  <c r="Y140" i="20"/>
  <c r="U141" i="20"/>
  <c r="V141" i="20"/>
  <c r="W141" i="20"/>
  <c r="X141" i="20"/>
  <c r="Y141" i="20"/>
  <c r="U142" i="20"/>
  <c r="V142" i="20"/>
  <c r="W142" i="20"/>
  <c r="X142" i="20"/>
  <c r="Y142" i="20"/>
  <c r="U143" i="20"/>
  <c r="V143" i="20"/>
  <c r="W143" i="20"/>
  <c r="X143" i="20"/>
  <c r="Y143" i="20"/>
  <c r="U144" i="20"/>
  <c r="V144" i="20"/>
  <c r="W144" i="20"/>
  <c r="X144" i="20"/>
  <c r="Y144" i="20"/>
  <c r="U145" i="20"/>
  <c r="V145" i="20"/>
  <c r="W145" i="20"/>
  <c r="X145" i="20"/>
  <c r="Y145" i="20"/>
  <c r="U146" i="20"/>
  <c r="V146" i="20"/>
  <c r="W146" i="20"/>
  <c r="X146" i="20"/>
  <c r="Y146" i="20"/>
  <c r="U147" i="20"/>
  <c r="V147" i="20"/>
  <c r="W147" i="20"/>
  <c r="X147" i="20"/>
  <c r="Y147" i="20"/>
  <c r="U148" i="20"/>
  <c r="V148" i="20"/>
  <c r="W148" i="20"/>
  <c r="X148" i="20"/>
  <c r="Y148" i="20"/>
  <c r="U149" i="20"/>
  <c r="V149" i="20"/>
  <c r="W149" i="20"/>
  <c r="X149" i="20"/>
  <c r="Y149" i="20"/>
  <c r="U150" i="20"/>
  <c r="V150" i="20"/>
  <c r="W150" i="20"/>
  <c r="X150" i="20"/>
  <c r="Y150" i="20"/>
  <c r="U151" i="20"/>
  <c r="V151" i="20"/>
  <c r="W151" i="20"/>
  <c r="X151" i="20"/>
  <c r="Y151" i="20"/>
  <c r="U152" i="20"/>
  <c r="V152" i="20"/>
  <c r="W152" i="20"/>
  <c r="X152" i="20"/>
  <c r="Y152" i="20"/>
  <c r="U153" i="20"/>
  <c r="V153" i="20"/>
  <c r="W153" i="20"/>
  <c r="X153" i="20"/>
  <c r="Y153" i="20"/>
  <c r="U154" i="20"/>
  <c r="V154" i="20"/>
  <c r="W154" i="20"/>
  <c r="X154" i="20"/>
  <c r="Y154" i="20"/>
  <c r="U155" i="20"/>
  <c r="V155" i="20"/>
  <c r="W155" i="20"/>
  <c r="X155" i="20"/>
  <c r="Y155" i="20"/>
  <c r="U156" i="20"/>
  <c r="V156" i="20"/>
  <c r="W156" i="20"/>
  <c r="X156" i="20"/>
  <c r="Y156" i="20"/>
  <c r="U157" i="20"/>
  <c r="V157" i="20"/>
  <c r="W157" i="20"/>
  <c r="X157" i="20"/>
  <c r="Y157" i="20"/>
  <c r="U158" i="20"/>
  <c r="V158" i="20"/>
  <c r="W158" i="20"/>
  <c r="X158" i="20"/>
  <c r="Y158" i="20"/>
  <c r="U159" i="20"/>
  <c r="V159" i="20"/>
  <c r="W159" i="20"/>
  <c r="X159" i="20"/>
  <c r="Y159" i="20"/>
  <c r="U160" i="20"/>
  <c r="V160" i="20"/>
  <c r="W160" i="20"/>
  <c r="X160" i="20"/>
  <c r="Y160" i="20"/>
  <c r="U161" i="20"/>
  <c r="V161" i="20"/>
  <c r="W161" i="20"/>
  <c r="X161" i="20"/>
  <c r="Y161" i="20"/>
  <c r="U162" i="20"/>
  <c r="V162" i="20"/>
  <c r="W162" i="20"/>
  <c r="X162" i="20"/>
  <c r="Y162" i="20"/>
  <c r="U163" i="20"/>
  <c r="V163" i="20"/>
  <c r="W163" i="20"/>
  <c r="X163" i="20"/>
  <c r="Y163" i="20"/>
  <c r="U164" i="20"/>
  <c r="V164" i="20"/>
  <c r="W164" i="20"/>
  <c r="X164" i="20"/>
  <c r="Y164" i="20"/>
  <c r="U165" i="20"/>
  <c r="V165" i="20"/>
  <c r="W165" i="20"/>
  <c r="X165" i="20"/>
  <c r="Y165" i="20"/>
  <c r="U166" i="20"/>
  <c r="V166" i="20"/>
  <c r="W166" i="20"/>
  <c r="X166" i="20"/>
  <c r="Y166" i="20"/>
  <c r="U167" i="20"/>
  <c r="V167" i="20"/>
  <c r="W167" i="20"/>
  <c r="X167" i="20"/>
  <c r="Y167" i="20"/>
  <c r="U168" i="20"/>
  <c r="V168" i="20"/>
  <c r="W168" i="20"/>
  <c r="X168" i="20"/>
  <c r="Y168" i="20"/>
  <c r="U169" i="20"/>
  <c r="V169" i="20"/>
  <c r="W169" i="20"/>
  <c r="X169" i="20"/>
  <c r="Y169" i="20"/>
  <c r="U170" i="20"/>
  <c r="V170" i="20"/>
  <c r="W170" i="20"/>
  <c r="X170" i="20"/>
  <c r="Y170" i="20"/>
  <c r="U171" i="20"/>
  <c r="V171" i="20"/>
  <c r="W171" i="20"/>
  <c r="X171" i="20"/>
  <c r="Y171" i="20"/>
  <c r="U172" i="20"/>
  <c r="V172" i="20"/>
  <c r="W172" i="20"/>
  <c r="X172" i="20"/>
  <c r="Y172" i="20"/>
  <c r="U173" i="20"/>
  <c r="V173" i="20"/>
  <c r="W173" i="20"/>
  <c r="X173" i="20"/>
  <c r="Y173" i="20"/>
  <c r="U174" i="20"/>
  <c r="V174" i="20"/>
  <c r="W174" i="20"/>
  <c r="X174" i="20"/>
  <c r="Y174" i="20"/>
  <c r="U175" i="20"/>
  <c r="V175" i="20"/>
  <c r="W175" i="20"/>
  <c r="X175" i="20"/>
  <c r="Y175" i="20"/>
  <c r="U176" i="20"/>
  <c r="V176" i="20"/>
  <c r="W176" i="20"/>
  <c r="X176" i="20"/>
  <c r="Y176" i="20"/>
  <c r="U177" i="20"/>
  <c r="V177" i="20"/>
  <c r="W177" i="20"/>
  <c r="X177" i="20"/>
  <c r="Y177" i="20"/>
  <c r="U178" i="20"/>
  <c r="V178" i="20"/>
  <c r="W178" i="20"/>
  <c r="X178" i="20"/>
  <c r="Y178" i="20"/>
  <c r="U179" i="20"/>
  <c r="V179" i="20"/>
  <c r="W179" i="20"/>
  <c r="X179" i="20"/>
  <c r="Y179" i="20"/>
  <c r="U180" i="20"/>
  <c r="V180" i="20"/>
  <c r="W180" i="20"/>
  <c r="X180" i="20"/>
  <c r="Y180" i="20"/>
  <c r="U181" i="20"/>
  <c r="V181" i="20"/>
  <c r="W181" i="20"/>
  <c r="X181" i="20"/>
  <c r="Y181" i="20"/>
  <c r="U182" i="20"/>
  <c r="V182" i="20"/>
  <c r="W182" i="20"/>
  <c r="X182" i="20"/>
  <c r="Y182" i="20"/>
  <c r="U183" i="20"/>
  <c r="V183" i="20"/>
  <c r="W183" i="20"/>
  <c r="X183" i="20"/>
  <c r="Y183" i="20"/>
  <c r="U184" i="20"/>
  <c r="V184" i="20"/>
  <c r="W184" i="20"/>
  <c r="X184" i="20"/>
  <c r="Y184" i="20"/>
  <c r="U185" i="20"/>
  <c r="V185" i="20"/>
  <c r="W185" i="20"/>
  <c r="X185" i="20"/>
  <c r="Y185" i="20"/>
  <c r="U186" i="20"/>
  <c r="V186" i="20"/>
  <c r="W186" i="20"/>
  <c r="X186" i="20"/>
  <c r="Y186" i="20"/>
  <c r="U187" i="20"/>
  <c r="V187" i="20"/>
  <c r="W187" i="20"/>
  <c r="X187" i="20"/>
  <c r="Y187" i="20"/>
  <c r="U188" i="20"/>
  <c r="V188" i="20"/>
  <c r="W188" i="20"/>
  <c r="X188" i="20"/>
  <c r="Y188" i="20"/>
  <c r="U189" i="20"/>
  <c r="V189" i="20"/>
  <c r="W189" i="20"/>
  <c r="X189" i="20"/>
  <c r="Y189" i="20"/>
  <c r="U190" i="20"/>
  <c r="V190" i="20"/>
  <c r="W190" i="20"/>
  <c r="X190" i="20"/>
  <c r="Y190" i="20"/>
  <c r="U191" i="20"/>
  <c r="V191" i="20"/>
  <c r="W191" i="20"/>
  <c r="X191" i="20"/>
  <c r="Y191" i="20"/>
  <c r="U192" i="20"/>
  <c r="V192" i="20"/>
  <c r="W192" i="20"/>
  <c r="X192" i="20"/>
  <c r="Y192" i="20"/>
  <c r="U193" i="20"/>
  <c r="V193" i="20"/>
  <c r="W193" i="20"/>
  <c r="X193" i="20"/>
  <c r="Y193" i="20"/>
  <c r="U194" i="20"/>
  <c r="V194" i="20"/>
  <c r="W194" i="20"/>
  <c r="X194" i="20"/>
  <c r="Y194" i="20"/>
  <c r="U195" i="20"/>
  <c r="V195" i="20"/>
  <c r="W195" i="20"/>
  <c r="X195" i="20"/>
  <c r="Y195" i="20"/>
  <c r="U196" i="20"/>
  <c r="V196" i="20"/>
  <c r="W196" i="20"/>
  <c r="X196" i="20"/>
  <c r="Y196" i="20"/>
  <c r="U197" i="20"/>
  <c r="V197" i="20"/>
  <c r="W197" i="20"/>
  <c r="X197" i="20"/>
  <c r="Y197" i="20"/>
  <c r="U198" i="20"/>
  <c r="V198" i="20"/>
  <c r="W198" i="20"/>
  <c r="X198" i="20"/>
  <c r="Y198" i="20"/>
  <c r="U199" i="20"/>
  <c r="V199" i="20"/>
  <c r="W199" i="20"/>
  <c r="X199" i="20"/>
  <c r="Y199" i="20"/>
  <c r="U200" i="20"/>
  <c r="V200" i="20"/>
  <c r="W200" i="20"/>
  <c r="X200" i="20"/>
  <c r="Y200" i="20"/>
  <c r="U201" i="20"/>
  <c r="V201" i="20"/>
  <c r="W201" i="20"/>
  <c r="X201" i="20"/>
  <c r="Y201" i="20"/>
  <c r="U202" i="20"/>
  <c r="V202" i="20"/>
  <c r="W202" i="20"/>
  <c r="X202" i="20"/>
  <c r="Y202" i="20"/>
  <c r="U203" i="20"/>
  <c r="V203" i="20"/>
  <c r="W203" i="20"/>
  <c r="X203" i="20"/>
  <c r="Y203" i="20"/>
  <c r="U204" i="20"/>
  <c r="V204" i="20"/>
  <c r="W204" i="20"/>
  <c r="X204" i="20"/>
  <c r="Y204" i="20"/>
  <c r="U205" i="20"/>
  <c r="V205" i="20"/>
  <c r="W205" i="20"/>
  <c r="X205" i="20"/>
  <c r="Y205" i="20"/>
  <c r="U206" i="20"/>
  <c r="V206" i="20"/>
  <c r="W206" i="20"/>
  <c r="X206" i="20"/>
  <c r="Y206" i="20"/>
  <c r="U207" i="20"/>
  <c r="V207" i="20"/>
  <c r="W207" i="20"/>
  <c r="X207" i="20"/>
  <c r="Y207" i="20"/>
  <c r="U208" i="20"/>
  <c r="V208" i="20"/>
  <c r="W208" i="20"/>
  <c r="X208" i="20"/>
  <c r="Y208" i="20"/>
  <c r="U209" i="20"/>
  <c r="V209" i="20"/>
  <c r="W209" i="20"/>
  <c r="X209" i="20"/>
  <c r="Y209" i="20"/>
  <c r="U210" i="20"/>
  <c r="V210" i="20"/>
  <c r="W210" i="20"/>
  <c r="X210" i="20"/>
  <c r="Y210" i="20"/>
  <c r="U211" i="20"/>
  <c r="V211" i="20"/>
  <c r="W211" i="20"/>
  <c r="X211" i="20"/>
  <c r="Y211" i="20"/>
  <c r="U212" i="20"/>
  <c r="V212" i="20"/>
  <c r="W212" i="20"/>
  <c r="X212" i="20"/>
  <c r="Y212" i="20"/>
  <c r="U213" i="20"/>
  <c r="V213" i="20"/>
  <c r="W213" i="20"/>
  <c r="X213" i="20"/>
  <c r="Y213" i="20"/>
  <c r="U214" i="20"/>
  <c r="V214" i="20"/>
  <c r="W214" i="20"/>
  <c r="X214" i="20"/>
  <c r="Y214" i="20"/>
  <c r="U215" i="20"/>
  <c r="V215" i="20"/>
  <c r="W215" i="20"/>
  <c r="X215" i="20"/>
  <c r="Y215" i="20"/>
  <c r="U216" i="20"/>
  <c r="V216" i="20"/>
  <c r="W216" i="20"/>
  <c r="X216" i="20"/>
  <c r="Y216" i="20"/>
  <c r="U217" i="20"/>
  <c r="V217" i="20"/>
  <c r="W217" i="20"/>
  <c r="X217" i="20"/>
  <c r="Y217" i="20"/>
  <c r="U218" i="20"/>
  <c r="V218" i="20"/>
  <c r="W218" i="20"/>
  <c r="X218" i="20"/>
  <c r="Y218" i="20"/>
  <c r="U219" i="20"/>
  <c r="V219" i="20"/>
  <c r="W219" i="20"/>
  <c r="X219" i="20"/>
  <c r="Y219" i="20"/>
  <c r="U220" i="20"/>
  <c r="V220" i="20"/>
  <c r="W220" i="20"/>
  <c r="X220" i="20"/>
  <c r="Y220" i="20"/>
  <c r="U221" i="20"/>
  <c r="V221" i="20"/>
  <c r="W221" i="20"/>
  <c r="X221" i="20"/>
  <c r="Y221" i="20"/>
  <c r="U222" i="20"/>
  <c r="V222" i="20"/>
  <c r="W222" i="20"/>
  <c r="X222" i="20"/>
  <c r="Y222" i="20"/>
  <c r="U223" i="20"/>
  <c r="V223" i="20"/>
  <c r="W223" i="20"/>
  <c r="X223" i="20"/>
  <c r="Y223" i="20"/>
  <c r="U224" i="20"/>
  <c r="V224" i="20"/>
  <c r="W224" i="20"/>
  <c r="X224" i="20"/>
  <c r="Y224" i="20"/>
  <c r="U225" i="20"/>
  <c r="V225" i="20"/>
  <c r="W225" i="20"/>
  <c r="X225" i="20"/>
  <c r="Y225" i="20"/>
  <c r="U226" i="20"/>
  <c r="V226" i="20"/>
  <c r="W226" i="20"/>
  <c r="X226" i="20"/>
  <c r="Y226" i="20"/>
  <c r="U227" i="20"/>
  <c r="V227" i="20"/>
  <c r="W227" i="20"/>
  <c r="X227" i="20"/>
  <c r="Y227" i="20"/>
  <c r="U228" i="20"/>
  <c r="V228" i="20"/>
  <c r="W228" i="20"/>
  <c r="X228" i="20"/>
  <c r="Y228" i="20"/>
  <c r="U229" i="20"/>
  <c r="V229" i="20"/>
  <c r="W229" i="20"/>
  <c r="X229" i="20"/>
  <c r="Y229" i="20"/>
  <c r="U230" i="20"/>
  <c r="V230" i="20"/>
  <c r="W230" i="20"/>
  <c r="X230" i="20"/>
  <c r="Y230" i="20"/>
  <c r="U231" i="20"/>
  <c r="V231" i="20"/>
  <c r="W231" i="20"/>
  <c r="X231" i="20"/>
  <c r="Y231" i="20"/>
  <c r="U232" i="20"/>
  <c r="V232" i="20"/>
  <c r="W232" i="20"/>
  <c r="X232" i="20"/>
  <c r="Y232" i="20"/>
  <c r="U233" i="20"/>
  <c r="V233" i="20"/>
  <c r="W233" i="20"/>
  <c r="X233" i="20"/>
  <c r="Y233" i="20"/>
  <c r="U234" i="20"/>
  <c r="V234" i="20"/>
  <c r="W234" i="20"/>
  <c r="X234" i="20"/>
  <c r="Y234" i="20"/>
  <c r="U235" i="20"/>
  <c r="V235" i="20"/>
  <c r="W235" i="20"/>
  <c r="X235" i="20"/>
  <c r="Y235" i="20"/>
  <c r="U236" i="20"/>
  <c r="V236" i="20"/>
  <c r="W236" i="20"/>
  <c r="X236" i="20"/>
  <c r="Y236" i="20"/>
  <c r="U237" i="20"/>
  <c r="V237" i="20"/>
  <c r="W237" i="20"/>
  <c r="X237" i="20"/>
  <c r="Y237" i="20"/>
  <c r="U238" i="20"/>
  <c r="V238" i="20"/>
  <c r="W238" i="20"/>
  <c r="X238" i="20"/>
  <c r="Y238" i="20"/>
  <c r="U239" i="20"/>
  <c r="V239" i="20"/>
  <c r="W239" i="20"/>
  <c r="X239" i="20"/>
  <c r="Y239" i="20"/>
  <c r="U240" i="20"/>
  <c r="V240" i="20"/>
  <c r="W240" i="20"/>
  <c r="X240" i="20"/>
  <c r="Y240" i="20"/>
  <c r="U241" i="20"/>
  <c r="V241" i="20"/>
  <c r="W241" i="20"/>
  <c r="X241" i="20"/>
  <c r="Y241" i="20"/>
  <c r="U242" i="20"/>
  <c r="V242" i="20"/>
  <c r="W242" i="20"/>
  <c r="X242" i="20"/>
  <c r="Y242" i="20"/>
  <c r="U243" i="20"/>
  <c r="V243" i="20"/>
  <c r="W243" i="20"/>
  <c r="X243" i="20"/>
  <c r="Y243" i="20"/>
  <c r="U244" i="20"/>
  <c r="V244" i="20"/>
  <c r="W244" i="20"/>
  <c r="X244" i="20"/>
  <c r="Y244" i="20"/>
  <c r="U245" i="20"/>
  <c r="V245" i="20"/>
  <c r="W245" i="20"/>
  <c r="X245" i="20"/>
  <c r="Y245" i="20"/>
  <c r="U246" i="20"/>
  <c r="V246" i="20"/>
  <c r="W246" i="20"/>
  <c r="X246" i="20"/>
  <c r="Y246" i="20"/>
  <c r="U247" i="20"/>
  <c r="V247" i="20"/>
  <c r="W247" i="20"/>
  <c r="X247" i="20"/>
  <c r="Y247" i="20"/>
  <c r="U248" i="20"/>
  <c r="V248" i="20"/>
  <c r="W248" i="20"/>
  <c r="X248" i="20"/>
  <c r="Y248" i="20"/>
  <c r="U249" i="20"/>
  <c r="V249" i="20"/>
  <c r="W249" i="20"/>
  <c r="X249" i="20"/>
  <c r="Y249" i="20"/>
  <c r="U250" i="20"/>
  <c r="V250" i="20"/>
  <c r="W250" i="20"/>
  <c r="X250" i="20"/>
  <c r="Y250" i="20"/>
  <c r="U251" i="20"/>
  <c r="V251" i="20"/>
  <c r="W251" i="20"/>
  <c r="X251" i="20"/>
  <c r="Y251" i="20"/>
  <c r="U252" i="20"/>
  <c r="V252" i="20"/>
  <c r="W252" i="20"/>
  <c r="X252" i="20"/>
  <c r="Y252" i="20"/>
  <c r="U253" i="20"/>
  <c r="V253" i="20"/>
  <c r="W253" i="20"/>
  <c r="X253" i="20"/>
  <c r="Y253" i="20"/>
  <c r="V52" i="20"/>
  <c r="U254" i="20"/>
  <c r="U255" i="20"/>
  <c r="U256" i="20"/>
  <c r="U257" i="20"/>
  <c r="U258" i="20"/>
  <c r="U259" i="20"/>
  <c r="U260" i="20"/>
  <c r="U261" i="20"/>
  <c r="U262" i="20"/>
  <c r="U263" i="20"/>
  <c r="U264" i="20"/>
  <c r="U265" i="20"/>
  <c r="U266" i="20"/>
  <c r="U267" i="20"/>
  <c r="U268" i="20"/>
  <c r="U269" i="20"/>
  <c r="U270" i="20"/>
  <c r="U271" i="20"/>
  <c r="U272" i="20"/>
  <c r="U273" i="20"/>
  <c r="U274" i="20"/>
  <c r="U275" i="20"/>
  <c r="U276" i="20"/>
  <c r="U277" i="20"/>
  <c r="U278" i="20"/>
  <c r="U279" i="20"/>
  <c r="U280" i="20"/>
  <c r="U281" i="20"/>
  <c r="U282" i="20"/>
  <c r="U283" i="20"/>
  <c r="U284" i="20"/>
  <c r="U285" i="20"/>
  <c r="U286" i="20"/>
  <c r="U287" i="20"/>
  <c r="U288" i="20"/>
  <c r="U289" i="20"/>
  <c r="U290" i="20"/>
  <c r="U291" i="20"/>
  <c r="U292" i="20"/>
  <c r="U293" i="20"/>
  <c r="U294" i="20"/>
  <c r="U295" i="20"/>
  <c r="U296" i="20"/>
  <c r="U297" i="20"/>
  <c r="U298" i="20"/>
  <c r="U299" i="20"/>
  <c r="U300" i="20"/>
  <c r="U301" i="20"/>
  <c r="U302" i="20"/>
  <c r="U303" i="20"/>
  <c r="U304" i="20"/>
  <c r="U305" i="20"/>
  <c r="U306" i="20"/>
  <c r="U307" i="20"/>
  <c r="U308" i="20"/>
  <c r="U309" i="20"/>
  <c r="U310" i="20"/>
  <c r="U311" i="20"/>
  <c r="U312" i="20"/>
  <c r="U313" i="20"/>
  <c r="U314" i="20"/>
  <c r="U315" i="20"/>
  <c r="U316" i="20"/>
  <c r="U317" i="20"/>
  <c r="U318" i="20"/>
  <c r="U319" i="20"/>
  <c r="U320" i="20"/>
  <c r="U321" i="20"/>
  <c r="U322" i="20"/>
  <c r="U323" i="20"/>
  <c r="U324" i="20"/>
  <c r="U325" i="20"/>
  <c r="U326" i="20"/>
  <c r="U327" i="20"/>
  <c r="U328" i="20"/>
  <c r="U329" i="20"/>
  <c r="U330" i="20"/>
  <c r="U331" i="20"/>
  <c r="U332" i="20"/>
  <c r="U333" i="20"/>
  <c r="U334" i="20"/>
  <c r="U335" i="20"/>
  <c r="U336" i="20"/>
  <c r="U337" i="20"/>
  <c r="U338" i="20"/>
  <c r="U339" i="20"/>
  <c r="U340" i="20"/>
  <c r="U341" i="20"/>
  <c r="U342" i="20"/>
  <c r="U343" i="20"/>
  <c r="U344" i="20"/>
  <c r="U345" i="20"/>
  <c r="U346" i="20"/>
  <c r="U347" i="20"/>
  <c r="U348" i="20"/>
  <c r="U349" i="20"/>
  <c r="U350" i="20"/>
  <c r="U351" i="20"/>
  <c r="U352" i="20"/>
  <c r="U353" i="20"/>
  <c r="U354" i="20"/>
  <c r="U355" i="20"/>
  <c r="U356" i="20"/>
  <c r="U357" i="20"/>
  <c r="U358" i="20"/>
  <c r="U359" i="20"/>
  <c r="U360" i="20"/>
  <c r="U361" i="20"/>
  <c r="U362" i="20"/>
  <c r="U363" i="20"/>
  <c r="U364" i="20"/>
  <c r="U365" i="20"/>
  <c r="U366" i="20"/>
  <c r="U367" i="20"/>
  <c r="U368" i="20"/>
  <c r="U369" i="20"/>
  <c r="U370" i="20"/>
  <c r="U371" i="20"/>
  <c r="U372" i="20"/>
  <c r="U373" i="20"/>
  <c r="U374" i="20"/>
  <c r="U375" i="20"/>
  <c r="U376" i="20"/>
  <c r="U377" i="20"/>
  <c r="U378" i="20"/>
  <c r="U379" i="20"/>
  <c r="Y360" i="20"/>
  <c r="Y361" i="20"/>
  <c r="Y362" i="20"/>
  <c r="Y363" i="20"/>
  <c r="Y364" i="20"/>
  <c r="Y365" i="20"/>
  <c r="Y366" i="20"/>
  <c r="Y367" i="20"/>
  <c r="Y368" i="20"/>
  <c r="Y369" i="20"/>
  <c r="Y370" i="20"/>
  <c r="Y371" i="20"/>
  <c r="Y372" i="20"/>
  <c r="Y373" i="20"/>
  <c r="Y374" i="20"/>
  <c r="Y375" i="20"/>
  <c r="Y376" i="20"/>
  <c r="Y377" i="20"/>
  <c r="Y378" i="20"/>
  <c r="Y379" i="20"/>
  <c r="X360" i="20"/>
  <c r="X361" i="20"/>
  <c r="X362" i="20"/>
  <c r="X363" i="20"/>
  <c r="X364" i="20"/>
  <c r="X365" i="20"/>
  <c r="X366" i="20"/>
  <c r="X367" i="20"/>
  <c r="X368" i="20"/>
  <c r="X369" i="20"/>
  <c r="X370" i="20"/>
  <c r="X371" i="20"/>
  <c r="X372" i="20"/>
  <c r="X373" i="20"/>
  <c r="X374" i="20"/>
  <c r="X375" i="20"/>
  <c r="X376" i="20"/>
  <c r="X377" i="20"/>
  <c r="X378" i="20"/>
  <c r="X379" i="20"/>
  <c r="F359" i="20"/>
  <c r="T359" i="20" s="1"/>
  <c r="F360" i="20"/>
  <c r="T360" i="20" s="1"/>
  <c r="F361" i="20"/>
  <c r="T361" i="20" s="1"/>
  <c r="F362" i="20"/>
  <c r="T362" i="20" s="1"/>
  <c r="F363" i="20"/>
  <c r="T363" i="20" s="1"/>
  <c r="F364" i="20"/>
  <c r="T364" i="20" s="1"/>
  <c r="F365" i="20"/>
  <c r="T365" i="20" s="1"/>
  <c r="F366" i="20"/>
  <c r="T366" i="20" s="1"/>
  <c r="F367" i="20"/>
  <c r="T367" i="20" s="1"/>
  <c r="F368" i="20"/>
  <c r="T368" i="20" s="1"/>
  <c r="F369" i="20"/>
  <c r="T369" i="20" s="1"/>
  <c r="F370" i="20"/>
  <c r="T370" i="20" s="1"/>
  <c r="F371" i="20"/>
  <c r="T371" i="20" s="1"/>
  <c r="F372" i="20"/>
  <c r="T372" i="20" s="1"/>
  <c r="F373" i="20"/>
  <c r="T373" i="20" s="1"/>
  <c r="F374" i="20"/>
  <c r="T374" i="20" s="1"/>
  <c r="F375" i="20"/>
  <c r="T375" i="20" s="1"/>
  <c r="F376" i="20"/>
  <c r="T376" i="20" s="1"/>
  <c r="F377" i="20"/>
  <c r="T377" i="20" s="1"/>
  <c r="F378" i="20"/>
  <c r="T378" i="20" s="1"/>
  <c r="F379" i="20"/>
  <c r="T379" i="20" s="1"/>
  <c r="X359" i="20"/>
  <c r="Y359" i="20"/>
  <c r="X339" i="20"/>
  <c r="Y339" i="20"/>
  <c r="X340" i="20"/>
  <c r="Y340" i="20"/>
  <c r="X341" i="20"/>
  <c r="Y341" i="20"/>
  <c r="X342" i="20"/>
  <c r="Y342" i="20"/>
  <c r="X343" i="20"/>
  <c r="Y343" i="20"/>
  <c r="X344" i="20"/>
  <c r="Y344" i="20"/>
  <c r="X345" i="20"/>
  <c r="Y345" i="20"/>
  <c r="X346" i="20"/>
  <c r="Y346" i="20"/>
  <c r="X347" i="20"/>
  <c r="Y347" i="20"/>
  <c r="X348" i="20"/>
  <c r="Y348" i="20"/>
  <c r="X349" i="20"/>
  <c r="Y349" i="20"/>
  <c r="X350" i="20"/>
  <c r="Y350" i="20"/>
  <c r="X351" i="20"/>
  <c r="Y351" i="20"/>
  <c r="X352" i="20"/>
  <c r="Y352" i="20"/>
  <c r="X353" i="20"/>
  <c r="Y353" i="20"/>
  <c r="X354" i="20"/>
  <c r="Y354" i="20"/>
  <c r="X355" i="20"/>
  <c r="Y355" i="20"/>
  <c r="X356" i="20"/>
  <c r="Y356" i="20"/>
  <c r="X357" i="20"/>
  <c r="Y357" i="20"/>
  <c r="X358" i="20"/>
  <c r="Y358" i="20"/>
  <c r="F338" i="20"/>
  <c r="T338" i="20" s="1"/>
  <c r="F339" i="20"/>
  <c r="T339" i="20" s="1"/>
  <c r="F340" i="20"/>
  <c r="T340" i="20" s="1"/>
  <c r="F341" i="20"/>
  <c r="T341" i="20" s="1"/>
  <c r="F342" i="20"/>
  <c r="T342" i="20" s="1"/>
  <c r="F343" i="20"/>
  <c r="T343" i="20" s="1"/>
  <c r="F344" i="20"/>
  <c r="T344" i="20" s="1"/>
  <c r="F345" i="20"/>
  <c r="T345" i="20" s="1"/>
  <c r="F346" i="20"/>
  <c r="T346" i="20" s="1"/>
  <c r="F347" i="20"/>
  <c r="T347" i="20" s="1"/>
  <c r="F348" i="20"/>
  <c r="T348" i="20" s="1"/>
  <c r="F349" i="20"/>
  <c r="T349" i="20" s="1"/>
  <c r="F350" i="20"/>
  <c r="T350" i="20" s="1"/>
  <c r="F351" i="20"/>
  <c r="T351" i="20" s="1"/>
  <c r="F352" i="20"/>
  <c r="T352" i="20" s="1"/>
  <c r="F353" i="20"/>
  <c r="T353" i="20" s="1"/>
  <c r="F354" i="20"/>
  <c r="T354" i="20" s="1"/>
  <c r="F355" i="20"/>
  <c r="T355" i="20" s="1"/>
  <c r="F356" i="20"/>
  <c r="T356" i="20" s="1"/>
  <c r="F357" i="20"/>
  <c r="T357" i="20" s="1"/>
  <c r="F358" i="20"/>
  <c r="T358" i="20" s="1"/>
  <c r="X338" i="20"/>
  <c r="Y338" i="20"/>
  <c r="X318" i="20"/>
  <c r="Y318" i="20"/>
  <c r="X319" i="20"/>
  <c r="Y319" i="20"/>
  <c r="X320" i="20"/>
  <c r="Y320" i="20"/>
  <c r="X321" i="20"/>
  <c r="Y321" i="20"/>
  <c r="X322" i="20"/>
  <c r="Y322" i="20"/>
  <c r="X323" i="20"/>
  <c r="Y323" i="20"/>
  <c r="X324" i="20"/>
  <c r="Y324" i="20"/>
  <c r="X325" i="20"/>
  <c r="Y325" i="20"/>
  <c r="X326" i="20"/>
  <c r="Y326" i="20"/>
  <c r="X327" i="20"/>
  <c r="Y327" i="20"/>
  <c r="X328" i="20"/>
  <c r="Y328" i="20"/>
  <c r="X329" i="20"/>
  <c r="Y329" i="20"/>
  <c r="X330" i="20"/>
  <c r="Y330" i="20"/>
  <c r="X331" i="20"/>
  <c r="Y331" i="20"/>
  <c r="X332" i="20"/>
  <c r="Y332" i="20"/>
  <c r="X333" i="20"/>
  <c r="Y333" i="20"/>
  <c r="X334" i="20"/>
  <c r="Y334" i="20"/>
  <c r="X335" i="20"/>
  <c r="Y335" i="20"/>
  <c r="X336" i="20"/>
  <c r="Y336" i="20"/>
  <c r="X337" i="20"/>
  <c r="Y337" i="20"/>
  <c r="T317" i="20"/>
  <c r="T318" i="20"/>
  <c r="T319" i="20"/>
  <c r="T325" i="20"/>
  <c r="T326" i="20"/>
  <c r="T327" i="20"/>
  <c r="T333" i="20"/>
  <c r="T334" i="20"/>
  <c r="T335" i="20"/>
  <c r="X317" i="20"/>
  <c r="Y317" i="20"/>
  <c r="X297" i="20"/>
  <c r="Y297" i="20"/>
  <c r="X298" i="20"/>
  <c r="Y298" i="20"/>
  <c r="X299" i="20"/>
  <c r="Y299" i="20"/>
  <c r="X300" i="20"/>
  <c r="Y300" i="20"/>
  <c r="X301" i="20"/>
  <c r="Y301" i="20"/>
  <c r="X302" i="20"/>
  <c r="Y302" i="20"/>
  <c r="X303" i="20"/>
  <c r="Y303" i="20"/>
  <c r="X304" i="20"/>
  <c r="Y304" i="20"/>
  <c r="X305" i="20"/>
  <c r="Y305" i="20"/>
  <c r="X306" i="20"/>
  <c r="Y306" i="20"/>
  <c r="X307" i="20"/>
  <c r="Y307" i="20"/>
  <c r="X308" i="20"/>
  <c r="Y308" i="20"/>
  <c r="X309" i="20"/>
  <c r="Y309" i="20"/>
  <c r="X310" i="20"/>
  <c r="Y310" i="20"/>
  <c r="X311" i="20"/>
  <c r="Y311" i="20"/>
  <c r="X312" i="20"/>
  <c r="Y312" i="20"/>
  <c r="X313" i="20"/>
  <c r="Y313" i="20"/>
  <c r="X314" i="20"/>
  <c r="Y314" i="20"/>
  <c r="X315" i="20"/>
  <c r="Y315" i="20"/>
  <c r="X316" i="20"/>
  <c r="Y316" i="20"/>
  <c r="F296" i="20"/>
  <c r="T296" i="20" s="1"/>
  <c r="F297" i="20"/>
  <c r="T297" i="20" s="1"/>
  <c r="F298" i="20"/>
  <c r="T298" i="20" s="1"/>
  <c r="F299" i="20"/>
  <c r="T299" i="20" s="1"/>
  <c r="F300" i="20"/>
  <c r="T300" i="20" s="1"/>
  <c r="F301" i="20"/>
  <c r="T301" i="20" s="1"/>
  <c r="F302" i="20"/>
  <c r="T302" i="20" s="1"/>
  <c r="F303" i="20"/>
  <c r="T303" i="20" s="1"/>
  <c r="F304" i="20"/>
  <c r="T304" i="20" s="1"/>
  <c r="F305" i="20"/>
  <c r="T305" i="20" s="1"/>
  <c r="F306" i="20"/>
  <c r="T306" i="20" s="1"/>
  <c r="F307" i="20"/>
  <c r="T307" i="20" s="1"/>
  <c r="F308" i="20"/>
  <c r="T308" i="20" s="1"/>
  <c r="F309" i="20"/>
  <c r="T309" i="20" s="1"/>
  <c r="F310" i="20"/>
  <c r="T310" i="20" s="1"/>
  <c r="F311" i="20"/>
  <c r="T311" i="20" s="1"/>
  <c r="F312" i="20"/>
  <c r="T312" i="20" s="1"/>
  <c r="F313" i="20"/>
  <c r="T313" i="20" s="1"/>
  <c r="F314" i="20"/>
  <c r="T314" i="20" s="1"/>
  <c r="F315" i="20"/>
  <c r="T315" i="20" s="1"/>
  <c r="F316" i="20"/>
  <c r="T316" i="20" s="1"/>
  <c r="X296" i="20"/>
  <c r="Y296" i="20"/>
  <c r="X276" i="20"/>
  <c r="Y276" i="20"/>
  <c r="X277" i="20"/>
  <c r="Y277" i="20"/>
  <c r="X278" i="20"/>
  <c r="Y278" i="20"/>
  <c r="X279" i="20"/>
  <c r="Y279" i="20"/>
  <c r="X280" i="20"/>
  <c r="Y280" i="20"/>
  <c r="X281" i="20"/>
  <c r="Y281" i="20"/>
  <c r="X282" i="20"/>
  <c r="Y282" i="20"/>
  <c r="X283" i="20"/>
  <c r="Y283" i="20"/>
  <c r="X284" i="20"/>
  <c r="Y284" i="20"/>
  <c r="X285" i="20"/>
  <c r="Y285" i="20"/>
  <c r="X286" i="20"/>
  <c r="Y286" i="20"/>
  <c r="X287" i="20"/>
  <c r="Y287" i="20"/>
  <c r="X288" i="20"/>
  <c r="Y288" i="20"/>
  <c r="X289" i="20"/>
  <c r="Y289" i="20"/>
  <c r="X290" i="20"/>
  <c r="Y290" i="20"/>
  <c r="X291" i="20"/>
  <c r="Y291" i="20"/>
  <c r="X292" i="20"/>
  <c r="Y292" i="20"/>
  <c r="X293" i="20"/>
  <c r="Y293" i="20"/>
  <c r="X294" i="20"/>
  <c r="Y294" i="20"/>
  <c r="X295" i="20"/>
  <c r="Y295" i="20"/>
  <c r="F275" i="20"/>
  <c r="T275" i="20" s="1"/>
  <c r="F276" i="20"/>
  <c r="T276" i="20" s="1"/>
  <c r="F277" i="20"/>
  <c r="T277" i="20" s="1"/>
  <c r="F278" i="20"/>
  <c r="T278" i="20" s="1"/>
  <c r="F279" i="20"/>
  <c r="T279" i="20" s="1"/>
  <c r="F280" i="20"/>
  <c r="T280" i="20" s="1"/>
  <c r="F281" i="20"/>
  <c r="T281" i="20" s="1"/>
  <c r="F282" i="20"/>
  <c r="T282" i="20" s="1"/>
  <c r="F283" i="20"/>
  <c r="T283" i="20" s="1"/>
  <c r="F284" i="20"/>
  <c r="T284" i="20" s="1"/>
  <c r="F285" i="20"/>
  <c r="T285" i="20" s="1"/>
  <c r="F286" i="20"/>
  <c r="T286" i="20" s="1"/>
  <c r="F287" i="20"/>
  <c r="T287" i="20" s="1"/>
  <c r="F288" i="20"/>
  <c r="T288" i="20" s="1"/>
  <c r="F289" i="20"/>
  <c r="T289" i="20" s="1"/>
  <c r="F290" i="20"/>
  <c r="T290" i="20" s="1"/>
  <c r="F291" i="20"/>
  <c r="T291" i="20" s="1"/>
  <c r="F292" i="20"/>
  <c r="T292" i="20" s="1"/>
  <c r="F293" i="20"/>
  <c r="T293" i="20" s="1"/>
  <c r="F294" i="20"/>
  <c r="T294" i="20" s="1"/>
  <c r="F295" i="20"/>
  <c r="T295" i="20" s="1"/>
  <c r="X275" i="20"/>
  <c r="Y275" i="20"/>
  <c r="X255" i="20"/>
  <c r="Y255" i="20"/>
  <c r="X256" i="20"/>
  <c r="Y256" i="20"/>
  <c r="X257" i="20"/>
  <c r="Y257" i="20"/>
  <c r="X258" i="20"/>
  <c r="Y258" i="20"/>
  <c r="X259" i="20"/>
  <c r="Y259" i="20"/>
  <c r="X260" i="20"/>
  <c r="Y260" i="20"/>
  <c r="X261" i="20"/>
  <c r="Y261" i="20"/>
  <c r="X262" i="20"/>
  <c r="Y262" i="20"/>
  <c r="X263" i="20"/>
  <c r="Y263" i="20"/>
  <c r="X264" i="20"/>
  <c r="Y264" i="20"/>
  <c r="X265" i="20"/>
  <c r="Y265" i="20"/>
  <c r="X266" i="20"/>
  <c r="Y266" i="20"/>
  <c r="X267" i="20"/>
  <c r="Y267" i="20"/>
  <c r="X268" i="20"/>
  <c r="Y268" i="20"/>
  <c r="X269" i="20"/>
  <c r="Y269" i="20"/>
  <c r="X270" i="20"/>
  <c r="Y270" i="20"/>
  <c r="X271" i="20"/>
  <c r="Y271" i="20"/>
  <c r="X272" i="20"/>
  <c r="Y272" i="20"/>
  <c r="X273" i="20"/>
  <c r="Y273" i="20"/>
  <c r="X274" i="20"/>
  <c r="Y274" i="20"/>
  <c r="F254" i="20"/>
  <c r="T254" i="20" s="1"/>
  <c r="F255" i="20"/>
  <c r="T255" i="20" s="1"/>
  <c r="F256" i="20"/>
  <c r="T256" i="20" s="1"/>
  <c r="F257" i="20"/>
  <c r="T257" i="20" s="1"/>
  <c r="F258" i="20"/>
  <c r="T258" i="20" s="1"/>
  <c r="F259" i="20"/>
  <c r="T259" i="20" s="1"/>
  <c r="F260" i="20"/>
  <c r="T260" i="20" s="1"/>
  <c r="F261" i="20"/>
  <c r="T261" i="20" s="1"/>
  <c r="F262" i="20"/>
  <c r="T262" i="20" s="1"/>
  <c r="F263" i="20"/>
  <c r="T263" i="20" s="1"/>
  <c r="F264" i="20"/>
  <c r="T264" i="20" s="1"/>
  <c r="F265" i="20"/>
  <c r="T265" i="20" s="1"/>
  <c r="F266" i="20"/>
  <c r="T266" i="20" s="1"/>
  <c r="F267" i="20"/>
  <c r="T267" i="20" s="1"/>
  <c r="F268" i="20"/>
  <c r="T268" i="20" s="1"/>
  <c r="F269" i="20"/>
  <c r="T269" i="20" s="1"/>
  <c r="F270" i="20"/>
  <c r="T270" i="20" s="1"/>
  <c r="F271" i="20"/>
  <c r="T271" i="20" s="1"/>
  <c r="F272" i="20"/>
  <c r="T272" i="20" s="1"/>
  <c r="F273" i="20"/>
  <c r="T273" i="20" s="1"/>
  <c r="F274" i="20"/>
  <c r="T274" i="20" s="1"/>
  <c r="Y254" i="20"/>
  <c r="Y52" i="20"/>
  <c r="X254" i="20"/>
  <c r="X52" i="20"/>
  <c r="F233" i="20"/>
  <c r="T233" i="20" s="1"/>
  <c r="F234" i="20"/>
  <c r="T234" i="20" s="1"/>
  <c r="F235" i="20"/>
  <c r="T235" i="20" s="1"/>
  <c r="F236" i="20"/>
  <c r="T236" i="20" s="1"/>
  <c r="F237" i="20"/>
  <c r="T237" i="20" s="1"/>
  <c r="F238" i="20"/>
  <c r="T238" i="20" s="1"/>
  <c r="F239" i="20"/>
  <c r="T239" i="20" s="1"/>
  <c r="F240" i="20"/>
  <c r="T240" i="20" s="1"/>
  <c r="F241" i="20"/>
  <c r="T241" i="20" s="1"/>
  <c r="F242" i="20"/>
  <c r="T242" i="20" s="1"/>
  <c r="F243" i="20"/>
  <c r="T243" i="20" s="1"/>
  <c r="F244" i="20"/>
  <c r="T244" i="20" s="1"/>
  <c r="F245" i="20"/>
  <c r="T245" i="20" s="1"/>
  <c r="F246" i="20"/>
  <c r="T246" i="20" s="1"/>
  <c r="F247" i="20"/>
  <c r="T247" i="20" s="1"/>
  <c r="F248" i="20"/>
  <c r="T248" i="20" s="1"/>
  <c r="F249" i="20"/>
  <c r="T249" i="20" s="1"/>
  <c r="F250" i="20"/>
  <c r="T250" i="20" s="1"/>
  <c r="F251" i="20"/>
  <c r="T251" i="20" s="1"/>
  <c r="F252" i="20"/>
  <c r="T252" i="20" s="1"/>
  <c r="F253" i="20"/>
  <c r="T253" i="20" s="1"/>
  <c r="F212" i="20"/>
  <c r="T212" i="20" s="1"/>
  <c r="F213" i="20"/>
  <c r="T213" i="20" s="1"/>
  <c r="F214" i="20"/>
  <c r="T214" i="20" s="1"/>
  <c r="F215" i="20"/>
  <c r="T215" i="20" s="1"/>
  <c r="F216" i="20"/>
  <c r="T216" i="20" s="1"/>
  <c r="F217" i="20"/>
  <c r="T217" i="20" s="1"/>
  <c r="F218" i="20"/>
  <c r="T218" i="20" s="1"/>
  <c r="F219" i="20"/>
  <c r="T219" i="20" s="1"/>
  <c r="F220" i="20"/>
  <c r="T220" i="20" s="1"/>
  <c r="F221" i="20"/>
  <c r="T221" i="20" s="1"/>
  <c r="F222" i="20"/>
  <c r="T222" i="20" s="1"/>
  <c r="F223" i="20"/>
  <c r="T223" i="20" s="1"/>
  <c r="F224" i="20"/>
  <c r="T224" i="20" s="1"/>
  <c r="F225" i="20"/>
  <c r="T225" i="20" s="1"/>
  <c r="F226" i="20"/>
  <c r="T226" i="20" s="1"/>
  <c r="F227" i="20"/>
  <c r="T227" i="20" s="1"/>
  <c r="F228" i="20"/>
  <c r="T228" i="20" s="1"/>
  <c r="F229" i="20"/>
  <c r="T229" i="20" s="1"/>
  <c r="F230" i="20"/>
  <c r="T230" i="20" s="1"/>
  <c r="F231" i="20"/>
  <c r="T231" i="20" s="1"/>
  <c r="F232" i="20"/>
  <c r="T232" i="20" s="1"/>
  <c r="F191" i="20"/>
  <c r="T191" i="20" s="1"/>
  <c r="F192" i="20"/>
  <c r="T192" i="20" s="1"/>
  <c r="F193" i="20"/>
  <c r="T193" i="20" s="1"/>
  <c r="F194" i="20"/>
  <c r="T194" i="20" s="1"/>
  <c r="F195" i="20"/>
  <c r="T195" i="20" s="1"/>
  <c r="F196" i="20"/>
  <c r="T196" i="20" s="1"/>
  <c r="F197" i="20"/>
  <c r="T197" i="20" s="1"/>
  <c r="F198" i="20"/>
  <c r="T198" i="20" s="1"/>
  <c r="F199" i="20"/>
  <c r="T199" i="20" s="1"/>
  <c r="F200" i="20"/>
  <c r="T200" i="20" s="1"/>
  <c r="F201" i="20"/>
  <c r="T201" i="20" s="1"/>
  <c r="F202" i="20"/>
  <c r="T202" i="20" s="1"/>
  <c r="F203" i="20"/>
  <c r="T203" i="20" s="1"/>
  <c r="F204" i="20"/>
  <c r="T204" i="20" s="1"/>
  <c r="F205" i="20"/>
  <c r="T205" i="20" s="1"/>
  <c r="F206" i="20"/>
  <c r="T206" i="20" s="1"/>
  <c r="F207" i="20"/>
  <c r="T207" i="20" s="1"/>
  <c r="F208" i="20"/>
  <c r="T208" i="20" s="1"/>
  <c r="F209" i="20"/>
  <c r="T209" i="20" s="1"/>
  <c r="F210" i="20"/>
  <c r="T210" i="20" s="1"/>
  <c r="F211" i="20"/>
  <c r="T211" i="20" s="1"/>
  <c r="F170" i="20"/>
  <c r="T170" i="20" s="1"/>
  <c r="F171" i="20"/>
  <c r="T171" i="20" s="1"/>
  <c r="F172" i="20"/>
  <c r="T172" i="20" s="1"/>
  <c r="F173" i="20"/>
  <c r="T173" i="20" s="1"/>
  <c r="F174" i="20"/>
  <c r="T174" i="20" s="1"/>
  <c r="F175" i="20"/>
  <c r="T175" i="20" s="1"/>
  <c r="F176" i="20"/>
  <c r="T176" i="20" s="1"/>
  <c r="F177" i="20"/>
  <c r="T177" i="20" s="1"/>
  <c r="F178" i="20"/>
  <c r="T178" i="20" s="1"/>
  <c r="F179" i="20"/>
  <c r="T179" i="20" s="1"/>
  <c r="F180" i="20"/>
  <c r="T180" i="20" s="1"/>
  <c r="F181" i="20"/>
  <c r="T181" i="20" s="1"/>
  <c r="F182" i="20"/>
  <c r="T182" i="20" s="1"/>
  <c r="F183" i="20"/>
  <c r="T183" i="20" s="1"/>
  <c r="F184" i="20"/>
  <c r="T184" i="20" s="1"/>
  <c r="F185" i="20"/>
  <c r="T185" i="20" s="1"/>
  <c r="F186" i="20"/>
  <c r="T186" i="20" s="1"/>
  <c r="F187" i="20"/>
  <c r="T187" i="20" s="1"/>
  <c r="F188" i="20"/>
  <c r="T188" i="20" s="1"/>
  <c r="F189" i="20"/>
  <c r="T189" i="20" s="1"/>
  <c r="F190" i="20"/>
  <c r="T190" i="20" s="1"/>
  <c r="F149" i="20"/>
  <c r="T149" i="20" s="1"/>
  <c r="F150" i="20"/>
  <c r="T150" i="20" s="1"/>
  <c r="F151" i="20"/>
  <c r="T151" i="20" s="1"/>
  <c r="F152" i="20"/>
  <c r="T152" i="20" s="1"/>
  <c r="F153" i="20"/>
  <c r="T153" i="20" s="1"/>
  <c r="F154" i="20"/>
  <c r="T154" i="20" s="1"/>
  <c r="F155" i="20"/>
  <c r="T155" i="20" s="1"/>
  <c r="F156" i="20"/>
  <c r="T156" i="20" s="1"/>
  <c r="F157" i="20"/>
  <c r="T157" i="20" s="1"/>
  <c r="F158" i="20"/>
  <c r="T158" i="20" s="1"/>
  <c r="F159" i="20"/>
  <c r="T159" i="20" s="1"/>
  <c r="F160" i="20"/>
  <c r="T160" i="20" s="1"/>
  <c r="F161" i="20"/>
  <c r="T161" i="20" s="1"/>
  <c r="F162" i="20"/>
  <c r="T162" i="20" s="1"/>
  <c r="F163" i="20"/>
  <c r="T163" i="20" s="1"/>
  <c r="F164" i="20"/>
  <c r="T164" i="20" s="1"/>
  <c r="F165" i="20"/>
  <c r="T165" i="20" s="1"/>
  <c r="F166" i="20"/>
  <c r="T166" i="20" s="1"/>
  <c r="F167" i="20"/>
  <c r="T167" i="20" s="1"/>
  <c r="F168" i="20"/>
  <c r="T168" i="20" s="1"/>
  <c r="F169" i="20"/>
  <c r="T169" i="20" s="1"/>
  <c r="F128" i="20"/>
  <c r="T128" i="20" s="1"/>
  <c r="F129" i="20"/>
  <c r="T129" i="20" s="1"/>
  <c r="F130" i="20"/>
  <c r="T130" i="20" s="1"/>
  <c r="F131" i="20"/>
  <c r="T131" i="20" s="1"/>
  <c r="F132" i="20"/>
  <c r="T132" i="20" s="1"/>
  <c r="F133" i="20"/>
  <c r="T133" i="20" s="1"/>
  <c r="F134" i="20"/>
  <c r="T134" i="20" s="1"/>
  <c r="F135" i="20"/>
  <c r="T135" i="20" s="1"/>
  <c r="F136" i="20"/>
  <c r="T136" i="20" s="1"/>
  <c r="F137" i="20"/>
  <c r="T137" i="20" s="1"/>
  <c r="F138" i="20"/>
  <c r="T138" i="20" s="1"/>
  <c r="F139" i="20"/>
  <c r="T139" i="20" s="1"/>
  <c r="F140" i="20"/>
  <c r="T140" i="20" s="1"/>
  <c r="F141" i="20"/>
  <c r="T141" i="20" s="1"/>
  <c r="F142" i="20"/>
  <c r="T142" i="20" s="1"/>
  <c r="F143" i="20"/>
  <c r="T143" i="20" s="1"/>
  <c r="F144" i="20"/>
  <c r="T144" i="20" s="1"/>
  <c r="F145" i="20"/>
  <c r="T145" i="20" s="1"/>
  <c r="F146" i="20"/>
  <c r="T146" i="20" s="1"/>
  <c r="F147" i="20"/>
  <c r="T147" i="20" s="1"/>
  <c r="F148" i="20"/>
  <c r="T148" i="20" s="1"/>
  <c r="F107" i="20"/>
  <c r="T107" i="20" s="1"/>
  <c r="F108" i="20"/>
  <c r="T108" i="20" s="1"/>
  <c r="F109" i="20"/>
  <c r="T109" i="20" s="1"/>
  <c r="F110" i="20"/>
  <c r="T110" i="20" s="1"/>
  <c r="F111" i="20"/>
  <c r="T111" i="20" s="1"/>
  <c r="F112" i="20"/>
  <c r="T112" i="20" s="1"/>
  <c r="F113" i="20"/>
  <c r="T113" i="20" s="1"/>
  <c r="F114" i="20"/>
  <c r="T114" i="20" s="1"/>
  <c r="F115" i="20"/>
  <c r="T115" i="20" s="1"/>
  <c r="F116" i="20"/>
  <c r="T116" i="20" s="1"/>
  <c r="F117" i="20"/>
  <c r="T117" i="20" s="1"/>
  <c r="F118" i="20"/>
  <c r="T118" i="20" s="1"/>
  <c r="F119" i="20"/>
  <c r="T119" i="20" s="1"/>
  <c r="F120" i="20"/>
  <c r="T120" i="20" s="1"/>
  <c r="F121" i="20"/>
  <c r="T121" i="20" s="1"/>
  <c r="F122" i="20"/>
  <c r="T122" i="20" s="1"/>
  <c r="F123" i="20"/>
  <c r="T123" i="20" s="1"/>
  <c r="F124" i="20"/>
  <c r="T124" i="20" s="1"/>
  <c r="F125" i="20"/>
  <c r="T125" i="20" s="1"/>
  <c r="F126" i="20"/>
  <c r="T126" i="20" s="1"/>
  <c r="F127" i="20"/>
  <c r="T127" i="20" s="1"/>
  <c r="F86" i="20"/>
  <c r="T86" i="20" s="1"/>
  <c r="F87" i="20"/>
  <c r="T87" i="20" s="1"/>
  <c r="F88" i="20"/>
  <c r="T88" i="20" s="1"/>
  <c r="F89" i="20"/>
  <c r="T89" i="20" s="1"/>
  <c r="F90" i="20"/>
  <c r="T90" i="20" s="1"/>
  <c r="F91" i="20"/>
  <c r="T91" i="20" s="1"/>
  <c r="F92" i="20"/>
  <c r="T92" i="20" s="1"/>
  <c r="F93" i="20"/>
  <c r="T93" i="20" s="1"/>
  <c r="F94" i="20"/>
  <c r="T94" i="20" s="1"/>
  <c r="F95" i="20"/>
  <c r="T95" i="20" s="1"/>
  <c r="F96" i="20"/>
  <c r="T96" i="20" s="1"/>
  <c r="F97" i="20"/>
  <c r="T97" i="20" s="1"/>
  <c r="F98" i="20"/>
  <c r="T98" i="20" s="1"/>
  <c r="F99" i="20"/>
  <c r="T99" i="20" s="1"/>
  <c r="F100" i="20"/>
  <c r="T100" i="20" s="1"/>
  <c r="F101" i="20"/>
  <c r="T101" i="20" s="1"/>
  <c r="F102" i="20"/>
  <c r="T102" i="20" s="1"/>
  <c r="F103" i="20"/>
  <c r="T103" i="20" s="1"/>
  <c r="F104" i="20"/>
  <c r="T104" i="20" s="1"/>
  <c r="F105" i="20"/>
  <c r="T105" i="20" s="1"/>
  <c r="F106" i="20"/>
  <c r="T106" i="20" s="1"/>
  <c r="F84" i="20"/>
  <c r="T84" i="20" s="1"/>
  <c r="F69" i="20"/>
  <c r="T69" i="20" s="1"/>
  <c r="F65" i="20"/>
  <c r="T65" i="20" s="1"/>
  <c r="F66" i="20"/>
  <c r="T66" i="20" s="1"/>
  <c r="F67" i="20"/>
  <c r="T67" i="20" s="1"/>
  <c r="F68" i="20"/>
  <c r="T68" i="20" s="1"/>
  <c r="F70" i="20"/>
  <c r="T70" i="20" s="1"/>
  <c r="F71" i="20"/>
  <c r="T71" i="20" s="1"/>
  <c r="F72" i="20"/>
  <c r="T72" i="20" s="1"/>
  <c r="F73" i="20"/>
  <c r="T73" i="20" s="1"/>
  <c r="F74" i="20"/>
  <c r="T74" i="20" s="1"/>
  <c r="F75" i="20"/>
  <c r="T75" i="20" s="1"/>
  <c r="F76" i="20"/>
  <c r="T76" i="20" s="1"/>
  <c r="F77" i="20"/>
  <c r="T77" i="20" s="1"/>
  <c r="F78" i="20"/>
  <c r="T78" i="20" s="1"/>
  <c r="F79" i="20"/>
  <c r="T79" i="20" s="1"/>
  <c r="F80" i="20"/>
  <c r="T80" i="20" s="1"/>
  <c r="F81" i="20"/>
  <c r="T81" i="20" s="1"/>
  <c r="F82" i="20"/>
  <c r="T82" i="20" s="1"/>
  <c r="F83" i="20"/>
  <c r="T83" i="20" s="1"/>
  <c r="F85" i="20"/>
  <c r="T85" i="20" s="1"/>
  <c r="F9" i="20"/>
  <c r="T9" i="20" s="1"/>
  <c r="F34" i="20"/>
  <c r="T34" i="20" s="1"/>
  <c r="F44" i="20"/>
  <c r="T44" i="20" s="1"/>
  <c r="F47" i="20"/>
  <c r="T47" i="20" s="1"/>
  <c r="F48" i="20"/>
  <c r="T48" i="20" s="1"/>
  <c r="F49" i="20"/>
  <c r="T49" i="20" s="1"/>
  <c r="F50" i="20"/>
  <c r="T50" i="20" s="1"/>
  <c r="F51" i="20"/>
  <c r="T51" i="20" s="1"/>
  <c r="F24" i="20"/>
  <c r="T24" i="20" s="1"/>
  <c r="F53" i="20"/>
  <c r="T53" i="20" s="1"/>
  <c r="F54" i="20"/>
  <c r="T54" i="20" s="1"/>
  <c r="F19" i="20"/>
  <c r="T19" i="20" s="1"/>
  <c r="F56" i="20"/>
  <c r="T56" i="20" s="1"/>
  <c r="F57" i="20"/>
  <c r="T57" i="20" s="1"/>
  <c r="F58" i="20"/>
  <c r="T58" i="20" s="1"/>
  <c r="F59" i="20"/>
  <c r="T59" i="20" s="1"/>
  <c r="F60" i="20"/>
  <c r="T60" i="20" s="1"/>
  <c r="F61" i="20"/>
  <c r="T61" i="20" s="1"/>
  <c r="F62" i="20"/>
  <c r="T62" i="20" s="1"/>
  <c r="F63" i="20"/>
  <c r="T63" i="20" s="1"/>
  <c r="F64" i="20"/>
  <c r="T64" i="20" s="1"/>
  <c r="F55" i="20"/>
  <c r="T55" i="20" s="1"/>
  <c r="F46" i="20"/>
  <c r="T46" i="20" s="1"/>
  <c r="F43" i="20"/>
  <c r="T43" i="20" s="1"/>
  <c r="F26" i="20"/>
  <c r="T26" i="20" s="1"/>
  <c r="F27" i="20"/>
  <c r="T27" i="20" s="1"/>
  <c r="F28" i="20"/>
  <c r="T28" i="20" s="1"/>
  <c r="F29" i="20"/>
  <c r="T29" i="20" s="1"/>
  <c r="F30" i="20"/>
  <c r="T30" i="20" s="1"/>
  <c r="F31" i="20"/>
  <c r="T31" i="20" s="1"/>
  <c r="F32" i="20"/>
  <c r="T32" i="20" s="1"/>
  <c r="F23" i="20"/>
  <c r="T23" i="20" s="1"/>
  <c r="F14" i="20"/>
  <c r="T14" i="20" s="1"/>
  <c r="F35" i="20"/>
  <c r="T35" i="20" s="1"/>
  <c r="F36" i="20"/>
  <c r="T36" i="20" s="1"/>
  <c r="F37" i="20"/>
  <c r="T37" i="20" s="1"/>
  <c r="F38" i="20"/>
  <c r="T38" i="20" s="1"/>
  <c r="F39" i="20"/>
  <c r="T39" i="20" s="1"/>
  <c r="F4" i="20"/>
  <c r="T4" i="20" s="1"/>
  <c r="F41" i="20"/>
  <c r="T41" i="20" s="1"/>
  <c r="F42" i="20"/>
  <c r="T42" i="20" s="1"/>
  <c r="F33" i="20"/>
  <c r="T33" i="20" s="1"/>
  <c r="F8" i="20"/>
  <c r="T8" i="20" s="1"/>
  <c r="F10" i="20"/>
  <c r="T10" i="20" s="1"/>
  <c r="F16" i="20"/>
  <c r="T16" i="20" s="1"/>
  <c r="F18" i="20"/>
  <c r="T18" i="20" s="1"/>
  <c r="F52" i="20"/>
  <c r="T52" i="20" s="1"/>
  <c r="F3" i="20"/>
  <c r="T3" i="20" s="1"/>
  <c r="F20" i="20"/>
  <c r="T20" i="20" s="1"/>
  <c r="F5" i="20"/>
  <c r="T5" i="20" s="1"/>
  <c r="F6" i="20"/>
  <c r="T6" i="20" s="1"/>
  <c r="F7" i="20"/>
  <c r="T7" i="20" s="1"/>
  <c r="F45" i="20"/>
  <c r="T45" i="20" s="1"/>
  <c r="F11" i="20"/>
  <c r="T11" i="20" s="1"/>
  <c r="F12" i="20"/>
  <c r="T12" i="20" s="1"/>
  <c r="F40" i="20"/>
  <c r="T40" i="20" s="1"/>
  <c r="F25" i="20"/>
  <c r="T25" i="20" s="1"/>
  <c r="F15" i="20"/>
  <c r="T15" i="20" s="1"/>
  <c r="F17" i="20"/>
  <c r="T17" i="20" s="1"/>
  <c r="F13" i="20"/>
  <c r="T13" i="20" s="1"/>
  <c r="F2" i="20"/>
  <c r="F21" i="20"/>
  <c r="T21" i="20" s="1"/>
  <c r="F22" i="20"/>
  <c r="T22" i="20" s="1"/>
  <c r="D26" i="1"/>
  <c r="D27" i="1"/>
  <c r="D28" i="1"/>
  <c r="D29" i="1"/>
  <c r="D30" i="1"/>
  <c r="D31" i="1"/>
  <c r="D32" i="1"/>
  <c r="D33" i="1"/>
  <c r="D34" i="1"/>
  <c r="D35" i="1"/>
  <c r="D36" i="1"/>
  <c r="D37" i="1"/>
  <c r="D38" i="1"/>
  <c r="D39" i="1"/>
  <c r="D40" i="1"/>
  <c r="D41" i="1"/>
  <c r="D42" i="1"/>
  <c r="C27" i="1"/>
  <c r="F27" i="1" s="1"/>
  <c r="C28" i="1"/>
  <c r="F28" i="1" s="1"/>
  <c r="C29" i="1"/>
  <c r="F29" i="1" s="1"/>
  <c r="C30" i="1"/>
  <c r="F30" i="1" s="1"/>
  <c r="C31" i="1"/>
  <c r="F31" i="1" s="1"/>
  <c r="C32" i="1"/>
  <c r="F32" i="1" s="1"/>
  <c r="C33" i="1"/>
  <c r="F33" i="1" s="1"/>
  <c r="C34" i="1"/>
  <c r="F34" i="1" s="1"/>
  <c r="C35" i="1"/>
  <c r="F35" i="1" s="1"/>
  <c r="C36" i="1"/>
  <c r="F36" i="1" s="1"/>
  <c r="C37" i="1"/>
  <c r="F37" i="1" s="1"/>
  <c r="C38" i="1"/>
  <c r="F38" i="1" s="1"/>
  <c r="C41" i="1"/>
  <c r="F41" i="1" s="1"/>
  <c r="C42" i="1"/>
  <c r="F42" i="1" s="1"/>
  <c r="J26" i="1"/>
  <c r="J27" i="1"/>
  <c r="J28" i="1"/>
  <c r="J29" i="1"/>
  <c r="J30" i="1"/>
  <c r="J31" i="1"/>
  <c r="J32" i="1"/>
  <c r="J33" i="1"/>
  <c r="J34" i="1"/>
  <c r="J35" i="1"/>
  <c r="J36" i="1"/>
  <c r="J37" i="1"/>
  <c r="J38" i="1"/>
  <c r="J39" i="1"/>
  <c r="J40" i="1"/>
  <c r="J41" i="1"/>
  <c r="J42" i="1"/>
  <c r="A26" i="1"/>
  <c r="A27" i="1"/>
  <c r="A28" i="1"/>
  <c r="A29" i="1"/>
  <c r="A30" i="1"/>
  <c r="A31" i="1"/>
  <c r="A32" i="1"/>
  <c r="A33" i="1"/>
  <c r="A34" i="1"/>
  <c r="A35" i="1"/>
  <c r="A36" i="1"/>
  <c r="A37" i="1"/>
  <c r="A38" i="1"/>
  <c r="A39" i="1"/>
  <c r="A40" i="1"/>
  <c r="A41" i="1"/>
  <c r="A42" i="1"/>
  <c r="A25" i="1"/>
  <c r="B40" i="1"/>
  <c r="B41" i="1"/>
  <c r="B42" i="1"/>
  <c r="B26" i="1"/>
  <c r="B27" i="1"/>
  <c r="B28" i="1"/>
  <c r="B29" i="1"/>
  <c r="B30" i="1"/>
  <c r="B31" i="1"/>
  <c r="B32" i="1"/>
  <c r="B33" i="1"/>
  <c r="B34" i="1"/>
  <c r="B35" i="1"/>
  <c r="B36" i="1"/>
  <c r="B37" i="1"/>
  <c r="B38" i="1"/>
  <c r="B39" i="1"/>
  <c r="B25" i="1"/>
  <c r="AN8" i="55" l="1"/>
  <c r="AN21" i="55"/>
  <c r="AN22" i="55"/>
  <c r="AN9" i="55"/>
  <c r="AN13" i="55"/>
  <c r="Y20" i="55"/>
  <c r="Y21" i="55"/>
  <c r="J7" i="55"/>
  <c r="J13" i="55"/>
  <c r="J8" i="55"/>
  <c r="Y22" i="55"/>
  <c r="J22" i="55"/>
  <c r="J21" i="55"/>
  <c r="Y8" i="55"/>
  <c r="J24" i="55"/>
  <c r="Y7" i="55"/>
  <c r="AN7" i="55"/>
  <c r="I35" i="1"/>
  <c r="AN17" i="55" s="1"/>
  <c r="H35" i="1"/>
  <c r="Y17" i="55" s="1"/>
  <c r="E12" i="1"/>
  <c r="F12" i="1"/>
  <c r="H42" i="1"/>
  <c r="Y24" i="55" s="1"/>
  <c r="E19" i="1"/>
  <c r="I42" i="1"/>
  <c r="AN24" i="55" s="1"/>
  <c r="F19" i="1"/>
  <c r="I41" i="1"/>
  <c r="AN23" i="55" s="1"/>
  <c r="E18" i="1"/>
  <c r="F18" i="1"/>
  <c r="H41" i="1"/>
  <c r="Y23" i="55" s="1"/>
  <c r="H31" i="1"/>
  <c r="Y13" i="55" s="1"/>
  <c r="I31" i="1"/>
  <c r="E8" i="1"/>
  <c r="F8" i="1"/>
  <c r="H33" i="1"/>
  <c r="Y15" i="55" s="1"/>
  <c r="E10" i="1"/>
  <c r="F10" i="1"/>
  <c r="I33" i="1"/>
  <c r="AN15" i="55" s="1"/>
  <c r="H38" i="1"/>
  <c r="J20" i="55" s="1"/>
  <c r="E15" i="1"/>
  <c r="F15" i="1"/>
  <c r="I38" i="1"/>
  <c r="AN20" i="55" s="1"/>
  <c r="I30" i="1"/>
  <c r="AN12" i="55" s="1"/>
  <c r="H30" i="1"/>
  <c r="J12" i="55" s="1"/>
  <c r="E7" i="1"/>
  <c r="F7" i="1"/>
  <c r="I34" i="1"/>
  <c r="AN16" i="55" s="1"/>
  <c r="H34" i="1"/>
  <c r="J16" i="55" s="1"/>
  <c r="F11" i="1"/>
  <c r="E11" i="1"/>
  <c r="H37" i="1"/>
  <c r="Y19" i="55" s="1"/>
  <c r="F14" i="1"/>
  <c r="E14" i="1"/>
  <c r="I37" i="1"/>
  <c r="AN19" i="55" s="1"/>
  <c r="H29" i="1"/>
  <c r="Y11" i="55" s="1"/>
  <c r="F6" i="1"/>
  <c r="E6" i="1"/>
  <c r="I29" i="1"/>
  <c r="AN11" i="55" s="1"/>
  <c r="H27" i="1"/>
  <c r="J9" i="55" s="1"/>
  <c r="E4" i="1"/>
  <c r="F4" i="1"/>
  <c r="I27" i="1"/>
  <c r="H32" i="1"/>
  <c r="Y14" i="55" s="1"/>
  <c r="I32" i="1"/>
  <c r="AN14" i="55" s="1"/>
  <c r="F9" i="1"/>
  <c r="E9" i="1"/>
  <c r="I36" i="1"/>
  <c r="AN18" i="55" s="1"/>
  <c r="F13" i="1"/>
  <c r="E13" i="1"/>
  <c r="H36" i="1"/>
  <c r="Y18" i="55" s="1"/>
  <c r="I28" i="1"/>
  <c r="AN10" i="55" s="1"/>
  <c r="H28" i="1"/>
  <c r="J10" i="55" s="1"/>
  <c r="E5" i="1"/>
  <c r="F5" i="1"/>
  <c r="G302" i="20"/>
  <c r="G299" i="20"/>
  <c r="D43" i="55"/>
  <c r="D33" i="55"/>
  <c r="T43" i="55"/>
  <c r="C53" i="55"/>
  <c r="G41" i="20"/>
  <c r="D30" i="55"/>
  <c r="D40" i="55"/>
  <c r="T40" i="55"/>
  <c r="C50" i="55"/>
  <c r="W48" i="55" s="1"/>
  <c r="C30" i="55"/>
  <c r="C40" i="55"/>
  <c r="S40" i="55"/>
  <c r="G23" i="20"/>
  <c r="G298" i="20"/>
  <c r="G43" i="20"/>
  <c r="D42" i="55"/>
  <c r="D32" i="55"/>
  <c r="T42" i="55"/>
  <c r="C52" i="55"/>
  <c r="D29" i="55"/>
  <c r="D39" i="55"/>
  <c r="T39" i="55"/>
  <c r="C49" i="55"/>
  <c r="G289" i="20"/>
  <c r="K38" i="1"/>
  <c r="G275" i="20"/>
  <c r="C39" i="55"/>
  <c r="C29" i="55"/>
  <c r="S39" i="55"/>
  <c r="B49" i="55"/>
  <c r="O48" i="55" s="1" a="1"/>
  <c r="O48" i="55" s="1"/>
  <c r="D38" i="55"/>
  <c r="D28" i="55"/>
  <c r="T38" i="55"/>
  <c r="C48" i="55"/>
  <c r="D31" i="55"/>
  <c r="D41" i="55"/>
  <c r="T41" i="55"/>
  <c r="C51" i="55"/>
  <c r="W49" i="55" s="1"/>
  <c r="C31" i="55"/>
  <c r="C41" i="55"/>
  <c r="S41" i="55"/>
  <c r="B51" i="55"/>
  <c r="V49" i="55" s="1"/>
  <c r="G314" i="20"/>
  <c r="G219" i="20"/>
  <c r="C42" i="55"/>
  <c r="C32" i="55"/>
  <c r="S42" i="55"/>
  <c r="B52" i="55"/>
  <c r="AF49" i="55" s="1"/>
  <c r="G295" i="20"/>
  <c r="G311" i="20"/>
  <c r="G217" i="20"/>
  <c r="G201" i="20"/>
  <c r="G313" i="20"/>
  <c r="G287" i="20"/>
  <c r="G127" i="20"/>
  <c r="G377" i="20"/>
  <c r="G286" i="20"/>
  <c r="G115" i="20"/>
  <c r="G374" i="20"/>
  <c r="G214" i="20"/>
  <c r="G307" i="20"/>
  <c r="G282" i="20"/>
  <c r="G114" i="20"/>
  <c r="G154" i="20"/>
  <c r="G161" i="20"/>
  <c r="G169" i="20"/>
  <c r="G153" i="20"/>
  <c r="G265" i="20"/>
  <c r="G126" i="20"/>
  <c r="G113" i="20"/>
  <c r="K39" i="1"/>
  <c r="G369" i="20"/>
  <c r="G310" i="20"/>
  <c r="G297" i="20"/>
  <c r="G283" i="20"/>
  <c r="G257" i="20"/>
  <c r="G209" i="20"/>
  <c r="G123" i="20"/>
  <c r="G111" i="20"/>
  <c r="G273" i="20"/>
  <c r="G366" i="20"/>
  <c r="G230" i="20"/>
  <c r="G122" i="20"/>
  <c r="G110" i="20"/>
  <c r="K35" i="1"/>
  <c r="G363" i="20"/>
  <c r="G306" i="20"/>
  <c r="G294" i="20"/>
  <c r="G281" i="20"/>
  <c r="G227" i="20"/>
  <c r="G193" i="20"/>
  <c r="G121" i="20"/>
  <c r="G107" i="20"/>
  <c r="K30" i="1"/>
  <c r="G361" i="20"/>
  <c r="G305" i="20"/>
  <c r="G291" i="20"/>
  <c r="G279" i="20"/>
  <c r="G225" i="20"/>
  <c r="G119" i="20"/>
  <c r="G57" i="20"/>
  <c r="G371" i="20"/>
  <c r="G379" i="20"/>
  <c r="G315" i="20"/>
  <c r="G303" i="20"/>
  <c r="G290" i="20"/>
  <c r="G278" i="20"/>
  <c r="G222" i="20"/>
  <c r="G118" i="20"/>
  <c r="G49" i="20"/>
  <c r="M9" i="43" a="1"/>
  <c r="M9" i="43" s="1"/>
  <c r="AD10" i="43" s="1"/>
  <c r="AE61" i="43" s="1"/>
  <c r="M9" i="48" a="1"/>
  <c r="M9" i="48" s="1"/>
  <c r="AG10" i="48" s="1"/>
  <c r="AH61" i="48" s="1"/>
  <c r="H3" i="47" a="1"/>
  <c r="H3" i="47" s="1"/>
  <c r="H3" i="46" a="1"/>
  <c r="H3" i="46" s="1"/>
  <c r="H3" i="44" a="1"/>
  <c r="H3" i="44" s="1"/>
  <c r="H3" i="45" a="1"/>
  <c r="H3" i="45" s="1"/>
  <c r="M9" i="49" a="1"/>
  <c r="M9" i="49" s="1"/>
  <c r="AD10" i="49" s="1"/>
  <c r="AE61" i="49" s="1"/>
  <c r="H3" i="49" a="1"/>
  <c r="H3" i="49" s="1"/>
  <c r="M9" i="47" a="1"/>
  <c r="M9" i="47" s="1"/>
  <c r="AD10" i="47" s="1"/>
  <c r="AE61" i="47" s="1"/>
  <c r="M9" i="52" a="1"/>
  <c r="M9" i="52" s="1"/>
  <c r="AD10" i="52" s="1"/>
  <c r="AE61" i="52" s="1"/>
  <c r="H3" i="50" a="1"/>
  <c r="H3" i="50" s="1"/>
  <c r="M9" i="50" a="1"/>
  <c r="M9" i="50" s="1"/>
  <c r="AD10" i="50" s="1"/>
  <c r="AE61" i="50" s="1"/>
  <c r="H3" i="53" a="1"/>
  <c r="H3" i="53" s="1"/>
  <c r="M9" i="51" a="1"/>
  <c r="M9" i="51" s="1"/>
  <c r="AD10" i="51" s="1"/>
  <c r="AE61" i="51" s="1"/>
  <c r="H3" i="52" a="1"/>
  <c r="H3" i="52" s="1"/>
  <c r="H3" i="51" a="1"/>
  <c r="H3" i="51" s="1"/>
  <c r="M9" i="45" a="1"/>
  <c r="M9" i="45" s="1"/>
  <c r="AD10" i="45" s="1"/>
  <c r="AE61" i="45" s="1"/>
  <c r="H3" i="48" a="1"/>
  <c r="H3" i="48" s="1"/>
  <c r="H3" i="43" a="1"/>
  <c r="H3" i="43" s="1"/>
  <c r="M9" i="44" a="1"/>
  <c r="M9" i="44" s="1"/>
  <c r="AD10" i="44" s="1"/>
  <c r="AE61" i="44" s="1"/>
  <c r="M9" i="53" a="1"/>
  <c r="M9" i="53" s="1"/>
  <c r="AG10" i="53" s="1"/>
  <c r="AH61" i="53" s="1"/>
  <c r="M9" i="46" a="1"/>
  <c r="M9" i="46" s="1"/>
  <c r="AD10" i="46" s="1"/>
  <c r="AE61" i="46" s="1"/>
  <c r="T2" i="20"/>
  <c r="D45" i="23"/>
  <c r="G30" i="38" s="1"/>
  <c r="A45" i="23"/>
  <c r="A30" i="38" s="1"/>
  <c r="D7" i="23"/>
  <c r="G4" i="38" s="1"/>
  <c r="A7" i="23"/>
  <c r="A4" i="38" s="1"/>
  <c r="D52" i="23"/>
  <c r="G34" i="38" s="1"/>
  <c r="A52" i="23"/>
  <c r="A34" i="38" s="1"/>
  <c r="D44" i="23"/>
  <c r="G29" i="38" s="1"/>
  <c r="A44" i="23"/>
  <c r="A29" i="38" s="1"/>
  <c r="D36" i="23"/>
  <c r="G24" i="38" s="1"/>
  <c r="A36" i="23"/>
  <c r="A24" i="38" s="1"/>
  <c r="D28" i="23"/>
  <c r="G19" i="38" s="1"/>
  <c r="A28" i="23"/>
  <c r="A19" i="38" s="1"/>
  <c r="D20" i="23"/>
  <c r="G14" i="38" s="1"/>
  <c r="A20" i="23"/>
  <c r="A14" i="38" s="1"/>
  <c r="D12" i="23"/>
  <c r="A12" i="23"/>
  <c r="D6" i="23"/>
  <c r="G3" i="38" s="1"/>
  <c r="A6" i="23"/>
  <c r="A3" i="38" s="1"/>
  <c r="D51" i="23"/>
  <c r="G33" i="38" s="1"/>
  <c r="A51" i="23"/>
  <c r="A33" i="38" s="1"/>
  <c r="D43" i="23"/>
  <c r="G28" i="38" s="1"/>
  <c r="A43" i="23"/>
  <c r="A28" i="38" s="1"/>
  <c r="D35" i="23"/>
  <c r="G23" i="38" s="1"/>
  <c r="A35" i="23"/>
  <c r="A23" i="38" s="1"/>
  <c r="D27" i="23"/>
  <c r="G18" i="38" s="1"/>
  <c r="A27" i="23"/>
  <c r="A18" i="38" s="1"/>
  <c r="D19" i="23"/>
  <c r="G13" i="38" s="1"/>
  <c r="A19" i="23"/>
  <c r="A13" i="38" s="1"/>
  <c r="D53" i="23"/>
  <c r="G35" i="38" s="1"/>
  <c r="A53" i="23"/>
  <c r="A35" i="38" s="1"/>
  <c r="D5" i="23"/>
  <c r="A5" i="23"/>
  <c r="D50" i="23"/>
  <c r="A50" i="23"/>
  <c r="D42" i="23"/>
  <c r="G27" i="38" s="1"/>
  <c r="A42" i="23"/>
  <c r="A27" i="38" s="1"/>
  <c r="D34" i="23"/>
  <c r="G22" i="38" s="1"/>
  <c r="A34" i="23"/>
  <c r="A22" i="38" s="1"/>
  <c r="D26" i="23"/>
  <c r="G17" i="38" s="1"/>
  <c r="A26" i="23"/>
  <c r="A17" i="38" s="1"/>
  <c r="D18" i="23"/>
  <c r="G12" i="38" s="1"/>
  <c r="A18" i="23"/>
  <c r="A12" i="38" s="1"/>
  <c r="D8" i="23"/>
  <c r="G5" i="38" s="1"/>
  <c r="A8" i="23"/>
  <c r="A5" i="38" s="1"/>
  <c r="D13" i="23"/>
  <c r="A13" i="23"/>
  <c r="D4" i="23"/>
  <c r="A4" i="23"/>
  <c r="D49" i="23"/>
  <c r="A49" i="23"/>
  <c r="D41" i="23"/>
  <c r="A41" i="23"/>
  <c r="D33" i="23"/>
  <c r="G21" i="38" s="1"/>
  <c r="A33" i="23"/>
  <c r="A21" i="38" s="1"/>
  <c r="D25" i="23"/>
  <c r="G16" i="38" s="1"/>
  <c r="A25" i="23"/>
  <c r="A16" i="38" s="1"/>
  <c r="D17" i="23"/>
  <c r="G11" i="38" s="1"/>
  <c r="A17" i="23"/>
  <c r="A11" i="38" s="1"/>
  <c r="D29" i="23"/>
  <c r="G20" i="38" s="1"/>
  <c r="A29" i="23"/>
  <c r="A20" i="38" s="1"/>
  <c r="D11" i="23"/>
  <c r="G8" i="38" s="1"/>
  <c r="A11" i="23"/>
  <c r="A8" i="38" s="1"/>
  <c r="D56" i="23"/>
  <c r="G38" i="38" s="1"/>
  <c r="A56" i="23"/>
  <c r="A38" i="38" s="1"/>
  <c r="D48" i="23"/>
  <c r="A48" i="23"/>
  <c r="D40" i="23"/>
  <c r="A40" i="23"/>
  <c r="D32" i="23"/>
  <c r="A32" i="23"/>
  <c r="D24" i="23"/>
  <c r="G15" i="38" s="1"/>
  <c r="A24" i="23"/>
  <c r="A15" i="38" s="1"/>
  <c r="D16" i="23"/>
  <c r="G10" i="38" s="1"/>
  <c r="A16" i="23"/>
  <c r="A10" i="38" s="1"/>
  <c r="D21" i="23"/>
  <c r="A21" i="23"/>
  <c r="D10" i="23"/>
  <c r="G7" i="38" s="1"/>
  <c r="A10" i="23"/>
  <c r="A7" i="38" s="1"/>
  <c r="D55" i="23"/>
  <c r="G37" i="38" s="1"/>
  <c r="A55" i="23"/>
  <c r="A37" i="38" s="1"/>
  <c r="D47" i="23"/>
  <c r="G32" i="38" s="1"/>
  <c r="A47" i="23"/>
  <c r="A32" i="38" s="1"/>
  <c r="D39" i="23"/>
  <c r="A39" i="23"/>
  <c r="D31" i="23"/>
  <c r="A31" i="23"/>
  <c r="D23" i="23"/>
  <c r="A23" i="23"/>
  <c r="D15" i="23"/>
  <c r="G9" i="38" s="1"/>
  <c r="A15" i="23"/>
  <c r="A9" i="38" s="1"/>
  <c r="D37" i="23"/>
  <c r="G25" i="38" s="1"/>
  <c r="A37" i="23"/>
  <c r="A25" i="38" s="1"/>
  <c r="D9" i="23"/>
  <c r="G6" i="38" s="1"/>
  <c r="A9" i="23"/>
  <c r="A6" i="38" s="1"/>
  <c r="D54" i="23"/>
  <c r="G36" i="38" s="1"/>
  <c r="A54" i="23"/>
  <c r="A36" i="38" s="1"/>
  <c r="D46" i="23"/>
  <c r="G31" i="38" s="1"/>
  <c r="A46" i="23"/>
  <c r="A31" i="38" s="1"/>
  <c r="D38" i="23"/>
  <c r="G26" i="38" s="1"/>
  <c r="A38" i="23"/>
  <c r="A26" i="38" s="1"/>
  <c r="D30" i="23"/>
  <c r="A30" i="23"/>
  <c r="D22" i="23"/>
  <c r="A22" i="23"/>
  <c r="D14" i="23"/>
  <c r="A14" i="23"/>
  <c r="X19" i="23"/>
  <c r="B12" i="38"/>
  <c r="C16" i="38"/>
  <c r="C10" i="38"/>
  <c r="C50" i="23"/>
  <c r="C34" i="23"/>
  <c r="C18" i="23"/>
  <c r="F7" i="38"/>
  <c r="D7" i="38"/>
  <c r="E7" i="38"/>
  <c r="C32" i="23"/>
  <c r="C16" i="23"/>
  <c r="F32" i="38"/>
  <c r="E32" i="38"/>
  <c r="D32" i="38"/>
  <c r="E20" i="38"/>
  <c r="F20" i="38"/>
  <c r="D20" i="38"/>
  <c r="D5" i="38"/>
  <c r="E5" i="38"/>
  <c r="F5" i="38"/>
  <c r="C44" i="23"/>
  <c r="C12" i="23"/>
  <c r="E16" i="38"/>
  <c r="F16" i="38"/>
  <c r="D16" i="38"/>
  <c r="D35" i="38"/>
  <c r="E35" i="38"/>
  <c r="F35" i="38"/>
  <c r="X49" i="23"/>
  <c r="B33" i="38"/>
  <c r="D28" i="38"/>
  <c r="E28" i="38"/>
  <c r="F28" i="38"/>
  <c r="D23" i="38"/>
  <c r="F23" i="38"/>
  <c r="E23" i="38"/>
  <c r="C15" i="38"/>
  <c r="C9" i="38"/>
  <c r="C14" i="38"/>
  <c r="C20" i="38"/>
  <c r="C26" i="23"/>
  <c r="C10" i="23"/>
  <c r="D10" i="38"/>
  <c r="F10" i="38"/>
  <c r="E10" i="38"/>
  <c r="X7" i="23"/>
  <c r="B3" i="38"/>
  <c r="C19" i="38"/>
  <c r="C13" i="38"/>
  <c r="C40" i="23"/>
  <c r="C8" i="23"/>
  <c r="D37" i="38"/>
  <c r="F37" i="38"/>
  <c r="E37" i="38"/>
  <c r="E14" i="38"/>
  <c r="F14" i="38"/>
  <c r="D14" i="38"/>
  <c r="X43" i="23"/>
  <c r="B30" i="38"/>
  <c r="X25" i="23"/>
  <c r="B18" i="38"/>
  <c r="X31" i="23"/>
  <c r="B21" i="38"/>
  <c r="C18" i="38"/>
  <c r="C12" i="38"/>
  <c r="C54" i="23"/>
  <c r="C22" i="23"/>
  <c r="C6" i="23"/>
  <c r="F25" i="38"/>
  <c r="D25" i="38"/>
  <c r="E25" i="38"/>
  <c r="C11" i="38"/>
  <c r="C17" i="38"/>
  <c r="C52" i="23"/>
  <c r="C36" i="23"/>
  <c r="C20" i="23"/>
  <c r="X40" i="23"/>
  <c r="B27" i="38"/>
  <c r="B22" i="38"/>
  <c r="B8" i="38"/>
  <c r="B11" i="38"/>
  <c r="X22" i="23"/>
  <c r="B15" i="38"/>
  <c r="X52" i="23"/>
  <c r="B36" i="38"/>
  <c r="B31" i="38"/>
  <c r="B26" i="38"/>
  <c r="X10" i="23"/>
  <c r="B6" i="38"/>
  <c r="B17" i="38"/>
  <c r="B38" i="38"/>
  <c r="X16" i="23"/>
  <c r="B9" i="38"/>
  <c r="B13" i="38"/>
  <c r="B34" i="38"/>
  <c r="B29" i="38"/>
  <c r="X34" i="23"/>
  <c r="B24" i="38"/>
  <c r="B19" i="38"/>
  <c r="B4" i="38"/>
  <c r="C35" i="23"/>
  <c r="C43" i="23"/>
  <c r="C25" i="23"/>
  <c r="C17" i="23"/>
  <c r="C51" i="23"/>
  <c r="C33" i="23"/>
  <c r="C41" i="23"/>
  <c r="C39" i="23"/>
  <c r="C21" i="23"/>
  <c r="C11" i="23"/>
  <c r="C49" i="23"/>
  <c r="C31" i="23"/>
  <c r="C47" i="23"/>
  <c r="C55" i="23"/>
  <c r="C27" i="23"/>
  <c r="C19" i="23"/>
  <c r="C9" i="23"/>
  <c r="C15" i="23"/>
  <c r="C13" i="23"/>
  <c r="X4" i="23"/>
  <c r="C7" i="23"/>
  <c r="C53" i="23"/>
  <c r="C45" i="23"/>
  <c r="C37" i="23"/>
  <c r="C29" i="23"/>
  <c r="C5" i="23"/>
  <c r="C3" i="23"/>
  <c r="G66" i="20"/>
  <c r="G74" i="20"/>
  <c r="G82" i="20"/>
  <c r="G67" i="20"/>
  <c r="G75" i="20"/>
  <c r="G83" i="20"/>
  <c r="G68" i="20"/>
  <c r="G76" i="20"/>
  <c r="G84" i="20"/>
  <c r="G69" i="20"/>
  <c r="G77" i="20"/>
  <c r="G85" i="20"/>
  <c r="G70" i="20"/>
  <c r="G78" i="20"/>
  <c r="G71" i="20"/>
  <c r="G79" i="20"/>
  <c r="K28" i="1"/>
  <c r="G72" i="20"/>
  <c r="G80" i="20"/>
  <c r="G65" i="20"/>
  <c r="G73" i="20"/>
  <c r="G81" i="20"/>
  <c r="G322" i="20"/>
  <c r="G330" i="20"/>
  <c r="G323" i="20"/>
  <c r="G331" i="20"/>
  <c r="K40" i="1"/>
  <c r="G324" i="20"/>
  <c r="G332" i="20"/>
  <c r="G317" i="20"/>
  <c r="G325" i="20"/>
  <c r="G333" i="20"/>
  <c r="G318" i="20"/>
  <c r="G326" i="20"/>
  <c r="G334" i="20"/>
  <c r="G319" i="20"/>
  <c r="G327" i="20"/>
  <c r="G335" i="20"/>
  <c r="G321" i="20"/>
  <c r="G337" i="20"/>
  <c r="G320" i="20"/>
  <c r="G328" i="20"/>
  <c r="G336" i="20"/>
  <c r="G329" i="20"/>
  <c r="G170" i="20"/>
  <c r="G178" i="20"/>
  <c r="G186" i="20"/>
  <c r="G171" i="20"/>
  <c r="G179" i="20"/>
  <c r="G187" i="20"/>
  <c r="G172" i="20"/>
  <c r="G180" i="20"/>
  <c r="G188" i="20"/>
  <c r="K33" i="1"/>
  <c r="G173" i="20"/>
  <c r="G181" i="20"/>
  <c r="G189" i="20"/>
  <c r="G174" i="20"/>
  <c r="G182" i="20"/>
  <c r="G190" i="20"/>
  <c r="G175" i="20"/>
  <c r="G183" i="20"/>
  <c r="G177" i="20"/>
  <c r="G176" i="20"/>
  <c r="G184" i="20"/>
  <c r="G185" i="20"/>
  <c r="G90" i="20"/>
  <c r="G98" i="20"/>
  <c r="G106" i="20"/>
  <c r="G91" i="20"/>
  <c r="G99" i="20"/>
  <c r="G92" i="20"/>
  <c r="G100" i="20"/>
  <c r="G93" i="20"/>
  <c r="G101" i="20"/>
  <c r="G86" i="20"/>
  <c r="G94" i="20"/>
  <c r="G102" i="20"/>
  <c r="G87" i="20"/>
  <c r="G95" i="20"/>
  <c r="G103" i="20"/>
  <c r="G88" i="20"/>
  <c r="G96" i="20"/>
  <c r="G104" i="20"/>
  <c r="K29" i="1"/>
  <c r="G89" i="20"/>
  <c r="G97" i="20"/>
  <c r="G105" i="20"/>
  <c r="G345" i="20"/>
  <c r="G249" i="20"/>
  <c r="G233" i="20"/>
  <c r="G145" i="20"/>
  <c r="G137" i="20"/>
  <c r="G129" i="20"/>
  <c r="K37" i="1"/>
  <c r="G376" i="20"/>
  <c r="G368" i="20"/>
  <c r="G360" i="20"/>
  <c r="G352" i="20"/>
  <c r="G344" i="20"/>
  <c r="G312" i="20"/>
  <c r="G304" i="20"/>
  <c r="G296" i="20"/>
  <c r="G288" i="20"/>
  <c r="G280" i="20"/>
  <c r="G272" i="20"/>
  <c r="G264" i="20"/>
  <c r="G256" i="20"/>
  <c r="G248" i="20"/>
  <c r="G240" i="20"/>
  <c r="G232" i="20"/>
  <c r="G224" i="20"/>
  <c r="G216" i="20"/>
  <c r="G208" i="20"/>
  <c r="G200" i="20"/>
  <c r="G192" i="20"/>
  <c r="G168" i="20"/>
  <c r="G160" i="20"/>
  <c r="G152" i="20"/>
  <c r="G144" i="20"/>
  <c r="G136" i="20"/>
  <c r="G128" i="20"/>
  <c r="G120" i="20"/>
  <c r="G112" i="20"/>
  <c r="G64" i="20"/>
  <c r="G56" i="20"/>
  <c r="G48" i="20"/>
  <c r="G4" i="20"/>
  <c r="G32" i="20"/>
  <c r="G46" i="20"/>
  <c r="G16" i="20"/>
  <c r="G8" i="20"/>
  <c r="G353" i="20"/>
  <c r="G241" i="20"/>
  <c r="K36" i="1"/>
  <c r="G375" i="20"/>
  <c r="G367" i="20"/>
  <c r="G359" i="20"/>
  <c r="G351" i="20"/>
  <c r="G343" i="20"/>
  <c r="G271" i="20"/>
  <c r="G263" i="20"/>
  <c r="G255" i="20"/>
  <c r="G247" i="20"/>
  <c r="G239" i="20"/>
  <c r="G231" i="20"/>
  <c r="G223" i="20"/>
  <c r="G215" i="20"/>
  <c r="G207" i="20"/>
  <c r="G199" i="20"/>
  <c r="G191" i="20"/>
  <c r="G167" i="20"/>
  <c r="G159" i="20"/>
  <c r="G151" i="20"/>
  <c r="G143" i="20"/>
  <c r="G135" i="20"/>
  <c r="G63" i="20"/>
  <c r="G19" i="20"/>
  <c r="G47" i="20"/>
  <c r="G39" i="20"/>
  <c r="G31" i="20"/>
  <c r="G55" i="20"/>
  <c r="G15" i="20"/>
  <c r="G7" i="20"/>
  <c r="H25" i="44" s="1" a="1"/>
  <c r="H25" i="44" s="1"/>
  <c r="K27" i="1"/>
  <c r="G358" i="20"/>
  <c r="G350" i="20"/>
  <c r="G342" i="20"/>
  <c r="G270" i="20"/>
  <c r="G262" i="20"/>
  <c r="G254" i="20"/>
  <c r="G246" i="20"/>
  <c r="G238" i="20"/>
  <c r="G206" i="20"/>
  <c r="G198" i="20"/>
  <c r="G166" i="20"/>
  <c r="G158" i="20"/>
  <c r="G150" i="20"/>
  <c r="G142" i="20"/>
  <c r="G134" i="20"/>
  <c r="G62" i="20"/>
  <c r="G54" i="20"/>
  <c r="G44" i="20"/>
  <c r="G38" i="20"/>
  <c r="G30" i="20"/>
  <c r="K42" i="1"/>
  <c r="K34" i="1"/>
  <c r="K26" i="1"/>
  <c r="G373" i="20"/>
  <c r="G365" i="20"/>
  <c r="G357" i="20"/>
  <c r="G349" i="20"/>
  <c r="G341" i="20"/>
  <c r="G309" i="20"/>
  <c r="G301" i="20"/>
  <c r="G293" i="20"/>
  <c r="G285" i="20"/>
  <c r="G277" i="20"/>
  <c r="G269" i="20"/>
  <c r="G261" i="20"/>
  <c r="G253" i="20"/>
  <c r="G245" i="20"/>
  <c r="G237" i="20"/>
  <c r="G229" i="20"/>
  <c r="G221" i="20"/>
  <c r="G213" i="20"/>
  <c r="G205" i="20"/>
  <c r="G197" i="20"/>
  <c r="G165" i="20"/>
  <c r="G157" i="20"/>
  <c r="G149" i="20"/>
  <c r="G141" i="20"/>
  <c r="G133" i="20"/>
  <c r="G125" i="20"/>
  <c r="G117" i="20"/>
  <c r="G109" i="20"/>
  <c r="G61" i="20"/>
  <c r="G53" i="20"/>
  <c r="G34" i="20"/>
  <c r="G37" i="20"/>
  <c r="G29" i="20"/>
  <c r="G21" i="20"/>
  <c r="G40" i="20"/>
  <c r="G5" i="20"/>
  <c r="K41" i="1"/>
  <c r="G52" i="20"/>
  <c r="G372" i="20"/>
  <c r="G364" i="20"/>
  <c r="G356" i="20"/>
  <c r="G348" i="20"/>
  <c r="G340" i="20"/>
  <c r="G316" i="20"/>
  <c r="G308" i="20"/>
  <c r="G292" i="20"/>
  <c r="G284" i="20"/>
  <c r="G268" i="20"/>
  <c r="G260" i="20"/>
  <c r="G252" i="20"/>
  <c r="G244" i="20"/>
  <c r="G236" i="20"/>
  <c r="G228" i="20"/>
  <c r="G220" i="20"/>
  <c r="G212" i="20"/>
  <c r="G204" i="20"/>
  <c r="G196" i="20"/>
  <c r="G164" i="20"/>
  <c r="G156" i="20"/>
  <c r="G148" i="20"/>
  <c r="G140" i="20"/>
  <c r="G132" i="20"/>
  <c r="G124" i="20"/>
  <c r="G116" i="20"/>
  <c r="G60" i="20"/>
  <c r="G24" i="20"/>
  <c r="G9" i="20"/>
  <c r="G36" i="20"/>
  <c r="G28" i="20"/>
  <c r="G12" i="20"/>
  <c r="G20" i="20"/>
  <c r="K32" i="1"/>
  <c r="G355" i="20"/>
  <c r="G347" i="20"/>
  <c r="G339" i="20"/>
  <c r="G267" i="20"/>
  <c r="G259" i="20"/>
  <c r="G251" i="20"/>
  <c r="G243" i="20"/>
  <c r="G235" i="20"/>
  <c r="G211" i="20"/>
  <c r="G203" i="20"/>
  <c r="G195" i="20"/>
  <c r="G163" i="20"/>
  <c r="G155" i="20"/>
  <c r="G147" i="20"/>
  <c r="G139" i="20"/>
  <c r="G131" i="20"/>
  <c r="G59" i="20"/>
  <c r="G51" i="20"/>
  <c r="G33" i="20"/>
  <c r="G35" i="20"/>
  <c r="G27" i="20"/>
  <c r="K31" i="1"/>
  <c r="G378" i="20"/>
  <c r="G370" i="20"/>
  <c r="G354" i="20"/>
  <c r="G346" i="20"/>
  <c r="G274" i="20"/>
  <c r="G266" i="20"/>
  <c r="G250" i="20"/>
  <c r="G242" i="20"/>
  <c r="G226" i="20"/>
  <c r="G210" i="20"/>
  <c r="G202" i="20"/>
  <c r="G162" i="20"/>
  <c r="G146" i="20"/>
  <c r="G138" i="20"/>
  <c r="G58" i="20"/>
  <c r="G42" i="20"/>
  <c r="G14" i="20"/>
  <c r="G18" i="20"/>
  <c r="J23" i="55" l="1"/>
  <c r="J19" i="55"/>
  <c r="Y9" i="55"/>
  <c r="J15" i="55"/>
  <c r="Y10" i="55"/>
  <c r="Y12" i="55"/>
  <c r="J14" i="55"/>
  <c r="J17" i="55"/>
  <c r="J18" i="55"/>
  <c r="J11" i="55"/>
  <c r="Y16" i="55"/>
  <c r="J16" i="52" a="1"/>
  <c r="J16" i="52" s="1"/>
  <c r="AH16" i="52" s="1"/>
  <c r="AI63" i="52" s="1"/>
  <c r="K37" i="47" a="1"/>
  <c r="K37" i="47" s="1"/>
  <c r="AI37" i="47" s="1"/>
  <c r="AJ70" i="47" s="1"/>
  <c r="L37" i="45" a="1"/>
  <c r="L37" i="45" s="1"/>
  <c r="AJ37" i="45" s="1"/>
  <c r="AK70" i="45" s="1"/>
  <c r="M27" i="53" a="1"/>
  <c r="M27" i="53" s="1"/>
  <c r="AG28" i="53" s="1"/>
  <c r="AH67" i="53" s="1"/>
  <c r="M6" i="43" a="1"/>
  <c r="M6" i="43" s="1"/>
  <c r="AD7" i="43" s="1"/>
  <c r="AE60" i="43" s="1"/>
  <c r="H16" i="51" a="1"/>
  <c r="H16" i="51" s="1"/>
  <c r="I36" i="51" a="1"/>
  <c r="I36" i="51" s="1"/>
  <c r="Z37" i="51" s="1"/>
  <c r="AA70" i="51" s="1"/>
  <c r="L18" i="49" a="1"/>
  <c r="L18" i="49" s="1"/>
  <c r="AC19" i="49" s="1"/>
  <c r="AD64" i="49" s="1"/>
  <c r="M6" i="51" a="1"/>
  <c r="M6" i="51" s="1"/>
  <c r="AD7" i="51" s="1"/>
  <c r="AE60" i="51" s="1"/>
  <c r="H20" i="52" a="1"/>
  <c r="H20" i="52" s="1"/>
  <c r="J8" i="53" a="1"/>
  <c r="J8" i="53" s="1"/>
  <c r="AR7" i="53" s="1"/>
  <c r="AS60" i="53" s="1"/>
  <c r="I29" i="52" a="1"/>
  <c r="I29" i="52" s="1"/>
  <c r="AN28" i="52" s="1"/>
  <c r="AO67" i="52" s="1"/>
  <c r="L42" i="44" a="1"/>
  <c r="L42" i="44" s="1"/>
  <c r="AC43" i="44" s="1"/>
  <c r="AD72" i="44" s="1"/>
  <c r="M5" i="46" a="1"/>
  <c r="M5" i="46" s="1"/>
  <c r="AR4" i="46" s="1"/>
  <c r="AS59" i="46" s="1"/>
  <c r="K16" i="53" a="1"/>
  <c r="K16" i="53" s="1"/>
  <c r="AL16" i="53" s="1"/>
  <c r="AM63" i="53" s="1"/>
  <c r="L9" i="52" a="1"/>
  <c r="L9" i="52" s="1"/>
  <c r="AC10" i="52" s="1"/>
  <c r="AD61" i="52" s="1"/>
  <c r="M32" i="49" a="1"/>
  <c r="M32" i="49" s="1"/>
  <c r="AR31" i="49" s="1"/>
  <c r="AS68" i="49" s="1"/>
  <c r="M40" i="47" a="1"/>
  <c r="M40" i="47" s="1"/>
  <c r="AK40" i="47" s="1"/>
  <c r="AL71" i="47" s="1"/>
  <c r="N32" i="50" a="1"/>
  <c r="N32" i="50" s="1"/>
  <c r="AS31" i="50" s="1"/>
  <c r="AT68" i="50" s="1"/>
  <c r="N4" i="46" a="1"/>
  <c r="N4" i="46" s="1"/>
  <c r="AL4" i="46" s="1"/>
  <c r="AM59" i="46" s="1"/>
  <c r="K51" i="53" a="1"/>
  <c r="K51" i="53" s="1"/>
  <c r="I21" i="53" a="1"/>
  <c r="I21" i="53" s="1"/>
  <c r="AC22" i="53" s="1"/>
  <c r="AD65" i="53" s="1"/>
  <c r="I44" i="44" a="1"/>
  <c r="I44" i="44" s="1"/>
  <c r="AN43" i="44" s="1"/>
  <c r="AO72" i="44" s="1"/>
  <c r="N32" i="47" a="1"/>
  <c r="N32" i="47" s="1"/>
  <c r="AS31" i="47" s="1"/>
  <c r="AT68" i="47" s="1"/>
  <c r="H14" i="53" a="1"/>
  <c r="H14" i="53" s="1"/>
  <c r="J33" i="43" a="1"/>
  <c r="J33" i="43" s="1"/>
  <c r="AA34" i="43" s="1"/>
  <c r="AB69" i="43" s="1"/>
  <c r="N7" i="51" a="1"/>
  <c r="N7" i="51" s="1"/>
  <c r="AL7" i="51" s="1"/>
  <c r="AM60" i="51" s="1"/>
  <c r="K9" i="49" a="1"/>
  <c r="K9" i="49" s="1"/>
  <c r="AB10" i="49" s="1"/>
  <c r="AC61" i="49" s="1"/>
  <c r="M30" i="45" a="1"/>
  <c r="M30" i="45" s="1"/>
  <c r="AD31" i="45" s="1"/>
  <c r="AE68" i="45" s="1"/>
  <c r="L41" i="46" a="1"/>
  <c r="L41" i="46" s="1"/>
  <c r="AQ40" i="46" s="1"/>
  <c r="AR71" i="46" s="1"/>
  <c r="N45" i="50" a="1"/>
  <c r="N45" i="50" s="1"/>
  <c r="K44" i="49" a="1"/>
  <c r="K44" i="49" s="1"/>
  <c r="AP43" i="49" s="1"/>
  <c r="AQ72" i="49" s="1"/>
  <c r="J15" i="44" a="1"/>
  <c r="J15" i="44" s="1"/>
  <c r="AA16" i="44" s="1"/>
  <c r="AB63" i="44" s="1"/>
  <c r="J35" i="47" a="1"/>
  <c r="J35" i="47" s="1"/>
  <c r="AO34" i="47" s="1"/>
  <c r="AP69" i="47" s="1"/>
  <c r="H48" i="45" a="1"/>
  <c r="H48" i="45" s="1"/>
  <c r="M39" i="43" a="1"/>
  <c r="M39" i="43" s="1"/>
  <c r="AD40" i="43" s="1"/>
  <c r="AE71" i="43" s="1"/>
  <c r="J56" i="50" a="1"/>
  <c r="J56" i="50" s="1"/>
  <c r="I28" i="52" a="1"/>
  <c r="I28" i="52" s="1"/>
  <c r="AG28" i="52" s="1"/>
  <c r="AH67" i="52" s="1"/>
  <c r="L12" i="45" a="1"/>
  <c r="L12" i="45" s="1"/>
  <c r="AC13" i="45" s="1"/>
  <c r="AD62" i="45" s="1"/>
  <c r="N38" i="45" a="1"/>
  <c r="N38" i="45" s="1"/>
  <c r="AS37" i="45" s="1"/>
  <c r="AT70" i="45" s="1"/>
  <c r="I14" i="44" a="1"/>
  <c r="I14" i="44" s="1"/>
  <c r="AN13" i="44" s="1"/>
  <c r="AO62" i="44" s="1"/>
  <c r="J5" i="48" a="1"/>
  <c r="J5" i="48" s="1"/>
  <c r="AR4" i="48" s="1"/>
  <c r="AS59" i="48" s="1"/>
  <c r="I25" i="46" a="1"/>
  <c r="I25" i="46" s="1"/>
  <c r="AG25" i="46" s="1"/>
  <c r="AH66" i="46" s="1"/>
  <c r="I7" i="44" a="1"/>
  <c r="I7" i="44" s="1"/>
  <c r="AG7" i="44" s="1"/>
  <c r="AH60" i="44" s="1"/>
  <c r="L50" i="53" a="1"/>
  <c r="L50" i="53" s="1"/>
  <c r="M37" i="51" a="1"/>
  <c r="M37" i="51" s="1"/>
  <c r="AK37" i="51" s="1"/>
  <c r="AL70" i="51" s="1"/>
  <c r="I4" i="50" a="1"/>
  <c r="I4" i="50" s="1"/>
  <c r="AG4" i="50" s="1"/>
  <c r="AH59" i="50" s="1"/>
  <c r="I29" i="48" a="1"/>
  <c r="I29" i="48" s="1"/>
  <c r="AQ28" i="48" s="1"/>
  <c r="AR67" i="48" s="1"/>
  <c r="H49" i="47" a="1"/>
  <c r="H49" i="47" s="1"/>
  <c r="H38" i="51" a="1"/>
  <c r="H38" i="51" s="1"/>
  <c r="M46" i="52" a="1"/>
  <c r="M46" i="52" s="1"/>
  <c r="AK46" i="52" s="1"/>
  <c r="AL73" i="52" s="1"/>
  <c r="K50" i="44" a="1"/>
  <c r="K50" i="44" s="1"/>
  <c r="J12" i="43" a="1"/>
  <c r="J12" i="43" s="1"/>
  <c r="AA13" i="43" s="1"/>
  <c r="AB62" i="43" s="1"/>
  <c r="M31" i="43" a="1"/>
  <c r="M31" i="43" s="1"/>
  <c r="AK31" i="43" s="1"/>
  <c r="AL68" i="43" s="1"/>
  <c r="J38" i="53" a="1"/>
  <c r="J38" i="53" s="1"/>
  <c r="AR37" i="53" s="1"/>
  <c r="AS70" i="53" s="1"/>
  <c r="J25" i="52" a="1"/>
  <c r="J25" i="52" s="1"/>
  <c r="AH25" i="52" s="1"/>
  <c r="AI66" i="52" s="1"/>
  <c r="N28" i="48" a="1"/>
  <c r="N28" i="48" s="1"/>
  <c r="AO28" i="48" s="1"/>
  <c r="AP67" i="48" s="1"/>
  <c r="N34" i="49" a="1"/>
  <c r="N34" i="49" s="1"/>
  <c r="AL34" i="49" s="1"/>
  <c r="AM69" i="49" s="1"/>
  <c r="N33" i="47" a="1"/>
  <c r="N33" i="47" s="1"/>
  <c r="AE34" i="47" s="1"/>
  <c r="AF69" i="47" s="1"/>
  <c r="H53" i="53" a="1"/>
  <c r="H53" i="53" s="1"/>
  <c r="J46" i="53" a="1"/>
  <c r="J46" i="53" s="1"/>
  <c r="AK46" i="53" s="1"/>
  <c r="AL73" i="53" s="1"/>
  <c r="H39" i="52" a="1"/>
  <c r="H39" i="52" s="1"/>
  <c r="J20" i="43" a="1"/>
  <c r="J20" i="43" s="1"/>
  <c r="AO19" i="43" s="1"/>
  <c r="AP64" i="43" s="1"/>
  <c r="I27" i="43" a="1"/>
  <c r="I27" i="43" s="1"/>
  <c r="Z28" i="43" s="1"/>
  <c r="AA67" i="43" s="1"/>
  <c r="H26" i="53" a="1"/>
  <c r="H26" i="53" s="1"/>
  <c r="I25" i="52" a="1"/>
  <c r="I25" i="52" s="1"/>
  <c r="AG25" i="52" s="1"/>
  <c r="AH66" i="52" s="1"/>
  <c r="I35" i="52" a="1"/>
  <c r="I35" i="52" s="1"/>
  <c r="AN34" i="52" s="1"/>
  <c r="AO69" i="52" s="1"/>
  <c r="I46" i="51" a="1"/>
  <c r="I46" i="51" s="1"/>
  <c r="AG46" i="51" s="1"/>
  <c r="AH73" i="51" s="1"/>
  <c r="K45" i="45" a="1"/>
  <c r="K45" i="45" s="1"/>
  <c r="AB46" i="45" s="1"/>
  <c r="AC73" i="45" s="1"/>
  <c r="H38" i="44" a="1"/>
  <c r="H38" i="44" s="1"/>
  <c r="M7" i="46" a="1"/>
  <c r="M7" i="46" s="1"/>
  <c r="AK7" i="46" s="1"/>
  <c r="AL60" i="46" s="1"/>
  <c r="M44" i="52" a="1"/>
  <c r="M44" i="52" s="1"/>
  <c r="AR43" i="52" s="1"/>
  <c r="AS72" i="52" s="1"/>
  <c r="L39" i="44" a="1"/>
  <c r="L39" i="44" s="1"/>
  <c r="AC40" i="44" s="1"/>
  <c r="AD71" i="44" s="1"/>
  <c r="L34" i="44" a="1"/>
  <c r="L34" i="44" s="1"/>
  <c r="AJ34" i="44" s="1"/>
  <c r="AK69" i="44" s="1"/>
  <c r="M15" i="44" a="1"/>
  <c r="M15" i="44" s="1"/>
  <c r="AD16" i="44" s="1"/>
  <c r="AE63" i="44" s="1"/>
  <c r="M47" i="53" a="1"/>
  <c r="M47" i="53" s="1"/>
  <c r="AU46" i="53" s="1"/>
  <c r="AV73" i="53" s="1"/>
  <c r="M10" i="44" a="1"/>
  <c r="M10" i="44" s="1"/>
  <c r="AK10" i="44" s="1"/>
  <c r="AL61" i="44" s="1"/>
  <c r="M51" i="47" a="1"/>
  <c r="M51" i="47" s="1"/>
  <c r="M39" i="51" a="1"/>
  <c r="M39" i="51" s="1"/>
  <c r="AD40" i="51" s="1"/>
  <c r="AE71" i="51" s="1"/>
  <c r="L31" i="47" a="1"/>
  <c r="L31" i="47" s="1"/>
  <c r="AJ31" i="47" s="1"/>
  <c r="AK68" i="47" s="1"/>
  <c r="N24" i="52" a="1"/>
  <c r="N24" i="52" s="1"/>
  <c r="AE25" i="52" s="1"/>
  <c r="AF66" i="52" s="1"/>
  <c r="I16" i="52" a="1"/>
  <c r="I16" i="52" s="1"/>
  <c r="AG16" i="52" s="1"/>
  <c r="AH63" i="52" s="1"/>
  <c r="K33" i="44" a="1"/>
  <c r="K33" i="44" s="1"/>
  <c r="AB34" i="44" s="1"/>
  <c r="AC69" i="44" s="1"/>
  <c r="K56" i="53" a="1"/>
  <c r="K56" i="53" s="1"/>
  <c r="I44" i="51" a="1"/>
  <c r="I44" i="51" s="1"/>
  <c r="AN43" i="51" s="1"/>
  <c r="AO72" i="51" s="1"/>
  <c r="I14" i="51" a="1"/>
  <c r="I14" i="51" s="1"/>
  <c r="AN13" i="51" s="1"/>
  <c r="AO62" i="51" s="1"/>
  <c r="J29" i="51" a="1"/>
  <c r="J29" i="51" s="1"/>
  <c r="AO28" i="51" s="1"/>
  <c r="AP67" i="51" s="1"/>
  <c r="I18" i="51" a="1"/>
  <c r="I18" i="51" s="1"/>
  <c r="Z19" i="51" s="1"/>
  <c r="AA64" i="51" s="1"/>
  <c r="K52" i="52" a="1"/>
  <c r="K52" i="52" s="1"/>
  <c r="AI52" i="52" s="1"/>
  <c r="AJ75" i="52" s="1"/>
  <c r="K39" i="52" a="1"/>
  <c r="K39" i="52" s="1"/>
  <c r="AB40" i="52" s="1"/>
  <c r="AC71" i="52" s="1"/>
  <c r="K10" i="52" a="1"/>
  <c r="K10" i="52" s="1"/>
  <c r="AI10" i="52" s="1"/>
  <c r="AJ61" i="52" s="1"/>
  <c r="I47" i="53" a="1"/>
  <c r="I47" i="53" s="1"/>
  <c r="AQ46" i="53" s="1"/>
  <c r="AR73" i="53" s="1"/>
  <c r="I31" i="53" a="1"/>
  <c r="I31" i="53" s="1"/>
  <c r="AJ31" i="53" s="1"/>
  <c r="AK68" i="53" s="1"/>
  <c r="H8" i="53" a="1"/>
  <c r="H8" i="53" s="1"/>
  <c r="J47" i="51" a="1"/>
  <c r="J47" i="51" s="1"/>
  <c r="AO46" i="51" s="1"/>
  <c r="AP73" i="51" s="1"/>
  <c r="J26" i="51" a="1"/>
  <c r="J26" i="51" s="1"/>
  <c r="AO25" i="51" s="1"/>
  <c r="AP66" i="51" s="1"/>
  <c r="N29" i="51" a="1"/>
  <c r="N29" i="51" s="1"/>
  <c r="AS28" i="51" s="1"/>
  <c r="AT67" i="51" s="1"/>
  <c r="N53" i="51" a="1"/>
  <c r="N53" i="51" s="1"/>
  <c r="I49" i="52" a="1"/>
  <c r="I49" i="52" s="1"/>
  <c r="AG49" i="52" s="1"/>
  <c r="AH74" i="52" s="1"/>
  <c r="M37" i="52" a="1"/>
  <c r="M37" i="52" s="1"/>
  <c r="AK37" i="52" s="1"/>
  <c r="AL70" i="52" s="1"/>
  <c r="L13" i="52" a="1"/>
  <c r="L13" i="52" s="1"/>
  <c r="AJ13" i="52" s="1"/>
  <c r="AK62" i="52" s="1"/>
  <c r="L5" i="53" a="1"/>
  <c r="L5" i="53" s="1"/>
  <c r="AT4" i="53" s="1"/>
  <c r="AU59" i="53" s="1"/>
  <c r="H39" i="44" a="1"/>
  <c r="H39" i="44" s="1"/>
  <c r="J46" i="47" a="1"/>
  <c r="J46" i="47" s="1"/>
  <c r="AH46" i="47" s="1"/>
  <c r="AI73" i="47" s="1"/>
  <c r="J23" i="52" a="1"/>
  <c r="J23" i="52" s="1"/>
  <c r="AO22" i="52" s="1"/>
  <c r="AP65" i="52" s="1"/>
  <c r="I5" i="46" a="1"/>
  <c r="I5" i="46" s="1"/>
  <c r="AN4" i="46" s="1"/>
  <c r="AO59" i="46" s="1"/>
  <c r="H16" i="47" a="1"/>
  <c r="H16" i="47" s="1"/>
  <c r="N35" i="51" a="1"/>
  <c r="N35" i="51" s="1"/>
  <c r="AS34" i="51" s="1"/>
  <c r="AT69" i="51" s="1"/>
  <c r="I5" i="45" a="1"/>
  <c r="I5" i="45" s="1"/>
  <c r="AN4" i="45" s="1"/>
  <c r="AO59" i="45" s="1"/>
  <c r="L37" i="47" a="1"/>
  <c r="L37" i="47" s="1"/>
  <c r="AJ37" i="47" s="1"/>
  <c r="AK70" i="47" s="1"/>
  <c r="K40" i="44" a="1"/>
  <c r="K40" i="44" s="1"/>
  <c r="AI40" i="44" s="1"/>
  <c r="AJ71" i="44" s="1"/>
  <c r="H41" i="53" a="1"/>
  <c r="H41" i="53" s="1"/>
  <c r="K48" i="48" a="1"/>
  <c r="K48" i="48" s="1"/>
  <c r="AE49" i="48" s="1"/>
  <c r="AF74" i="48" s="1"/>
  <c r="J41" i="52" a="1"/>
  <c r="J41" i="52" s="1"/>
  <c r="AO40" i="52" s="1"/>
  <c r="AP71" i="52" s="1"/>
  <c r="L7" i="46" a="1"/>
  <c r="L7" i="46" s="1"/>
  <c r="AJ7" i="46" s="1"/>
  <c r="AK60" i="46" s="1"/>
  <c r="K56" i="43" a="1"/>
  <c r="K56" i="43" s="1"/>
  <c r="M29" i="43" a="1"/>
  <c r="M29" i="43" s="1"/>
  <c r="AR28" i="43" s="1"/>
  <c r="AS67" i="43" s="1"/>
  <c r="I39" i="50" a="1"/>
  <c r="I39" i="50" s="1"/>
  <c r="Z40" i="50" s="1"/>
  <c r="AA71" i="50" s="1"/>
  <c r="M27" i="44" a="1"/>
  <c r="M27" i="44" s="1"/>
  <c r="AD28" i="44" s="1"/>
  <c r="AE67" i="44" s="1"/>
  <c r="K6" i="43" a="1"/>
  <c r="K6" i="43" s="1"/>
  <c r="AB7" i="43" s="1"/>
  <c r="AC60" i="43" s="1"/>
  <c r="M29" i="46" a="1"/>
  <c r="M29" i="46" s="1"/>
  <c r="AR28" i="46" s="1"/>
  <c r="AS67" i="46" s="1"/>
  <c r="H24" i="53" a="1"/>
  <c r="H24" i="53" s="1"/>
  <c r="I41" i="44" a="1"/>
  <c r="I41" i="44" s="1"/>
  <c r="AN40" i="44" s="1"/>
  <c r="AO71" i="44" s="1"/>
  <c r="M11" i="49" a="1"/>
  <c r="M11" i="49" s="1"/>
  <c r="AR10" i="49" s="1"/>
  <c r="AS61" i="49" s="1"/>
  <c r="I33" i="52" a="1"/>
  <c r="I33" i="52" s="1"/>
  <c r="Z34" i="52" s="1"/>
  <c r="AA69" i="52" s="1"/>
  <c r="L22" i="47" a="1"/>
  <c r="L22" i="47" s="1"/>
  <c r="AJ22" i="47" s="1"/>
  <c r="AK65" i="47" s="1"/>
  <c r="H50" i="43" a="1"/>
  <c r="H50" i="43" s="1"/>
  <c r="L53" i="53" a="1"/>
  <c r="L53" i="53" s="1"/>
  <c r="I28" i="43" a="1"/>
  <c r="I28" i="43" s="1"/>
  <c r="AG28" i="43" s="1"/>
  <c r="AH67" i="43" s="1"/>
  <c r="N50" i="51" a="1"/>
  <c r="N50" i="51" s="1"/>
  <c r="H32" i="47" a="1"/>
  <c r="H32" i="47" s="1"/>
  <c r="I6" i="43" a="1"/>
  <c r="I6" i="43" s="1"/>
  <c r="Z7" i="43" s="1"/>
  <c r="AA60" i="43" s="1"/>
  <c r="K8" i="49" a="1"/>
  <c r="K8" i="49" s="1"/>
  <c r="AP7" i="49" s="1"/>
  <c r="AQ60" i="49" s="1"/>
  <c r="I16" i="51" a="1"/>
  <c r="I16" i="51" s="1"/>
  <c r="AG16" i="51" s="1"/>
  <c r="AH63" i="51" s="1"/>
  <c r="H32" i="45" a="1"/>
  <c r="H32" i="45" s="1"/>
  <c r="J34" i="43" a="1"/>
  <c r="J34" i="43" s="1"/>
  <c r="AH34" i="43" s="1"/>
  <c r="AI69" i="43" s="1"/>
  <c r="J24" i="50" a="1"/>
  <c r="J24" i="50" s="1"/>
  <c r="AA25" i="50" s="1"/>
  <c r="AB66" i="50" s="1"/>
  <c r="I39" i="53" a="1"/>
  <c r="I39" i="53" s="1"/>
  <c r="AC40" i="53" s="1"/>
  <c r="AD71" i="53" s="1"/>
  <c r="J56" i="52" a="1"/>
  <c r="J56" i="52" s="1"/>
  <c r="K17" i="45" a="1"/>
  <c r="K17" i="45" s="1"/>
  <c r="AP16" i="45" s="1"/>
  <c r="AQ63" i="45" s="1"/>
  <c r="K9" i="44" a="1"/>
  <c r="K9" i="44" s="1"/>
  <c r="AB10" i="44" s="1"/>
  <c r="AC61" i="44" s="1"/>
  <c r="N34" i="53" a="1"/>
  <c r="N34" i="53" s="1"/>
  <c r="AO34" i="53" s="1"/>
  <c r="AP69" i="53" s="1"/>
  <c r="K32" i="48" a="1"/>
  <c r="K32" i="48" s="1"/>
  <c r="AS31" i="48" s="1"/>
  <c r="AT68" i="48" s="1"/>
  <c r="M16" i="51" a="1"/>
  <c r="M16" i="51" s="1"/>
  <c r="AK16" i="51" s="1"/>
  <c r="AL63" i="51" s="1"/>
  <c r="J13" i="46" a="1"/>
  <c r="J13" i="46" s="1"/>
  <c r="AH13" i="46" s="1"/>
  <c r="AI62" i="46" s="1"/>
  <c r="I14" i="46" a="1"/>
  <c r="I14" i="46" s="1"/>
  <c r="AN13" i="46" s="1"/>
  <c r="AO62" i="46" s="1"/>
  <c r="J37" i="49" a="1"/>
  <c r="J37" i="49" s="1"/>
  <c r="AH37" i="49" s="1"/>
  <c r="AI70" i="49" s="1"/>
  <c r="N5" i="47" a="1"/>
  <c r="N5" i="47" s="1"/>
  <c r="AS4" i="47" s="1"/>
  <c r="AT59" i="47" s="1"/>
  <c r="L31" i="44" a="1"/>
  <c r="L31" i="44" s="1"/>
  <c r="AJ31" i="44" s="1"/>
  <c r="AK68" i="44" s="1"/>
  <c r="I23" i="52" a="1"/>
  <c r="I23" i="52" s="1"/>
  <c r="AN22" i="52" s="1"/>
  <c r="AO65" i="52" s="1"/>
  <c r="J33" i="53" a="1"/>
  <c r="J33" i="53" s="1"/>
  <c r="AD34" i="53" s="1"/>
  <c r="AE69" i="53" s="1"/>
  <c r="H38" i="53" a="1"/>
  <c r="H38" i="53" s="1"/>
  <c r="J23" i="49" a="1"/>
  <c r="J23" i="49" s="1"/>
  <c r="AO22" i="49" s="1"/>
  <c r="AP65" i="49" s="1"/>
  <c r="N13" i="50" a="1"/>
  <c r="N13" i="50" s="1"/>
  <c r="AL13" i="50" s="1"/>
  <c r="AM62" i="50" s="1"/>
  <c r="J26" i="48" a="1"/>
  <c r="J26" i="48" s="1"/>
  <c r="AR25" i="48" s="1"/>
  <c r="AS66" i="48" s="1"/>
  <c r="M4" i="46" a="1"/>
  <c r="M4" i="46" s="1"/>
  <c r="AK4" i="46" s="1"/>
  <c r="AL59" i="46" s="1"/>
  <c r="J53" i="52" a="1"/>
  <c r="J53" i="52" s="1"/>
  <c r="N53" i="46" a="1"/>
  <c r="N53" i="46" s="1"/>
  <c r="H34" i="43" a="1"/>
  <c r="H34" i="43" s="1"/>
  <c r="I32" i="44" a="1"/>
  <c r="I32" i="44" s="1"/>
  <c r="AN31" i="44" s="1"/>
  <c r="AO68" i="44" s="1"/>
  <c r="L49" i="43" a="1"/>
  <c r="L49" i="43" s="1"/>
  <c r="AJ49" i="43" s="1"/>
  <c r="AK74" i="43" s="1"/>
  <c r="J50" i="53" a="1"/>
  <c r="J50" i="53" s="1"/>
  <c r="L8" i="49" a="1"/>
  <c r="L8" i="49" s="1"/>
  <c r="AQ7" i="49" s="1"/>
  <c r="AR60" i="49" s="1"/>
  <c r="I24" i="51" a="1"/>
  <c r="I24" i="51" s="1"/>
  <c r="Z25" i="51" s="1"/>
  <c r="AA66" i="51" s="1"/>
  <c r="I31" i="49" a="1"/>
  <c r="I31" i="49" s="1"/>
  <c r="AG31" i="49" s="1"/>
  <c r="AH68" i="49" s="1"/>
  <c r="I28" i="45" a="1"/>
  <c r="I28" i="45" s="1"/>
  <c r="AG28" i="45" s="1"/>
  <c r="AH67" i="45" s="1"/>
  <c r="M38" i="53" a="1"/>
  <c r="M38" i="53" s="1"/>
  <c r="AU37" i="53" s="1"/>
  <c r="AV70" i="53" s="1"/>
  <c r="L7" i="45" a="1"/>
  <c r="L7" i="45" s="1"/>
  <c r="AJ7" i="45" s="1"/>
  <c r="AK60" i="45" s="1"/>
  <c r="H49" i="44" a="1"/>
  <c r="H49" i="44" s="1"/>
  <c r="K34" i="43" a="1"/>
  <c r="K34" i="43" s="1"/>
  <c r="AI34" i="43" s="1"/>
  <c r="AJ69" i="43" s="1"/>
  <c r="J32" i="47" a="1"/>
  <c r="J32" i="47" s="1"/>
  <c r="AO31" i="47" s="1"/>
  <c r="AP68" i="47" s="1"/>
  <c r="M22" i="47" a="1"/>
  <c r="M22" i="47" s="1"/>
  <c r="AK22" i="47" s="1"/>
  <c r="AL65" i="47" s="1"/>
  <c r="M51" i="53" a="1"/>
  <c r="M51" i="53" s="1"/>
  <c r="L13" i="44" a="1"/>
  <c r="L13" i="44" s="1"/>
  <c r="AJ13" i="44" s="1"/>
  <c r="AK62" i="44" s="1"/>
  <c r="H50" i="45" a="1"/>
  <c r="H50" i="45" s="1"/>
  <c r="N25" i="45" a="1"/>
  <c r="N25" i="45" s="1"/>
  <c r="AL25" i="45" s="1"/>
  <c r="AM66" i="45" s="1"/>
  <c r="I43" i="48" a="1"/>
  <c r="I43" i="48" s="1"/>
  <c r="AJ43" i="48" s="1"/>
  <c r="AK72" i="48" s="1"/>
  <c r="M20" i="53" a="1"/>
  <c r="M20" i="53" s="1"/>
  <c r="AU19" i="53" s="1"/>
  <c r="AV64" i="53" s="1"/>
  <c r="J28" i="48" a="1"/>
  <c r="J28" i="48" s="1"/>
  <c r="AK28" i="48" s="1"/>
  <c r="AL67" i="48" s="1"/>
  <c r="H56" i="52" a="1"/>
  <c r="H56" i="52" s="1"/>
  <c r="N5" i="48" a="1"/>
  <c r="N5" i="48" s="1"/>
  <c r="AV4" i="48" s="1"/>
  <c r="AW59" i="48" s="1"/>
  <c r="H30" i="51" a="1"/>
  <c r="H30" i="51" s="1"/>
  <c r="H31" i="51" a="1"/>
  <c r="H31" i="51" s="1"/>
  <c r="K25" i="51" a="1"/>
  <c r="K25" i="51" s="1"/>
  <c r="AI25" i="51" s="1"/>
  <c r="AJ66" i="51" s="1"/>
  <c r="K7" i="51" a="1"/>
  <c r="K7" i="51" s="1"/>
  <c r="AI7" i="51" s="1"/>
  <c r="AJ60" i="51" s="1"/>
  <c r="J49" i="52" a="1"/>
  <c r="J49" i="52" s="1"/>
  <c r="AH49" i="52" s="1"/>
  <c r="AI74" i="52" s="1"/>
  <c r="N34" i="52" a="1"/>
  <c r="N34" i="52" s="1"/>
  <c r="AL34" i="52" s="1"/>
  <c r="AM69" i="52" s="1"/>
  <c r="K21" i="52" a="1"/>
  <c r="K21" i="52" s="1"/>
  <c r="AB22" i="52" s="1"/>
  <c r="AC65" i="52" s="1"/>
  <c r="L48" i="53" a="1"/>
  <c r="L48" i="53" s="1"/>
  <c r="AF49" i="53" s="1"/>
  <c r="AG74" i="53" s="1"/>
  <c r="M36" i="53" a="1"/>
  <c r="M36" i="53" s="1"/>
  <c r="AG37" i="53" s="1"/>
  <c r="AH70" i="53" s="1"/>
  <c r="I13" i="50" a="1"/>
  <c r="I13" i="50" s="1"/>
  <c r="AG13" i="50" s="1"/>
  <c r="AH62" i="50" s="1"/>
  <c r="I40" i="51" a="1"/>
  <c r="I40" i="51" s="1"/>
  <c r="AG40" i="51" s="1"/>
  <c r="AH71" i="51" s="1"/>
  <c r="M14" i="51" a="1"/>
  <c r="M14" i="51" s="1"/>
  <c r="AR13" i="51" s="1"/>
  <c r="AS62" i="51" s="1"/>
  <c r="J22" i="51" a="1"/>
  <c r="J22" i="51" s="1"/>
  <c r="AH22" i="51" s="1"/>
  <c r="AI65" i="51" s="1"/>
  <c r="H5" i="51" a="1"/>
  <c r="H5" i="51" s="1"/>
  <c r="L45" i="52" a="1"/>
  <c r="L45" i="52" s="1"/>
  <c r="AC46" i="52" s="1"/>
  <c r="AD73" i="52" s="1"/>
  <c r="K34" i="52" a="1"/>
  <c r="K34" i="52" s="1"/>
  <c r="AI34" i="52" s="1"/>
  <c r="AJ69" i="52" s="1"/>
  <c r="N3" i="52" a="1"/>
  <c r="N3" i="52" s="1"/>
  <c r="AE4" i="52" s="1"/>
  <c r="AF59" i="52" s="1"/>
  <c r="K46" i="43" a="1"/>
  <c r="K46" i="43" s="1"/>
  <c r="AI46" i="43" s="1"/>
  <c r="AJ73" i="43" s="1"/>
  <c r="H6" i="53" a="1"/>
  <c r="H6" i="53" s="1"/>
  <c r="J42" i="44" a="1"/>
  <c r="J42" i="44" s="1"/>
  <c r="AA43" i="44" s="1"/>
  <c r="AB72" i="44" s="1"/>
  <c r="L48" i="45" a="1"/>
  <c r="L48" i="45" s="1"/>
  <c r="AC49" i="45" s="1"/>
  <c r="AD74" i="45" s="1"/>
  <c r="N40" i="51" a="1"/>
  <c r="N40" i="51" s="1"/>
  <c r="AL40" i="51" s="1"/>
  <c r="AM71" i="51" s="1"/>
  <c r="J7" i="46" a="1"/>
  <c r="J7" i="46" s="1"/>
  <c r="AH7" i="46" s="1"/>
  <c r="AI60" i="46" s="1"/>
  <c r="M22" i="44" a="1"/>
  <c r="M22" i="44" s="1"/>
  <c r="AK22" i="44" s="1"/>
  <c r="AL65" i="44" s="1"/>
  <c r="L50" i="43" a="1"/>
  <c r="L50" i="43" s="1"/>
  <c r="M34" i="51" a="1"/>
  <c r="M34" i="51" s="1"/>
  <c r="AK34" i="51" s="1"/>
  <c r="AL69" i="51" s="1"/>
  <c r="J52" i="43" a="1"/>
  <c r="J52" i="43" s="1"/>
  <c r="AH52" i="43" s="1"/>
  <c r="AI75" i="43" s="1"/>
  <c r="L30" i="44" a="1"/>
  <c r="L30" i="44" s="1"/>
  <c r="AC31" i="44" s="1"/>
  <c r="AD68" i="44" s="1"/>
  <c r="M44" i="43" a="1"/>
  <c r="M44" i="43" s="1"/>
  <c r="AR43" i="43" s="1"/>
  <c r="AS72" i="43" s="1"/>
  <c r="K25" i="53" a="1"/>
  <c r="K25" i="53" s="1"/>
  <c r="AL25" i="53" s="1"/>
  <c r="AM66" i="53" s="1"/>
  <c r="N53" i="47" a="1"/>
  <c r="N53" i="47" s="1"/>
  <c r="I23" i="51" a="1"/>
  <c r="I23" i="51" s="1"/>
  <c r="AN22" i="51" s="1"/>
  <c r="AO65" i="51" s="1"/>
  <c r="M33" i="48" a="1"/>
  <c r="M33" i="48" s="1"/>
  <c r="AG34" i="48" s="1"/>
  <c r="AH69" i="48" s="1"/>
  <c r="J9" i="53" a="1"/>
  <c r="J9" i="53" s="1"/>
  <c r="AD10" i="53" s="1"/>
  <c r="AE61" i="53" s="1"/>
  <c r="I8" i="44" a="1"/>
  <c r="I8" i="44" s="1"/>
  <c r="AN7" i="44" s="1"/>
  <c r="AO60" i="44" s="1"/>
  <c r="K26" i="45" a="1"/>
  <c r="K26" i="45" s="1"/>
  <c r="AP25" i="45" s="1"/>
  <c r="AQ66" i="45" s="1"/>
  <c r="L16" i="46" a="1"/>
  <c r="L16" i="46" s="1"/>
  <c r="AJ16" i="46" s="1"/>
  <c r="AK63" i="46" s="1"/>
  <c r="N20" i="45" a="1"/>
  <c r="N20" i="45" s="1"/>
  <c r="AS19" i="45" s="1"/>
  <c r="AT64" i="45" s="1"/>
  <c r="M46" i="44" a="1"/>
  <c r="M46" i="44" s="1"/>
  <c r="AK46" i="44" s="1"/>
  <c r="AL73" i="44" s="1"/>
  <c r="I14" i="53" a="1"/>
  <c r="I14" i="53" s="1"/>
  <c r="AQ13" i="53" s="1"/>
  <c r="AR62" i="53" s="1"/>
  <c r="L35" i="44" a="1"/>
  <c r="L35" i="44" s="1"/>
  <c r="AQ34" i="44" s="1"/>
  <c r="AR69" i="44" s="1"/>
  <c r="I13" i="47" a="1"/>
  <c r="I13" i="47" s="1"/>
  <c r="AG13" i="47" s="1"/>
  <c r="AH62" i="47" s="1"/>
  <c r="K21" i="51" a="1"/>
  <c r="K21" i="51" s="1"/>
  <c r="AB22" i="51" s="1"/>
  <c r="AC65" i="51" s="1"/>
  <c r="I12" i="47" a="1"/>
  <c r="I12" i="47" s="1"/>
  <c r="Z13" i="47" s="1"/>
  <c r="AA62" i="47" s="1"/>
  <c r="N8" i="53" a="1"/>
  <c r="N8" i="53" s="1"/>
  <c r="AV7" i="53" s="1"/>
  <c r="AW60" i="53" s="1"/>
  <c r="N14" i="53" a="1"/>
  <c r="N14" i="53" s="1"/>
  <c r="AV13" i="53" s="1"/>
  <c r="AW62" i="53" s="1"/>
  <c r="H41" i="47" a="1"/>
  <c r="H41" i="47" s="1"/>
  <c r="K29" i="53" a="1"/>
  <c r="K29" i="53" s="1"/>
  <c r="AS28" i="53" s="1"/>
  <c r="AT67" i="53" s="1"/>
  <c r="I6" i="46" a="1"/>
  <c r="I6" i="46" s="1"/>
  <c r="Z7" i="46" s="1"/>
  <c r="AA60" i="46" s="1"/>
  <c r="H15" i="53" a="1"/>
  <c r="H15" i="53" s="1"/>
  <c r="I29" i="44" a="1"/>
  <c r="I29" i="44" s="1"/>
  <c r="AN28" i="44" s="1"/>
  <c r="AO67" i="44" s="1"/>
  <c r="K23" i="45" a="1"/>
  <c r="K23" i="45" s="1"/>
  <c r="AP22" i="45" s="1"/>
  <c r="AQ65" i="45" s="1"/>
  <c r="K9" i="52" a="1"/>
  <c r="K9" i="52" s="1"/>
  <c r="AB10" i="52" s="1"/>
  <c r="AC61" i="52" s="1"/>
  <c r="M8" i="47" a="1"/>
  <c r="M8" i="47" s="1"/>
  <c r="AR7" i="47" s="1"/>
  <c r="AS60" i="47" s="1"/>
  <c r="N5" i="53" a="1"/>
  <c r="N5" i="53" s="1"/>
  <c r="AV4" i="53" s="1"/>
  <c r="AW59" i="53" s="1"/>
  <c r="K45" i="53" a="1"/>
  <c r="K45" i="53" s="1"/>
  <c r="AE46" i="53" s="1"/>
  <c r="AF73" i="53" s="1"/>
  <c r="J53" i="53" a="1"/>
  <c r="J53" i="53" s="1"/>
  <c r="I14" i="48" a="1"/>
  <c r="I14" i="48" s="1"/>
  <c r="AQ13" i="48" s="1"/>
  <c r="AR62" i="48" s="1"/>
  <c r="J9" i="46" a="1"/>
  <c r="J9" i="46" s="1"/>
  <c r="AA10" i="46" s="1"/>
  <c r="AB61" i="46" s="1"/>
  <c r="J13" i="43" a="1"/>
  <c r="J13" i="43" s="1"/>
  <c r="AH13" i="43" s="1"/>
  <c r="AI62" i="43" s="1"/>
  <c r="N40" i="53" a="1"/>
  <c r="N40" i="53" s="1"/>
  <c r="AO40" i="53" s="1"/>
  <c r="AP71" i="53" s="1"/>
  <c r="L38" i="45" a="1"/>
  <c r="L38" i="45" s="1"/>
  <c r="AQ37" i="45" s="1"/>
  <c r="AR70" i="45" s="1"/>
  <c r="N9" i="50" a="1"/>
  <c r="N9" i="50" s="1"/>
  <c r="H19" i="52" a="1"/>
  <c r="H19" i="52" s="1"/>
  <c r="H16" i="46" a="1"/>
  <c r="H16" i="46" s="1"/>
  <c r="N43" i="47" a="1"/>
  <c r="N43" i="47" s="1"/>
  <c r="AL43" i="47" s="1"/>
  <c r="AM72" i="47" s="1"/>
  <c r="H32" i="43" a="1"/>
  <c r="H32" i="43" s="1"/>
  <c r="H50" i="47" a="1"/>
  <c r="H50" i="47" s="1"/>
  <c r="N12" i="45" a="1"/>
  <c r="N12" i="45" s="1"/>
  <c r="AE13" i="45" s="1"/>
  <c r="AF62" i="45" s="1"/>
  <c r="K8" i="53" a="1"/>
  <c r="K8" i="53" s="1"/>
  <c r="AS7" i="53" s="1"/>
  <c r="AT60" i="53" s="1"/>
  <c r="L18" i="53" a="1"/>
  <c r="L18" i="53" s="1"/>
  <c r="AF19" i="53" s="1"/>
  <c r="AG64" i="53" s="1"/>
  <c r="M30" i="48" a="1"/>
  <c r="M30" i="48" s="1"/>
  <c r="AG31" i="48" s="1"/>
  <c r="AH68" i="48" s="1"/>
  <c r="M11" i="51" a="1"/>
  <c r="M11" i="51" s="1"/>
  <c r="AR10" i="51" s="1"/>
  <c r="AS61" i="51" s="1"/>
  <c r="I3" i="46" a="1"/>
  <c r="I3" i="46" s="1"/>
  <c r="Z4" i="46" s="1"/>
  <c r="AA59" i="46" s="1"/>
  <c r="H43" i="48" a="1"/>
  <c r="H43" i="48" s="1"/>
  <c r="L24" i="49" a="1"/>
  <c r="L24" i="49" s="1"/>
  <c r="AC25" i="49" s="1"/>
  <c r="AD66" i="49" s="1"/>
  <c r="J55" i="44" a="1"/>
  <c r="J55" i="44" s="1"/>
  <c r="AH55" i="44" s="1"/>
  <c r="AI76" i="44" s="1"/>
  <c r="L43" i="53" a="1"/>
  <c r="L43" i="53" s="1"/>
  <c r="AM43" i="53" s="1"/>
  <c r="AN72" i="53" s="1"/>
  <c r="K51" i="43" a="1"/>
  <c r="K51" i="43" s="1"/>
  <c r="N9" i="45" a="1"/>
  <c r="N9" i="45" s="1"/>
  <c r="AE10" i="45" s="1"/>
  <c r="AF61" i="45" s="1"/>
  <c r="J30" i="53" a="1"/>
  <c r="J30" i="53" s="1"/>
  <c r="AD31" i="53" s="1"/>
  <c r="AE68" i="53" s="1"/>
  <c r="H24" i="48" a="1"/>
  <c r="H24" i="48" s="1"/>
  <c r="M8" i="48" a="1"/>
  <c r="M8" i="48" s="1"/>
  <c r="AU7" i="48" s="1"/>
  <c r="AV60" i="48" s="1"/>
  <c r="I32" i="45" a="1"/>
  <c r="I32" i="45" s="1"/>
  <c r="AN31" i="45" s="1"/>
  <c r="AO68" i="45" s="1"/>
  <c r="I27" i="46" a="1"/>
  <c r="I27" i="46" s="1"/>
  <c r="Z28" i="46" s="1"/>
  <c r="AA67" i="46" s="1"/>
  <c r="L22" i="49" a="1"/>
  <c r="L22" i="49" s="1"/>
  <c r="AJ22" i="49" s="1"/>
  <c r="AK65" i="49" s="1"/>
  <c r="K37" i="45" a="1"/>
  <c r="K37" i="45" s="1"/>
  <c r="AI37" i="45" s="1"/>
  <c r="AJ70" i="45" s="1"/>
  <c r="I42" i="53" a="1"/>
  <c r="I42" i="53" s="1"/>
  <c r="AC43" i="53" s="1"/>
  <c r="AD72" i="53" s="1"/>
  <c r="M18" i="43" a="1"/>
  <c r="M18" i="43" s="1"/>
  <c r="AD19" i="43" s="1"/>
  <c r="AE64" i="43" s="1"/>
  <c r="L30" i="46" a="1"/>
  <c r="L30" i="46" s="1"/>
  <c r="AC31" i="46" s="1"/>
  <c r="AD68" i="46" s="1"/>
  <c r="H55" i="43" a="1"/>
  <c r="H55" i="43" s="1"/>
  <c r="N27" i="53" a="1"/>
  <c r="N27" i="53" s="1"/>
  <c r="L44" i="44" a="1"/>
  <c r="L44" i="44" s="1"/>
  <c r="AQ43" i="44" s="1"/>
  <c r="AR72" i="44" s="1"/>
  <c r="I30" i="52" a="1"/>
  <c r="I30" i="52" s="1"/>
  <c r="Z31" i="52" s="1"/>
  <c r="AA68" i="52" s="1"/>
  <c r="I21" i="48" a="1"/>
  <c r="I21" i="48" s="1"/>
  <c r="AC22" i="48" s="1"/>
  <c r="AD65" i="48" s="1"/>
  <c r="J47" i="47" a="1"/>
  <c r="J47" i="47" s="1"/>
  <c r="AO46" i="47" s="1"/>
  <c r="AP73" i="47" s="1"/>
  <c r="H24" i="52" a="1"/>
  <c r="H24" i="52" s="1"/>
  <c r="J48" i="51" a="1"/>
  <c r="J48" i="51" s="1"/>
  <c r="AA49" i="51" s="1"/>
  <c r="AB74" i="51" s="1"/>
  <c r="H29" i="44" a="1"/>
  <c r="H29" i="44" s="1"/>
  <c r="K55" i="51" a="1"/>
  <c r="K55" i="51" s="1"/>
  <c r="AI55" i="51" s="1"/>
  <c r="AJ76" i="51" s="1"/>
  <c r="I21" i="51" a="1"/>
  <c r="I21" i="51" s="1"/>
  <c r="Z22" i="51" s="1"/>
  <c r="AA65" i="51" s="1"/>
  <c r="J33" i="51" a="1"/>
  <c r="J33" i="51" s="1"/>
  <c r="AA34" i="51" s="1"/>
  <c r="AB69" i="51" s="1"/>
  <c r="L17" i="51" a="1"/>
  <c r="L17" i="51" s="1"/>
  <c r="AQ16" i="51" s="1"/>
  <c r="AR63" i="51" s="1"/>
  <c r="H13" i="51" a="1"/>
  <c r="H13" i="51" s="1"/>
  <c r="H49" i="52" a="1"/>
  <c r="H49" i="52" s="1"/>
  <c r="N13" i="52" a="1"/>
  <c r="N13" i="52" s="1"/>
  <c r="AL13" i="52" s="1"/>
  <c r="AM62" i="52" s="1"/>
  <c r="I3" i="52" a="1"/>
  <c r="I3" i="52" s="1"/>
  <c r="Z4" i="52" s="1"/>
  <c r="AA59" i="52" s="1"/>
  <c r="L52" i="53" a="1"/>
  <c r="L52" i="53" s="1"/>
  <c r="AM52" i="53" s="1"/>
  <c r="AN75" i="53" s="1"/>
  <c r="K44" i="53" a="1"/>
  <c r="K44" i="53" s="1"/>
  <c r="AS43" i="53" s="1"/>
  <c r="AT72" i="53" s="1"/>
  <c r="M55" i="51" a="1"/>
  <c r="M55" i="51" s="1"/>
  <c r="AK55" i="51" s="1"/>
  <c r="AL76" i="51" s="1"/>
  <c r="N42" i="51" a="1"/>
  <c r="N42" i="51" s="1"/>
  <c r="AE43" i="51" s="1"/>
  <c r="AF72" i="51" s="1"/>
  <c r="J30" i="51" a="1"/>
  <c r="J30" i="51" s="1"/>
  <c r="AA31" i="51" s="1"/>
  <c r="AB68" i="51" s="1"/>
  <c r="K17" i="51" a="1"/>
  <c r="K17" i="51" s="1"/>
  <c r="AP16" i="51" s="1"/>
  <c r="AQ63" i="51" s="1"/>
  <c r="J54" i="52" a="1"/>
  <c r="J54" i="52" s="1"/>
  <c r="AA55" i="52" s="1"/>
  <c r="AB76" i="52" s="1"/>
  <c r="H48" i="52" a="1"/>
  <c r="H48" i="52" s="1"/>
  <c r="K23" i="52" a="1"/>
  <c r="K23" i="52" s="1"/>
  <c r="AP22" i="52" s="1"/>
  <c r="AQ65" i="52" s="1"/>
  <c r="M6" i="52" a="1"/>
  <c r="M6" i="52" s="1"/>
  <c r="AD7" i="52" s="1"/>
  <c r="AE60" i="52" s="1"/>
  <c r="I10" i="53" a="1"/>
  <c r="I10" i="53" s="1"/>
  <c r="AJ10" i="53" s="1"/>
  <c r="AK61" i="53" s="1"/>
  <c r="K20" i="43" a="1"/>
  <c r="K20" i="43" s="1"/>
  <c r="AP19" i="43" s="1"/>
  <c r="AQ64" i="43" s="1"/>
  <c r="J14" i="53" a="1"/>
  <c r="J14" i="53" s="1"/>
  <c r="AR13" i="53" s="1"/>
  <c r="AS62" i="53" s="1"/>
  <c r="I52" i="44" a="1"/>
  <c r="I52" i="44" s="1"/>
  <c r="AG52" i="44" s="1"/>
  <c r="AH75" i="44" s="1"/>
  <c r="L15" i="52" a="1"/>
  <c r="L15" i="52" s="1"/>
  <c r="AC16" i="52" s="1"/>
  <c r="AD63" i="52" s="1"/>
  <c r="J10" i="48" a="1"/>
  <c r="J10" i="48" s="1"/>
  <c r="AK10" i="48" s="1"/>
  <c r="AL61" i="48" s="1"/>
  <c r="N45" i="48" a="1"/>
  <c r="N45" i="48" s="1"/>
  <c r="AH46" i="48" s="1"/>
  <c r="AI73" i="48" s="1"/>
  <c r="K10" i="53" a="1"/>
  <c r="K10" i="53" s="1"/>
  <c r="AL10" i="53" s="1"/>
  <c r="AM61" i="53" s="1"/>
  <c r="J25" i="53" a="1"/>
  <c r="J25" i="53" s="1"/>
  <c r="AK25" i="53" s="1"/>
  <c r="AL66" i="53" s="1"/>
  <c r="I31" i="51" a="1"/>
  <c r="I31" i="51" s="1"/>
  <c r="AG31" i="51" s="1"/>
  <c r="AH68" i="51" s="1"/>
  <c r="J24" i="52" a="1"/>
  <c r="J24" i="52" s="1"/>
  <c r="AA25" i="52" s="1"/>
  <c r="AB66" i="52" s="1"/>
  <c r="M32" i="47" a="1"/>
  <c r="M32" i="47" s="1"/>
  <c r="AR31" i="47" s="1"/>
  <c r="AS68" i="47" s="1"/>
  <c r="M24" i="53" a="1"/>
  <c r="M24" i="53" s="1"/>
  <c r="AG25" i="53" s="1"/>
  <c r="AH66" i="53" s="1"/>
  <c r="L36" i="43" a="1"/>
  <c r="L36" i="43" s="1"/>
  <c r="AC37" i="43" s="1"/>
  <c r="AD70" i="43" s="1"/>
  <c r="N11" i="51" a="1"/>
  <c r="N11" i="51" s="1"/>
  <c r="AS10" i="51" s="1"/>
  <c r="AT61" i="51" s="1"/>
  <c r="I8" i="50" a="1"/>
  <c r="I8" i="50" s="1"/>
  <c r="AN7" i="50" s="1"/>
  <c r="AO60" i="50" s="1"/>
  <c r="M21" i="45" a="1"/>
  <c r="M21" i="45" s="1"/>
  <c r="AD22" i="45" s="1"/>
  <c r="AE65" i="45" s="1"/>
  <c r="M13" i="52" a="1"/>
  <c r="M13" i="52" s="1"/>
  <c r="AK13" i="52" s="1"/>
  <c r="AL62" i="52" s="1"/>
  <c r="M18" i="53" a="1"/>
  <c r="M18" i="53" s="1"/>
  <c r="AG19" i="53" s="1"/>
  <c r="AH64" i="53" s="1"/>
  <c r="I17" i="51" a="1"/>
  <c r="I17" i="51" s="1"/>
  <c r="AN16" i="51" s="1"/>
  <c r="AO63" i="51" s="1"/>
  <c r="J56" i="53" a="1"/>
  <c r="J56" i="53" s="1"/>
  <c r="M42" i="44" a="1"/>
  <c r="M42" i="44" s="1"/>
  <c r="AD43" i="44" s="1"/>
  <c r="AE72" i="44" s="1"/>
  <c r="L9" i="44" a="1"/>
  <c r="L9" i="44" s="1"/>
  <c r="AC10" i="44" s="1"/>
  <c r="AD61" i="44" s="1"/>
  <c r="N41" i="53" a="1"/>
  <c r="N41" i="53" s="1"/>
  <c r="AV40" i="53" s="1"/>
  <c r="AW71" i="53" s="1"/>
  <c r="H14" i="44" a="1"/>
  <c r="H14" i="44" s="1"/>
  <c r="M41" i="45" a="1"/>
  <c r="M41" i="45" s="1"/>
  <c r="AR40" i="45" s="1"/>
  <c r="AS71" i="45" s="1"/>
  <c r="H14" i="52" a="1"/>
  <c r="H14" i="52" s="1"/>
  <c r="I13" i="49" a="1"/>
  <c r="I13" i="49" s="1"/>
  <c r="AG13" i="49" s="1"/>
  <c r="AH62" i="49" s="1"/>
  <c r="M11" i="52" a="1"/>
  <c r="M11" i="52" s="1"/>
  <c r="AR10" i="52" s="1"/>
  <c r="AS61" i="52" s="1"/>
  <c r="J20" i="44" a="1"/>
  <c r="J20" i="44" s="1"/>
  <c r="AO19" i="44" s="1"/>
  <c r="AP64" i="44" s="1"/>
  <c r="H21" i="45" a="1"/>
  <c r="H21" i="45" s="1"/>
  <c r="K38" i="44" a="1"/>
  <c r="K38" i="44" s="1"/>
  <c r="AP37" i="44" s="1"/>
  <c r="AQ70" i="44" s="1"/>
  <c r="N32" i="45" a="1"/>
  <c r="N32" i="45" s="1"/>
  <c r="AS31" i="45" s="1"/>
  <c r="AT68" i="45" s="1"/>
  <c r="H20" i="53" a="1"/>
  <c r="H20" i="53" s="1"/>
  <c r="K31" i="44" a="1"/>
  <c r="K31" i="44" s="1"/>
  <c r="AI31" i="44" s="1"/>
  <c r="AJ68" i="44" s="1"/>
  <c r="J50" i="51" a="1"/>
  <c r="J50" i="51" s="1"/>
  <c r="J13" i="51" a="1"/>
  <c r="J13" i="51" s="1"/>
  <c r="AH13" i="51" s="1"/>
  <c r="AI62" i="51" s="1"/>
  <c r="L38" i="48" a="1"/>
  <c r="L38" i="48" s="1"/>
  <c r="AT37" i="48" s="1"/>
  <c r="AU70" i="48" s="1"/>
  <c r="K6" i="52" a="1"/>
  <c r="K6" i="52" s="1"/>
  <c r="AB7" i="52" s="1"/>
  <c r="AC60" i="52" s="1"/>
  <c r="M45" i="43" a="1"/>
  <c r="M45" i="43" s="1"/>
  <c r="AD46" i="43" s="1"/>
  <c r="AE73" i="43" s="1"/>
  <c r="I34" i="49" a="1"/>
  <c r="I34" i="49" s="1"/>
  <c r="AG34" i="49" s="1"/>
  <c r="AH69" i="49" s="1"/>
  <c r="M28" i="47" a="1"/>
  <c r="M28" i="47" s="1"/>
  <c r="AK28" i="47" s="1"/>
  <c r="AL67" i="47" s="1"/>
  <c r="I49" i="44" a="1"/>
  <c r="I49" i="44" s="1"/>
  <c r="AG49" i="44" s="1"/>
  <c r="AH74" i="44" s="1"/>
  <c r="K22" i="43" a="1"/>
  <c r="K22" i="43" s="1"/>
  <c r="AI22" i="43" s="1"/>
  <c r="AJ65" i="43" s="1"/>
  <c r="J44" i="53" a="1"/>
  <c r="J44" i="53" s="1"/>
  <c r="AR43" i="53" s="1"/>
  <c r="AS72" i="53" s="1"/>
  <c r="M30" i="51" a="1"/>
  <c r="M30" i="51" s="1"/>
  <c r="AD31" i="51" s="1"/>
  <c r="AE68" i="51" s="1"/>
  <c r="H42" i="48" a="1"/>
  <c r="H42" i="48" s="1"/>
  <c r="N38" i="50" a="1"/>
  <c r="N38" i="50" s="1"/>
  <c r="AS37" i="50" s="1"/>
  <c r="AT70" i="50" s="1"/>
  <c r="N49" i="53" a="1"/>
  <c r="N49" i="53" s="1"/>
  <c r="AO49" i="53" s="1"/>
  <c r="AP74" i="53" s="1"/>
  <c r="I40" i="52" a="1"/>
  <c r="I40" i="52" s="1"/>
  <c r="AG40" i="52" s="1"/>
  <c r="AH71" i="52" s="1"/>
  <c r="J15" i="53" a="1"/>
  <c r="J15" i="53" s="1"/>
  <c r="AD16" i="53" s="1"/>
  <c r="AE63" i="53" s="1"/>
  <c r="I32" i="53" a="1"/>
  <c r="I32" i="53" s="1"/>
  <c r="AQ31" i="53" s="1"/>
  <c r="AR68" i="53" s="1"/>
  <c r="N4" i="44" a="1"/>
  <c r="N4" i="44" s="1"/>
  <c r="AL4" i="44" s="1"/>
  <c r="AM59" i="44" s="1"/>
  <c r="L49" i="53" a="1"/>
  <c r="L49" i="53" s="1"/>
  <c r="AM49" i="53" s="1"/>
  <c r="AN74" i="53" s="1"/>
  <c r="M7" i="43" a="1"/>
  <c r="M7" i="43" s="1"/>
  <c r="AK7" i="43" s="1"/>
  <c r="AL60" i="43" s="1"/>
  <c r="K51" i="52" a="1"/>
  <c r="K51" i="52" s="1"/>
  <c r="L7" i="50" a="1"/>
  <c r="L7" i="50" s="1"/>
  <c r="AJ7" i="50" s="1"/>
  <c r="AK60" i="50" s="1"/>
  <c r="H10" i="52" a="1"/>
  <c r="H10" i="52" s="1"/>
  <c r="L50" i="47" a="1"/>
  <c r="L50" i="47" s="1"/>
  <c r="M6" i="46" a="1"/>
  <c r="M6" i="46" s="1"/>
  <c r="AD7" i="46" s="1"/>
  <c r="AE60" i="46" s="1"/>
  <c r="I7" i="43" a="1"/>
  <c r="I7" i="43" s="1"/>
  <c r="AG7" i="43" s="1"/>
  <c r="AH60" i="43" s="1"/>
  <c r="K56" i="46" a="1"/>
  <c r="K56" i="46" s="1"/>
  <c r="N46" i="53" a="1"/>
  <c r="N46" i="53" s="1"/>
  <c r="AO46" i="53" s="1"/>
  <c r="AP73" i="53" s="1"/>
  <c r="J48" i="47" a="1"/>
  <c r="J48" i="47" s="1"/>
  <c r="AA49" i="47" s="1"/>
  <c r="AB74" i="47" s="1"/>
  <c r="L36" i="53" a="1"/>
  <c r="L36" i="53" s="1"/>
  <c r="AF37" i="53" s="1"/>
  <c r="AG70" i="53" s="1"/>
  <c r="M25" i="52" a="1"/>
  <c r="M25" i="52" s="1"/>
  <c r="AK25" i="52" s="1"/>
  <c r="AL66" i="52" s="1"/>
  <c r="J5" i="50" a="1"/>
  <c r="J5" i="50" s="1"/>
  <c r="AO4" i="50" s="1"/>
  <c r="AP59" i="50" s="1"/>
  <c r="L4" i="52" a="1"/>
  <c r="L4" i="52" s="1"/>
  <c r="AJ4" i="52" s="1"/>
  <c r="AK59" i="52" s="1"/>
  <c r="J33" i="47" a="1"/>
  <c r="J33" i="47" s="1"/>
  <c r="AA34" i="47" s="1"/>
  <c r="AB69" i="47" s="1"/>
  <c r="K26" i="52" a="1"/>
  <c r="K26" i="52" s="1"/>
  <c r="AP25" i="52" s="1"/>
  <c r="AQ66" i="52" s="1"/>
  <c r="H10" i="53" a="1"/>
  <c r="H10" i="53" s="1"/>
  <c r="K38" i="46" a="1"/>
  <c r="K38" i="46" s="1"/>
  <c r="AP37" i="46" s="1"/>
  <c r="AQ70" i="46" s="1"/>
  <c r="M30" i="44" a="1"/>
  <c r="M30" i="44" s="1"/>
  <c r="AD31" i="44" s="1"/>
  <c r="AE68" i="44" s="1"/>
  <c r="K14" i="46" a="1"/>
  <c r="K14" i="46" s="1"/>
  <c r="AP13" i="46" s="1"/>
  <c r="AQ62" i="46" s="1"/>
  <c r="J27" i="53" a="1"/>
  <c r="J27" i="53" s="1"/>
  <c r="AD28" i="53" s="1"/>
  <c r="AE67" i="53" s="1"/>
  <c r="N12" i="53" a="1"/>
  <c r="N12" i="53" s="1"/>
  <c r="AH13" i="53" s="1"/>
  <c r="AI62" i="53" s="1"/>
  <c r="I11" i="44" a="1"/>
  <c r="I11" i="44" s="1"/>
  <c r="AN10" i="44" s="1"/>
  <c r="AO61" i="44" s="1"/>
  <c r="K20" i="51" a="1"/>
  <c r="K20" i="51" s="1"/>
  <c r="AP19" i="51" s="1"/>
  <c r="AQ64" i="51" s="1"/>
  <c r="H18" i="49" a="1"/>
  <c r="H18" i="49" s="1"/>
  <c r="J12" i="45" a="1"/>
  <c r="J12" i="45" s="1"/>
  <c r="AA13" i="45" s="1"/>
  <c r="AB62" i="45" s="1"/>
  <c r="M8" i="50" a="1"/>
  <c r="M8" i="50" s="1"/>
  <c r="AR7" i="50" s="1"/>
  <c r="AS60" i="50" s="1"/>
  <c r="J24" i="48" a="1"/>
  <c r="J24" i="48" s="1"/>
  <c r="AD25" i="48" s="1"/>
  <c r="AE66" i="48" s="1"/>
  <c r="K24" i="49" a="1"/>
  <c r="K24" i="49" s="1"/>
  <c r="AB25" i="49" s="1"/>
  <c r="AC66" i="49" s="1"/>
  <c r="I52" i="51" a="1"/>
  <c r="I52" i="51" s="1"/>
  <c r="AG52" i="51" s="1"/>
  <c r="AH75" i="51" s="1"/>
  <c r="N39" i="51" a="1"/>
  <c r="N39" i="51" s="1"/>
  <c r="AE40" i="51" s="1"/>
  <c r="AF71" i="51" s="1"/>
  <c r="M28" i="51" a="1"/>
  <c r="M28" i="51" s="1"/>
  <c r="AK28" i="51" s="1"/>
  <c r="AL67" i="51" s="1"/>
  <c r="K9" i="51" a="1"/>
  <c r="K9" i="51" s="1"/>
  <c r="AB10" i="51" s="1"/>
  <c r="AC61" i="51" s="1"/>
  <c r="J27" i="51" a="1"/>
  <c r="J27" i="51" s="1"/>
  <c r="AA28" i="51" s="1"/>
  <c r="AB67" i="51" s="1"/>
  <c r="K45" i="52" a="1"/>
  <c r="K45" i="52" s="1"/>
  <c r="AB46" i="52" s="1"/>
  <c r="AC73" i="52" s="1"/>
  <c r="J32" i="52" a="1"/>
  <c r="J32" i="52" s="1"/>
  <c r="AO31" i="52" s="1"/>
  <c r="AP68" i="52" s="1"/>
  <c r="H15" i="52" a="1"/>
  <c r="H15" i="52" s="1"/>
  <c r="I29" i="53" a="1"/>
  <c r="I29" i="53" s="1"/>
  <c r="AQ28" i="53" s="1"/>
  <c r="AR67" i="53" s="1"/>
  <c r="H35" i="53" a="1"/>
  <c r="H35" i="53" s="1"/>
  <c r="I54" i="51" a="1"/>
  <c r="I54" i="51" s="1"/>
  <c r="Z55" i="51" s="1"/>
  <c r="AA76" i="51" s="1"/>
  <c r="H43" i="51" a="1"/>
  <c r="H43" i="51" s="1"/>
  <c r="I7" i="51" a="1"/>
  <c r="I7" i="51" s="1"/>
  <c r="AG7" i="51" s="1"/>
  <c r="AH60" i="51" s="1"/>
  <c r="J3" i="51" a="1"/>
  <c r="J3" i="51" s="1"/>
  <c r="AA4" i="51" s="1"/>
  <c r="AB59" i="51" s="1"/>
  <c r="I54" i="52" a="1"/>
  <c r="I54" i="52" s="1"/>
  <c r="Z55" i="52" s="1"/>
  <c r="AA76" i="52" s="1"/>
  <c r="J42" i="52" a="1"/>
  <c r="J42" i="52" s="1"/>
  <c r="AA43" i="52" s="1"/>
  <c r="AB72" i="52" s="1"/>
  <c r="I13" i="52" a="1"/>
  <c r="I13" i="52" s="1"/>
  <c r="AG13" i="52" s="1"/>
  <c r="AH62" i="52" s="1"/>
  <c r="J21" i="52" a="1"/>
  <c r="J21" i="52" s="1"/>
  <c r="AA22" i="52" s="1"/>
  <c r="AB65" i="52" s="1"/>
  <c r="J39" i="44" a="1"/>
  <c r="J39" i="44" s="1"/>
  <c r="AA40" i="44" s="1"/>
  <c r="AB71" i="44" s="1"/>
  <c r="I15" i="53" a="1"/>
  <c r="I15" i="53" s="1"/>
  <c r="AC16" i="53" s="1"/>
  <c r="AD63" i="53" s="1"/>
  <c r="H32" i="50" a="1"/>
  <c r="H32" i="50" s="1"/>
  <c r="N10" i="51" a="1"/>
  <c r="N10" i="51" s="1"/>
  <c r="AL10" i="51" s="1"/>
  <c r="AM61" i="51" s="1"/>
  <c r="J22" i="45" a="1"/>
  <c r="J22" i="45" s="1"/>
  <c r="AH22" i="45" s="1"/>
  <c r="AI65" i="45" s="1"/>
  <c r="H24" i="47" a="1"/>
  <c r="H24" i="47" s="1"/>
  <c r="L17" i="52" a="1"/>
  <c r="L17" i="52" s="1"/>
  <c r="AQ16" i="52" s="1"/>
  <c r="AR63" i="52" s="1"/>
  <c r="N10" i="49" a="1"/>
  <c r="N10" i="49" s="1"/>
  <c r="AL10" i="49" s="1"/>
  <c r="AM61" i="49" s="1"/>
  <c r="J11" i="48" a="1"/>
  <c r="J11" i="48" s="1"/>
  <c r="AR10" i="48" s="1"/>
  <c r="AS61" i="48" s="1"/>
  <c r="H49" i="43" a="1"/>
  <c r="H49" i="43" s="1"/>
  <c r="H9" i="46" a="1"/>
  <c r="H9" i="46" s="1"/>
  <c r="L19" i="53" a="1"/>
  <c r="L19" i="53" s="1"/>
  <c r="AM19" i="53" s="1"/>
  <c r="AN64" i="53" s="1"/>
  <c r="K44" i="43" a="1"/>
  <c r="K44" i="43" s="1"/>
  <c r="AP43" i="43" s="1"/>
  <c r="AQ72" i="43" s="1"/>
  <c r="I40" i="47" a="1"/>
  <c r="I40" i="47" s="1"/>
  <c r="AG40" i="47" s="1"/>
  <c r="AH71" i="47" s="1"/>
  <c r="I4" i="48" a="1"/>
  <c r="I4" i="48" s="1"/>
  <c r="AJ4" i="48" s="1"/>
  <c r="AK59" i="48" s="1"/>
  <c r="K45" i="48" a="1"/>
  <c r="K45" i="48" s="1"/>
  <c r="AE46" i="48" s="1"/>
  <c r="AF73" i="48" s="1"/>
  <c r="J23" i="50" a="1"/>
  <c r="J23" i="50" s="1"/>
  <c r="AO22" i="50" s="1"/>
  <c r="AP65" i="50" s="1"/>
  <c r="I16" i="53" a="1"/>
  <c r="I16" i="53" s="1"/>
  <c r="AJ16" i="53" s="1"/>
  <c r="AK63" i="53" s="1"/>
  <c r="H7" i="50" a="1"/>
  <c r="H7" i="50" s="1"/>
  <c r="H56" i="53" a="1"/>
  <c r="H56" i="53" s="1"/>
  <c r="N28" i="47" a="1"/>
  <c r="N28" i="47" s="1"/>
  <c r="AL28" i="47" s="1"/>
  <c r="AM67" i="47" s="1"/>
  <c r="K40" i="43" a="1"/>
  <c r="K40" i="43" s="1"/>
  <c r="AI40" i="43" s="1"/>
  <c r="AJ71" i="43" s="1"/>
  <c r="L24" i="53" a="1"/>
  <c r="L24" i="53" s="1"/>
  <c r="AF25" i="53" s="1"/>
  <c r="AG66" i="53" s="1"/>
  <c r="K14" i="50" a="1"/>
  <c r="K14" i="50" s="1"/>
  <c r="J55" i="51" a="1"/>
  <c r="J55" i="51" s="1"/>
  <c r="AH55" i="51" s="1"/>
  <c r="AI76" i="51" s="1"/>
  <c r="L3" i="50" a="1"/>
  <c r="L3" i="50" s="1"/>
  <c r="AC4" i="50" s="1"/>
  <c r="AD59" i="50" s="1"/>
  <c r="H38" i="48" a="1"/>
  <c r="H38" i="48" s="1"/>
  <c r="L17" i="50" a="1"/>
  <c r="L17" i="50" s="1"/>
  <c r="N6" i="53" a="1"/>
  <c r="N6" i="53" s="1"/>
  <c r="AH7" i="53" s="1"/>
  <c r="AI60" i="53" s="1"/>
  <c r="L7" i="44" a="1"/>
  <c r="L7" i="44" s="1"/>
  <c r="AJ7" i="44" s="1"/>
  <c r="AK60" i="44" s="1"/>
  <c r="J25" i="47" a="1"/>
  <c r="J25" i="47" s="1"/>
  <c r="AH25" i="47" s="1"/>
  <c r="AI66" i="47" s="1"/>
  <c r="L6" i="53" a="1"/>
  <c r="L6" i="53" s="1"/>
  <c r="AF7" i="53" s="1"/>
  <c r="AG60" i="53" s="1"/>
  <c r="H18" i="44" a="1"/>
  <c r="H18" i="44" s="1"/>
  <c r="J38" i="50" a="1"/>
  <c r="J38" i="50" s="1"/>
  <c r="AO37" i="50" s="1"/>
  <c r="AP70" i="50" s="1"/>
  <c r="J48" i="49" a="1"/>
  <c r="J48" i="49" s="1"/>
  <c r="AA49" i="49" s="1"/>
  <c r="AB74" i="49" s="1"/>
  <c r="J25" i="46" a="1"/>
  <c r="J25" i="46" s="1"/>
  <c r="AH25" i="46" s="1"/>
  <c r="AI66" i="46" s="1"/>
  <c r="K48" i="49" a="1"/>
  <c r="K48" i="49" s="1"/>
  <c r="AB49" i="49" s="1"/>
  <c r="AC74" i="49" s="1"/>
  <c r="L53" i="52" a="1"/>
  <c r="L53" i="52" s="1"/>
  <c r="J8" i="47" a="1"/>
  <c r="J8" i="47" s="1"/>
  <c r="AO7" i="47" s="1"/>
  <c r="AP60" i="47" s="1"/>
  <c r="M8" i="53" a="1"/>
  <c r="M8" i="53" s="1"/>
  <c r="AU7" i="53" s="1"/>
  <c r="AV60" i="53" s="1"/>
  <c r="K35" i="47" a="1"/>
  <c r="K35" i="47" s="1"/>
  <c r="AP34" i="47" s="1"/>
  <c r="AQ69" i="47" s="1"/>
  <c r="J48" i="45" a="1"/>
  <c r="J48" i="45" s="1"/>
  <c r="AA49" i="45" s="1"/>
  <c r="AB74" i="45" s="1"/>
  <c r="K37" i="43" a="1"/>
  <c r="K37" i="43" s="1"/>
  <c r="AI37" i="43" s="1"/>
  <c r="AJ70" i="43" s="1"/>
  <c r="K41" i="50" a="1"/>
  <c r="K41" i="50" s="1"/>
  <c r="AP40" i="50" s="1"/>
  <c r="AQ71" i="50" s="1"/>
  <c r="L21" i="52" a="1"/>
  <c r="L21" i="52" s="1"/>
  <c r="AC22" i="52" s="1"/>
  <c r="AD65" i="52" s="1"/>
  <c r="K3" i="48" a="1"/>
  <c r="K3" i="48" s="1"/>
  <c r="AE4" i="48" s="1"/>
  <c r="AF59" i="48" s="1"/>
  <c r="J34" i="52" a="1"/>
  <c r="J34" i="52" s="1"/>
  <c r="AH34" i="52" s="1"/>
  <c r="AI69" i="52" s="1"/>
  <c r="M45" i="51" a="1"/>
  <c r="M45" i="51" s="1"/>
  <c r="AD46" i="51" s="1"/>
  <c r="AE73" i="51" s="1"/>
  <c r="M26" i="53" a="1"/>
  <c r="M26" i="53" s="1"/>
  <c r="AU25" i="53" s="1"/>
  <c r="AV66" i="53" s="1"/>
  <c r="L16" i="47" a="1"/>
  <c r="L16" i="47" s="1"/>
  <c r="AJ16" i="47" s="1"/>
  <c r="AK63" i="47" s="1"/>
  <c r="M3" i="44" a="1"/>
  <c r="M3" i="44" s="1"/>
  <c r="AD4" i="44" s="1"/>
  <c r="AE59" i="44" s="1"/>
  <c r="L14" i="53" a="1"/>
  <c r="L14" i="53" s="1"/>
  <c r="AT13" i="53" s="1"/>
  <c r="AU62" i="53" s="1"/>
  <c r="I14" i="43" a="1"/>
  <c r="I14" i="43" s="1"/>
  <c r="AN13" i="43" s="1"/>
  <c r="AO62" i="43" s="1"/>
  <c r="J24" i="51" a="1"/>
  <c r="J24" i="51" s="1"/>
  <c r="AA25" i="51" s="1"/>
  <c r="AB66" i="51" s="1"/>
  <c r="I18" i="48" a="1"/>
  <c r="I18" i="48" s="1"/>
  <c r="AC19" i="48" s="1"/>
  <c r="AD64" i="48" s="1"/>
  <c r="H31" i="47" a="1"/>
  <c r="H31" i="47" s="1"/>
  <c r="N33" i="53" a="1"/>
  <c r="N33" i="53" s="1"/>
  <c r="AH34" i="53" s="1"/>
  <c r="AI69" i="53" s="1"/>
  <c r="H35" i="52" a="1"/>
  <c r="H35" i="52" s="1"/>
  <c r="K14" i="47" a="1"/>
  <c r="K14" i="47" s="1"/>
  <c r="AP13" i="47" s="1"/>
  <c r="AQ62" i="47" s="1"/>
  <c r="J49" i="45" a="1"/>
  <c r="J49" i="45" s="1"/>
  <c r="AH49" i="45" s="1"/>
  <c r="AI74" i="45" s="1"/>
  <c r="M6" i="53" a="1"/>
  <c r="M6" i="53" s="1"/>
  <c r="AG7" i="53" s="1"/>
  <c r="AH60" i="53" s="1"/>
  <c r="H7" i="44" a="1"/>
  <c r="H7" i="44" s="1"/>
  <c r="K15" i="53" a="1"/>
  <c r="K15" i="53" s="1"/>
  <c r="AE16" i="53" s="1"/>
  <c r="AF63" i="53" s="1"/>
  <c r="N23" i="51" a="1"/>
  <c r="N23" i="51" s="1"/>
  <c r="AS22" i="51" s="1"/>
  <c r="AT65" i="51" s="1"/>
  <c r="J18" i="52" a="1"/>
  <c r="J18" i="52" s="1"/>
  <c r="AA19" i="52" s="1"/>
  <c r="AB64" i="52" s="1"/>
  <c r="J25" i="49" a="1"/>
  <c r="J25" i="49" s="1"/>
  <c r="AH25" i="49" s="1"/>
  <c r="AI66" i="49" s="1"/>
  <c r="L43" i="48" a="1"/>
  <c r="L43" i="48" s="1"/>
  <c r="AM43" i="48" s="1"/>
  <c r="AN72" i="48" s="1"/>
  <c r="N18" i="44" a="1"/>
  <c r="N18" i="44" s="1"/>
  <c r="I19" i="52" a="1"/>
  <c r="I19" i="52" s="1"/>
  <c r="AG19" i="52" s="1"/>
  <c r="AH64" i="52" s="1"/>
  <c r="N33" i="45" a="1"/>
  <c r="N33" i="45" s="1"/>
  <c r="AE34" i="45" s="1"/>
  <c r="AF69" i="45" s="1"/>
  <c r="N14" i="45" a="1"/>
  <c r="N14" i="45" s="1"/>
  <c r="AS13" i="45" s="1"/>
  <c r="AT62" i="45" s="1"/>
  <c r="J33" i="44" a="1"/>
  <c r="J33" i="44" s="1"/>
  <c r="AA34" i="44" s="1"/>
  <c r="AB69" i="44" s="1"/>
  <c r="I6" i="53" a="1"/>
  <c r="I6" i="53" s="1"/>
  <c r="AC7" i="53" s="1"/>
  <c r="AD60" i="53" s="1"/>
  <c r="N32" i="43" a="1"/>
  <c r="N32" i="43" s="1"/>
  <c r="AS31" i="43" s="1"/>
  <c r="AT68" i="43" s="1"/>
  <c r="I36" i="50" a="1"/>
  <c r="I36" i="50" s="1"/>
  <c r="Z37" i="50" s="1"/>
  <c r="AA70" i="50" s="1"/>
  <c r="L14" i="52" a="1"/>
  <c r="L14" i="52" s="1"/>
  <c r="AQ13" i="52" s="1"/>
  <c r="AR62" i="52" s="1"/>
  <c r="N24" i="46" a="1"/>
  <c r="N24" i="46" s="1"/>
  <c r="AE25" i="46" s="1"/>
  <c r="AF66" i="46" s="1"/>
  <c r="I18" i="53" a="1"/>
  <c r="I18" i="53" s="1"/>
  <c r="AC19" i="53" s="1"/>
  <c r="AD64" i="53" s="1"/>
  <c r="L14" i="46" a="1"/>
  <c r="L14" i="46" s="1"/>
  <c r="AQ13" i="46" s="1"/>
  <c r="AR62" i="46" s="1"/>
  <c r="L34" i="52" a="1"/>
  <c r="L34" i="52" s="1"/>
  <c r="AJ34" i="52" s="1"/>
  <c r="AK69" i="52" s="1"/>
  <c r="J20" i="48" a="1"/>
  <c r="J20" i="48" s="1"/>
  <c r="AR19" i="48" s="1"/>
  <c r="AS64" i="48" s="1"/>
  <c r="J51" i="51" a="1"/>
  <c r="J51" i="51" s="1"/>
  <c r="J45" i="51" a="1"/>
  <c r="J45" i="51" s="1"/>
  <c r="AA46" i="51" s="1"/>
  <c r="AB73" i="51" s="1"/>
  <c r="K16" i="51" a="1"/>
  <c r="K16" i="51" s="1"/>
  <c r="AI16" i="51" s="1"/>
  <c r="AJ63" i="51" s="1"/>
  <c r="L4" i="51" a="1"/>
  <c r="L4" i="51" s="1"/>
  <c r="AJ4" i="51" s="1"/>
  <c r="AK59" i="51" s="1"/>
  <c r="J19" i="51" a="1"/>
  <c r="J19" i="51" s="1"/>
  <c r="AH19" i="51" s="1"/>
  <c r="AI64" i="51" s="1"/>
  <c r="H51" i="52" a="1"/>
  <c r="H51" i="52" s="1"/>
  <c r="K31" i="52" a="1"/>
  <c r="K31" i="52" s="1"/>
  <c r="AI31" i="52" s="1"/>
  <c r="AJ68" i="52" s="1"/>
  <c r="J29" i="52" a="1"/>
  <c r="J29" i="52" s="1"/>
  <c r="AO28" i="52" s="1"/>
  <c r="AP67" i="52" s="1"/>
  <c r="M46" i="53" a="1"/>
  <c r="M46" i="53" s="1"/>
  <c r="AN46" i="53" s="1"/>
  <c r="AO73" i="53" s="1"/>
  <c r="M16" i="53" a="1"/>
  <c r="M16" i="53" s="1"/>
  <c r="AN16" i="53" s="1"/>
  <c r="AO63" i="53" s="1"/>
  <c r="K53" i="51" a="1"/>
  <c r="K53" i="51" s="1"/>
  <c r="J36" i="51" a="1"/>
  <c r="J36" i="51" s="1"/>
  <c r="AA37" i="51" s="1"/>
  <c r="AB70" i="51" s="1"/>
  <c r="I28" i="51" a="1"/>
  <c r="I28" i="51" s="1"/>
  <c r="AG28" i="51" s="1"/>
  <c r="AH67" i="51" s="1"/>
  <c r="N12" i="51" a="1"/>
  <c r="N12" i="51" s="1"/>
  <c r="AE13" i="51" s="1"/>
  <c r="AF62" i="51" s="1"/>
  <c r="H54" i="52" a="1"/>
  <c r="H54" i="52" s="1"/>
  <c r="M43" i="52" a="1"/>
  <c r="M43" i="52" s="1"/>
  <c r="AK43" i="52" s="1"/>
  <c r="AL72" i="52" s="1"/>
  <c r="H4" i="52" a="1"/>
  <c r="H4" i="52" s="1"/>
  <c r="N8" i="52" a="1"/>
  <c r="N8" i="52" s="1"/>
  <c r="AS7" i="52" s="1"/>
  <c r="AT60" i="52" s="1"/>
  <c r="J20" i="45" a="1"/>
  <c r="J20" i="45" s="1"/>
  <c r="AO19" i="45" s="1"/>
  <c r="AP64" i="45" s="1"/>
  <c r="H22" i="43" a="1"/>
  <c r="H22" i="43" s="1"/>
  <c r="N44" i="53" a="1"/>
  <c r="N44" i="53" s="1"/>
  <c r="AV43" i="53" s="1"/>
  <c r="AW72" i="53" s="1"/>
  <c r="L49" i="48" a="1"/>
  <c r="L49" i="48" s="1"/>
  <c r="AM49" i="48" s="1"/>
  <c r="AN74" i="48" s="1"/>
  <c r="J56" i="49" a="1"/>
  <c r="J56" i="49" s="1"/>
  <c r="L53" i="51" a="1"/>
  <c r="L53" i="51" s="1"/>
  <c r="J42" i="45" a="1"/>
  <c r="J42" i="45" s="1"/>
  <c r="AA43" i="45" s="1"/>
  <c r="AB72" i="45" s="1"/>
  <c r="M36" i="50" a="1"/>
  <c r="M36" i="50" s="1"/>
  <c r="AD37" i="50" s="1"/>
  <c r="AE70" i="50" s="1"/>
  <c r="I26" i="48" a="1"/>
  <c r="I26" i="48" s="1"/>
  <c r="AQ25" i="48" s="1"/>
  <c r="AR66" i="48" s="1"/>
  <c r="I34" i="51" a="1"/>
  <c r="I34" i="51" s="1"/>
  <c r="AG34" i="51" s="1"/>
  <c r="AH69" i="51" s="1"/>
  <c r="J31" i="49" a="1"/>
  <c r="J31" i="49" s="1"/>
  <c r="AH31" i="49" s="1"/>
  <c r="AI68" i="49" s="1"/>
  <c r="I48" i="44" a="1"/>
  <c r="I48" i="44" s="1"/>
  <c r="Z49" i="44" s="1"/>
  <c r="AA74" i="44" s="1"/>
  <c r="N25" i="53" a="1"/>
  <c r="N25" i="53" s="1"/>
  <c r="AO25" i="53" s="1"/>
  <c r="AP66" i="53" s="1"/>
  <c r="K16" i="43" a="1"/>
  <c r="K16" i="43" s="1"/>
  <c r="AI16" i="43" s="1"/>
  <c r="AJ63" i="43" s="1"/>
  <c r="N44" i="45" a="1"/>
  <c r="N44" i="45" s="1"/>
  <c r="AS43" i="45" s="1"/>
  <c r="AT72" i="45" s="1"/>
  <c r="L15" i="45" a="1"/>
  <c r="L15" i="45" s="1"/>
  <c r="AC16" i="45" s="1"/>
  <c r="AD63" i="45" s="1"/>
  <c r="K40" i="45" a="1"/>
  <c r="K40" i="45" s="1"/>
  <c r="AI40" i="45" s="1"/>
  <c r="AJ71" i="45" s="1"/>
  <c r="J47" i="48" a="1"/>
  <c r="J47" i="48" s="1"/>
  <c r="AR46" i="48" s="1"/>
  <c r="AS73" i="48" s="1"/>
  <c r="I34" i="45" a="1"/>
  <c r="I34" i="45" s="1"/>
  <c r="AG34" i="45" s="1"/>
  <c r="AH69" i="45" s="1"/>
  <c r="J17" i="44" a="1"/>
  <c r="J17" i="44" s="1"/>
  <c r="AO16" i="44" s="1"/>
  <c r="AP63" i="44" s="1"/>
  <c r="N52" i="46" a="1"/>
  <c r="N52" i="46" s="1"/>
  <c r="AL52" i="46" s="1"/>
  <c r="AM75" i="46" s="1"/>
  <c r="M12" i="46" a="1"/>
  <c r="M12" i="46" s="1"/>
  <c r="AD13" i="46" s="1"/>
  <c r="AE62" i="46" s="1"/>
  <c r="I10" i="43" a="1"/>
  <c r="I10" i="43" s="1"/>
  <c r="AG10" i="43" s="1"/>
  <c r="AH61" i="43" s="1"/>
  <c r="J40" i="53" a="1"/>
  <c r="J40" i="53" s="1"/>
  <c r="AK40" i="53" s="1"/>
  <c r="AL71" i="53" s="1"/>
  <c r="L44" i="48" a="1"/>
  <c r="L44" i="48" s="1"/>
  <c r="AT43" i="48" s="1"/>
  <c r="AU72" i="48" s="1"/>
  <c r="J43" i="50" a="1"/>
  <c r="J43" i="50" s="1"/>
  <c r="AH43" i="50" s="1"/>
  <c r="AI72" i="50" s="1"/>
  <c r="J55" i="47" a="1"/>
  <c r="J55" i="47" s="1"/>
  <c r="AH55" i="47" s="1"/>
  <c r="AI76" i="47" s="1"/>
  <c r="I48" i="45" a="1"/>
  <c r="I48" i="45" s="1"/>
  <c r="Z49" i="45" s="1"/>
  <c r="AA74" i="45" s="1"/>
  <c r="L43" i="52" a="1"/>
  <c r="L43" i="52" s="1"/>
  <c r="AJ43" i="52" s="1"/>
  <c r="AK72" i="52" s="1"/>
  <c r="J44" i="47" a="1"/>
  <c r="J44" i="47" s="1"/>
  <c r="AO43" i="47" s="1"/>
  <c r="AP72" i="47" s="1"/>
  <c r="M13" i="44" a="1"/>
  <c r="M13" i="44" s="1"/>
  <c r="AK13" i="44" s="1"/>
  <c r="AL62" i="44" s="1"/>
  <c r="J31" i="44" a="1"/>
  <c r="J31" i="44" s="1"/>
  <c r="AH31" i="44" s="1"/>
  <c r="AI68" i="44" s="1"/>
  <c r="M36" i="43" a="1"/>
  <c r="M36" i="43" s="1"/>
  <c r="AD37" i="43" s="1"/>
  <c r="AE70" i="43" s="1"/>
  <c r="L41" i="53" a="1"/>
  <c r="L41" i="53" s="1"/>
  <c r="AT40" i="53" s="1"/>
  <c r="AU71" i="53" s="1"/>
  <c r="J52" i="51" a="1"/>
  <c r="J52" i="51" s="1"/>
  <c r="AH52" i="51" s="1"/>
  <c r="AI75" i="51" s="1"/>
  <c r="K36" i="52" a="1"/>
  <c r="K36" i="52" s="1"/>
  <c r="AB37" i="52" s="1"/>
  <c r="AC70" i="52" s="1"/>
  <c r="I31" i="48" a="1"/>
  <c r="I31" i="48" s="1"/>
  <c r="AJ31" i="48" s="1"/>
  <c r="AK68" i="48" s="1"/>
  <c r="N30" i="46" a="1"/>
  <c r="N30" i="46" s="1"/>
  <c r="AE31" i="46" s="1"/>
  <c r="AF68" i="46" s="1"/>
  <c r="J52" i="47" a="1"/>
  <c r="J52" i="47" s="1"/>
  <c r="AH52" i="47" s="1"/>
  <c r="AI75" i="47" s="1"/>
  <c r="L26" i="47" a="1"/>
  <c r="L26" i="47" s="1"/>
  <c r="AQ25" i="47" s="1"/>
  <c r="AR66" i="47" s="1"/>
  <c r="K56" i="44" a="1"/>
  <c r="K56" i="44" s="1"/>
  <c r="H40" i="52" a="1"/>
  <c r="H40" i="52" s="1"/>
  <c r="K32" i="47" a="1"/>
  <c r="K32" i="47" s="1"/>
  <c r="AP31" i="47" s="1"/>
  <c r="AQ68" i="47" s="1"/>
  <c r="K14" i="44" a="1"/>
  <c r="K14" i="44" s="1"/>
  <c r="AP13" i="44" s="1"/>
  <c r="AQ62" i="44" s="1"/>
  <c r="H22" i="44" a="1"/>
  <c r="H22" i="44" s="1"/>
  <c r="J37" i="48" a="1"/>
  <c r="J37" i="48" s="1"/>
  <c r="AK37" i="48" s="1"/>
  <c r="AL70" i="48" s="1"/>
  <c r="I11" i="51" a="1"/>
  <c r="I11" i="51" s="1"/>
  <c r="AN10" i="51" s="1"/>
  <c r="AO61" i="51" s="1"/>
  <c r="M32" i="45" a="1"/>
  <c r="M32" i="45" s="1"/>
  <c r="AR31" i="45" s="1"/>
  <c r="AS68" i="45" s="1"/>
  <c r="I5" i="49" a="1"/>
  <c r="I5" i="49" s="1"/>
  <c r="AN4" i="49" s="1"/>
  <c r="AO59" i="49" s="1"/>
  <c r="M5" i="45" a="1"/>
  <c r="M5" i="45" s="1"/>
  <c r="AR4" i="45" s="1"/>
  <c r="AS59" i="45" s="1"/>
  <c r="I23" i="53" a="1"/>
  <c r="I23" i="53" s="1"/>
  <c r="AQ22" i="53" s="1"/>
  <c r="AR65" i="53" s="1"/>
  <c r="H53" i="52" a="1"/>
  <c r="H53" i="52" s="1"/>
  <c r="N38" i="53" a="1"/>
  <c r="N38" i="53" s="1"/>
  <c r="AV37" i="53" s="1"/>
  <c r="AW70" i="53" s="1"/>
  <c r="M16" i="43" a="1"/>
  <c r="M16" i="43" s="1"/>
  <c r="AK16" i="43" s="1"/>
  <c r="AL63" i="43" s="1"/>
  <c r="N7" i="50" a="1"/>
  <c r="N7" i="50" s="1"/>
  <c r="AL7" i="50" s="1"/>
  <c r="AM60" i="50" s="1"/>
  <c r="H8" i="52" a="1"/>
  <c r="H8" i="52" s="1"/>
  <c r="L35" i="46" a="1"/>
  <c r="L35" i="46" s="1"/>
  <c r="AQ34" i="46" s="1"/>
  <c r="AR69" i="46" s="1"/>
  <c r="M17" i="52" a="1"/>
  <c r="M17" i="52" s="1"/>
  <c r="AR16" i="52" s="1"/>
  <c r="AS63" i="52" s="1"/>
  <c r="M36" i="44" a="1"/>
  <c r="M36" i="44" s="1"/>
  <c r="AD37" i="44" s="1"/>
  <c r="AE70" i="44" s="1"/>
  <c r="I11" i="53" a="1"/>
  <c r="I11" i="53" s="1"/>
  <c r="AQ10" i="53" s="1"/>
  <c r="AR61" i="53" s="1"/>
  <c r="L32" i="52" a="1"/>
  <c r="L32" i="52" s="1"/>
  <c r="AQ31" i="52" s="1"/>
  <c r="AR68" i="52" s="1"/>
  <c r="I32" i="47" a="1"/>
  <c r="I32" i="47" s="1"/>
  <c r="AN31" i="47" s="1"/>
  <c r="AO68" i="47" s="1"/>
  <c r="K11" i="43" a="1"/>
  <c r="K11" i="43" s="1"/>
  <c r="AP10" i="43" s="1"/>
  <c r="AQ61" i="43" s="1"/>
  <c r="I3" i="43" a="1"/>
  <c r="I3" i="43" s="1"/>
  <c r="Z4" i="43" s="1"/>
  <c r="AA59" i="43" s="1"/>
  <c r="K5" i="50" a="1"/>
  <c r="K5" i="50" s="1"/>
  <c r="AP4" i="50" s="1"/>
  <c r="AQ59" i="50" s="1"/>
  <c r="K10" i="51" a="1"/>
  <c r="K10" i="51" s="1"/>
  <c r="AI10" i="51" s="1"/>
  <c r="AJ61" i="51" s="1"/>
  <c r="K31" i="47" a="1"/>
  <c r="K31" i="47" s="1"/>
  <c r="AI31" i="47" s="1"/>
  <c r="AJ68" i="47" s="1"/>
  <c r="K27" i="53" a="1"/>
  <c r="K27" i="53" s="1"/>
  <c r="AE28" i="53" s="1"/>
  <c r="AF67" i="53" s="1"/>
  <c r="K5" i="51" a="1"/>
  <c r="K5" i="51" s="1"/>
  <c r="AP4" i="51" s="1"/>
  <c r="AQ59" i="51" s="1"/>
  <c r="N37" i="48" a="1"/>
  <c r="N37" i="48" s="1"/>
  <c r="AO37" i="48" s="1"/>
  <c r="AP70" i="48" s="1"/>
  <c r="N54" i="46" a="1"/>
  <c r="N54" i="46" s="1"/>
  <c r="L45" i="48" a="1"/>
  <c r="L45" i="48" s="1"/>
  <c r="AF46" i="48" s="1"/>
  <c r="AG73" i="48" s="1"/>
  <c r="J55" i="43" a="1"/>
  <c r="J55" i="43" s="1"/>
  <c r="AH55" i="43" s="1"/>
  <c r="AI76" i="43" s="1"/>
  <c r="M39" i="53" a="1"/>
  <c r="M39" i="53" s="1"/>
  <c r="AG40" i="53" s="1"/>
  <c r="AH71" i="53" s="1"/>
  <c r="J6" i="43" a="1"/>
  <c r="J6" i="43" s="1"/>
  <c r="AA7" i="43" s="1"/>
  <c r="AB60" i="43" s="1"/>
  <c r="H6" i="49" a="1"/>
  <c r="H6" i="49" s="1"/>
  <c r="J8" i="51" a="1"/>
  <c r="J8" i="51" s="1"/>
  <c r="AO7" i="51" s="1"/>
  <c r="AP60" i="51" s="1"/>
  <c r="N18" i="46" a="1"/>
  <c r="N18" i="46" s="1"/>
  <c r="J25" i="51" a="1"/>
  <c r="J25" i="51" s="1"/>
  <c r="AH25" i="51" s="1"/>
  <c r="AI66" i="51" s="1"/>
  <c r="K3" i="44" a="1"/>
  <c r="K3" i="44" s="1"/>
  <c r="AB4" i="44" s="1"/>
  <c r="AC59" i="44" s="1"/>
  <c r="L40" i="52" a="1"/>
  <c r="L40" i="52" s="1"/>
  <c r="AJ40" i="52" s="1"/>
  <c r="AK71" i="52" s="1"/>
  <c r="K11" i="53" a="1"/>
  <c r="K11" i="53" s="1"/>
  <c r="AS10" i="53" s="1"/>
  <c r="AT61" i="53" s="1"/>
  <c r="L48" i="51" a="1"/>
  <c r="L48" i="51" s="1"/>
  <c r="AC49" i="51" s="1"/>
  <c r="AD74" i="51" s="1"/>
  <c r="L40" i="51" a="1"/>
  <c r="L40" i="51" s="1"/>
  <c r="AJ40" i="51" s="1"/>
  <c r="AK71" i="51" s="1"/>
  <c r="H32" i="51" a="1"/>
  <c r="H32" i="51" s="1"/>
  <c r="L11" i="51" a="1"/>
  <c r="L11" i="51" s="1"/>
  <c r="AQ10" i="51" s="1"/>
  <c r="AR61" i="51" s="1"/>
  <c r="M54" i="52" a="1"/>
  <c r="M54" i="52" s="1"/>
  <c r="AD55" i="52" s="1"/>
  <c r="AE76" i="52" s="1"/>
  <c r="J44" i="52" a="1"/>
  <c r="J44" i="52" s="1"/>
  <c r="AO43" i="52" s="1"/>
  <c r="AP72" i="52" s="1"/>
  <c r="H30" i="52" a="1"/>
  <c r="H30" i="52" s="1"/>
  <c r="M55" i="53" a="1"/>
  <c r="M55" i="53" s="1"/>
  <c r="AN55" i="53" s="1"/>
  <c r="AO76" i="53" s="1"/>
  <c r="M40" i="53" a="1"/>
  <c r="M40" i="53" s="1"/>
  <c r="AN40" i="53" s="1"/>
  <c r="AO71" i="53" s="1"/>
  <c r="N39" i="53" a="1"/>
  <c r="N39" i="53" s="1"/>
  <c r="AH40" i="53" s="1"/>
  <c r="AI71" i="53" s="1"/>
  <c r="I47" i="51" a="1"/>
  <c r="I47" i="51" s="1"/>
  <c r="AN46" i="51" s="1"/>
  <c r="AO73" i="51" s="1"/>
  <c r="N46" i="51" a="1"/>
  <c r="N46" i="51" s="1"/>
  <c r="AL46" i="51" s="1"/>
  <c r="AM73" i="51" s="1"/>
  <c r="K24" i="51" a="1"/>
  <c r="K24" i="51" s="1"/>
  <c r="AB25" i="51" s="1"/>
  <c r="AC66" i="51" s="1"/>
  <c r="N18" i="51" a="1"/>
  <c r="N18" i="51" s="1"/>
  <c r="J55" i="52" a="1"/>
  <c r="J55" i="52" s="1"/>
  <c r="AH55" i="52" s="1"/>
  <c r="AI76" i="52" s="1"/>
  <c r="L51" i="52" a="1"/>
  <c r="L51" i="52" s="1"/>
  <c r="H13" i="52" a="1"/>
  <c r="H13" i="52" s="1"/>
  <c r="K4" i="47" a="1"/>
  <c r="K4" i="47" s="1"/>
  <c r="AI4" i="47" s="1"/>
  <c r="AJ59" i="47" s="1"/>
  <c r="H30" i="47" a="1"/>
  <c r="H30" i="47" s="1"/>
  <c r="K33" i="47" a="1"/>
  <c r="K33" i="47" s="1"/>
  <c r="AB34" i="47" s="1"/>
  <c r="AC69" i="47" s="1"/>
  <c r="H45" i="47" a="1"/>
  <c r="H45" i="47" s="1"/>
  <c r="K17" i="46" a="1"/>
  <c r="K17" i="46" s="1"/>
  <c r="AP16" i="46" s="1"/>
  <c r="AQ63" i="46" s="1"/>
  <c r="J27" i="46" a="1"/>
  <c r="J27" i="46" s="1"/>
  <c r="AA28" i="46" s="1"/>
  <c r="AB67" i="46" s="1"/>
  <c r="J18" i="48" a="1"/>
  <c r="J18" i="48" s="1"/>
  <c r="AD19" i="48" s="1"/>
  <c r="AE64" i="48" s="1"/>
  <c r="K34" i="48" a="1"/>
  <c r="K34" i="48" s="1"/>
  <c r="AL34" i="48" s="1"/>
  <c r="AM69" i="48" s="1"/>
  <c r="H52" i="48" a="1"/>
  <c r="H52" i="48" s="1"/>
  <c r="M5" i="47" a="1"/>
  <c r="M5" i="47" s="1"/>
  <c r="AR4" i="47" s="1"/>
  <c r="AS59" i="47" s="1"/>
  <c r="K5" i="47" a="1"/>
  <c r="K5" i="47" s="1"/>
  <c r="AP4" i="47" s="1"/>
  <c r="AQ59" i="47" s="1"/>
  <c r="K40" i="47" a="1"/>
  <c r="K40" i="47" s="1"/>
  <c r="AI40" i="47" s="1"/>
  <c r="AJ71" i="47" s="1"/>
  <c r="L51" i="47" a="1"/>
  <c r="L51" i="47" s="1"/>
  <c r="L12" i="46" a="1"/>
  <c r="L12" i="46" s="1"/>
  <c r="AC13" i="46" s="1"/>
  <c r="AD62" i="46" s="1"/>
  <c r="H13" i="46" a="1"/>
  <c r="H13" i="46" s="1"/>
  <c r="M35" i="46" a="1"/>
  <c r="M35" i="46" s="1"/>
  <c r="AR34" i="46" s="1"/>
  <c r="AS69" i="46" s="1"/>
  <c r="L20" i="48" a="1"/>
  <c r="L20" i="48" s="1"/>
  <c r="AT19" i="48" s="1"/>
  <c r="AU64" i="48" s="1"/>
  <c r="N31" i="48" a="1"/>
  <c r="N31" i="48" s="1"/>
  <c r="AO31" i="48" s="1"/>
  <c r="AP68" i="48" s="1"/>
  <c r="K51" i="48" a="1"/>
  <c r="K51" i="48" s="1"/>
  <c r="H4" i="47" a="1"/>
  <c r="H4" i="47" s="1"/>
  <c r="J39" i="47" a="1"/>
  <c r="J39" i="47" s="1"/>
  <c r="AA40" i="47" s="1"/>
  <c r="AB71" i="47" s="1"/>
  <c r="H51" i="47" a="1"/>
  <c r="H51" i="47" s="1"/>
  <c r="H5" i="46" a="1"/>
  <c r="H5" i="46" s="1"/>
  <c r="J12" i="46" a="1"/>
  <c r="J12" i="46" s="1"/>
  <c r="AA13" i="46" s="1"/>
  <c r="AB62" i="46" s="1"/>
  <c r="H43" i="46" a="1"/>
  <c r="H43" i="46" s="1"/>
  <c r="N11" i="48" a="1"/>
  <c r="N11" i="48" s="1"/>
  <c r="AV10" i="48" s="1"/>
  <c r="AW61" i="48" s="1"/>
  <c r="N25" i="48" a="1"/>
  <c r="N25" i="48" s="1"/>
  <c r="AO25" i="48" s="1"/>
  <c r="AP66" i="48" s="1"/>
  <c r="K35" i="48" a="1"/>
  <c r="K35" i="48" s="1"/>
  <c r="AS34" i="48" s="1"/>
  <c r="AT69" i="48" s="1"/>
  <c r="N55" i="48" a="1"/>
  <c r="N55" i="48" s="1"/>
  <c r="AO55" i="48" s="1"/>
  <c r="AP76" i="48" s="1"/>
  <c r="M14" i="47" a="1"/>
  <c r="M14" i="47" s="1"/>
  <c r="AR13" i="47" s="1"/>
  <c r="AS62" i="47" s="1"/>
  <c r="K29" i="47" a="1"/>
  <c r="K29" i="47" s="1"/>
  <c r="AP28" i="47" s="1"/>
  <c r="AQ67" i="47" s="1"/>
  <c r="L35" i="47" a="1"/>
  <c r="L35" i="47" s="1"/>
  <c r="AQ34" i="47" s="1"/>
  <c r="AR69" i="47" s="1"/>
  <c r="H15" i="46" a="1"/>
  <c r="H15" i="46" s="1"/>
  <c r="H14" i="46" a="1"/>
  <c r="H14" i="46" s="1"/>
  <c r="H45" i="46" a="1"/>
  <c r="H45" i="46" s="1"/>
  <c r="M31" i="46" a="1"/>
  <c r="M31" i="46" s="1"/>
  <c r="AK31" i="46" s="1"/>
  <c r="AL68" i="46" s="1"/>
  <c r="K48" i="46" a="1"/>
  <c r="K48" i="46" s="1"/>
  <c r="AB49" i="46" s="1"/>
  <c r="AC74" i="46" s="1"/>
  <c r="L43" i="45" a="1"/>
  <c r="L43" i="45" s="1"/>
  <c r="AJ43" i="45" s="1"/>
  <c r="AK72" i="45" s="1"/>
  <c r="N10" i="45" a="1"/>
  <c r="N10" i="45" s="1"/>
  <c r="AL10" i="45" s="1"/>
  <c r="AM61" i="45" s="1"/>
  <c r="J17" i="45" a="1"/>
  <c r="J17" i="45" s="1"/>
  <c r="AO16" i="45" s="1"/>
  <c r="AP63" i="45" s="1"/>
  <c r="J37" i="45" a="1"/>
  <c r="J37" i="45" s="1"/>
  <c r="AH37" i="45" s="1"/>
  <c r="AI70" i="45" s="1"/>
  <c r="H56" i="45" a="1"/>
  <c r="H56" i="45" s="1"/>
  <c r="N8" i="44" a="1"/>
  <c r="N8" i="44" s="1"/>
  <c r="AS7" i="44" s="1"/>
  <c r="AT60" i="44" s="1"/>
  <c r="K30" i="44" a="1"/>
  <c r="K30" i="44" s="1"/>
  <c r="AB31" i="44" s="1"/>
  <c r="AC68" i="44" s="1"/>
  <c r="K37" i="44" a="1"/>
  <c r="K37" i="44" s="1"/>
  <c r="AI37" i="44" s="1"/>
  <c r="AJ70" i="44" s="1"/>
  <c r="N41" i="46" a="1"/>
  <c r="N41" i="46" s="1"/>
  <c r="AS40" i="46" s="1"/>
  <c r="AT71" i="46" s="1"/>
  <c r="N43" i="45" a="1"/>
  <c r="N43" i="45" s="1"/>
  <c r="AL43" i="45" s="1"/>
  <c r="AM72" i="45" s="1"/>
  <c r="K14" i="45" a="1"/>
  <c r="K14" i="45" s="1"/>
  <c r="AP13" i="45" s="1"/>
  <c r="AQ62" i="45" s="1"/>
  <c r="L32" i="45" a="1"/>
  <c r="L32" i="45" s="1"/>
  <c r="AQ31" i="45" s="1"/>
  <c r="AR68" i="45" s="1"/>
  <c r="H40" i="45" a="1"/>
  <c r="H40" i="45" s="1"/>
  <c r="I53" i="45" a="1"/>
  <c r="I53" i="45" s="1"/>
  <c r="M17" i="44" a="1"/>
  <c r="M17" i="44" s="1"/>
  <c r="AR16" i="44" s="1"/>
  <c r="AS63" i="44" s="1"/>
  <c r="H35" i="44" a="1"/>
  <c r="H35" i="44" s="1"/>
  <c r="I46" i="44" a="1"/>
  <c r="I46" i="44" s="1"/>
  <c r="AG46" i="44" s="1"/>
  <c r="AH73" i="44" s="1"/>
  <c r="I42" i="44" a="1"/>
  <c r="I42" i="44" s="1"/>
  <c r="Z43" i="44" s="1"/>
  <c r="AA72" i="44" s="1"/>
  <c r="J38" i="46" a="1"/>
  <c r="J38" i="46" s="1"/>
  <c r="AO37" i="46" s="1"/>
  <c r="AP70" i="46" s="1"/>
  <c r="I56" i="46" a="1"/>
  <c r="I56" i="46" s="1"/>
  <c r="N17" i="45" a="1"/>
  <c r="N17" i="45" s="1"/>
  <c r="AS16" i="45" s="1"/>
  <c r="AT63" i="45" s="1"/>
  <c r="M22" i="45" a="1"/>
  <c r="M22" i="45" s="1"/>
  <c r="AK22" i="45" s="1"/>
  <c r="AL65" i="45" s="1"/>
  <c r="K28" i="45" a="1"/>
  <c r="K28" i="45" s="1"/>
  <c r="AI28" i="45" s="1"/>
  <c r="AJ67" i="45" s="1"/>
  <c r="J47" i="45" a="1"/>
  <c r="J47" i="45" s="1"/>
  <c r="AO46" i="45" s="1"/>
  <c r="AP73" i="45" s="1"/>
  <c r="J10" i="44" a="1"/>
  <c r="J10" i="44" s="1"/>
  <c r="AH10" i="44" s="1"/>
  <c r="AI61" i="44" s="1"/>
  <c r="K25" i="44" a="1"/>
  <c r="K25" i="44" s="1"/>
  <c r="AI25" i="44" s="1"/>
  <c r="AJ66" i="44" s="1"/>
  <c r="N45" i="44" a="1"/>
  <c r="N45" i="44" s="1"/>
  <c r="L25" i="46" a="1"/>
  <c r="L25" i="46" s="1"/>
  <c r="AJ25" i="46" s="1"/>
  <c r="AK66" i="46" s="1"/>
  <c r="L51" i="46" a="1"/>
  <c r="L51" i="46" s="1"/>
  <c r="H43" i="45" a="1"/>
  <c r="H43" i="45" s="1"/>
  <c r="M16" i="45" a="1"/>
  <c r="M16" i="45" s="1"/>
  <c r="AK16" i="45" s="1"/>
  <c r="AL63" i="45" s="1"/>
  <c r="I39" i="45" a="1"/>
  <c r="I39" i="45" s="1"/>
  <c r="Z40" i="45" s="1"/>
  <c r="AA71" i="45" s="1"/>
  <c r="J36" i="45" a="1"/>
  <c r="J36" i="45" s="1"/>
  <c r="AA37" i="45" s="1"/>
  <c r="AB70" i="45" s="1"/>
  <c r="K52" i="45" a="1"/>
  <c r="K52" i="45" s="1"/>
  <c r="AI52" i="45" s="1"/>
  <c r="AJ75" i="45" s="1"/>
  <c r="L12" i="44" a="1"/>
  <c r="L12" i="44" s="1"/>
  <c r="AC13" i="44" s="1"/>
  <c r="AD62" i="44" s="1"/>
  <c r="H32" i="44" a="1"/>
  <c r="H32" i="44" s="1"/>
  <c r="M41" i="44" a="1"/>
  <c r="M41" i="44" s="1"/>
  <c r="AR40" i="44" s="1"/>
  <c r="AS71" i="44" s="1"/>
  <c r="J26" i="46" a="1"/>
  <c r="J26" i="46" s="1"/>
  <c r="AO25" i="46" s="1"/>
  <c r="AP66" i="46" s="1"/>
  <c r="L42" i="46" a="1"/>
  <c r="L42" i="46" s="1"/>
  <c r="AC43" i="46" s="1"/>
  <c r="AD72" i="46" s="1"/>
  <c r="J9" i="45" a="1"/>
  <c r="J9" i="45" s="1"/>
  <c r="AA10" i="45" s="1"/>
  <c r="AB61" i="45" s="1"/>
  <c r="L19" i="45" a="1"/>
  <c r="L19" i="45" s="1"/>
  <c r="AJ19" i="45" s="1"/>
  <c r="AK64" i="45" s="1"/>
  <c r="M40" i="45" a="1"/>
  <c r="M40" i="45" s="1"/>
  <c r="AK40" i="45" s="1"/>
  <c r="AL71" i="45" s="1"/>
  <c r="N30" i="45" a="1"/>
  <c r="N30" i="45" s="1"/>
  <c r="AE31" i="45" s="1"/>
  <c r="AF68" i="45" s="1"/>
  <c r="M42" i="45" a="1"/>
  <c r="M42" i="45" s="1"/>
  <c r="AD43" i="45" s="1"/>
  <c r="AE72" i="45" s="1"/>
  <c r="K16" i="44" a="1"/>
  <c r="K16" i="44" s="1"/>
  <c r="AI16" i="44" s="1"/>
  <c r="AJ63" i="44" s="1"/>
  <c r="K6" i="44" a="1"/>
  <c r="K6" i="44" s="1"/>
  <c r="AB7" i="44" s="1"/>
  <c r="AC60" i="44" s="1"/>
  <c r="J14" i="44" a="1"/>
  <c r="J14" i="44" s="1"/>
  <c r="AO13" i="44" s="1"/>
  <c r="AP62" i="44" s="1"/>
  <c r="M33" i="46" a="1"/>
  <c r="M33" i="46" s="1"/>
  <c r="AD34" i="46" s="1"/>
  <c r="AE69" i="46" s="1"/>
  <c r="I10" i="47" a="1"/>
  <c r="I10" i="47" s="1"/>
  <c r="AG10" i="47" s="1"/>
  <c r="AH61" i="47" s="1"/>
  <c r="H18" i="47" a="1"/>
  <c r="H18" i="47" s="1"/>
  <c r="J26" i="47" a="1"/>
  <c r="J26" i="47" s="1"/>
  <c r="AO25" i="47" s="1"/>
  <c r="AP66" i="47" s="1"/>
  <c r="N55" i="47" a="1"/>
  <c r="N55" i="47" s="1"/>
  <c r="AL55" i="47" s="1"/>
  <c r="AM76" i="47" s="1"/>
  <c r="N12" i="46" a="1"/>
  <c r="N12" i="46" s="1"/>
  <c r="AE13" i="46" s="1"/>
  <c r="AF62" i="46" s="1"/>
  <c r="M37" i="46" a="1"/>
  <c r="M37" i="46" s="1"/>
  <c r="AK37" i="46" s="1"/>
  <c r="AL70" i="46" s="1"/>
  <c r="N8" i="48" a="1"/>
  <c r="N8" i="48" s="1"/>
  <c r="AV7" i="48" s="1"/>
  <c r="AW60" i="48" s="1"/>
  <c r="K20" i="48" a="1"/>
  <c r="K20" i="48" s="1"/>
  <c r="AS19" i="48" s="1"/>
  <c r="AT64" i="48" s="1"/>
  <c r="I54" i="48" a="1"/>
  <c r="I54" i="48" s="1"/>
  <c r="AC55" i="48" s="1"/>
  <c r="AD76" i="48" s="1"/>
  <c r="N10" i="47" a="1"/>
  <c r="N10" i="47" s="1"/>
  <c r="AL10" i="47" s="1"/>
  <c r="AM61" i="47" s="1"/>
  <c r="K16" i="47" a="1"/>
  <c r="K16" i="47" s="1"/>
  <c r="AI16" i="47" s="1"/>
  <c r="AJ63" i="47" s="1"/>
  <c r="I33" i="47" a="1"/>
  <c r="I33" i="47" s="1"/>
  <c r="Z34" i="47" s="1"/>
  <c r="AA69" i="47" s="1"/>
  <c r="I46" i="47" a="1"/>
  <c r="I46" i="47" s="1"/>
  <c r="AG46" i="47" s="1"/>
  <c r="AH73" i="47" s="1"/>
  <c r="J21" i="46" a="1"/>
  <c r="J21" i="46" s="1"/>
  <c r="AA22" i="46" s="1"/>
  <c r="AB65" i="46" s="1"/>
  <c r="K6" i="46" a="1"/>
  <c r="K6" i="46" s="1"/>
  <c r="AB7" i="46" s="1"/>
  <c r="AC60" i="46" s="1"/>
  <c r="L28" i="46" a="1"/>
  <c r="L28" i="46" s="1"/>
  <c r="AJ28" i="46" s="1"/>
  <c r="AK67" i="46" s="1"/>
  <c r="I28" i="48" a="1"/>
  <c r="I28" i="48" s="1"/>
  <c r="AJ28" i="48" s="1"/>
  <c r="AK67" i="48" s="1"/>
  <c r="K26" i="48" a="1"/>
  <c r="K26" i="48" s="1"/>
  <c r="AS25" i="48" s="1"/>
  <c r="AT66" i="48" s="1"/>
  <c r="L51" i="48" a="1"/>
  <c r="L51" i="48" s="1"/>
  <c r="K22" i="47" a="1"/>
  <c r="K22" i="47" s="1"/>
  <c r="AI22" i="47" s="1"/>
  <c r="AJ65" i="47" s="1"/>
  <c r="J42" i="47" a="1"/>
  <c r="J42" i="47" s="1"/>
  <c r="AA43" i="47" s="1"/>
  <c r="AB72" i="47" s="1"/>
  <c r="M46" i="47" a="1"/>
  <c r="M46" i="47" s="1"/>
  <c r="AK46" i="47" s="1"/>
  <c r="AL73" i="47" s="1"/>
  <c r="M17" i="46" a="1"/>
  <c r="M17" i="46" s="1"/>
  <c r="AR16" i="46" s="1"/>
  <c r="AS63" i="46" s="1"/>
  <c r="H8" i="46" a="1"/>
  <c r="H8" i="46" s="1"/>
  <c r="L45" i="46" a="1"/>
  <c r="L45" i="46" s="1"/>
  <c r="AC46" i="46" s="1"/>
  <c r="AD73" i="46" s="1"/>
  <c r="I11" i="48" a="1"/>
  <c r="I11" i="48" s="1"/>
  <c r="AQ10" i="48" s="1"/>
  <c r="AR61" i="48" s="1"/>
  <c r="L29" i="48" a="1"/>
  <c r="L29" i="48" s="1"/>
  <c r="AT28" i="48" s="1"/>
  <c r="AU67" i="48" s="1"/>
  <c r="J44" i="48" a="1"/>
  <c r="J44" i="48" s="1"/>
  <c r="AR43" i="48" s="1"/>
  <c r="AS72" i="48" s="1"/>
  <c r="J51" i="48" a="1"/>
  <c r="J51" i="48" s="1"/>
  <c r="L4" i="47" a="1"/>
  <c r="L4" i="47" s="1"/>
  <c r="AJ4" i="47" s="1"/>
  <c r="AK59" i="47" s="1"/>
  <c r="I24" i="47" a="1"/>
  <c r="I24" i="47" s="1"/>
  <c r="Z25" i="47" s="1"/>
  <c r="AA66" i="47" s="1"/>
  <c r="I35" i="47" a="1"/>
  <c r="I35" i="47" s="1"/>
  <c r="AN34" i="47" s="1"/>
  <c r="AO69" i="47" s="1"/>
  <c r="K3" i="46" a="1"/>
  <c r="K3" i="46" s="1"/>
  <c r="AB4" i="46" s="1"/>
  <c r="AC59" i="46" s="1"/>
  <c r="I8" i="46" a="1"/>
  <c r="I8" i="46" s="1"/>
  <c r="AN7" i="46" s="1"/>
  <c r="AO60" i="46" s="1"/>
  <c r="L31" i="46" a="1"/>
  <c r="L31" i="46" s="1"/>
  <c r="AJ31" i="46" s="1"/>
  <c r="AK68" i="46" s="1"/>
  <c r="N29" i="46" a="1"/>
  <c r="N29" i="46" s="1"/>
  <c r="AS28" i="46" s="1"/>
  <c r="AT67" i="46" s="1"/>
  <c r="I33" i="46" a="1"/>
  <c r="I33" i="46" s="1"/>
  <c r="Z34" i="46" s="1"/>
  <c r="AA69" i="46" s="1"/>
  <c r="M23" i="45" a="1"/>
  <c r="M23" i="45" s="1"/>
  <c r="AR22" i="45" s="1"/>
  <c r="AS65" i="45" s="1"/>
  <c r="M13" i="45" a="1"/>
  <c r="M13" i="45" s="1"/>
  <c r="AK13" i="45" s="1"/>
  <c r="AL62" i="45" s="1"/>
  <c r="L31" i="45" a="1"/>
  <c r="L31" i="45" s="1"/>
  <c r="AJ31" i="45" s="1"/>
  <c r="AK68" i="45" s="1"/>
  <c r="L50" i="45" a="1"/>
  <c r="L50" i="45" s="1"/>
  <c r="L54" i="45" a="1"/>
  <c r="L54" i="45" s="1"/>
  <c r="AC55" i="45" s="1"/>
  <c r="AD76" i="45" s="1"/>
  <c r="L5" i="44" a="1"/>
  <c r="L5" i="44" s="1"/>
  <c r="AQ4" i="44" s="1"/>
  <c r="AR59" i="44" s="1"/>
  <c r="L32" i="44" a="1"/>
  <c r="L32" i="44" s="1"/>
  <c r="AQ31" i="44" s="1"/>
  <c r="AR68" i="44" s="1"/>
  <c r="H31" i="44" a="1"/>
  <c r="H31" i="44" s="1"/>
  <c r="M49" i="46" a="1"/>
  <c r="M49" i="46" s="1"/>
  <c r="AK49" i="46" s="1"/>
  <c r="AL74" i="46" s="1"/>
  <c r="K6" i="45" a="1"/>
  <c r="K6" i="45" s="1"/>
  <c r="AB7" i="45" s="1"/>
  <c r="AC60" i="45" s="1"/>
  <c r="M8" i="45" a="1"/>
  <c r="M8" i="45" s="1"/>
  <c r="AR7" i="45" s="1"/>
  <c r="AS60" i="45" s="1"/>
  <c r="H35" i="45" a="1"/>
  <c r="H35" i="45" s="1"/>
  <c r="H49" i="45" a="1"/>
  <c r="H49" i="45" s="1"/>
  <c r="M11" i="44" a="1"/>
  <c r="M11" i="44" s="1"/>
  <c r="AR10" i="44" s="1"/>
  <c r="AS61" i="44" s="1"/>
  <c r="H11" i="44" a="1"/>
  <c r="H11" i="44" s="1"/>
  <c r="J12" i="44" a="1"/>
  <c r="J12" i="44" s="1"/>
  <c r="AA13" i="44" s="1"/>
  <c r="AB62" i="44" s="1"/>
  <c r="L26" i="44" a="1"/>
  <c r="L26" i="44" s="1"/>
  <c r="AQ25" i="44" s="1"/>
  <c r="AR66" i="44" s="1"/>
  <c r="K40" i="46" a="1"/>
  <c r="K40" i="46" s="1"/>
  <c r="AI40" i="46" s="1"/>
  <c r="AJ71" i="46" s="1"/>
  <c r="K47" i="46" a="1"/>
  <c r="K47" i="46" s="1"/>
  <c r="AP46" i="46" s="1"/>
  <c r="AQ73" i="46" s="1"/>
  <c r="K52" i="46" a="1"/>
  <c r="K52" i="46" s="1"/>
  <c r="AI52" i="46" s="1"/>
  <c r="AJ75" i="46" s="1"/>
  <c r="I8" i="45" a="1"/>
  <c r="I8" i="45" s="1"/>
  <c r="AN7" i="45" s="1"/>
  <c r="AO60" i="45" s="1"/>
  <c r="N26" i="45" a="1"/>
  <c r="N26" i="45" s="1"/>
  <c r="AS25" i="45" s="1"/>
  <c r="AT66" i="45" s="1"/>
  <c r="N39" i="45" a="1"/>
  <c r="N39" i="45" s="1"/>
  <c r="AE40" i="45" s="1"/>
  <c r="AF71" i="45" s="1"/>
  <c r="J55" i="45" a="1"/>
  <c r="J55" i="45" s="1"/>
  <c r="AH55" i="45" s="1"/>
  <c r="AI76" i="45" s="1"/>
  <c r="H4" i="44" a="1"/>
  <c r="H4" i="44" s="1"/>
  <c r="J22" i="44" a="1"/>
  <c r="J22" i="44" s="1"/>
  <c r="AH22" i="44" s="1"/>
  <c r="AI65" i="44" s="1"/>
  <c r="K44" i="44" a="1"/>
  <c r="K44" i="44" s="1"/>
  <c r="AP43" i="44" s="1"/>
  <c r="AQ72" i="44" s="1"/>
  <c r="M38" i="46" a="1"/>
  <c r="M38" i="46" s="1"/>
  <c r="AR37" i="46" s="1"/>
  <c r="AS70" i="46" s="1"/>
  <c r="N48" i="46" a="1"/>
  <c r="N48" i="46" s="1"/>
  <c r="AE49" i="46" s="1"/>
  <c r="AF74" i="46" s="1"/>
  <c r="J5" i="45" a="1"/>
  <c r="J5" i="45" s="1"/>
  <c r="AO4" i="45" s="1"/>
  <c r="AP59" i="45" s="1"/>
  <c r="H11" i="45" a="1"/>
  <c r="H11" i="45" s="1"/>
  <c r="L39" i="45" a="1"/>
  <c r="L39" i="45" s="1"/>
  <c r="AC40" i="45" s="1"/>
  <c r="AD71" i="45" s="1"/>
  <c r="I40" i="45" a="1"/>
  <c r="I40" i="45" s="1"/>
  <c r="AG40" i="45" s="1"/>
  <c r="AH71" i="45" s="1"/>
  <c r="M5" i="44" a="1"/>
  <c r="M5" i="44" s="1"/>
  <c r="AR4" i="44" s="1"/>
  <c r="AS59" i="44" s="1"/>
  <c r="I23" i="44" a="1"/>
  <c r="I23" i="44" s="1"/>
  <c r="AN22" i="44" s="1"/>
  <c r="AO65" i="44" s="1"/>
  <c r="J54" i="44" a="1"/>
  <c r="J54" i="44" s="1"/>
  <c r="AA55" i="44" s="1"/>
  <c r="AB76" i="44" s="1"/>
  <c r="H41" i="46" a="1"/>
  <c r="H41" i="46" s="1"/>
  <c r="H51" i="46" a="1"/>
  <c r="H51" i="46" s="1"/>
  <c r="L23" i="45" a="1"/>
  <c r="L23" i="45" s="1"/>
  <c r="AQ22" i="45" s="1"/>
  <c r="AR65" i="45" s="1"/>
  <c r="H5" i="45" a="1"/>
  <c r="H5" i="45" s="1"/>
  <c r="J32" i="45" a="1"/>
  <c r="J32" i="45" s="1"/>
  <c r="AO31" i="45" s="1"/>
  <c r="AP68" i="45" s="1"/>
  <c r="H41" i="45" a="1"/>
  <c r="H41" i="45" s="1"/>
  <c r="H46" i="45" a="1"/>
  <c r="H46" i="45" s="1"/>
  <c r="K5" i="44" a="1"/>
  <c r="K5" i="44" s="1"/>
  <c r="AP4" i="44" s="1"/>
  <c r="AQ59" i="44" s="1"/>
  <c r="I26" i="44" a="1"/>
  <c r="I26" i="44" s="1"/>
  <c r="AN25" i="44" s="1"/>
  <c r="AO66" i="44" s="1"/>
  <c r="K28" i="44" a="1"/>
  <c r="K28" i="44" s="1"/>
  <c r="AI28" i="44" s="1"/>
  <c r="AJ67" i="44" s="1"/>
  <c r="L32" i="46" a="1"/>
  <c r="L32" i="46" s="1"/>
  <c r="AQ31" i="46" s="1"/>
  <c r="AR68" i="46" s="1"/>
  <c r="I42" i="46" a="1"/>
  <c r="I42" i="46" s="1"/>
  <c r="Z43" i="46" s="1"/>
  <c r="AA72" i="46" s="1"/>
  <c r="L27" i="47" a="1"/>
  <c r="L27" i="47" s="1"/>
  <c r="AC28" i="47" s="1"/>
  <c r="AD67" i="47" s="1"/>
  <c r="I8" i="47" a="1"/>
  <c r="I8" i="47" s="1"/>
  <c r="AN7" i="47" s="1"/>
  <c r="AO60" i="47" s="1"/>
  <c r="M36" i="47" a="1"/>
  <c r="M36" i="47" s="1"/>
  <c r="AD37" i="47" s="1"/>
  <c r="AE70" i="47" s="1"/>
  <c r="H55" i="47" a="1"/>
  <c r="H55" i="47" s="1"/>
  <c r="J11" i="46" a="1"/>
  <c r="J11" i="46" s="1"/>
  <c r="AO10" i="46" s="1"/>
  <c r="AP61" i="46" s="1"/>
  <c r="M26" i="46" a="1"/>
  <c r="M26" i="46" s="1"/>
  <c r="AR25" i="46" s="1"/>
  <c r="AS66" i="46" s="1"/>
  <c r="K19" i="48" a="1"/>
  <c r="K19" i="48" s="1"/>
  <c r="AL19" i="48" s="1"/>
  <c r="AM64" i="48" s="1"/>
  <c r="J29" i="48" a="1"/>
  <c r="J29" i="48" s="1"/>
  <c r="AR28" i="48" s="1"/>
  <c r="AS67" i="48" s="1"/>
  <c r="N53" i="48" a="1"/>
  <c r="N53" i="48" s="1"/>
  <c r="J19" i="47" a="1"/>
  <c r="J19" i="47" s="1"/>
  <c r="AH19" i="47" s="1"/>
  <c r="AI64" i="47" s="1"/>
  <c r="N18" i="47" a="1"/>
  <c r="N18" i="47" s="1"/>
  <c r="N24" i="47" a="1"/>
  <c r="N24" i="47" s="1"/>
  <c r="AE25" i="47" s="1"/>
  <c r="AF66" i="47" s="1"/>
  <c r="L38" i="47" a="1"/>
  <c r="L38" i="47" s="1"/>
  <c r="AQ37" i="47" s="1"/>
  <c r="AR70" i="47" s="1"/>
  <c r="L4" i="46" a="1"/>
  <c r="L4" i="46" s="1"/>
  <c r="AJ4" i="46" s="1"/>
  <c r="AK59" i="46" s="1"/>
  <c r="J22" i="46" a="1"/>
  <c r="J22" i="46" s="1"/>
  <c r="AH22" i="46" s="1"/>
  <c r="AI65" i="46" s="1"/>
  <c r="I52" i="49" a="1"/>
  <c r="I52" i="49" s="1"/>
  <c r="AG52" i="49" s="1"/>
  <c r="AH75" i="49" s="1"/>
  <c r="N33" i="48" a="1"/>
  <c r="N33" i="48" s="1"/>
  <c r="AH34" i="48" s="1"/>
  <c r="AI69" i="48" s="1"/>
  <c r="I32" i="48" a="1"/>
  <c r="I32" i="48" s="1"/>
  <c r="AQ31" i="48" s="1"/>
  <c r="AR68" i="48" s="1"/>
  <c r="N7" i="47" a="1"/>
  <c r="N7" i="47" s="1"/>
  <c r="AL7" i="47" s="1"/>
  <c r="AM60" i="47" s="1"/>
  <c r="H6" i="47" a="1"/>
  <c r="H6" i="47" s="1"/>
  <c r="M21" i="47" a="1"/>
  <c r="M21" i="47" s="1"/>
  <c r="AD22" i="47" s="1"/>
  <c r="AE65" i="47" s="1"/>
  <c r="H43" i="47" a="1"/>
  <c r="H43" i="47" s="1"/>
  <c r="J23" i="46" a="1"/>
  <c r="J23" i="46" s="1"/>
  <c r="AO22" i="46" s="1"/>
  <c r="AP65" i="46" s="1"/>
  <c r="J10" i="46" a="1"/>
  <c r="J10" i="46" s="1"/>
  <c r="AH10" i="46" s="1"/>
  <c r="AI61" i="46" s="1"/>
  <c r="K30" i="46" a="1"/>
  <c r="K30" i="46" s="1"/>
  <c r="AB31" i="46" s="1"/>
  <c r="AC68" i="46" s="1"/>
  <c r="I6" i="48" a="1"/>
  <c r="I6" i="48" s="1"/>
  <c r="AC7" i="48" s="1"/>
  <c r="AD60" i="48" s="1"/>
  <c r="I23" i="48" a="1"/>
  <c r="I23" i="48" s="1"/>
  <c r="AQ22" i="48" s="1"/>
  <c r="AR65" i="48" s="1"/>
  <c r="J32" i="48" a="1"/>
  <c r="J32" i="48" s="1"/>
  <c r="AR31" i="48" s="1"/>
  <c r="AS68" i="48" s="1"/>
  <c r="H53" i="48" a="1"/>
  <c r="H53" i="48" s="1"/>
  <c r="N22" i="47" a="1"/>
  <c r="N22" i="47" s="1"/>
  <c r="AL22" i="47" s="1"/>
  <c r="AM65" i="47" s="1"/>
  <c r="L40" i="47" a="1"/>
  <c r="L40" i="47" s="1"/>
  <c r="AJ40" i="47" s="1"/>
  <c r="AK71" i="47" s="1"/>
  <c r="K43" i="47" a="1"/>
  <c r="K43" i="47" s="1"/>
  <c r="AI43" i="47" s="1"/>
  <c r="AJ72" i="47" s="1"/>
  <c r="I17" i="46" a="1"/>
  <c r="I17" i="46" s="1"/>
  <c r="AN16" i="46" s="1"/>
  <c r="AO63" i="46" s="1"/>
  <c r="H11" i="46" a="1"/>
  <c r="H11" i="46" s="1"/>
  <c r="N25" i="46" a="1"/>
  <c r="N25" i="46" s="1"/>
  <c r="AL25" i="46" s="1"/>
  <c r="AM66" i="46" s="1"/>
  <c r="L36" i="46" a="1"/>
  <c r="L36" i="46" s="1"/>
  <c r="AC37" i="46" s="1"/>
  <c r="AD70" i="46" s="1"/>
  <c r="K50" i="46" a="1"/>
  <c r="K50" i="46" s="1"/>
  <c r="J19" i="45" a="1"/>
  <c r="J19" i="45" s="1"/>
  <c r="AH19" i="45" s="1"/>
  <c r="AI64" i="45" s="1"/>
  <c r="H24" i="45" a="1"/>
  <c r="H24" i="45" s="1"/>
  <c r="J30" i="45" a="1"/>
  <c r="J30" i="45" s="1"/>
  <c r="AA31" i="45" s="1"/>
  <c r="AB68" i="45" s="1"/>
  <c r="M37" i="45" a="1"/>
  <c r="M37" i="45" s="1"/>
  <c r="AK37" i="45" s="1"/>
  <c r="AL70" i="45" s="1"/>
  <c r="L55" i="45" a="1"/>
  <c r="L55" i="45" s="1"/>
  <c r="AJ55" i="45" s="1"/>
  <c r="AK76" i="45" s="1"/>
  <c r="M14" i="44" a="1"/>
  <c r="M14" i="44" s="1"/>
  <c r="AR13" i="44" s="1"/>
  <c r="AS62" i="44" s="1"/>
  <c r="K21" i="44" a="1"/>
  <c r="K21" i="44" s="1"/>
  <c r="AB22" i="44" s="1"/>
  <c r="AC65" i="44" s="1"/>
  <c r="K29" i="46" a="1"/>
  <c r="K29" i="46" s="1"/>
  <c r="AP28" i="46" s="1"/>
  <c r="AQ67" i="46" s="1"/>
  <c r="I40" i="46" a="1"/>
  <c r="I40" i="46" s="1"/>
  <c r="AG40" i="46" s="1"/>
  <c r="AH71" i="46" s="1"/>
  <c r="I16" i="45" a="1"/>
  <c r="I16" i="45" s="1"/>
  <c r="AG16" i="45" s="1"/>
  <c r="AH63" i="45" s="1"/>
  <c r="I22" i="45" a="1"/>
  <c r="I22" i="45" s="1"/>
  <c r="AG22" i="45" s="1"/>
  <c r="AH65" i="45" s="1"/>
  <c r="N40" i="45" a="1"/>
  <c r="N40" i="45" s="1"/>
  <c r="AL40" i="45" s="1"/>
  <c r="AM71" i="45" s="1"/>
  <c r="I49" i="45" a="1"/>
  <c r="I49" i="45" s="1"/>
  <c r="AG49" i="45" s="1"/>
  <c r="AH74" i="45" s="1"/>
  <c r="H16" i="44" a="1"/>
  <c r="H16" i="44" s="1"/>
  <c r="N5" i="44" a="1"/>
  <c r="N5" i="44" s="1"/>
  <c r="AS4" i="44" s="1"/>
  <c r="AT59" i="44" s="1"/>
  <c r="M25" i="44" a="1"/>
  <c r="M25" i="44" s="1"/>
  <c r="AK25" i="44" s="1"/>
  <c r="AL66" i="44" s="1"/>
  <c r="L41" i="44" a="1"/>
  <c r="L41" i="44" s="1"/>
  <c r="AQ40" i="44" s="1"/>
  <c r="AR71" i="44" s="1"/>
  <c r="M45" i="46" a="1"/>
  <c r="M45" i="46" s="1"/>
  <c r="AD46" i="46" s="1"/>
  <c r="AE73" i="46" s="1"/>
  <c r="K42" i="46" a="1"/>
  <c r="K42" i="46" s="1"/>
  <c r="AB43" i="46" s="1"/>
  <c r="AC72" i="46" s="1"/>
  <c r="I55" i="46" a="1"/>
  <c r="I55" i="46" s="1"/>
  <c r="AG55" i="46" s="1"/>
  <c r="AH76" i="46" s="1"/>
  <c r="I14" i="45" a="1"/>
  <c r="I14" i="45" s="1"/>
  <c r="AN13" i="45" s="1"/>
  <c r="AO62" i="45" s="1"/>
  <c r="N27" i="45" a="1"/>
  <c r="N27" i="45" s="1"/>
  <c r="AE28" i="45" s="1"/>
  <c r="AF67" i="45" s="1"/>
  <c r="M46" i="45" a="1"/>
  <c r="M46" i="45" s="1"/>
  <c r="AK46" i="45" s="1"/>
  <c r="AL73" i="45" s="1"/>
  <c r="I50" i="45" a="1"/>
  <c r="I50" i="45" s="1"/>
  <c r="I15" i="44" a="1"/>
  <c r="I15" i="44" s="1"/>
  <c r="Z16" i="44" s="1"/>
  <c r="AA63" i="44" s="1"/>
  <c r="L33" i="44" a="1"/>
  <c r="L33" i="44" s="1"/>
  <c r="AC34" i="44" s="1"/>
  <c r="AD69" i="44" s="1"/>
  <c r="N27" i="44" a="1"/>
  <c r="N27" i="44" s="1"/>
  <c r="H31" i="46" a="1"/>
  <c r="H31" i="46" s="1"/>
  <c r="J42" i="46" a="1"/>
  <c r="J42" i="46" s="1"/>
  <c r="AA43" i="46" s="1"/>
  <c r="AB72" i="46" s="1"/>
  <c r="N13" i="45" a="1"/>
  <c r="N13" i="45" s="1"/>
  <c r="AL13" i="45" s="1"/>
  <c r="AM62" i="45" s="1"/>
  <c r="J10" i="45" a="1"/>
  <c r="J10" i="45" s="1"/>
  <c r="AH10" i="45" s="1"/>
  <c r="AI61" i="45" s="1"/>
  <c r="J28" i="45" a="1"/>
  <c r="J28" i="45" s="1"/>
  <c r="AH28" i="45" s="1"/>
  <c r="AI67" i="45" s="1"/>
  <c r="I42" i="45" a="1"/>
  <c r="I42" i="45" s="1"/>
  <c r="Z43" i="45" s="1"/>
  <c r="AA72" i="45" s="1"/>
  <c r="J16" i="44" a="1"/>
  <c r="J16" i="44" s="1"/>
  <c r="AH16" i="44" s="1"/>
  <c r="AI63" i="44" s="1"/>
  <c r="K26" i="44" a="1"/>
  <c r="K26" i="44" s="1"/>
  <c r="AP25" i="44" s="1"/>
  <c r="AQ66" i="44" s="1"/>
  <c r="J45" i="44" a="1"/>
  <c r="J45" i="44" s="1"/>
  <c r="AA46" i="44" s="1"/>
  <c r="AB73" i="44" s="1"/>
  <c r="J43" i="44" a="1"/>
  <c r="J43" i="44" s="1"/>
  <c r="AH43" i="44" s="1"/>
  <c r="AI72" i="44" s="1"/>
  <c r="J32" i="46" a="1"/>
  <c r="J32" i="46" s="1"/>
  <c r="AO31" i="46" s="1"/>
  <c r="AP68" i="46" s="1"/>
  <c r="H49" i="46" a="1"/>
  <c r="H49" i="46" s="1"/>
  <c r="J13" i="47" a="1"/>
  <c r="J13" i="47" s="1"/>
  <c r="AH13" i="47" s="1"/>
  <c r="AI62" i="47" s="1"/>
  <c r="J36" i="47" a="1"/>
  <c r="J36" i="47" s="1"/>
  <c r="AA37" i="47" s="1"/>
  <c r="AB70" i="47" s="1"/>
  <c r="N41" i="47" a="1"/>
  <c r="N41" i="47" s="1"/>
  <c r="AS40" i="47" s="1"/>
  <c r="AT71" i="47" s="1"/>
  <c r="I53" i="47" a="1"/>
  <c r="I53" i="47" s="1"/>
  <c r="H22" i="46" a="1"/>
  <c r="H22" i="46" s="1"/>
  <c r="L34" i="46" a="1"/>
  <c r="L34" i="46" s="1"/>
  <c r="AJ34" i="46" s="1"/>
  <c r="AK69" i="46" s="1"/>
  <c r="I5" i="48" a="1"/>
  <c r="I5" i="48" s="1"/>
  <c r="AQ4" i="48" s="1"/>
  <c r="AR59" i="48" s="1"/>
  <c r="J22" i="48" a="1"/>
  <c r="J22" i="48" s="1"/>
  <c r="AK22" i="48" s="1"/>
  <c r="AL65" i="48" s="1"/>
  <c r="L56" i="48" a="1"/>
  <c r="L56" i="48" s="1"/>
  <c r="H27" i="47" a="1"/>
  <c r="H27" i="47" s="1"/>
  <c r="N8" i="47" a="1"/>
  <c r="N8" i="47" s="1"/>
  <c r="AS7" i="47" s="1"/>
  <c r="AT60" i="47" s="1"/>
  <c r="K41" i="47" a="1"/>
  <c r="K41" i="47" s="1"/>
  <c r="AP40" i="47" s="1"/>
  <c r="AQ71" i="47" s="1"/>
  <c r="N48" i="47" a="1"/>
  <c r="N48" i="47" s="1"/>
  <c r="AE49" i="47" s="1"/>
  <c r="AF74" i="47" s="1"/>
  <c r="J14" i="46" a="1"/>
  <c r="J14" i="46" s="1"/>
  <c r="AO13" i="46" s="1"/>
  <c r="AP62" i="46" s="1"/>
  <c r="I10" i="46" a="1"/>
  <c r="I10" i="46" s="1"/>
  <c r="AG10" i="46" s="1"/>
  <c r="AH61" i="46" s="1"/>
  <c r="L11" i="48" a="1"/>
  <c r="L11" i="48" s="1"/>
  <c r="AT10" i="48" s="1"/>
  <c r="AU61" i="48" s="1"/>
  <c r="N40" i="48" a="1"/>
  <c r="N40" i="48" s="1"/>
  <c r="AO40" i="48" s="1"/>
  <c r="AP71" i="48" s="1"/>
  <c r="M42" i="48" a="1"/>
  <c r="M42" i="48" s="1"/>
  <c r="AG43" i="48" s="1"/>
  <c r="AH72" i="48" s="1"/>
  <c r="L21" i="47" a="1"/>
  <c r="L21" i="47" s="1"/>
  <c r="AC22" i="47" s="1"/>
  <c r="AD65" i="47" s="1"/>
  <c r="N16" i="47" a="1"/>
  <c r="N16" i="47" s="1"/>
  <c r="AL16" i="47" s="1"/>
  <c r="AM63" i="47" s="1"/>
  <c r="L25" i="47" a="1"/>
  <c r="L25" i="47" s="1"/>
  <c r="AJ25" i="47" s="1"/>
  <c r="AK66" i="47" s="1"/>
  <c r="M49" i="47" a="1"/>
  <c r="M49" i="47" s="1"/>
  <c r="AK49" i="47" s="1"/>
  <c r="AL74" i="47" s="1"/>
  <c r="H24" i="46" a="1"/>
  <c r="H24" i="46" s="1"/>
  <c r="J16" i="46" a="1"/>
  <c r="J16" i="46" s="1"/>
  <c r="AH16" i="46" s="1"/>
  <c r="AI63" i="46" s="1"/>
  <c r="H25" i="46" a="1"/>
  <c r="H25" i="46" s="1"/>
  <c r="I12" i="48" a="1"/>
  <c r="I12" i="48" s="1"/>
  <c r="AC13" i="48" s="1"/>
  <c r="AD62" i="48" s="1"/>
  <c r="M17" i="48" a="1"/>
  <c r="M17" i="48" s="1"/>
  <c r="AU16" i="48" s="1"/>
  <c r="AV63" i="48" s="1"/>
  <c r="J39" i="48" a="1"/>
  <c r="J39" i="48" s="1"/>
  <c r="AD40" i="48" s="1"/>
  <c r="AE71" i="48" s="1"/>
  <c r="I53" i="48" a="1"/>
  <c r="I53" i="48" s="1"/>
  <c r="L6" i="47" a="1"/>
  <c r="L6" i="47" s="1"/>
  <c r="AC7" i="47" s="1"/>
  <c r="AD60" i="47" s="1"/>
  <c r="N25" i="47" a="1"/>
  <c r="N25" i="47" s="1"/>
  <c r="AL25" i="47" s="1"/>
  <c r="AM66" i="47" s="1"/>
  <c r="K51" i="47" a="1"/>
  <c r="K51" i="47" s="1"/>
  <c r="L24" i="46" a="1"/>
  <c r="L24" i="46" s="1"/>
  <c r="AC25" i="46" s="1"/>
  <c r="AD66" i="46" s="1"/>
  <c r="H17" i="46" a="1"/>
  <c r="H17" i="46" s="1"/>
  <c r="I37" i="46" a="1"/>
  <c r="I37" i="46" s="1"/>
  <c r="AG37" i="46" s="1"/>
  <c r="AH70" i="46" s="1"/>
  <c r="K35" i="46" a="1"/>
  <c r="K35" i="46" s="1"/>
  <c r="AP34" i="46" s="1"/>
  <c r="AQ69" i="46" s="1"/>
  <c r="H48" i="46" a="1"/>
  <c r="H48" i="46" s="1"/>
  <c r="K4" i="45" a="1"/>
  <c r="K4" i="45" s="1"/>
  <c r="AI4" i="45" s="1"/>
  <c r="AJ59" i="45" s="1"/>
  <c r="K10" i="45" a="1"/>
  <c r="K10" i="45" s="1"/>
  <c r="AI10" i="45" s="1"/>
  <c r="AJ61" i="45" s="1"/>
  <c r="K29" i="45" a="1"/>
  <c r="K29" i="45" s="1"/>
  <c r="AP28" i="45" s="1"/>
  <c r="AQ67" i="45" s="1"/>
  <c r="M48" i="45" a="1"/>
  <c r="M48" i="45" s="1"/>
  <c r="AD49" i="45" s="1"/>
  <c r="AE74" i="45" s="1"/>
  <c r="L51" i="45" a="1"/>
  <c r="L51" i="45" s="1"/>
  <c r="I17" i="44" a="1"/>
  <c r="I17" i="44" s="1"/>
  <c r="AN16" i="44" s="1"/>
  <c r="AO63" i="44" s="1"/>
  <c r="M33" i="44" a="1"/>
  <c r="M33" i="44" s="1"/>
  <c r="AD34" i="44" s="1"/>
  <c r="AE69" i="44" s="1"/>
  <c r="J36" i="46" a="1"/>
  <c r="J36" i="46" s="1"/>
  <c r="AA37" i="46" s="1"/>
  <c r="AB70" i="46" s="1"/>
  <c r="I49" i="46" a="1"/>
  <c r="I49" i="46" s="1"/>
  <c r="AG49" i="46" s="1"/>
  <c r="AH74" i="46" s="1"/>
  <c r="L5" i="45" a="1"/>
  <c r="L5" i="45" s="1"/>
  <c r="AQ4" i="45" s="1"/>
  <c r="AR59" i="45" s="1"/>
  <c r="H26" i="45" a="1"/>
  <c r="H26" i="45" s="1"/>
  <c r="K34" i="45" a="1"/>
  <c r="K34" i="45" s="1"/>
  <c r="AI34" i="45" s="1"/>
  <c r="AJ69" i="45" s="1"/>
  <c r="H36" i="45" a="1"/>
  <c r="H36" i="45" s="1"/>
  <c r="M20" i="44" a="1"/>
  <c r="M20" i="44" s="1"/>
  <c r="AR19" i="44" s="1"/>
  <c r="AS64" i="44" s="1"/>
  <c r="I19" i="44" a="1"/>
  <c r="I19" i="44" s="1"/>
  <c r="AG19" i="44" s="1"/>
  <c r="AH64" i="44" s="1"/>
  <c r="H24" i="44" a="1"/>
  <c r="H24" i="44" s="1"/>
  <c r="L40" i="44" a="1"/>
  <c r="L40" i="44" s="1"/>
  <c r="AJ40" i="44" s="1"/>
  <c r="AK71" i="44" s="1"/>
  <c r="N39" i="46" a="1"/>
  <c r="N39" i="46" s="1"/>
  <c r="AE40" i="46" s="1"/>
  <c r="AF71" i="46" s="1"/>
  <c r="M51" i="46" a="1"/>
  <c r="M51" i="46" s="1"/>
  <c r="J35" i="45" a="1"/>
  <c r="J35" i="45" s="1"/>
  <c r="AO34" i="45" s="1"/>
  <c r="AP69" i="45" s="1"/>
  <c r="I19" i="45" a="1"/>
  <c r="I19" i="45" s="1"/>
  <c r="AG19" i="45" s="1"/>
  <c r="AH64" i="45" s="1"/>
  <c r="J21" i="45" a="1"/>
  <c r="J21" i="45" s="1"/>
  <c r="AA22" i="45" s="1"/>
  <c r="AB65" i="45" s="1"/>
  <c r="H45" i="45" a="1"/>
  <c r="H45" i="45" s="1"/>
  <c r="M56" i="45" a="1"/>
  <c r="M56" i="45" s="1"/>
  <c r="N28" i="44" a="1"/>
  <c r="N28" i="44" s="1"/>
  <c r="AL28" i="44" s="1"/>
  <c r="AM67" i="44" s="1"/>
  <c r="K35" i="44" a="1"/>
  <c r="K35" i="44" s="1"/>
  <c r="AP34" i="44" s="1"/>
  <c r="AQ69" i="44" s="1"/>
  <c r="H41" i="44" a="1"/>
  <c r="H41" i="44" s="1"/>
  <c r="J37" i="46" a="1"/>
  <c r="J37" i="46" s="1"/>
  <c r="AH37" i="46" s="1"/>
  <c r="AI70" i="46" s="1"/>
  <c r="H56" i="46" a="1"/>
  <c r="H56" i="46" s="1"/>
  <c r="J4" i="45" a="1"/>
  <c r="J4" i="45" s="1"/>
  <c r="AH4" i="45" s="1"/>
  <c r="AI59" i="45" s="1"/>
  <c r="H22" i="45" a="1"/>
  <c r="H22" i="45" s="1"/>
  <c r="M39" i="45" a="1"/>
  <c r="M39" i="45" s="1"/>
  <c r="AD40" i="45" s="1"/>
  <c r="AE71" i="45" s="1"/>
  <c r="I43" i="45" a="1"/>
  <c r="I43" i="45" s="1"/>
  <c r="AG43" i="45" s="1"/>
  <c r="AH72" i="45" s="1"/>
  <c r="K20" i="44" a="1"/>
  <c r="K20" i="44" s="1"/>
  <c r="AP19" i="44" s="1"/>
  <c r="AQ64" i="44" s="1"/>
  <c r="H27" i="44" a="1"/>
  <c r="H27" i="44" s="1"/>
  <c r="M43" i="44" a="1"/>
  <c r="M43" i="44" s="1"/>
  <c r="AK43" i="44" s="1"/>
  <c r="AL72" i="44" s="1"/>
  <c r="J49" i="44" a="1"/>
  <c r="J49" i="44" s="1"/>
  <c r="AH49" i="44" s="1"/>
  <c r="AI74" i="44" s="1"/>
  <c r="L38" i="46" a="1"/>
  <c r="L38" i="46" s="1"/>
  <c r="AQ37" i="46" s="1"/>
  <c r="AR70" i="46" s="1"/>
  <c r="H46" i="46" a="1"/>
  <c r="H46" i="46" s="1"/>
  <c r="H15" i="45" a="1"/>
  <c r="H15" i="45" s="1"/>
  <c r="M11" i="45" a="1"/>
  <c r="M11" i="45" s="1"/>
  <c r="AR10" i="45" s="1"/>
  <c r="AS61" i="45" s="1"/>
  <c r="L41" i="48" a="1"/>
  <c r="L41" i="48" s="1"/>
  <c r="AT40" i="48" s="1"/>
  <c r="AU71" i="48" s="1"/>
  <c r="K13" i="47" a="1"/>
  <c r="K13" i="47" s="1"/>
  <c r="AI13" i="47" s="1"/>
  <c r="AJ62" i="47" s="1"/>
  <c r="M35" i="47" a="1"/>
  <c r="M35" i="47" s="1"/>
  <c r="AR34" i="47" s="1"/>
  <c r="AS69" i="47" s="1"/>
  <c r="L34" i="47" a="1"/>
  <c r="L34" i="47" s="1"/>
  <c r="AJ34" i="47" s="1"/>
  <c r="AK69" i="47" s="1"/>
  <c r="N3" i="46" a="1"/>
  <c r="N3" i="46" s="1"/>
  <c r="AE4" i="46" s="1"/>
  <c r="AF59" i="46" s="1"/>
  <c r="K9" i="46" a="1"/>
  <c r="K9" i="46" s="1"/>
  <c r="AB10" i="46" s="1"/>
  <c r="AC61" i="46" s="1"/>
  <c r="H28" i="46" a="1"/>
  <c r="H28" i="46" s="1"/>
  <c r="N19" i="48" a="1"/>
  <c r="N19" i="48" s="1"/>
  <c r="AO19" i="48" s="1"/>
  <c r="AP64" i="48" s="1"/>
  <c r="J36" i="48" a="1"/>
  <c r="J36" i="48" s="1"/>
  <c r="AD37" i="48" s="1"/>
  <c r="AE70" i="48" s="1"/>
  <c r="M56" i="48" a="1"/>
  <c r="M56" i="48" s="1"/>
  <c r="N14" i="47" a="1"/>
  <c r="N14" i="47" s="1"/>
  <c r="AS13" i="47" s="1"/>
  <c r="AT62" i="47" s="1"/>
  <c r="K24" i="47" a="1"/>
  <c r="K24" i="47" s="1"/>
  <c r="AB25" i="47" s="1"/>
  <c r="AC66" i="47" s="1"/>
  <c r="M29" i="47" a="1"/>
  <c r="M29" i="47" s="1"/>
  <c r="AR28" i="47" s="1"/>
  <c r="AS67" i="47" s="1"/>
  <c r="I52" i="47" a="1"/>
  <c r="I52" i="47" s="1"/>
  <c r="AG52" i="47" s="1"/>
  <c r="AH75" i="47" s="1"/>
  <c r="N23" i="46" a="1"/>
  <c r="N23" i="46" s="1"/>
  <c r="AS22" i="46" s="1"/>
  <c r="AT65" i="46" s="1"/>
  <c r="K23" i="46" a="1"/>
  <c r="K23" i="46" s="1"/>
  <c r="AP22" i="46" s="1"/>
  <c r="AQ65" i="46" s="1"/>
  <c r="K14" i="48" a="1"/>
  <c r="K14" i="48" s="1"/>
  <c r="AS13" i="48" s="1"/>
  <c r="AT62" i="48" s="1"/>
  <c r="N34" i="48" a="1"/>
  <c r="N34" i="48" s="1"/>
  <c r="AO34" i="48" s="1"/>
  <c r="AP69" i="48" s="1"/>
  <c r="H25" i="48" a="1"/>
  <c r="H25" i="48" s="1"/>
  <c r="K11" i="47" a="1"/>
  <c r="K11" i="47" s="1"/>
  <c r="AP10" i="47" s="1"/>
  <c r="AQ61" i="47" s="1"/>
  <c r="N19" i="47" a="1"/>
  <c r="N19" i="47" s="1"/>
  <c r="AL19" i="47" s="1"/>
  <c r="AM64" i="47" s="1"/>
  <c r="N47" i="47" a="1"/>
  <c r="N47" i="47" s="1"/>
  <c r="AS46" i="47" s="1"/>
  <c r="AT73" i="47" s="1"/>
  <c r="I41" i="47" a="1"/>
  <c r="I41" i="47" s="1"/>
  <c r="AN40" i="47" s="1"/>
  <c r="AO71" i="47" s="1"/>
  <c r="M21" i="46" a="1"/>
  <c r="M21" i="46" s="1"/>
  <c r="AD22" i="46" s="1"/>
  <c r="AE65" i="46" s="1"/>
  <c r="H18" i="46" a="1"/>
  <c r="H18" i="46" s="1"/>
  <c r="J29" i="46" a="1"/>
  <c r="J29" i="46" s="1"/>
  <c r="AO28" i="46" s="1"/>
  <c r="AP67" i="46" s="1"/>
  <c r="M20" i="48" a="1"/>
  <c r="M20" i="48" s="1"/>
  <c r="AU19" i="48" s="1"/>
  <c r="AV64" i="48" s="1"/>
  <c r="M36" i="48" a="1"/>
  <c r="M36" i="48" s="1"/>
  <c r="AG37" i="48" s="1"/>
  <c r="AH70" i="48" s="1"/>
  <c r="J27" i="48" a="1"/>
  <c r="J27" i="48" s="1"/>
  <c r="AD28" i="48" s="1"/>
  <c r="AE67" i="48" s="1"/>
  <c r="K23" i="47" a="1"/>
  <c r="K23" i="47" s="1"/>
  <c r="AP22" i="47" s="1"/>
  <c r="AQ65" i="47" s="1"/>
  <c r="J16" i="47" a="1"/>
  <c r="J16" i="47" s="1"/>
  <c r="AH16" i="47" s="1"/>
  <c r="AI63" i="47" s="1"/>
  <c r="N35" i="47" a="1"/>
  <c r="N35" i="47" s="1"/>
  <c r="AS34" i="47" s="1"/>
  <c r="AT69" i="47" s="1"/>
  <c r="L43" i="47" a="1"/>
  <c r="L43" i="47" s="1"/>
  <c r="AJ43" i="47" s="1"/>
  <c r="AK72" i="47" s="1"/>
  <c r="L8" i="46" a="1"/>
  <c r="L8" i="46" s="1"/>
  <c r="AQ7" i="46" s="1"/>
  <c r="AR60" i="46" s="1"/>
  <c r="L18" i="46" a="1"/>
  <c r="L18" i="46" s="1"/>
  <c r="AC19" i="46" s="1"/>
  <c r="AD64" i="46" s="1"/>
  <c r="M32" i="46" a="1"/>
  <c r="M32" i="46" s="1"/>
  <c r="AR31" i="46" s="1"/>
  <c r="AS68" i="46" s="1"/>
  <c r="N34" i="46" a="1"/>
  <c r="N34" i="46" s="1"/>
  <c r="AL34" i="46" s="1"/>
  <c r="AM69" i="46" s="1"/>
  <c r="L46" i="46" a="1"/>
  <c r="L46" i="46" s="1"/>
  <c r="AJ46" i="46" s="1"/>
  <c r="AK73" i="46" s="1"/>
  <c r="I15" i="45" a="1"/>
  <c r="I15" i="45" s="1"/>
  <c r="Z16" i="45" s="1"/>
  <c r="AA63" i="45" s="1"/>
  <c r="I26" i="45" a="1"/>
  <c r="I26" i="45" s="1"/>
  <c r="AN25" i="45" s="1"/>
  <c r="AO66" i="45" s="1"/>
  <c r="H34" i="45" a="1"/>
  <c r="H34" i="45" s="1"/>
  <c r="I45" i="45" a="1"/>
  <c r="I45" i="45" s="1"/>
  <c r="Z46" i="45" s="1"/>
  <c r="AA73" i="45" s="1"/>
  <c r="L3" i="44" a="1"/>
  <c r="L3" i="44" s="1"/>
  <c r="AC4" i="44" s="1"/>
  <c r="AD59" i="44" s="1"/>
  <c r="J11" i="44" a="1"/>
  <c r="J11" i="44" s="1"/>
  <c r="AO10" i="44" s="1"/>
  <c r="AP61" i="44" s="1"/>
  <c r="M35" i="44" a="1"/>
  <c r="M35" i="44" s="1"/>
  <c r="AR34" i="44" s="1"/>
  <c r="AS69" i="44" s="1"/>
  <c r="K36" i="46" a="1"/>
  <c r="K36" i="46" s="1"/>
  <c r="AB37" i="46" s="1"/>
  <c r="AC70" i="46" s="1"/>
  <c r="I48" i="46" a="1"/>
  <c r="I48" i="46" s="1"/>
  <c r="Z49" i="46" s="1"/>
  <c r="AA74" i="46" s="1"/>
  <c r="I13" i="45" a="1"/>
  <c r="I13" i="45" s="1"/>
  <c r="AG13" i="45" s="1"/>
  <c r="AH62" i="45" s="1"/>
  <c r="K27" i="45" a="1"/>
  <c r="K27" i="45" s="1"/>
  <c r="AB28" i="45" s="1"/>
  <c r="AC67" i="45" s="1"/>
  <c r="J18" i="45" a="1"/>
  <c r="J18" i="45" s="1"/>
  <c r="AA19" i="45" s="1"/>
  <c r="AB64" i="45" s="1"/>
  <c r="I47" i="45" a="1"/>
  <c r="I47" i="45" s="1"/>
  <c r="AN46" i="45" s="1"/>
  <c r="AO73" i="45" s="1"/>
  <c r="K10" i="44" a="1"/>
  <c r="K10" i="44" s="1"/>
  <c r="AI10" i="44" s="1"/>
  <c r="AJ61" i="44" s="1"/>
  <c r="J30" i="44" a="1"/>
  <c r="J30" i="44" s="1"/>
  <c r="AA31" i="44" s="1"/>
  <c r="AB68" i="44" s="1"/>
  <c r="J21" i="44" a="1"/>
  <c r="J21" i="44" s="1"/>
  <c r="AA22" i="44" s="1"/>
  <c r="AB65" i="44" s="1"/>
  <c r="N47" i="44" a="1"/>
  <c r="N47" i="44" s="1"/>
  <c r="AS46" i="44" s="1"/>
  <c r="AT73" i="44" s="1"/>
  <c r="I29" i="46" a="1"/>
  <c r="I29" i="46" s="1"/>
  <c r="AN28" i="46" s="1"/>
  <c r="AO67" i="46" s="1"/>
  <c r="K41" i="46" a="1"/>
  <c r="K41" i="46" s="1"/>
  <c r="AP40" i="46" s="1"/>
  <c r="AQ71" i="46" s="1"/>
  <c r="N5" i="45" a="1"/>
  <c r="N5" i="45" s="1"/>
  <c r="AS4" i="45" s="1"/>
  <c r="AT59" i="45" s="1"/>
  <c r="J7" i="45" a="1"/>
  <c r="J7" i="45" s="1"/>
  <c r="AH7" i="45" s="1"/>
  <c r="AI60" i="45" s="1"/>
  <c r="L36" i="45" a="1"/>
  <c r="L36" i="45" s="1"/>
  <c r="AC37" i="45" s="1"/>
  <c r="AD70" i="45" s="1"/>
  <c r="I31" i="45" a="1"/>
  <c r="I31" i="45" s="1"/>
  <c r="AG31" i="45" s="1"/>
  <c r="AH68" i="45" s="1"/>
  <c r="M53" i="45" a="1"/>
  <c r="M53" i="45" s="1"/>
  <c r="J5" i="44" a="1"/>
  <c r="J5" i="44" s="1"/>
  <c r="AO4" i="44" s="1"/>
  <c r="AP59" i="44" s="1"/>
  <c r="N12" i="44" a="1"/>
  <c r="N12" i="44" s="1"/>
  <c r="AE13" i="44" s="1"/>
  <c r="AF62" i="44" s="1"/>
  <c r="M48" i="44" a="1"/>
  <c r="M48" i="44" s="1"/>
  <c r="AD49" i="44" s="1"/>
  <c r="AE74" i="44" s="1"/>
  <c r="N38" i="46" a="1"/>
  <c r="N38" i="46" s="1"/>
  <c r="AS37" i="46" s="1"/>
  <c r="AT70" i="46" s="1"/>
  <c r="M56" i="46" a="1"/>
  <c r="M56" i="46" s="1"/>
  <c r="K8" i="45" a="1"/>
  <c r="K8" i="45" s="1"/>
  <c r="AP7" i="45" s="1"/>
  <c r="AQ60" i="45" s="1"/>
  <c r="M26" i="45" a="1"/>
  <c r="M26" i="45" s="1"/>
  <c r="AR25" i="45" s="1"/>
  <c r="AS66" i="45" s="1"/>
  <c r="M29" i="45" a="1"/>
  <c r="M29" i="45" s="1"/>
  <c r="AR28" i="45" s="1"/>
  <c r="AS67" i="45" s="1"/>
  <c r="N48" i="45" a="1"/>
  <c r="N48" i="45" s="1"/>
  <c r="AE49" i="45" s="1"/>
  <c r="AF74" i="45" s="1"/>
  <c r="K13" i="44" a="1"/>
  <c r="K13" i="44" s="1"/>
  <c r="AI13" i="44" s="1"/>
  <c r="AJ62" i="44" s="1"/>
  <c r="K32" i="44" a="1"/>
  <c r="K32" i="44" s="1"/>
  <c r="AP31" i="44" s="1"/>
  <c r="AQ68" i="44" s="1"/>
  <c r="L37" i="44" a="1"/>
  <c r="L37" i="44" s="1"/>
  <c r="AJ37" i="44" s="1"/>
  <c r="AK70" i="44" s="1"/>
  <c r="N50" i="44" a="1"/>
  <c r="N50" i="44" s="1"/>
  <c r="K37" i="46" a="1"/>
  <c r="K37" i="46" s="1"/>
  <c r="AI37" i="46" s="1"/>
  <c r="AJ70" i="46" s="1"/>
  <c r="L56" i="46" a="1"/>
  <c r="L56" i="46" s="1"/>
  <c r="N8" i="45" a="1"/>
  <c r="N8" i="45" s="1"/>
  <c r="AS7" i="45" s="1"/>
  <c r="AT60" i="45" s="1"/>
  <c r="J26" i="45" a="1"/>
  <c r="J26" i="45" s="1"/>
  <c r="AO25" i="45" s="1"/>
  <c r="AP66" i="45" s="1"/>
  <c r="N29" i="45" a="1"/>
  <c r="N29" i="45" s="1"/>
  <c r="AS28" i="45" s="1"/>
  <c r="AT67" i="45" s="1"/>
  <c r="I35" i="45" a="1"/>
  <c r="I35" i="45" s="1"/>
  <c r="AN34" i="45" s="1"/>
  <c r="AO69" i="45" s="1"/>
  <c r="I54" i="45" a="1"/>
  <c r="I54" i="45" s="1"/>
  <c r="Z55" i="45" s="1"/>
  <c r="AA76" i="45" s="1"/>
  <c r="K17" i="44" a="1"/>
  <c r="K17" i="44" s="1"/>
  <c r="AP16" i="44" s="1"/>
  <c r="AQ63" i="44" s="1"/>
  <c r="M34" i="44" a="1"/>
  <c r="M34" i="44" s="1"/>
  <c r="AK34" i="44" s="1"/>
  <c r="AL69" i="44" s="1"/>
  <c r="I18" i="46" a="1"/>
  <c r="I18" i="46" s="1"/>
  <c r="Z19" i="46" s="1"/>
  <c r="AA64" i="46" s="1"/>
  <c r="N48" i="48" a="1"/>
  <c r="N48" i="48" s="1"/>
  <c r="AH49" i="48" s="1"/>
  <c r="AI74" i="48" s="1"/>
  <c r="I4" i="47" a="1"/>
  <c r="I4" i="47" s="1"/>
  <c r="AG4" i="47" s="1"/>
  <c r="AH59" i="47" s="1"/>
  <c r="M20" i="47" a="1"/>
  <c r="M20" i="47" s="1"/>
  <c r="AR19" i="47" s="1"/>
  <c r="AS64" i="47" s="1"/>
  <c r="M44" i="47" a="1"/>
  <c r="M44" i="47" s="1"/>
  <c r="AR43" i="47" s="1"/>
  <c r="AS72" i="47" s="1"/>
  <c r="I11" i="46" a="1"/>
  <c r="I11" i="46" s="1"/>
  <c r="AN10" i="46" s="1"/>
  <c r="AO61" i="46" s="1"/>
  <c r="M22" i="46" a="1"/>
  <c r="M22" i="46" s="1"/>
  <c r="AK22" i="46" s="1"/>
  <c r="AL65" i="46" s="1"/>
  <c r="J3" i="48" a="1"/>
  <c r="J3" i="48" s="1"/>
  <c r="AD4" i="48" s="1"/>
  <c r="AE59" i="48" s="1"/>
  <c r="L26" i="48" a="1"/>
  <c r="L26" i="48" s="1"/>
  <c r="AT25" i="48" s="1"/>
  <c r="AU66" i="48" s="1"/>
  <c r="I42" i="48" a="1"/>
  <c r="I42" i="48" s="1"/>
  <c r="AC43" i="48" s="1"/>
  <c r="AD72" i="48" s="1"/>
  <c r="H51" i="48" a="1"/>
  <c r="H51" i="48" s="1"/>
  <c r="J18" i="47" a="1"/>
  <c r="J18" i="47" s="1"/>
  <c r="AA19" i="47" s="1"/>
  <c r="AB64" i="47" s="1"/>
  <c r="N39" i="47" a="1"/>
  <c r="N39" i="47" s="1"/>
  <c r="AE40" i="47" s="1"/>
  <c r="AF71" i="47" s="1"/>
  <c r="L39" i="47" a="1"/>
  <c r="L39" i="47" s="1"/>
  <c r="AC40" i="47" s="1"/>
  <c r="AD71" i="47" s="1"/>
  <c r="K53" i="47" a="1"/>
  <c r="K53" i="47" s="1"/>
  <c r="M24" i="46" a="1"/>
  <c r="M24" i="46" s="1"/>
  <c r="AD25" i="46" s="1"/>
  <c r="AE66" i="46" s="1"/>
  <c r="N16" i="46" a="1"/>
  <c r="N16" i="46" s="1"/>
  <c r="AL16" i="46" s="1"/>
  <c r="AM63" i="46" s="1"/>
  <c r="L9" i="48" a="1"/>
  <c r="L9" i="48" s="1"/>
  <c r="AF10" i="48" s="1"/>
  <c r="AG61" i="48" s="1"/>
  <c r="H23" i="48" a="1"/>
  <c r="H23" i="48" s="1"/>
  <c r="N52" i="48" a="1"/>
  <c r="N52" i="48" s="1"/>
  <c r="AO52" i="48" s="1"/>
  <c r="AP75" i="48" s="1"/>
  <c r="K20" i="47" a="1"/>
  <c r="K20" i="47" s="1"/>
  <c r="AP19" i="47" s="1"/>
  <c r="AQ64" i="47" s="1"/>
  <c r="I30" i="47" a="1"/>
  <c r="I30" i="47" s="1"/>
  <c r="Z31" i="47" s="1"/>
  <c r="AA68" i="47" s="1"/>
  <c r="I31" i="47" a="1"/>
  <c r="I31" i="47" s="1"/>
  <c r="AG31" i="47" s="1"/>
  <c r="AH68" i="47" s="1"/>
  <c r="K48" i="47" a="1"/>
  <c r="K48" i="47" s="1"/>
  <c r="AB49" i="47" s="1"/>
  <c r="AC74" i="47" s="1"/>
  <c r="J15" i="46" a="1"/>
  <c r="J15" i="46" s="1"/>
  <c r="AA16" i="46" s="1"/>
  <c r="AB63" i="46" s="1"/>
  <c r="L37" i="46" a="1"/>
  <c r="L37" i="46" s="1"/>
  <c r="AJ37" i="46" s="1"/>
  <c r="AK70" i="46" s="1"/>
  <c r="J35" i="46" a="1"/>
  <c r="J35" i="46" s="1"/>
  <c r="AO34" i="46" s="1"/>
  <c r="AP69" i="46" s="1"/>
  <c r="J33" i="48" a="1"/>
  <c r="J33" i="48" s="1"/>
  <c r="AD34" i="48" s="1"/>
  <c r="AE69" i="48" s="1"/>
  <c r="M40" i="48" a="1"/>
  <c r="M40" i="48" s="1"/>
  <c r="AN40" i="48" s="1"/>
  <c r="AO71" i="48" s="1"/>
  <c r="K49" i="48" a="1"/>
  <c r="K49" i="48" s="1"/>
  <c r="AL49" i="48" s="1"/>
  <c r="AM74" i="48" s="1"/>
  <c r="N6" i="47" a="1"/>
  <c r="N6" i="47" s="1"/>
  <c r="AE7" i="47" s="1"/>
  <c r="AF60" i="47" s="1"/>
  <c r="N30" i="47" a="1"/>
  <c r="N30" i="47" s="1"/>
  <c r="AE31" i="47" s="1"/>
  <c r="AF68" i="47" s="1"/>
  <c r="N26" i="47" a="1"/>
  <c r="N26" i="47" s="1"/>
  <c r="AS25" i="47" s="1"/>
  <c r="AT66" i="47" s="1"/>
  <c r="K54" i="47" a="1"/>
  <c r="K54" i="47" s="1"/>
  <c r="AB55" i="47" s="1"/>
  <c r="AC76" i="47" s="1"/>
  <c r="L17" i="46" a="1"/>
  <c r="L17" i="46" s="1"/>
  <c r="AQ16" i="46" s="1"/>
  <c r="AR63" i="46" s="1"/>
  <c r="M30" i="46" a="1"/>
  <c r="M30" i="46" s="1"/>
  <c r="AD31" i="46" s="1"/>
  <c r="AE68" i="46" s="1"/>
  <c r="H35" i="46" a="1"/>
  <c r="H35" i="46" s="1"/>
  <c r="I36" i="46" a="1"/>
  <c r="I36" i="46" s="1"/>
  <c r="Z37" i="46" s="1"/>
  <c r="AA70" i="46" s="1"/>
  <c r="I52" i="46" a="1"/>
  <c r="I52" i="46" s="1"/>
  <c r="AG52" i="46" s="1"/>
  <c r="AH75" i="46" s="1"/>
  <c r="H12" i="45" a="1"/>
  <c r="H12" i="45" s="1"/>
  <c r="M24" i="45" a="1"/>
  <c r="M24" i="45" s="1"/>
  <c r="AD25" i="45" s="1"/>
  <c r="AE66" i="45" s="1"/>
  <c r="N18" i="45" a="1"/>
  <c r="N18" i="45" s="1"/>
  <c r="I27" i="45" a="1"/>
  <c r="I27" i="45" s="1"/>
  <c r="Z28" i="45" s="1"/>
  <c r="AA67" i="45" s="1"/>
  <c r="M16" i="44" a="1"/>
  <c r="M16" i="44" s="1"/>
  <c r="AK16" i="44" s="1"/>
  <c r="AL63" i="44" s="1"/>
  <c r="N15" i="44" a="1"/>
  <c r="N15" i="44" s="1"/>
  <c r="AE16" i="44" s="1"/>
  <c r="AF63" i="44" s="1"/>
  <c r="H19" i="44" a="1"/>
  <c r="H19" i="44" s="1"/>
  <c r="J34" i="46" a="1"/>
  <c r="J34" i="46" s="1"/>
  <c r="AH34" i="46" s="1"/>
  <c r="AI69" i="46" s="1"/>
  <c r="M52" i="46" a="1"/>
  <c r="M52" i="46" s="1"/>
  <c r="AK52" i="46" s="1"/>
  <c r="AL75" i="46" s="1"/>
  <c r="N19" i="45" a="1"/>
  <c r="N19" i="45" s="1"/>
  <c r="AL19" i="45" s="1"/>
  <c r="AM64" i="45" s="1"/>
  <c r="K36" i="45" a="1"/>
  <c r="K36" i="45" s="1"/>
  <c r="AB37" i="45" s="1"/>
  <c r="AC70" i="45" s="1"/>
  <c r="J25" i="45" a="1"/>
  <c r="J25" i="45" s="1"/>
  <c r="AH25" i="45" s="1"/>
  <c r="AI66" i="45" s="1"/>
  <c r="N53" i="45" a="1"/>
  <c r="N53" i="45" s="1"/>
  <c r="N9" i="44" a="1"/>
  <c r="N9" i="44" s="1"/>
  <c r="M23" i="44" a="1"/>
  <c r="M23" i="44" s="1"/>
  <c r="AR22" i="44" s="1"/>
  <c r="AS65" i="44" s="1"/>
  <c r="K45" i="44" a="1"/>
  <c r="K45" i="44" s="1"/>
  <c r="AB46" i="44" s="1"/>
  <c r="AC73" i="44" s="1"/>
  <c r="N53" i="44" a="1"/>
  <c r="N53" i="44" s="1"/>
  <c r="J28" i="46" a="1"/>
  <c r="J28" i="46" s="1"/>
  <c r="AH28" i="46" s="1"/>
  <c r="AI67" i="46" s="1"/>
  <c r="K46" i="46" a="1"/>
  <c r="K46" i="46" s="1"/>
  <c r="AI46" i="46" s="1"/>
  <c r="AJ73" i="46" s="1"/>
  <c r="M12" i="45" a="1"/>
  <c r="M12" i="45" s="1"/>
  <c r="AD13" i="45" s="1"/>
  <c r="AE62" i="45" s="1"/>
  <c r="J15" i="45" a="1"/>
  <c r="J15" i="45" s="1"/>
  <c r="AA16" i="45" s="1"/>
  <c r="AB63" i="45" s="1"/>
  <c r="J40" i="45" a="1"/>
  <c r="J40" i="45" s="1"/>
  <c r="AH40" i="45" s="1"/>
  <c r="AI71" i="45" s="1"/>
  <c r="L40" i="45" a="1"/>
  <c r="L40" i="45" s="1"/>
  <c r="AJ40" i="45" s="1"/>
  <c r="AK71" i="45" s="1"/>
  <c r="L11" i="44" a="1"/>
  <c r="L11" i="44" s="1"/>
  <c r="AQ10" i="44" s="1"/>
  <c r="AR61" i="44" s="1"/>
  <c r="M19" i="44" a="1"/>
  <c r="M19" i="44" s="1"/>
  <c r="AK19" i="44" s="1"/>
  <c r="AL64" i="44" s="1"/>
  <c r="K27" i="44" a="1"/>
  <c r="K27" i="44" s="1"/>
  <c r="AB28" i="44" s="1"/>
  <c r="AC67" i="44" s="1"/>
  <c r="N54" i="44" a="1"/>
  <c r="N54" i="44" s="1"/>
  <c r="M47" i="46" a="1"/>
  <c r="M47" i="46" s="1"/>
  <c r="AR46" i="46" s="1"/>
  <c r="AS73" i="46" s="1"/>
  <c r="I54" i="46" a="1"/>
  <c r="I54" i="46" s="1"/>
  <c r="Z55" i="46" s="1"/>
  <c r="AA76" i="46" s="1"/>
  <c r="J14" i="45" a="1"/>
  <c r="J14" i="45" s="1"/>
  <c r="AO13" i="45" s="1"/>
  <c r="AP62" i="45" s="1"/>
  <c r="J27" i="45" a="1"/>
  <c r="J27" i="45" s="1"/>
  <c r="AA28" i="45" s="1"/>
  <c r="AB67" i="45" s="1"/>
  <c r="L41" i="45" a="1"/>
  <c r="L41" i="45" s="1"/>
  <c r="AQ40" i="45" s="1"/>
  <c r="AR71" i="45" s="1"/>
  <c r="N55" i="45" a="1"/>
  <c r="N55" i="45" s="1"/>
  <c r="AL55" i="45" s="1"/>
  <c r="AM76" i="45" s="1"/>
  <c r="H6" i="44" a="1"/>
  <c r="H6" i="44" s="1"/>
  <c r="L22" i="44" a="1"/>
  <c r="L22" i="44" s="1"/>
  <c r="AJ22" i="44" s="1"/>
  <c r="AK65" i="44" s="1"/>
  <c r="L43" i="44" a="1"/>
  <c r="L43" i="44" s="1"/>
  <c r="AJ43" i="44" s="1"/>
  <c r="AK72" i="44" s="1"/>
  <c r="I43" i="44" a="1"/>
  <c r="I43" i="44" s="1"/>
  <c r="AG43" i="44" s="1"/>
  <c r="AH72" i="44" s="1"/>
  <c r="I47" i="46" a="1"/>
  <c r="I47" i="46" s="1"/>
  <c r="AN46" i="46" s="1"/>
  <c r="AO73" i="46" s="1"/>
  <c r="L53" i="46" a="1"/>
  <c r="L53" i="46" s="1"/>
  <c r="M10" i="45" a="1"/>
  <c r="M10" i="45" s="1"/>
  <c r="AK10" i="45" s="1"/>
  <c r="AL61" i="45" s="1"/>
  <c r="K11" i="45" a="1"/>
  <c r="K11" i="45" s="1"/>
  <c r="AP10" i="45" s="1"/>
  <c r="AQ61" i="45" s="1"/>
  <c r="H39" i="45" a="1"/>
  <c r="H39" i="45" s="1"/>
  <c r="K42" i="45" a="1"/>
  <c r="K42" i="45" s="1"/>
  <c r="AB43" i="45" s="1"/>
  <c r="AC72" i="45" s="1"/>
  <c r="I55" i="45" a="1"/>
  <c r="I55" i="45" s="1"/>
  <c r="AG55" i="45" s="1"/>
  <c r="AH76" i="45" s="1"/>
  <c r="H8" i="44" a="1"/>
  <c r="H8" i="44" s="1"/>
  <c r="K22" i="44" a="1"/>
  <c r="K22" i="44" s="1"/>
  <c r="AI22" i="44" s="1"/>
  <c r="AJ65" i="44" s="1"/>
  <c r="M54" i="48" a="1"/>
  <c r="M54" i="48" s="1"/>
  <c r="AG55" i="48" s="1"/>
  <c r="AH76" i="48" s="1"/>
  <c r="L15" i="47" a="1"/>
  <c r="L15" i="47" s="1"/>
  <c r="AC16" i="47" s="1"/>
  <c r="AD63" i="47" s="1"/>
  <c r="K47" i="47" a="1"/>
  <c r="K47" i="47" s="1"/>
  <c r="AP46" i="47" s="1"/>
  <c r="AQ73" i="47" s="1"/>
  <c r="H38" i="47" a="1"/>
  <c r="H38" i="47" s="1"/>
  <c r="L23" i="46" a="1"/>
  <c r="L23" i="46" s="1"/>
  <c r="AQ22" i="46" s="1"/>
  <c r="AR65" i="46" s="1"/>
  <c r="N7" i="46" a="1"/>
  <c r="N7" i="46" s="1"/>
  <c r="AL7" i="46" s="1"/>
  <c r="AM60" i="46" s="1"/>
  <c r="L8" i="48" a="1"/>
  <c r="L8" i="48" s="1"/>
  <c r="AT7" i="48" s="1"/>
  <c r="AU60" i="48" s="1"/>
  <c r="K33" i="48" a="1"/>
  <c r="K33" i="48" s="1"/>
  <c r="AE34" i="48" s="1"/>
  <c r="AF69" i="48" s="1"/>
  <c r="M38" i="48" a="1"/>
  <c r="M38" i="48" s="1"/>
  <c r="AU37" i="48" s="1"/>
  <c r="AV70" i="48" s="1"/>
  <c r="M11" i="47" a="1"/>
  <c r="M11" i="47" s="1"/>
  <c r="AR10" i="47" s="1"/>
  <c r="AS61" i="47" s="1"/>
  <c r="H7" i="47" a="1"/>
  <c r="H7" i="47" s="1"/>
  <c r="N42" i="47" a="1"/>
  <c r="N42" i="47" s="1"/>
  <c r="AE43" i="47" s="1"/>
  <c r="AF72" i="47" s="1"/>
  <c r="H44" i="47" a="1"/>
  <c r="H44" i="47" s="1"/>
  <c r="L55" i="47" a="1"/>
  <c r="L55" i="47" s="1"/>
  <c r="AJ55" i="47" s="1"/>
  <c r="AK76" i="47" s="1"/>
  <c r="M20" i="46" a="1"/>
  <c r="M20" i="46" s="1"/>
  <c r="AR19" i="46" s="1"/>
  <c r="AS64" i="46" s="1"/>
  <c r="I9" i="46" a="1"/>
  <c r="I9" i="46" s="1"/>
  <c r="Z10" i="46" s="1"/>
  <c r="AA61" i="46" s="1"/>
  <c r="N10" i="48" a="1"/>
  <c r="N10" i="48" s="1"/>
  <c r="AO10" i="48" s="1"/>
  <c r="AP61" i="48" s="1"/>
  <c r="I17" i="48" a="1"/>
  <c r="I17" i="48" s="1"/>
  <c r="AQ16" i="48" s="1"/>
  <c r="AR63" i="48" s="1"/>
  <c r="J55" i="48" a="1"/>
  <c r="J55" i="48" s="1"/>
  <c r="AK55" i="48" s="1"/>
  <c r="AL76" i="48" s="1"/>
  <c r="I27" i="47" a="1"/>
  <c r="I27" i="47" s="1"/>
  <c r="Z28" i="47" s="1"/>
  <c r="AA67" i="47" s="1"/>
  <c r="I3" i="47" a="1"/>
  <c r="I3" i="47" s="1"/>
  <c r="Z4" i="47" s="1"/>
  <c r="AA59" i="47" s="1"/>
  <c r="L44" i="47" a="1"/>
  <c r="L44" i="47" s="1"/>
  <c r="AQ43" i="47" s="1"/>
  <c r="AR72" i="47" s="1"/>
  <c r="M52" i="47" a="1"/>
  <c r="M52" i="47" s="1"/>
  <c r="AK52" i="47" s="1"/>
  <c r="AL75" i="47" s="1"/>
  <c r="N10" i="46" a="1"/>
  <c r="N10" i="46" s="1"/>
  <c r="AL10" i="46" s="1"/>
  <c r="AM61" i="46" s="1"/>
  <c r="L39" i="46" a="1"/>
  <c r="L39" i="46" s="1"/>
  <c r="AC40" i="46" s="1"/>
  <c r="AD71" i="46" s="1"/>
  <c r="K32" i="46" a="1"/>
  <c r="K32" i="46" s="1"/>
  <c r="AP31" i="46" s="1"/>
  <c r="AQ68" i="46" s="1"/>
  <c r="J40" i="48" a="1"/>
  <c r="J40" i="48" s="1"/>
  <c r="AK40" i="48" s="1"/>
  <c r="AL71" i="48" s="1"/>
  <c r="I7" i="48" a="1"/>
  <c r="I7" i="48" s="1"/>
  <c r="AJ7" i="48" s="1"/>
  <c r="AK60" i="48" s="1"/>
  <c r="J52" i="48" a="1"/>
  <c r="J52" i="48" s="1"/>
  <c r="AK52" i="48" s="1"/>
  <c r="AL75" i="48" s="1"/>
  <c r="I11" i="47" a="1"/>
  <c r="I11" i="47" s="1"/>
  <c r="AN10" i="47" s="1"/>
  <c r="AO61" i="47" s="1"/>
  <c r="J4" i="47" a="1"/>
  <c r="J4" i="47" s="1"/>
  <c r="AH4" i="47" s="1"/>
  <c r="AI59" i="47" s="1"/>
  <c r="I18" i="47" a="1"/>
  <c r="I18" i="47" s="1"/>
  <c r="Z19" i="47" s="1"/>
  <c r="AA64" i="47" s="1"/>
  <c r="L54" i="47" a="1"/>
  <c r="L54" i="47" s="1"/>
  <c r="AC55" i="47" s="1"/>
  <c r="AD76" i="47" s="1"/>
  <c r="L11" i="46" a="1"/>
  <c r="L11" i="46" s="1"/>
  <c r="AQ10" i="46" s="1"/>
  <c r="AR61" i="46" s="1"/>
  <c r="N31" i="46" a="1"/>
  <c r="N31" i="46" s="1"/>
  <c r="AL31" i="46" s="1"/>
  <c r="AM68" i="46" s="1"/>
  <c r="J45" i="46" a="1"/>
  <c r="J45" i="46" s="1"/>
  <c r="AA46" i="46" s="1"/>
  <c r="AB73" i="46" s="1"/>
  <c r="L47" i="46" a="1"/>
  <c r="L47" i="46" s="1"/>
  <c r="AQ46" i="46" s="1"/>
  <c r="AR73" i="46" s="1"/>
  <c r="K55" i="46" a="1"/>
  <c r="K55" i="46" s="1"/>
  <c r="AI55" i="46" s="1"/>
  <c r="AJ76" i="46" s="1"/>
  <c r="K19" i="45" a="1"/>
  <c r="K19" i="45" s="1"/>
  <c r="AI19" i="45" s="1"/>
  <c r="AJ64" i="45" s="1"/>
  <c r="N35" i="45" a="1"/>
  <c r="N35" i="45" s="1"/>
  <c r="AS34" i="45" s="1"/>
  <c r="AT69" i="45" s="1"/>
  <c r="J33" i="45" a="1"/>
  <c r="J33" i="45" s="1"/>
  <c r="AA34" i="45" s="1"/>
  <c r="AB69" i="45" s="1"/>
  <c r="M47" i="45" a="1"/>
  <c r="M47" i="45" s="1"/>
  <c r="AR46" i="45" s="1"/>
  <c r="AS73" i="45" s="1"/>
  <c r="H20" i="44" a="1"/>
  <c r="H20" i="44" s="1"/>
  <c r="N19" i="44" a="1"/>
  <c r="N19" i="44" s="1"/>
  <c r="AL19" i="44" s="1"/>
  <c r="AM64" i="44" s="1"/>
  <c r="M18" i="44" a="1"/>
  <c r="M18" i="44" s="1"/>
  <c r="AD19" i="44" s="1"/>
  <c r="AE64" i="44" s="1"/>
  <c r="M36" i="46" a="1"/>
  <c r="M36" i="46" s="1"/>
  <c r="AD37" i="46" s="1"/>
  <c r="AE70" i="46" s="1"/>
  <c r="L54" i="46" a="1"/>
  <c r="L54" i="46" s="1"/>
  <c r="AC55" i="46" s="1"/>
  <c r="AD76" i="46" s="1"/>
  <c r="I12" i="45" a="1"/>
  <c r="I12" i="45" s="1"/>
  <c r="Z13" i="45" s="1"/>
  <c r="AA62" i="45" s="1"/>
  <c r="K31" i="45" a="1"/>
  <c r="K31" i="45" s="1"/>
  <c r="AI31" i="45" s="1"/>
  <c r="AJ68" i="45" s="1"/>
  <c r="K44" i="45" a="1"/>
  <c r="K44" i="45" s="1"/>
  <c r="AP43" i="45" s="1"/>
  <c r="AQ72" i="45" s="1"/>
  <c r="L56" i="45" a="1"/>
  <c r="L56" i="45" s="1"/>
  <c r="L4" i="44" a="1"/>
  <c r="L4" i="44" s="1"/>
  <c r="AJ4" i="44" s="1"/>
  <c r="AK59" i="44" s="1"/>
  <c r="N22" i="44" a="1"/>
  <c r="N22" i="44" s="1"/>
  <c r="AL22" i="44" s="1"/>
  <c r="AM65" i="44" s="1"/>
  <c r="M40" i="44" a="1"/>
  <c r="M40" i="44" s="1"/>
  <c r="AK40" i="44" s="1"/>
  <c r="AL71" i="44" s="1"/>
  <c r="J38" i="44" a="1"/>
  <c r="J38" i="44" s="1"/>
  <c r="AO37" i="44" s="1"/>
  <c r="AP70" i="44" s="1"/>
  <c r="N37" i="46" a="1"/>
  <c r="N37" i="46" s="1"/>
  <c r="AL37" i="46" s="1"/>
  <c r="AM70" i="46" s="1"/>
  <c r="I41" i="46" a="1"/>
  <c r="I41" i="46" s="1"/>
  <c r="AN40" i="46" s="1"/>
  <c r="AO71" i="46" s="1"/>
  <c r="N22" i="45" a="1"/>
  <c r="N22" i="45" s="1"/>
  <c r="AL22" i="45" s="1"/>
  <c r="AM65" i="45" s="1"/>
  <c r="L11" i="45" a="1"/>
  <c r="L11" i="45" s="1"/>
  <c r="AQ10" i="45" s="1"/>
  <c r="AR61" i="45" s="1"/>
  <c r="K24" i="45" a="1"/>
  <c r="K24" i="45" s="1"/>
  <c r="AB25" i="45" s="1"/>
  <c r="AC66" i="45" s="1"/>
  <c r="K49" i="45" a="1"/>
  <c r="K49" i="45" s="1"/>
  <c r="AI49" i="45" s="1"/>
  <c r="AJ74" i="45" s="1"/>
  <c r="L16" i="44" a="1"/>
  <c r="L16" i="44" s="1"/>
  <c r="AJ16" i="44" s="1"/>
  <c r="AK63" i="44" s="1"/>
  <c r="I27" i="44" a="1"/>
  <c r="I27" i="44" s="1"/>
  <c r="Z28" i="44" s="1"/>
  <c r="AA67" i="44" s="1"/>
  <c r="N25" i="44" a="1"/>
  <c r="N25" i="44" s="1"/>
  <c r="AL25" i="44" s="1"/>
  <c r="AM66" i="44" s="1"/>
  <c r="N38" i="44" a="1"/>
  <c r="N38" i="44" s="1"/>
  <c r="AS37" i="44" s="1"/>
  <c r="AT70" i="44" s="1"/>
  <c r="H44" i="46" a="1"/>
  <c r="H44" i="46" s="1"/>
  <c r="M55" i="46" a="1"/>
  <c r="M55" i="46" s="1"/>
  <c r="AK55" i="46" s="1"/>
  <c r="AL76" i="46" s="1"/>
  <c r="M19" i="45" a="1"/>
  <c r="M19" i="45" s="1"/>
  <c r="AK19" i="45" s="1"/>
  <c r="AL64" i="45" s="1"/>
  <c r="K32" i="45" a="1"/>
  <c r="K32" i="45" s="1"/>
  <c r="AP31" i="45" s="1"/>
  <c r="AQ68" i="45" s="1"/>
  <c r="N49" i="45" a="1"/>
  <c r="N49" i="45" s="1"/>
  <c r="AL49" i="45" s="1"/>
  <c r="AM74" i="45" s="1"/>
  <c r="J51" i="45" a="1"/>
  <c r="J51" i="45" s="1"/>
  <c r="N16" i="44" a="1"/>
  <c r="N16" i="44" s="1"/>
  <c r="AL16" i="44" s="1"/>
  <c r="AM63" i="44" s="1"/>
  <c r="L23" i="44" a="1"/>
  <c r="L23" i="44" s="1"/>
  <c r="AQ22" i="44" s="1"/>
  <c r="AR65" i="44" s="1"/>
  <c r="N46" i="44" a="1"/>
  <c r="N46" i="44" s="1"/>
  <c r="AL46" i="44" s="1"/>
  <c r="AM73" i="44" s="1"/>
  <c r="L43" i="46" a="1"/>
  <c r="L43" i="46" s="1"/>
  <c r="AJ43" i="46" s="1"/>
  <c r="AK72" i="46" s="1"/>
  <c r="L44" i="46" a="1"/>
  <c r="L44" i="46" s="1"/>
  <c r="AQ43" i="46" s="1"/>
  <c r="AR72" i="46" s="1"/>
  <c r="M54" i="46" a="1"/>
  <c r="M54" i="46" s="1"/>
  <c r="AD55" i="46" s="1"/>
  <c r="AE76" i="46" s="1"/>
  <c r="I56" i="48" a="1"/>
  <c r="I56" i="48" s="1"/>
  <c r="J17" i="47" a="1"/>
  <c r="J17" i="47" s="1"/>
  <c r="AO16" i="47" s="1"/>
  <c r="AP63" i="47" s="1"/>
  <c r="J24" i="47" a="1"/>
  <c r="J24" i="47" s="1"/>
  <c r="AA25" i="47" s="1"/>
  <c r="AB66" i="47" s="1"/>
  <c r="H48" i="47" a="1"/>
  <c r="H48" i="47" s="1"/>
  <c r="M18" i="46" a="1"/>
  <c r="M18" i="46" s="1"/>
  <c r="AD19" i="46" s="1"/>
  <c r="AE64" i="46" s="1"/>
  <c r="K16" i="46" a="1"/>
  <c r="K16" i="46" s="1"/>
  <c r="AI16" i="46" s="1"/>
  <c r="AJ63" i="46" s="1"/>
  <c r="L12" i="48" a="1"/>
  <c r="L12" i="48" s="1"/>
  <c r="AF13" i="48" s="1"/>
  <c r="AG62" i="48" s="1"/>
  <c r="K40" i="48" a="1"/>
  <c r="K40" i="48" s="1"/>
  <c r="AL40" i="48" s="1"/>
  <c r="AM71" i="48" s="1"/>
  <c r="K44" i="48" a="1"/>
  <c r="K44" i="48" s="1"/>
  <c r="AS43" i="48" s="1"/>
  <c r="AT72" i="48" s="1"/>
  <c r="J23" i="47" a="1"/>
  <c r="J23" i="47" s="1"/>
  <c r="AO22" i="47" s="1"/>
  <c r="AP65" i="47" s="1"/>
  <c r="M13" i="47" a="1"/>
  <c r="M13" i="47" s="1"/>
  <c r="AK13" i="47" s="1"/>
  <c r="AL62" i="47" s="1"/>
  <c r="I21" i="47" a="1"/>
  <c r="I21" i="47" s="1"/>
  <c r="Z22" i="47" s="1"/>
  <c r="AA65" i="47" s="1"/>
  <c r="N36" i="47" a="1"/>
  <c r="N36" i="47" s="1"/>
  <c r="M53" i="47" a="1"/>
  <c r="M53" i="47" s="1"/>
  <c r="K18" i="46" a="1"/>
  <c r="K18" i="46" s="1"/>
  <c r="AB19" i="46" s="1"/>
  <c r="AC64" i="46" s="1"/>
  <c r="K28" i="46" a="1"/>
  <c r="K28" i="46" s="1"/>
  <c r="AI28" i="46" s="1"/>
  <c r="AJ67" i="46" s="1"/>
  <c r="N4" i="48" a="1"/>
  <c r="N4" i="48" s="1"/>
  <c r="AO4" i="48" s="1"/>
  <c r="AP59" i="48" s="1"/>
  <c r="K24" i="48" a="1"/>
  <c r="K24" i="48" s="1"/>
  <c r="AE25" i="48" s="1"/>
  <c r="AF66" i="48" s="1"/>
  <c r="I50" i="48" a="1"/>
  <c r="I50" i="48" s="1"/>
  <c r="J14" i="47" a="1"/>
  <c r="J14" i="47" s="1"/>
  <c r="AO13" i="47" s="1"/>
  <c r="AP62" i="47" s="1"/>
  <c r="H10" i="47" a="1"/>
  <c r="H10" i="47" s="1"/>
  <c r="K38" i="47" a="1"/>
  <c r="K38" i="47" s="1"/>
  <c r="AP37" i="47" s="1"/>
  <c r="AQ70" i="47" s="1"/>
  <c r="K55" i="47" a="1"/>
  <c r="K55" i="47" s="1"/>
  <c r="AI55" i="47" s="1"/>
  <c r="AJ76" i="47" s="1"/>
  <c r="K22" i="46" a="1"/>
  <c r="K22" i="46" s="1"/>
  <c r="AI22" i="46" s="1"/>
  <c r="AJ65" i="46" s="1"/>
  <c r="N36" i="46" a="1"/>
  <c r="N36" i="46" s="1"/>
  <c r="J16" i="48" a="1"/>
  <c r="J16" i="48" s="1"/>
  <c r="AK16" i="48" s="1"/>
  <c r="AL63" i="48" s="1"/>
  <c r="J34" i="48" a="1"/>
  <c r="J34" i="48" s="1"/>
  <c r="AK34" i="48" s="1"/>
  <c r="AL69" i="48" s="1"/>
  <c r="K38" i="48" a="1"/>
  <c r="K38" i="48" s="1"/>
  <c r="AS37" i="48" s="1"/>
  <c r="AT70" i="48" s="1"/>
  <c r="L54" i="48" a="1"/>
  <c r="L54" i="48" s="1"/>
  <c r="AF55" i="48" s="1"/>
  <c r="AG76" i="48" s="1"/>
  <c r="L23" i="47" a="1"/>
  <c r="L23" i="47" s="1"/>
  <c r="AQ22" i="47" s="1"/>
  <c r="AR65" i="47" s="1"/>
  <c r="H11" i="47" a="1"/>
  <c r="H11" i="47" s="1"/>
  <c r="L33" i="47" a="1"/>
  <c r="L33" i="47" s="1"/>
  <c r="AC34" i="47" s="1"/>
  <c r="AD69" i="47" s="1"/>
  <c r="I55" i="47" a="1"/>
  <c r="I55" i="47" s="1"/>
  <c r="AG55" i="47" s="1"/>
  <c r="AH76" i="47" s="1"/>
  <c r="L6" i="46" a="1"/>
  <c r="L6" i="46" s="1"/>
  <c r="AC7" i="46" s="1"/>
  <c r="AD60" i="46" s="1"/>
  <c r="H39" i="46" a="1"/>
  <c r="H39" i="46" s="1"/>
  <c r="M34" i="46" a="1"/>
  <c r="M34" i="46" s="1"/>
  <c r="AK34" i="46" s="1"/>
  <c r="AL69" i="46" s="1"/>
  <c r="J41" i="46" a="1"/>
  <c r="J41" i="46" s="1"/>
  <c r="AO40" i="46" s="1"/>
  <c r="AP71" i="46" s="1"/>
  <c r="M53" i="46" a="1"/>
  <c r="M53" i="46" s="1"/>
  <c r="N6" i="45" a="1"/>
  <c r="N6" i="45" s="1"/>
  <c r="AE7" i="45" s="1"/>
  <c r="AF60" i="45" s="1"/>
  <c r="I30" i="45" a="1"/>
  <c r="I30" i="45" s="1"/>
  <c r="Z31" i="45" s="1"/>
  <c r="AA68" i="45" s="1"/>
  <c r="H25" i="45" a="1"/>
  <c r="H25" i="45" s="1"/>
  <c r="J53" i="45" a="1"/>
  <c r="J53" i="45" s="1"/>
  <c r="H10" i="44" a="1"/>
  <c r="H10" i="44" s="1"/>
  <c r="L27" i="44" a="1"/>
  <c r="L27" i="44" s="1"/>
  <c r="AC28" i="44" s="1"/>
  <c r="AD67" i="44" s="1"/>
  <c r="L29" i="44" a="1"/>
  <c r="L29" i="44" s="1"/>
  <c r="AQ28" i="44" s="1"/>
  <c r="AR67" i="44" s="1"/>
  <c r="H47" i="46" a="1"/>
  <c r="H47" i="46" s="1"/>
  <c r="M3" i="45" a="1"/>
  <c r="M3" i="45" s="1"/>
  <c r="AD4" i="45" s="1"/>
  <c r="AE59" i="45" s="1"/>
  <c r="I10" i="45" a="1"/>
  <c r="I10" i="45" s="1"/>
  <c r="AG10" i="45" s="1"/>
  <c r="AH61" i="45" s="1"/>
  <c r="M20" i="45" a="1"/>
  <c r="M20" i="45" s="1"/>
  <c r="AR19" i="45" s="1"/>
  <c r="AS64" i="45" s="1"/>
  <c r="J43" i="45" a="1"/>
  <c r="J43" i="45" s="1"/>
  <c r="AH43" i="45" s="1"/>
  <c r="AI72" i="45" s="1"/>
  <c r="I56" i="45" a="1"/>
  <c r="I56" i="45" s="1"/>
  <c r="L14" i="44" a="1"/>
  <c r="L14" i="44" s="1"/>
  <c r="AQ13" i="44" s="1"/>
  <c r="AR62" i="44" s="1"/>
  <c r="H33" i="44" a="1"/>
  <c r="H33" i="44" s="1"/>
  <c r="M31" i="44" a="1"/>
  <c r="M31" i="44" s="1"/>
  <c r="AK31" i="44" s="1"/>
  <c r="AL68" i="44" s="1"/>
  <c r="M51" i="44" a="1"/>
  <c r="M51" i="44" s="1"/>
  <c r="K34" i="46" a="1"/>
  <c r="K34" i="46" s="1"/>
  <c r="AI34" i="46" s="1"/>
  <c r="AJ69" i="46" s="1"/>
  <c r="K54" i="46" a="1"/>
  <c r="K54" i="46" s="1"/>
  <c r="AB55" i="46" s="1"/>
  <c r="AC76" i="46" s="1"/>
  <c r="I6" i="45" a="1"/>
  <c r="I6" i="45" s="1"/>
  <c r="Z7" i="45" s="1"/>
  <c r="AA60" i="45" s="1"/>
  <c r="K15" i="45" a="1"/>
  <c r="K15" i="45" s="1"/>
  <c r="AB16" i="45" s="1"/>
  <c r="AC63" i="45" s="1"/>
  <c r="K35" i="45" a="1"/>
  <c r="K35" i="45" s="1"/>
  <c r="AP34" i="45" s="1"/>
  <c r="AQ69" i="45" s="1"/>
  <c r="I38" i="45" a="1"/>
  <c r="I38" i="45" s="1"/>
  <c r="AN37" i="45" s="1"/>
  <c r="AO70" i="45" s="1"/>
  <c r="L20" i="44" a="1"/>
  <c r="L20" i="44" s="1"/>
  <c r="AQ19" i="44" s="1"/>
  <c r="AR64" i="44" s="1"/>
  <c r="N30" i="44" a="1"/>
  <c r="N30" i="44" s="1"/>
  <c r="AE31" i="44" s="1"/>
  <c r="AF68" i="44" s="1"/>
  <c r="N21" i="44" a="1"/>
  <c r="N21" i="44" s="1"/>
  <c r="AE22" i="44" s="1"/>
  <c r="AF65" i="44" s="1"/>
  <c r="I19" i="46" a="1"/>
  <c r="I19" i="46" s="1"/>
  <c r="AG19" i="46" s="1"/>
  <c r="AH64" i="46" s="1"/>
  <c r="H42" i="46" a="1"/>
  <c r="H42" i="46" s="1"/>
  <c r="L35" i="45" a="1"/>
  <c r="L35" i="45" s="1"/>
  <c r="AQ34" i="45" s="1"/>
  <c r="AR69" i="45" s="1"/>
  <c r="H4" i="45" a="1"/>
  <c r="H4" i="45" s="1"/>
  <c r="I20" i="45" a="1"/>
  <c r="I20" i="45" s="1"/>
  <c r="AN19" i="45" s="1"/>
  <c r="AO64" i="45" s="1"/>
  <c r="M31" i="45" a="1"/>
  <c r="M31" i="45" s="1"/>
  <c r="AK31" i="45" s="1"/>
  <c r="AL68" i="45" s="1"/>
  <c r="K51" i="45" a="1"/>
  <c r="K51" i="45" s="1"/>
  <c r="L8" i="44" a="1"/>
  <c r="L8" i="44" s="1"/>
  <c r="AQ7" i="44" s="1"/>
  <c r="AR60" i="44" s="1"/>
  <c r="N14" i="44" a="1"/>
  <c r="N14" i="44" s="1"/>
  <c r="AS13" i="44" s="1"/>
  <c r="AT62" i="44" s="1"/>
  <c r="J27" i="44" a="1"/>
  <c r="J27" i="44" s="1"/>
  <c r="AA28" i="44" s="1"/>
  <c r="AB67" i="44" s="1"/>
  <c r="I26" i="46" a="1"/>
  <c r="I26" i="46" s="1"/>
  <c r="AN25" i="46" s="1"/>
  <c r="AO66" i="46" s="1"/>
  <c r="J46" i="46" a="1"/>
  <c r="J46" i="46" s="1"/>
  <c r="AH46" i="46" s="1"/>
  <c r="AI73" i="46" s="1"/>
  <c r="H52" i="46" a="1"/>
  <c r="H52" i="46" s="1"/>
  <c r="H17" i="45" a="1"/>
  <c r="H17" i="45" s="1"/>
  <c r="I46" i="45" a="1"/>
  <c r="I46" i="45" s="1"/>
  <c r="AG46" i="45" s="1"/>
  <c r="AH73" i="45" s="1"/>
  <c r="N10" i="44" a="1"/>
  <c r="N10" i="44" s="1"/>
  <c r="AL10" i="44" s="1"/>
  <c r="AM61" i="44" s="1"/>
  <c r="M45" i="44" a="1"/>
  <c r="M45" i="44" s="1"/>
  <c r="AD46" i="44" s="1"/>
  <c r="AE73" i="44" s="1"/>
  <c r="L48" i="46" a="1"/>
  <c r="L48" i="46" s="1"/>
  <c r="AC49" i="46" s="1"/>
  <c r="AD74" i="46" s="1"/>
  <c r="J11" i="45" a="1"/>
  <c r="J11" i="45" s="1"/>
  <c r="AO10" i="45" s="1"/>
  <c r="AP61" i="45" s="1"/>
  <c r="J29" i="45" a="1"/>
  <c r="J29" i="45" s="1"/>
  <c r="AO28" i="45" s="1"/>
  <c r="AP67" i="45" s="1"/>
  <c r="M35" i="45" a="1"/>
  <c r="M35" i="45" s="1"/>
  <c r="AR34" i="45" s="1"/>
  <c r="AS69" i="45" s="1"/>
  <c r="M55" i="45" a="1"/>
  <c r="M55" i="45" s="1"/>
  <c r="AK55" i="45" s="1"/>
  <c r="AL76" i="45" s="1"/>
  <c r="M7" i="44" a="1"/>
  <c r="M7" i="44" s="1"/>
  <c r="AK7" i="44" s="1"/>
  <c r="AL60" i="44" s="1"/>
  <c r="L18" i="44" a="1"/>
  <c r="L18" i="44" s="1"/>
  <c r="AC19" i="44" s="1"/>
  <c r="AD64" i="44" s="1"/>
  <c r="I34" i="44" a="1"/>
  <c r="I34" i="44" s="1"/>
  <c r="AG34" i="44" s="1"/>
  <c r="AH69" i="44" s="1"/>
  <c r="I39" i="46" a="1"/>
  <c r="I39" i="46" s="1"/>
  <c r="Z40" i="46" s="1"/>
  <c r="AA71" i="46" s="1"/>
  <c r="K49" i="46" a="1"/>
  <c r="K49" i="46" s="1"/>
  <c r="AI49" i="46" s="1"/>
  <c r="AJ74" i="46" s="1"/>
  <c r="H13" i="45" a="1"/>
  <c r="H13" i="45" s="1"/>
  <c r="M28" i="45" a="1"/>
  <c r="M28" i="45" s="1"/>
  <c r="AK28" i="45" s="1"/>
  <c r="AL67" i="45" s="1"/>
  <c r="N50" i="45" a="1"/>
  <c r="N50" i="45" s="1"/>
  <c r="K53" i="45" a="1"/>
  <c r="K53" i="45" s="1"/>
  <c r="H17" i="44" a="1"/>
  <c r="H17" i="44" s="1"/>
  <c r="L24" i="44" a="1"/>
  <c r="L24" i="44" s="1"/>
  <c r="AC25" i="44" s="1"/>
  <c r="AD66" i="44" s="1"/>
  <c r="M39" i="44" a="1"/>
  <c r="M39" i="44" s="1"/>
  <c r="AD40" i="44" s="1"/>
  <c r="AE71" i="44" s="1"/>
  <c r="L54" i="44" a="1"/>
  <c r="L54" i="44" s="1"/>
  <c r="AC55" i="44" s="1"/>
  <c r="AD76" i="44" s="1"/>
  <c r="N46" i="46" a="1"/>
  <c r="N46" i="46" s="1"/>
  <c r="AL46" i="46" s="1"/>
  <c r="AM73" i="46" s="1"/>
  <c r="K33" i="45" a="1"/>
  <c r="K33" i="45" s="1"/>
  <c r="AB34" i="45" s="1"/>
  <c r="AC69" i="45" s="1"/>
  <c r="L24" i="45" a="1"/>
  <c r="L24" i="45" s="1"/>
  <c r="AC25" i="45" s="1"/>
  <c r="AD66" i="45" s="1"/>
  <c r="H29" i="45" a="1"/>
  <c r="H29" i="45" s="1"/>
  <c r="I37" i="45" a="1"/>
  <c r="I37" i="45" s="1"/>
  <c r="AG37" i="45" s="1"/>
  <c r="AH70" i="45" s="1"/>
  <c r="K55" i="45" a="1"/>
  <c r="K55" i="45" s="1"/>
  <c r="AI55" i="45" s="1"/>
  <c r="AJ76" i="45" s="1"/>
  <c r="M4" i="44" a="1"/>
  <c r="M4" i="44" s="1"/>
  <c r="AK4" i="44" s="1"/>
  <c r="AL59" i="44" s="1"/>
  <c r="M12" i="44" a="1"/>
  <c r="M12" i="44" s="1"/>
  <c r="AD13" i="44" s="1"/>
  <c r="AE62" i="44" s="1"/>
  <c r="I39" i="44" a="1"/>
  <c r="I39" i="44" s="1"/>
  <c r="Z40" i="44" s="1"/>
  <c r="AA71" i="44" s="1"/>
  <c r="K50" i="51" a="1"/>
  <c r="K50" i="51" s="1"/>
  <c r="L35" i="50" a="1"/>
  <c r="L35" i="50" s="1"/>
  <c r="AQ34" i="50" s="1"/>
  <c r="AR69" i="50" s="1"/>
  <c r="L12" i="50" a="1"/>
  <c r="L12" i="50" s="1"/>
  <c r="AC13" i="50" s="1"/>
  <c r="AD62" i="50" s="1"/>
  <c r="N34" i="50" a="1"/>
  <c r="N34" i="50" s="1"/>
  <c r="AL34" i="50" s="1"/>
  <c r="AM69" i="50" s="1"/>
  <c r="I25" i="50" a="1"/>
  <c r="I25" i="50" s="1"/>
  <c r="AG25" i="50" s="1"/>
  <c r="AH66" i="50" s="1"/>
  <c r="N53" i="49" a="1"/>
  <c r="N53" i="49" s="1"/>
  <c r="K25" i="49" a="1"/>
  <c r="K25" i="49" s="1"/>
  <c r="AI25" i="49" s="1"/>
  <c r="AJ66" i="49" s="1"/>
  <c r="L13" i="49" a="1"/>
  <c r="L13" i="49" s="1"/>
  <c r="AJ13" i="49" s="1"/>
  <c r="AK62" i="49" s="1"/>
  <c r="L37" i="49" a="1"/>
  <c r="L37" i="49" s="1"/>
  <c r="AJ37" i="49" s="1"/>
  <c r="AK70" i="49" s="1"/>
  <c r="H46" i="49" a="1"/>
  <c r="H46" i="49" s="1"/>
  <c r="I23" i="50" a="1"/>
  <c r="I23" i="50" s="1"/>
  <c r="AN22" i="50" s="1"/>
  <c r="AO65" i="50" s="1"/>
  <c r="J6" i="50" a="1"/>
  <c r="J6" i="50" s="1"/>
  <c r="AA7" i="50" s="1"/>
  <c r="AB60" i="50" s="1"/>
  <c r="L11" i="50" a="1"/>
  <c r="L11" i="50" s="1"/>
  <c r="AQ10" i="50" s="1"/>
  <c r="AR61" i="50" s="1"/>
  <c r="L33" i="50" a="1"/>
  <c r="L33" i="50" s="1"/>
  <c r="AC34" i="50" s="1"/>
  <c r="AD69" i="50" s="1"/>
  <c r="J48" i="50" a="1"/>
  <c r="J48" i="50" s="1"/>
  <c r="AA49" i="50" s="1"/>
  <c r="AB74" i="50" s="1"/>
  <c r="L39" i="49" a="1"/>
  <c r="L39" i="49" s="1"/>
  <c r="AC40" i="49" s="1"/>
  <c r="AD71" i="49" s="1"/>
  <c r="K17" i="49" a="1"/>
  <c r="K17" i="49" s="1"/>
  <c r="AP16" i="49" s="1"/>
  <c r="AQ63" i="49" s="1"/>
  <c r="N7" i="49" a="1"/>
  <c r="N7" i="49" s="1"/>
  <c r="AL7" i="49" s="1"/>
  <c r="AM60" i="49" s="1"/>
  <c r="H29" i="49" a="1"/>
  <c r="H29" i="49" s="1"/>
  <c r="K50" i="49" a="1"/>
  <c r="K50" i="49" s="1"/>
  <c r="K7" i="50" a="1"/>
  <c r="K7" i="50" s="1"/>
  <c r="AI7" i="50" s="1"/>
  <c r="AJ60" i="50" s="1"/>
  <c r="K16" i="50" a="1"/>
  <c r="K16" i="50" s="1"/>
  <c r="AI16" i="50" s="1"/>
  <c r="AJ63" i="50" s="1"/>
  <c r="M29" i="50" a="1"/>
  <c r="M29" i="50" s="1"/>
  <c r="AR28" i="50" s="1"/>
  <c r="AS67" i="50" s="1"/>
  <c r="I47" i="50" a="1"/>
  <c r="I47" i="50" s="1"/>
  <c r="AN46" i="50" s="1"/>
  <c r="AO73" i="50" s="1"/>
  <c r="J51" i="50" a="1"/>
  <c r="J51" i="50" s="1"/>
  <c r="K30" i="49" a="1"/>
  <c r="K30" i="49" s="1"/>
  <c r="AB31" i="49" s="1"/>
  <c r="AC68" i="49" s="1"/>
  <c r="L9" i="49" a="1"/>
  <c r="L9" i="49" s="1"/>
  <c r="AC10" i="49" s="1"/>
  <c r="AD61" i="49" s="1"/>
  <c r="I16" i="49" a="1"/>
  <c r="I16" i="49" s="1"/>
  <c r="AG16" i="49" s="1"/>
  <c r="AH63" i="49" s="1"/>
  <c r="H54" i="49" a="1"/>
  <c r="H54" i="49" s="1"/>
  <c r="K6" i="48" a="1"/>
  <c r="K6" i="48" s="1"/>
  <c r="AE7" i="48" s="1"/>
  <c r="AF60" i="48" s="1"/>
  <c r="J35" i="50" a="1"/>
  <c r="J35" i="50" s="1"/>
  <c r="AO34" i="50" s="1"/>
  <c r="AP69" i="50" s="1"/>
  <c r="I19" i="50" a="1"/>
  <c r="I19" i="50" s="1"/>
  <c r="AG19" i="50" s="1"/>
  <c r="AH64" i="50" s="1"/>
  <c r="I20" i="50" a="1"/>
  <c r="I20" i="50" s="1"/>
  <c r="I35" i="50" a="1"/>
  <c r="I35" i="50" s="1"/>
  <c r="AN34" i="50" s="1"/>
  <c r="AO69" i="50" s="1"/>
  <c r="N11" i="49" a="1"/>
  <c r="N11" i="49" s="1"/>
  <c r="AS10" i="49" s="1"/>
  <c r="AT61" i="49" s="1"/>
  <c r="L14" i="49" a="1"/>
  <c r="L14" i="49" s="1"/>
  <c r="AQ13" i="49" s="1"/>
  <c r="AR62" i="49" s="1"/>
  <c r="I26" i="49" a="1"/>
  <c r="I26" i="49" s="1"/>
  <c r="AN25" i="49" s="1"/>
  <c r="AO66" i="49" s="1"/>
  <c r="K43" i="49" a="1"/>
  <c r="K43" i="49" s="1"/>
  <c r="AI43" i="49" s="1"/>
  <c r="AJ72" i="49" s="1"/>
  <c r="L55" i="49" a="1"/>
  <c r="L55" i="49" s="1"/>
  <c r="AJ55" i="49" s="1"/>
  <c r="AK76" i="49" s="1"/>
  <c r="J13" i="48" a="1"/>
  <c r="J13" i="48" s="1"/>
  <c r="AK13" i="48" s="1"/>
  <c r="AL62" i="48" s="1"/>
  <c r="H13" i="50" a="1"/>
  <c r="H13" i="50" s="1"/>
  <c r="K8" i="50" a="1"/>
  <c r="K8" i="50" s="1"/>
  <c r="AP7" i="50" s="1"/>
  <c r="AQ60" i="50" s="1"/>
  <c r="I24" i="50" a="1"/>
  <c r="I24" i="50" s="1"/>
  <c r="Z25" i="50" s="1"/>
  <c r="AA66" i="50" s="1"/>
  <c r="K46" i="50" a="1"/>
  <c r="K46" i="50" s="1"/>
  <c r="AI46" i="50" s="1"/>
  <c r="AJ73" i="50" s="1"/>
  <c r="J55" i="50" a="1"/>
  <c r="J55" i="50" s="1"/>
  <c r="AH55" i="50" s="1"/>
  <c r="AI76" i="50" s="1"/>
  <c r="L12" i="49" a="1"/>
  <c r="L12" i="49" s="1"/>
  <c r="AC13" i="49" s="1"/>
  <c r="AD62" i="49" s="1"/>
  <c r="N31" i="49" a="1"/>
  <c r="N31" i="49" s="1"/>
  <c r="AL31" i="49" s="1"/>
  <c r="AM68" i="49" s="1"/>
  <c r="M42" i="49" a="1"/>
  <c r="M42" i="49" s="1"/>
  <c r="AD43" i="49" s="1"/>
  <c r="AE72" i="49" s="1"/>
  <c r="J54" i="49" a="1"/>
  <c r="J54" i="49" s="1"/>
  <c r="AA55" i="49" s="1"/>
  <c r="AB76" i="49" s="1"/>
  <c r="L14" i="48" a="1"/>
  <c r="L14" i="48" s="1"/>
  <c r="AT13" i="48" s="1"/>
  <c r="AU62" i="48" s="1"/>
  <c r="L45" i="50" a="1"/>
  <c r="L45" i="50" s="1"/>
  <c r="AC46" i="50" s="1"/>
  <c r="AD73" i="50" s="1"/>
  <c r="L10" i="50" a="1"/>
  <c r="L10" i="50" s="1"/>
  <c r="AJ10" i="50" s="1"/>
  <c r="AK61" i="50" s="1"/>
  <c r="I26" i="50" a="1"/>
  <c r="I26" i="50" s="1"/>
  <c r="AN25" i="50" s="1"/>
  <c r="AO66" i="50" s="1"/>
  <c r="L46" i="50" a="1"/>
  <c r="L46" i="50" s="1"/>
  <c r="AJ46" i="50" s="1"/>
  <c r="AK73" i="50" s="1"/>
  <c r="L22" i="45" a="1"/>
  <c r="L22" i="45" s="1"/>
  <c r="AJ22" i="45" s="1"/>
  <c r="AK65" i="45" s="1"/>
  <c r="N36" i="45" a="1"/>
  <c r="N36" i="45" s="1"/>
  <c r="K15" i="44" a="1"/>
  <c r="K15" i="44" s="1"/>
  <c r="AB16" i="44" s="1"/>
  <c r="AC63" i="44" s="1"/>
  <c r="N26" i="46" a="1"/>
  <c r="N26" i="46" s="1"/>
  <c r="AS25" i="46" s="1"/>
  <c r="AT66" i="46" s="1"/>
  <c r="I44" i="46" a="1"/>
  <c r="I44" i="46" s="1"/>
  <c r="AN43" i="46" s="1"/>
  <c r="AO72" i="46" s="1"/>
  <c r="I7" i="45" a="1"/>
  <c r="I7" i="45" s="1"/>
  <c r="AG7" i="45" s="1"/>
  <c r="AH60" i="45" s="1"/>
  <c r="L14" i="45" a="1"/>
  <c r="L14" i="45" s="1"/>
  <c r="AQ13" i="45" s="1"/>
  <c r="AR62" i="45" s="1"/>
  <c r="N34" i="45" a="1"/>
  <c r="N34" i="45" s="1"/>
  <c r="AL34" i="45" s="1"/>
  <c r="AM69" i="45" s="1"/>
  <c r="H44" i="45" a="1"/>
  <c r="H44" i="45" s="1"/>
  <c r="J3" i="44" a="1"/>
  <c r="J3" i="44" s="1"/>
  <c r="AA4" i="44" s="1"/>
  <c r="AB59" i="44" s="1"/>
  <c r="H15" i="44" a="1"/>
  <c r="H15" i="44" s="1"/>
  <c r="M28" i="44" a="1"/>
  <c r="M28" i="44" s="1"/>
  <c r="AK28" i="44" s="1"/>
  <c r="AL67" i="44" s="1"/>
  <c r="M44" i="44" a="1"/>
  <c r="M44" i="44" s="1"/>
  <c r="AR43" i="44" s="1"/>
  <c r="AS72" i="44" s="1"/>
  <c r="M41" i="46" a="1"/>
  <c r="M41" i="46" s="1"/>
  <c r="AR40" i="46" s="1"/>
  <c r="AS71" i="46" s="1"/>
  <c r="H55" i="46" a="1"/>
  <c r="H55" i="46" s="1"/>
  <c r="M7" i="45" a="1"/>
  <c r="M7" i="45" s="1"/>
  <c r="AK7" i="45" s="1"/>
  <c r="AL60" i="45" s="1"/>
  <c r="L30" i="45" a="1"/>
  <c r="L30" i="45" s="1"/>
  <c r="AC31" i="45" s="1"/>
  <c r="AD68" i="45" s="1"/>
  <c r="L44" i="45" a="1"/>
  <c r="L44" i="45" s="1"/>
  <c r="AQ43" i="45" s="1"/>
  <c r="AR72" i="45" s="1"/>
  <c r="J56" i="45" a="1"/>
  <c r="J56" i="45" s="1"/>
  <c r="I10" i="44" a="1"/>
  <c r="I10" i="44" s="1"/>
  <c r="AG10" i="44" s="1"/>
  <c r="AH61" i="44" s="1"/>
  <c r="J35" i="44" a="1"/>
  <c r="J35" i="44" s="1"/>
  <c r="AO34" i="44" s="1"/>
  <c r="AP69" i="44" s="1"/>
  <c r="L38" i="44" a="1"/>
  <c r="L38" i="44" s="1"/>
  <c r="AQ37" i="44" s="1"/>
  <c r="AR70" i="44" s="1"/>
  <c r="N33" i="46" a="1"/>
  <c r="N33" i="46" s="1"/>
  <c r="AE34" i="46" s="1"/>
  <c r="AF69" i="46" s="1"/>
  <c r="J51" i="46" a="1"/>
  <c r="J51" i="46" s="1"/>
  <c r="L21" i="45" a="1"/>
  <c r="L21" i="45" s="1"/>
  <c r="AC22" i="45" s="1"/>
  <c r="AD65" i="45" s="1"/>
  <c r="H8" i="45" a="1"/>
  <c r="H8" i="45" s="1"/>
  <c r="L34" i="45" a="1"/>
  <c r="L34" i="45" s="1"/>
  <c r="AJ34" i="45" s="1"/>
  <c r="AK69" i="45" s="1"/>
  <c r="J46" i="45" a="1"/>
  <c r="J46" i="45" s="1"/>
  <c r="AH46" i="45" s="1"/>
  <c r="AI73" i="45" s="1"/>
  <c r="H55" i="45" a="1"/>
  <c r="H55" i="45" s="1"/>
  <c r="N17" i="44" a="1"/>
  <c r="N17" i="44" s="1"/>
  <c r="AS16" i="44" s="1"/>
  <c r="AT63" i="44" s="1"/>
  <c r="N31" i="44" a="1"/>
  <c r="N31" i="44" s="1"/>
  <c r="AL31" i="44" s="1"/>
  <c r="AM68" i="44" s="1"/>
  <c r="N39" i="44" a="1"/>
  <c r="N39" i="44" s="1"/>
  <c r="AE40" i="44" s="1"/>
  <c r="AF71" i="44" s="1"/>
  <c r="K54" i="51" a="1"/>
  <c r="K54" i="51" s="1"/>
  <c r="AB55" i="51" s="1"/>
  <c r="AC76" i="51" s="1"/>
  <c r="N28" i="50" a="1"/>
  <c r="N28" i="50" s="1"/>
  <c r="AL28" i="50" s="1"/>
  <c r="AM67" i="50" s="1"/>
  <c r="K29" i="50" a="1"/>
  <c r="K29" i="50" s="1"/>
  <c r="AP28" i="50" s="1"/>
  <c r="AQ67" i="50" s="1"/>
  <c r="M39" i="50" a="1"/>
  <c r="M39" i="50" s="1"/>
  <c r="AD40" i="50" s="1"/>
  <c r="AE71" i="50" s="1"/>
  <c r="M45" i="50" a="1"/>
  <c r="M45" i="50" s="1"/>
  <c r="AD46" i="50" s="1"/>
  <c r="AE73" i="50" s="1"/>
  <c r="L41" i="49" a="1"/>
  <c r="L41" i="49" s="1"/>
  <c r="AQ40" i="49" s="1"/>
  <c r="AR71" i="49" s="1"/>
  <c r="H12" i="49" a="1"/>
  <c r="H12" i="49" s="1"/>
  <c r="J22" i="49" a="1"/>
  <c r="J22" i="49" s="1"/>
  <c r="AH22" i="49" s="1"/>
  <c r="AI65" i="49" s="1"/>
  <c r="I29" i="49" a="1"/>
  <c r="I29" i="49" s="1"/>
  <c r="AN28" i="49" s="1"/>
  <c r="AO67" i="49" s="1"/>
  <c r="L51" i="49" a="1"/>
  <c r="L51" i="49" s="1"/>
  <c r="K31" i="50" a="1"/>
  <c r="K31" i="50" s="1"/>
  <c r="AI31" i="50" s="1"/>
  <c r="AJ68" i="50" s="1"/>
  <c r="I14" i="50" a="1"/>
  <c r="I14" i="50" s="1"/>
  <c r="K21" i="50" a="1"/>
  <c r="K21" i="50" s="1"/>
  <c r="AB22" i="50" s="1"/>
  <c r="AC65" i="50" s="1"/>
  <c r="H42" i="50" a="1"/>
  <c r="H42" i="50" s="1"/>
  <c r="I29" i="50" a="1"/>
  <c r="I29" i="50" s="1"/>
  <c r="AN28" i="50" s="1"/>
  <c r="AO67" i="50" s="1"/>
  <c r="K13" i="49" a="1"/>
  <c r="K13" i="49" s="1"/>
  <c r="AI13" i="49" s="1"/>
  <c r="AJ62" i="49" s="1"/>
  <c r="H14" i="49" a="1"/>
  <c r="H14" i="49" s="1"/>
  <c r="N38" i="49" a="1"/>
  <c r="N38" i="49" s="1"/>
  <c r="AS37" i="49" s="1"/>
  <c r="AT70" i="49" s="1"/>
  <c r="L54" i="49" a="1"/>
  <c r="L54" i="49" s="1"/>
  <c r="AC55" i="49" s="1"/>
  <c r="AD76" i="49" s="1"/>
  <c r="N35" i="50" a="1"/>
  <c r="N35" i="50" s="1"/>
  <c r="AS34" i="50" s="1"/>
  <c r="AT69" i="50" s="1"/>
  <c r="N6" i="50" a="1"/>
  <c r="N6" i="50" s="1"/>
  <c r="AE7" i="50" s="1"/>
  <c r="AF60" i="50" s="1"/>
  <c r="H11" i="50" a="1"/>
  <c r="H11" i="50" s="1"/>
  <c r="M49" i="50" a="1"/>
  <c r="M49" i="50" s="1"/>
  <c r="AK49" i="50" s="1"/>
  <c r="AL74" i="50" s="1"/>
  <c r="L53" i="50" a="1"/>
  <c r="L53" i="50" s="1"/>
  <c r="H22" i="49" a="1"/>
  <c r="H22" i="49" s="1"/>
  <c r="J7" i="49" a="1"/>
  <c r="J7" i="49" s="1"/>
  <c r="AH7" i="49" s="1"/>
  <c r="AI60" i="49" s="1"/>
  <c r="J38" i="49" a="1"/>
  <c r="J38" i="49" s="1"/>
  <c r="AO37" i="49" s="1"/>
  <c r="AP70" i="49" s="1"/>
  <c r="H52" i="49" a="1"/>
  <c r="H52" i="49" s="1"/>
  <c r="L6" i="48" a="1"/>
  <c r="L6" i="48" s="1"/>
  <c r="AF7" i="48" s="1"/>
  <c r="AG60" i="48" s="1"/>
  <c r="K10" i="50" a="1"/>
  <c r="K10" i="50" s="1"/>
  <c r="AI10" i="50" s="1"/>
  <c r="AJ61" i="50" s="1"/>
  <c r="J4" i="50" a="1"/>
  <c r="J4" i="50" s="1"/>
  <c r="AH4" i="50" s="1"/>
  <c r="AI59" i="50" s="1"/>
  <c r="J39" i="50" a="1"/>
  <c r="J39" i="50" s="1"/>
  <c r="AA40" i="50" s="1"/>
  <c r="AB71" i="50" s="1"/>
  <c r="H34" i="50" a="1"/>
  <c r="H34" i="50" s="1"/>
  <c r="J19" i="49" a="1"/>
  <c r="J19" i="49" s="1"/>
  <c r="AH19" i="49" s="1"/>
  <c r="AI64" i="49" s="1"/>
  <c r="J10" i="49" a="1"/>
  <c r="J10" i="49" s="1"/>
  <c r="AH10" i="49" s="1"/>
  <c r="AI61" i="49" s="1"/>
  <c r="J40" i="49" a="1"/>
  <c r="J40" i="49" s="1"/>
  <c r="AH40" i="49" s="1"/>
  <c r="AI71" i="49" s="1"/>
  <c r="K47" i="49" a="1"/>
  <c r="K47" i="49" s="1"/>
  <c r="AP46" i="49" s="1"/>
  <c r="AQ73" i="49" s="1"/>
  <c r="M13" i="48" a="1"/>
  <c r="M13" i="48" s="1"/>
  <c r="AN13" i="48" s="1"/>
  <c r="AO62" i="48" s="1"/>
  <c r="H20" i="48" a="1"/>
  <c r="H20" i="48" s="1"/>
  <c r="J31" i="50" a="1"/>
  <c r="J31" i="50" s="1"/>
  <c r="AH31" i="50" s="1"/>
  <c r="AI68" i="50" s="1"/>
  <c r="H19" i="50" a="1"/>
  <c r="H19" i="50" s="1"/>
  <c r="M25" i="50" a="1"/>
  <c r="M25" i="50" s="1"/>
  <c r="AK25" i="50" s="1"/>
  <c r="AL66" i="50" s="1"/>
  <c r="H52" i="50" a="1"/>
  <c r="H52" i="50" s="1"/>
  <c r="K53" i="50" a="1"/>
  <c r="K53" i="50" s="1"/>
  <c r="N20" i="49" a="1"/>
  <c r="N20" i="49" s="1"/>
  <c r="AS19" i="49" s="1"/>
  <c r="AT64" i="49" s="1"/>
  <c r="K3" i="49" a="1"/>
  <c r="K3" i="49" s="1"/>
  <c r="AB4" i="49" s="1"/>
  <c r="AC59" i="49" s="1"/>
  <c r="H33" i="49" a="1"/>
  <c r="H33" i="49" s="1"/>
  <c r="N50" i="49" a="1"/>
  <c r="N50" i="49" s="1"/>
  <c r="L15" i="48" a="1"/>
  <c r="L15" i="48" s="1"/>
  <c r="AF16" i="48" s="1"/>
  <c r="AG63" i="48" s="1"/>
  <c r="K27" i="50" a="1"/>
  <c r="K27" i="50" s="1"/>
  <c r="AB28" i="50" s="1"/>
  <c r="AC67" i="50" s="1"/>
  <c r="H9" i="50" a="1"/>
  <c r="H9" i="50" s="1"/>
  <c r="L39" i="50" a="1"/>
  <c r="L39" i="50" s="1"/>
  <c r="AC40" i="50" s="1"/>
  <c r="AD71" i="50" s="1"/>
  <c r="K38" i="50" a="1"/>
  <c r="K38" i="50" s="1"/>
  <c r="AP37" i="50" s="1"/>
  <c r="AQ70" i="50" s="1"/>
  <c r="L27" i="45" a="1"/>
  <c r="L27" i="45" s="1"/>
  <c r="AC28" i="45" s="1"/>
  <c r="AD67" i="45" s="1"/>
  <c r="H42" i="45" a="1"/>
  <c r="H42" i="45" s="1"/>
  <c r="J28" i="44" a="1"/>
  <c r="J28" i="44" s="1"/>
  <c r="AH28" i="44" s="1"/>
  <c r="AI67" i="44" s="1"/>
  <c r="M28" i="46" a="1"/>
  <c r="M28" i="46" s="1"/>
  <c r="AK28" i="46" s="1"/>
  <c r="AL67" i="46" s="1"/>
  <c r="K51" i="46" a="1"/>
  <c r="K51" i="46" s="1"/>
  <c r="N11" i="45" a="1"/>
  <c r="N11" i="45" s="1"/>
  <c r="M14" i="45" a="1"/>
  <c r="M14" i="45" s="1"/>
  <c r="AR13" i="45" s="1"/>
  <c r="AS62" i="45" s="1"/>
  <c r="K39" i="45" a="1"/>
  <c r="K39" i="45" s="1"/>
  <c r="AB40" i="45" s="1"/>
  <c r="AC71" i="45" s="1"/>
  <c r="L42" i="45" a="1"/>
  <c r="L42" i="45" s="1"/>
  <c r="AC43" i="45" s="1"/>
  <c r="AD72" i="45" s="1"/>
  <c r="I3" i="44" a="1"/>
  <c r="I3" i="44" s="1"/>
  <c r="Z4" i="44" s="1"/>
  <c r="AA59" i="44" s="1"/>
  <c r="N6" i="44" a="1"/>
  <c r="N6" i="44" s="1"/>
  <c r="AE7" i="44" s="1"/>
  <c r="AF60" i="44" s="1"/>
  <c r="K29" i="44" a="1"/>
  <c r="K29" i="44" s="1"/>
  <c r="AP28" i="44" s="1"/>
  <c r="AQ67" i="44" s="1"/>
  <c r="N42" i="44" a="1"/>
  <c r="N42" i="44" s="1"/>
  <c r="AE43" i="44" s="1"/>
  <c r="AF72" i="44" s="1"/>
  <c r="N43" i="46" a="1"/>
  <c r="N43" i="46" s="1"/>
  <c r="AL43" i="46" s="1"/>
  <c r="AM72" i="46" s="1"/>
  <c r="N56" i="46" a="1"/>
  <c r="N56" i="46" s="1"/>
  <c r="L9" i="45" a="1"/>
  <c r="L9" i="45" s="1"/>
  <c r="AC10" i="45" s="1"/>
  <c r="AD61" i="45" s="1"/>
  <c r="L29" i="45" a="1"/>
  <c r="L29" i="45" s="1"/>
  <c r="AQ28" i="45" s="1"/>
  <c r="AR67" i="45" s="1"/>
  <c r="N45" i="45" a="1"/>
  <c r="N45" i="45" s="1"/>
  <c r="H52" i="45" a="1"/>
  <c r="H52" i="45" s="1"/>
  <c r="L15" i="44" a="1"/>
  <c r="L15" i="44" s="1"/>
  <c r="AC16" i="44" s="1"/>
  <c r="AD63" i="44" s="1"/>
  <c r="J23" i="44" a="1"/>
  <c r="J23" i="44" s="1"/>
  <c r="AO22" i="44" s="1"/>
  <c r="AP65" i="44" s="1"/>
  <c r="I40" i="44" a="1"/>
  <c r="I40" i="44" s="1"/>
  <c r="AG40" i="44" s="1"/>
  <c r="AH71" i="44" s="1"/>
  <c r="N28" i="46" a="1"/>
  <c r="N28" i="46" s="1"/>
  <c r="AL28" i="46" s="1"/>
  <c r="AM67" i="46" s="1"/>
  <c r="N44" i="46" a="1"/>
  <c r="N44" i="46" s="1"/>
  <c r="AS43" i="46" s="1"/>
  <c r="AT72" i="46" s="1"/>
  <c r="L10" i="45" a="1"/>
  <c r="L10" i="45" s="1"/>
  <c r="AJ10" i="45" s="1"/>
  <c r="AK61" i="45" s="1"/>
  <c r="L26" i="45" a="1"/>
  <c r="L26" i="45" s="1"/>
  <c r="AQ25" i="45" s="1"/>
  <c r="AR66" i="45" s="1"/>
  <c r="L17" i="45" a="1"/>
  <c r="L17" i="45" s="1"/>
  <c r="AQ16" i="45" s="1"/>
  <c r="AR63" i="45" s="1"/>
  <c r="J45" i="45" a="1"/>
  <c r="J45" i="45" s="1"/>
  <c r="AA46" i="45" s="1"/>
  <c r="AB73" i="45" s="1"/>
  <c r="N56" i="45" a="1"/>
  <c r="N56" i="45" s="1"/>
  <c r="K7" i="44" a="1"/>
  <c r="K7" i="44" s="1"/>
  <c r="AI7" i="44" s="1"/>
  <c r="AJ60" i="44" s="1"/>
  <c r="I35" i="44" a="1"/>
  <c r="I35" i="44" s="1"/>
  <c r="AN34" i="44" s="1"/>
  <c r="AO69" i="44" s="1"/>
  <c r="N44" i="44" a="1"/>
  <c r="N44" i="44" s="1"/>
  <c r="AS43" i="44" s="1"/>
  <c r="AT72" i="44" s="1"/>
  <c r="J54" i="51" a="1"/>
  <c r="J54" i="51" s="1"/>
  <c r="AA55" i="51" s="1"/>
  <c r="AB76" i="51" s="1"/>
  <c r="H31" i="50" a="1"/>
  <c r="H31" i="50" s="1"/>
  <c r="M10" i="50" a="1"/>
  <c r="M10" i="50" s="1"/>
  <c r="AK10" i="50" s="1"/>
  <c r="AL61" i="50" s="1"/>
  <c r="L42" i="50" a="1"/>
  <c r="L42" i="50" s="1"/>
  <c r="AC43" i="50" s="1"/>
  <c r="AD72" i="50" s="1"/>
  <c r="J49" i="50" a="1"/>
  <c r="J49" i="50" s="1"/>
  <c r="AH49" i="50" s="1"/>
  <c r="AI74" i="50" s="1"/>
  <c r="H53" i="49" a="1"/>
  <c r="H53" i="49" s="1"/>
  <c r="M12" i="49" a="1"/>
  <c r="M12" i="49" s="1"/>
  <c r="AD13" i="49" s="1"/>
  <c r="AE62" i="49" s="1"/>
  <c r="H17" i="49" a="1"/>
  <c r="H17" i="49" s="1"/>
  <c r="M40" i="49" a="1"/>
  <c r="M40" i="49" s="1"/>
  <c r="AK40" i="49" s="1"/>
  <c r="AL71" i="49" s="1"/>
  <c r="M48" i="49" a="1"/>
  <c r="M48" i="49" s="1"/>
  <c r="AD49" i="49" s="1"/>
  <c r="AE74" i="49" s="1"/>
  <c r="J27" i="50" a="1"/>
  <c r="J27" i="50" s="1"/>
  <c r="AA28" i="50" s="1"/>
  <c r="AB67" i="50" s="1"/>
  <c r="N8" i="50" a="1"/>
  <c r="N8" i="50" s="1"/>
  <c r="AS7" i="50" s="1"/>
  <c r="AT60" i="50" s="1"/>
  <c r="J18" i="50" a="1"/>
  <c r="J18" i="50" s="1"/>
  <c r="AA19" i="50" s="1"/>
  <c r="AB64" i="50" s="1"/>
  <c r="L48" i="50" a="1"/>
  <c r="L48" i="50" s="1"/>
  <c r="AC49" i="50" s="1"/>
  <c r="AD74" i="50" s="1"/>
  <c r="M51" i="50" a="1"/>
  <c r="M51" i="50" s="1"/>
  <c r="I28" i="49" a="1"/>
  <c r="I28" i="49" s="1"/>
  <c r="AG28" i="49" s="1"/>
  <c r="AH67" i="49" s="1"/>
  <c r="K20" i="49" a="1"/>
  <c r="K20" i="49" s="1"/>
  <c r="AP19" i="49" s="1"/>
  <c r="AQ64" i="49" s="1"/>
  <c r="M3" i="49" a="1"/>
  <c r="M3" i="49" s="1"/>
  <c r="AD4" i="49" s="1"/>
  <c r="AE59" i="49" s="1"/>
  <c r="L40" i="49" a="1"/>
  <c r="L40" i="49" s="1"/>
  <c r="AJ40" i="49" s="1"/>
  <c r="AK71" i="49" s="1"/>
  <c r="L49" i="49" a="1"/>
  <c r="L49" i="49" s="1"/>
  <c r="AJ49" i="49" s="1"/>
  <c r="AK74" i="49" s="1"/>
  <c r="M47" i="50" a="1"/>
  <c r="M47" i="50" s="1"/>
  <c r="AR46" i="50" s="1"/>
  <c r="AS73" i="50" s="1"/>
  <c r="H15" i="50" a="1"/>
  <c r="H15" i="50" s="1"/>
  <c r="N18" i="50" a="1"/>
  <c r="N18" i="50" s="1"/>
  <c r="L44" i="50" a="1"/>
  <c r="L44" i="50" s="1"/>
  <c r="AQ43" i="50" s="1"/>
  <c r="AR72" i="50" s="1"/>
  <c r="N56" i="50" a="1"/>
  <c r="N56" i="50" s="1"/>
  <c r="M25" i="49" a="1"/>
  <c r="M25" i="49" s="1"/>
  <c r="AK25" i="49" s="1"/>
  <c r="AL66" i="49" s="1"/>
  <c r="M16" i="49" a="1"/>
  <c r="M16" i="49" s="1"/>
  <c r="AK16" i="49" s="1"/>
  <c r="AL63" i="49" s="1"/>
  <c r="N42" i="49" a="1"/>
  <c r="N42" i="49" s="1"/>
  <c r="AE43" i="49" s="1"/>
  <c r="AF72" i="49" s="1"/>
  <c r="N51" i="49" a="1"/>
  <c r="N51" i="49" s="1"/>
  <c r="N14" i="48" a="1"/>
  <c r="N14" i="48" s="1"/>
  <c r="AV13" i="48" s="1"/>
  <c r="AW62" i="48" s="1"/>
  <c r="I17" i="50" a="1"/>
  <c r="I17" i="50" s="1"/>
  <c r="L13" i="50" a="1"/>
  <c r="L13" i="50" s="1"/>
  <c r="AJ13" i="50" s="1"/>
  <c r="AK62" i="50" s="1"/>
  <c r="K33" i="50" a="1"/>
  <c r="K33" i="50" s="1"/>
  <c r="AB34" i="50" s="1"/>
  <c r="AC69" i="50" s="1"/>
  <c r="M44" i="50" a="1"/>
  <c r="M44" i="50" s="1"/>
  <c r="AR43" i="50" s="1"/>
  <c r="AS72" i="50" s="1"/>
  <c r="H55" i="49" a="1"/>
  <c r="H55" i="49" s="1"/>
  <c r="L15" i="49" a="1"/>
  <c r="L15" i="49" s="1"/>
  <c r="AC16" i="49" s="1"/>
  <c r="AD63" i="49" s="1"/>
  <c r="K18" i="49" a="1"/>
  <c r="K18" i="49" s="1"/>
  <c r="AB19" i="49" s="1"/>
  <c r="AC64" i="49" s="1"/>
  <c r="N54" i="49" a="1"/>
  <c r="N54" i="49" s="1"/>
  <c r="K9" i="48" a="1"/>
  <c r="K9" i="48" s="1"/>
  <c r="AE10" i="48" s="1"/>
  <c r="AF61" i="48" s="1"/>
  <c r="H26" i="48" a="1"/>
  <c r="H26" i="48" s="1"/>
  <c r="H27" i="50" a="1"/>
  <c r="H27" i="50" s="1"/>
  <c r="K9" i="50" a="1"/>
  <c r="K9" i="50" s="1"/>
  <c r="AB10" i="50" s="1"/>
  <c r="AC61" i="50" s="1"/>
  <c r="M20" i="50" a="1"/>
  <c r="M20" i="50" s="1"/>
  <c r="M35" i="50" a="1"/>
  <c r="M35" i="50" s="1"/>
  <c r="AR34" i="50" s="1"/>
  <c r="AS69" i="50" s="1"/>
  <c r="H55" i="50" a="1"/>
  <c r="H55" i="50" s="1"/>
  <c r="L23" i="49" a="1"/>
  <c r="L23" i="49" s="1"/>
  <c r="AQ22" i="49" s="1"/>
  <c r="AR65" i="49" s="1"/>
  <c r="N8" i="49" a="1"/>
  <c r="N8" i="49" s="1"/>
  <c r="AS7" i="49" s="1"/>
  <c r="AT60" i="49" s="1"/>
  <c r="I24" i="45" a="1"/>
  <c r="I24" i="45" s="1"/>
  <c r="Z25" i="45" s="1"/>
  <c r="AA66" i="45" s="1"/>
  <c r="N51" i="45" a="1"/>
  <c r="N51" i="45" s="1"/>
  <c r="J25" i="44" a="1"/>
  <c r="J25" i="44" s="1"/>
  <c r="AH25" i="44" s="1"/>
  <c r="AI66" i="44" s="1"/>
  <c r="K43" i="46" a="1"/>
  <c r="K43" i="46" s="1"/>
  <c r="AI43" i="46" s="1"/>
  <c r="AJ72" i="46" s="1"/>
  <c r="I38" i="46" a="1"/>
  <c r="I38" i="46" s="1"/>
  <c r="AN37" i="46" s="1"/>
  <c r="AO70" i="46" s="1"/>
  <c r="M6" i="45" a="1"/>
  <c r="M6" i="45" s="1"/>
  <c r="AD7" i="45" s="1"/>
  <c r="AE60" i="45" s="1"/>
  <c r="K22" i="45" a="1"/>
  <c r="K22" i="45" s="1"/>
  <c r="AI22" i="45" s="1"/>
  <c r="AJ65" i="45" s="1"/>
  <c r="M25" i="45" a="1"/>
  <c r="M25" i="45" s="1"/>
  <c r="AK25" i="45" s="1"/>
  <c r="AL66" i="45" s="1"/>
  <c r="L47" i="45" a="1"/>
  <c r="L47" i="45" s="1"/>
  <c r="AQ46" i="45" s="1"/>
  <c r="AR73" i="45" s="1"/>
  <c r="M8" i="44" a="1"/>
  <c r="M8" i="44" s="1"/>
  <c r="AR7" i="44" s="1"/>
  <c r="AS60" i="44" s="1"/>
  <c r="H26" i="44" a="1"/>
  <c r="H26" i="44" s="1"/>
  <c r="N24" i="44" a="1"/>
  <c r="N24" i="44" s="1"/>
  <c r="AE25" i="44" s="1"/>
  <c r="AF66" i="44" s="1"/>
  <c r="K45" i="46" a="1"/>
  <c r="K45" i="46" s="1"/>
  <c r="AB46" i="46" s="1"/>
  <c r="AC73" i="46" s="1"/>
  <c r="I46" i="46" a="1"/>
  <c r="I46" i="46" s="1"/>
  <c r="AG46" i="46" s="1"/>
  <c r="AH73" i="46" s="1"/>
  <c r="H27" i="45" a="1"/>
  <c r="H27" i="45" s="1"/>
  <c r="J16" i="45" a="1"/>
  <c r="J16" i="45" s="1"/>
  <c r="AH16" i="45" s="1"/>
  <c r="AI63" i="45" s="1"/>
  <c r="J34" i="45" a="1"/>
  <c r="J34" i="45" s="1"/>
  <c r="AH34" i="45" s="1"/>
  <c r="AI69" i="45" s="1"/>
  <c r="I44" i="45" a="1"/>
  <c r="I44" i="45" s="1"/>
  <c r="AN43" i="45" s="1"/>
  <c r="AO72" i="45" s="1"/>
  <c r="N3" i="44" a="1"/>
  <c r="N3" i="44" s="1"/>
  <c r="AE4" i="44" s="1"/>
  <c r="AF59" i="44" s="1"/>
  <c r="I28" i="44" a="1"/>
  <c r="I28" i="44" s="1"/>
  <c r="AG28" i="44" s="1"/>
  <c r="AH67" i="44" s="1"/>
  <c r="K19" i="44" a="1"/>
  <c r="K19" i="44" s="1"/>
  <c r="AI19" i="44" s="1"/>
  <c r="AJ64" i="44" s="1"/>
  <c r="K46" i="44" a="1"/>
  <c r="K46" i="44" s="1"/>
  <c r="AI46" i="44" s="1"/>
  <c r="AJ73" i="44" s="1"/>
  <c r="N35" i="46" a="1"/>
  <c r="N35" i="46" s="1"/>
  <c r="AS34" i="46" s="1"/>
  <c r="AT69" i="46" s="1"/>
  <c r="I43" i="46" a="1"/>
  <c r="I43" i="46" s="1"/>
  <c r="AG43" i="46" s="1"/>
  <c r="AH72" i="46" s="1"/>
  <c r="L18" i="45" a="1"/>
  <c r="L18" i="45" s="1"/>
  <c r="AC19" i="45" s="1"/>
  <c r="AD64" i="45" s="1"/>
  <c r="L20" i="45" a="1"/>
  <c r="L20" i="45" s="1"/>
  <c r="AQ19" i="45" s="1"/>
  <c r="AR64" i="45" s="1"/>
  <c r="H33" i="45" a="1"/>
  <c r="H33" i="45" s="1"/>
  <c r="K46" i="45" a="1"/>
  <c r="K46" i="45" s="1"/>
  <c r="AI46" i="45" s="1"/>
  <c r="AJ73" i="45" s="1"/>
  <c r="J54" i="45" a="1"/>
  <c r="J54" i="45" s="1"/>
  <c r="AA55" i="45" s="1"/>
  <c r="AB76" i="45" s="1"/>
  <c r="N11" i="44" a="1"/>
  <c r="N11" i="44" s="1"/>
  <c r="AS10" i="44" s="1"/>
  <c r="AT61" i="44" s="1"/>
  <c r="L19" i="44" a="1"/>
  <c r="L19" i="44" s="1"/>
  <c r="AJ19" i="44" s="1"/>
  <c r="AK64" i="44" s="1"/>
  <c r="I21" i="44" a="1"/>
  <c r="I21" i="44" s="1"/>
  <c r="Z22" i="44" s="1"/>
  <c r="AA65" i="44" s="1"/>
  <c r="N29" i="50" a="1"/>
  <c r="N29" i="50" s="1"/>
  <c r="AS28" i="50" s="1"/>
  <c r="AT67" i="50" s="1"/>
  <c r="H14" i="50" a="1"/>
  <c r="H14" i="50" s="1"/>
  <c r="K11" i="50" a="1"/>
  <c r="K11" i="50" s="1"/>
  <c r="AP10" i="50" s="1"/>
  <c r="AQ61" i="50" s="1"/>
  <c r="N46" i="50" a="1"/>
  <c r="N46" i="50" s="1"/>
  <c r="AL46" i="50" s="1"/>
  <c r="AM73" i="50" s="1"/>
  <c r="I51" i="50" a="1"/>
  <c r="I51" i="50" s="1"/>
  <c r="I7" i="49" a="1"/>
  <c r="I7" i="49" s="1"/>
  <c r="AG7" i="49" s="1"/>
  <c r="AH60" i="49" s="1"/>
  <c r="K36" i="49" a="1"/>
  <c r="K36" i="49" s="1"/>
  <c r="AB37" i="49" s="1"/>
  <c r="AC70" i="49" s="1"/>
  <c r="K34" i="49" a="1"/>
  <c r="K34" i="49" s="1"/>
  <c r="AI34" i="49" s="1"/>
  <c r="AJ69" i="49" s="1"/>
  <c r="J33" i="49" a="1"/>
  <c r="J33" i="49" s="1"/>
  <c r="AA34" i="49" s="1"/>
  <c r="AB69" i="49" s="1"/>
  <c r="J45" i="49" a="1"/>
  <c r="J45" i="49" s="1"/>
  <c r="AA46" i="49" s="1"/>
  <c r="AB73" i="49" s="1"/>
  <c r="M22" i="50" a="1"/>
  <c r="M22" i="50" s="1"/>
  <c r="AK22" i="50" s="1"/>
  <c r="AL65" i="50" s="1"/>
  <c r="N19" i="50" a="1"/>
  <c r="N19" i="50" s="1"/>
  <c r="AL19" i="50" s="1"/>
  <c r="AM64" i="50" s="1"/>
  <c r="N36" i="50" a="1"/>
  <c r="N36" i="50" s="1"/>
  <c r="N42" i="50" a="1"/>
  <c r="N42" i="50" s="1"/>
  <c r="AE43" i="50" s="1"/>
  <c r="AF72" i="50" s="1"/>
  <c r="M50" i="50" a="1"/>
  <c r="M50" i="50" s="1"/>
  <c r="K19" i="49" a="1"/>
  <c r="K19" i="49" s="1"/>
  <c r="AI19" i="49" s="1"/>
  <c r="AJ64" i="49" s="1"/>
  <c r="H36" i="49" a="1"/>
  <c r="H36" i="49" s="1"/>
  <c r="I19" i="49" a="1"/>
  <c r="I19" i="49" s="1"/>
  <c r="AG19" i="49" s="1"/>
  <c r="AH64" i="49" s="1"/>
  <c r="N29" i="49" a="1"/>
  <c r="N29" i="49" s="1"/>
  <c r="AS28" i="49" s="1"/>
  <c r="AT67" i="49" s="1"/>
  <c r="H51" i="49" a="1"/>
  <c r="H51" i="49" s="1"/>
  <c r="L30" i="50" a="1"/>
  <c r="L30" i="50" s="1"/>
  <c r="AC31" i="50" s="1"/>
  <c r="AD68" i="50" s="1"/>
  <c r="M14" i="50" a="1"/>
  <c r="M14" i="50" s="1"/>
  <c r="J36" i="50" a="1"/>
  <c r="J36" i="50" s="1"/>
  <c r="AA37" i="50" s="1"/>
  <c r="AB70" i="50" s="1"/>
  <c r="L29" i="50" a="1"/>
  <c r="L29" i="50" s="1"/>
  <c r="AQ28" i="50" s="1"/>
  <c r="AR67" i="50" s="1"/>
  <c r="K11" i="49" a="1"/>
  <c r="K11" i="49" s="1"/>
  <c r="AP10" i="49" s="1"/>
  <c r="AQ61" i="49" s="1"/>
  <c r="J5" i="49" a="1"/>
  <c r="J5" i="49" s="1"/>
  <c r="AO4" i="49" s="1"/>
  <c r="AP59" i="49" s="1"/>
  <c r="M23" i="49" a="1"/>
  <c r="M23" i="49" s="1"/>
  <c r="AR22" i="49" s="1"/>
  <c r="AS65" i="49" s="1"/>
  <c r="M36" i="49" a="1"/>
  <c r="M36" i="49" s="1"/>
  <c r="AD37" i="49" s="1"/>
  <c r="AE70" i="49" s="1"/>
  <c r="M47" i="49" a="1"/>
  <c r="M47" i="49" s="1"/>
  <c r="AR46" i="49" s="1"/>
  <c r="AS73" i="49" s="1"/>
  <c r="N12" i="48" a="1"/>
  <c r="N12" i="48" s="1"/>
  <c r="AH13" i="48" s="1"/>
  <c r="AI62" i="48" s="1"/>
  <c r="H28" i="50" a="1"/>
  <c r="H28" i="50" s="1"/>
  <c r="J21" i="50" a="1"/>
  <c r="J21" i="50" s="1"/>
  <c r="AA22" i="50" s="1"/>
  <c r="AB65" i="50" s="1"/>
  <c r="I42" i="50" a="1"/>
  <c r="I42" i="50" s="1"/>
  <c r="Z43" i="50" s="1"/>
  <c r="AA72" i="50" s="1"/>
  <c r="H38" i="50" a="1"/>
  <c r="H38" i="50" s="1"/>
  <c r="J29" i="49" a="1"/>
  <c r="J29" i="49" s="1"/>
  <c r="AO28" i="49" s="1"/>
  <c r="AP67" i="49" s="1"/>
  <c r="N27" i="49" a="1"/>
  <c r="N27" i="49" s="1"/>
  <c r="K37" i="49" a="1"/>
  <c r="K37" i="49" s="1"/>
  <c r="AI37" i="49" s="1"/>
  <c r="AJ70" i="49" s="1"/>
  <c r="K54" i="49" a="1"/>
  <c r="K54" i="49" s="1"/>
  <c r="AB55" i="49" s="1"/>
  <c r="AC76" i="49" s="1"/>
  <c r="L10" i="48" a="1"/>
  <c r="L10" i="48" s="1"/>
  <c r="AM10" i="48" s="1"/>
  <c r="AN61" i="48" s="1"/>
  <c r="N34" i="51" a="1"/>
  <c r="N34" i="51" s="1"/>
  <c r="AL34" i="51" s="1"/>
  <c r="AM69" i="51" s="1"/>
  <c r="K15" i="50" a="1"/>
  <c r="K15" i="50" s="1"/>
  <c r="AB16" i="50" s="1"/>
  <c r="AC63" i="50" s="1"/>
  <c r="J7" i="50" a="1"/>
  <c r="J7" i="50" s="1"/>
  <c r="AH7" i="50" s="1"/>
  <c r="AI60" i="50" s="1"/>
  <c r="L41" i="50" a="1"/>
  <c r="L41" i="50" s="1"/>
  <c r="AQ40" i="50" s="1"/>
  <c r="AR71" i="50" s="1"/>
  <c r="H46" i="50" a="1"/>
  <c r="H46" i="50" s="1"/>
  <c r="I53" i="50" a="1"/>
  <c r="I53" i="50" s="1"/>
  <c r="N3" i="49" a="1"/>
  <c r="N3" i="49" s="1"/>
  <c r="AE4" i="49" s="1"/>
  <c r="AF59" i="49" s="1"/>
  <c r="H19" i="49" a="1"/>
  <c r="H19" i="49" s="1"/>
  <c r="J28" i="49" a="1"/>
  <c r="J28" i="49" s="1"/>
  <c r="AH28" i="49" s="1"/>
  <c r="AI67" i="49" s="1"/>
  <c r="N28" i="45" a="1"/>
  <c r="N28" i="45" s="1"/>
  <c r="H53" i="45" a="1"/>
  <c r="H53" i="45" s="1"/>
  <c r="J32" i="44" a="1"/>
  <c r="J32" i="44" s="1"/>
  <c r="AO31" i="44" s="1"/>
  <c r="AP68" i="44" s="1"/>
  <c r="H38" i="46" a="1"/>
  <c r="H38" i="46" s="1"/>
  <c r="I50" i="46" a="1"/>
  <c r="I50" i="46" s="1"/>
  <c r="M15" i="45" a="1"/>
  <c r="M15" i="45" s="1"/>
  <c r="AD16" i="45" s="1"/>
  <c r="AE63" i="45" s="1"/>
  <c r="J8" i="45" a="1"/>
  <c r="J8" i="45" s="1"/>
  <c r="AO7" i="45" s="1"/>
  <c r="AP60" i="45" s="1"/>
  <c r="J31" i="45" a="1"/>
  <c r="J31" i="45" s="1"/>
  <c r="AH31" i="45" s="1"/>
  <c r="AI68" i="45" s="1"/>
  <c r="M49" i="45" a="1"/>
  <c r="M49" i="45" s="1"/>
  <c r="AK49" i="45" s="1"/>
  <c r="AL74" i="45" s="1"/>
  <c r="J13" i="44" a="1"/>
  <c r="J13" i="44" s="1"/>
  <c r="AH13" i="44" s="1"/>
  <c r="AI62" i="44" s="1"/>
  <c r="N32" i="44" a="1"/>
  <c r="N32" i="44" s="1"/>
  <c r="AS31" i="44" s="1"/>
  <c r="AT68" i="44" s="1"/>
  <c r="L45" i="44" a="1"/>
  <c r="L45" i="44" s="1"/>
  <c r="AC46" i="44" s="1"/>
  <c r="AD73" i="44" s="1"/>
  <c r="H29" i="46" a="1"/>
  <c r="H29" i="46" s="1"/>
  <c r="N49" i="46" a="1"/>
  <c r="N49" i="46" s="1"/>
  <c r="AL49" i="46" s="1"/>
  <c r="AM74" i="46" s="1"/>
  <c r="K13" i="45" a="1"/>
  <c r="K13" i="45" s="1"/>
  <c r="AI13" i="45" s="1"/>
  <c r="AJ62" i="45" s="1"/>
  <c r="K7" i="45" a="1"/>
  <c r="K7" i="45" s="1"/>
  <c r="AI7" i="45" s="1"/>
  <c r="AJ60" i="45" s="1"/>
  <c r="L33" i="45" a="1"/>
  <c r="L33" i="45" s="1"/>
  <c r="AC34" i="45" s="1"/>
  <c r="AD69" i="45" s="1"/>
  <c r="J44" i="45" a="1"/>
  <c r="J44" i="45" s="1"/>
  <c r="AO43" i="45" s="1"/>
  <c r="AP72" i="45" s="1"/>
  <c r="I20" i="44" a="1"/>
  <c r="I20" i="44" s="1"/>
  <c r="AN19" i="44" s="1"/>
  <c r="AO64" i="44" s="1"/>
  <c r="J6" i="44" a="1"/>
  <c r="J6" i="44" s="1"/>
  <c r="AA7" i="44" s="1"/>
  <c r="AB60" i="44" s="1"/>
  <c r="L28" i="44" a="1"/>
  <c r="L28" i="44" s="1"/>
  <c r="AJ28" i="44" s="1"/>
  <c r="AK67" i="44" s="1"/>
  <c r="L36" i="44" a="1"/>
  <c r="L36" i="44" s="1"/>
  <c r="AC37" i="44" s="1"/>
  <c r="AD70" i="44" s="1"/>
  <c r="I31" i="46" a="1"/>
  <c r="I31" i="46" s="1"/>
  <c r="AG31" i="46" s="1"/>
  <c r="AH68" i="46" s="1"/>
  <c r="N55" i="46" a="1"/>
  <c r="N55" i="46" s="1"/>
  <c r="AL55" i="46" s="1"/>
  <c r="AM76" i="46" s="1"/>
  <c r="N3" i="45" a="1"/>
  <c r="N3" i="45" s="1"/>
  <c r="AE4" i="45" s="1"/>
  <c r="AF59" i="45" s="1"/>
  <c r="M33" i="45" a="1"/>
  <c r="M33" i="45" s="1"/>
  <c r="AD34" i="45" s="1"/>
  <c r="AE69" i="45" s="1"/>
  <c r="L25" i="45" a="1"/>
  <c r="L25" i="45" s="1"/>
  <c r="AJ25" i="45" s="1"/>
  <c r="AK66" i="45" s="1"/>
  <c r="L49" i="45" a="1"/>
  <c r="L49" i="45" s="1"/>
  <c r="AJ49" i="45" s="1"/>
  <c r="AK74" i="45" s="1"/>
  <c r="I4" i="44" a="1"/>
  <c r="I4" i="44" s="1"/>
  <c r="AG4" i="44" s="1"/>
  <c r="AH59" i="44" s="1"/>
  <c r="H28" i="44" a="1"/>
  <c r="H28" i="44" s="1"/>
  <c r="I9" i="44" a="1"/>
  <c r="I9" i="44" s="1"/>
  <c r="Z10" i="44" s="1"/>
  <c r="AA61" i="44" s="1"/>
  <c r="H36" i="44" a="1"/>
  <c r="H36" i="44" s="1"/>
  <c r="H21" i="50" a="1"/>
  <c r="H21" i="50" s="1"/>
  <c r="M5" i="50" a="1"/>
  <c r="M5" i="50" s="1"/>
  <c r="AR4" i="50" s="1"/>
  <c r="AS59" i="50" s="1"/>
  <c r="K18" i="50" a="1"/>
  <c r="K18" i="50" s="1"/>
  <c r="AB19" i="50" s="1"/>
  <c r="AC64" i="50" s="1"/>
  <c r="K45" i="50" a="1"/>
  <c r="K45" i="50" s="1"/>
  <c r="AB46" i="50" s="1"/>
  <c r="AC73" i="50" s="1"/>
  <c r="I50" i="50" a="1"/>
  <c r="I50" i="50" s="1"/>
  <c r="N28" i="49" a="1"/>
  <c r="N28" i="49" s="1"/>
  <c r="AL28" i="49" s="1"/>
  <c r="AM67" i="49" s="1"/>
  <c r="I12" i="49" a="1"/>
  <c r="I12" i="49" s="1"/>
  <c r="Z13" i="49" s="1"/>
  <c r="AA62" i="49" s="1"/>
  <c r="L44" i="49" a="1"/>
  <c r="L44" i="49" s="1"/>
  <c r="AQ43" i="49" s="1"/>
  <c r="AR72" i="49" s="1"/>
  <c r="I41" i="49" a="1"/>
  <c r="I41" i="49" s="1"/>
  <c r="AN40" i="49" s="1"/>
  <c r="AO71" i="49" s="1"/>
  <c r="I47" i="49" a="1"/>
  <c r="I47" i="49" s="1"/>
  <c r="AN46" i="49" s="1"/>
  <c r="AO73" i="49" s="1"/>
  <c r="H30" i="50" a="1"/>
  <c r="H30" i="50" s="1"/>
  <c r="I15" i="50" a="1"/>
  <c r="I15" i="50" s="1"/>
  <c r="Z16" i="50" s="1"/>
  <c r="AA63" i="50" s="1"/>
  <c r="H40" i="50" a="1"/>
  <c r="H40" i="50" s="1"/>
  <c r="H48" i="50" a="1"/>
  <c r="H48" i="50" s="1"/>
  <c r="M56" i="50" a="1"/>
  <c r="M56" i="50" s="1"/>
  <c r="M30" i="49" a="1"/>
  <c r="M30" i="49" s="1"/>
  <c r="AD31" i="49" s="1"/>
  <c r="AE68" i="49" s="1"/>
  <c r="N12" i="49" a="1"/>
  <c r="N12" i="49" s="1"/>
  <c r="AE13" i="49" s="1"/>
  <c r="AF62" i="49" s="1"/>
  <c r="K26" i="49" a="1"/>
  <c r="K26" i="49" s="1"/>
  <c r="AP25" i="49" s="1"/>
  <c r="AQ66" i="49" s="1"/>
  <c r="I42" i="49" a="1"/>
  <c r="I42" i="49" s="1"/>
  <c r="Z43" i="49" s="1"/>
  <c r="AA72" i="49" s="1"/>
  <c r="M49" i="49" a="1"/>
  <c r="M49" i="49" s="1"/>
  <c r="AK49" i="49" s="1"/>
  <c r="AL74" i="49" s="1"/>
  <c r="K35" i="50" a="1"/>
  <c r="K35" i="50" s="1"/>
  <c r="AP34" i="50" s="1"/>
  <c r="AQ69" i="50" s="1"/>
  <c r="J3" i="50" a="1"/>
  <c r="J3" i="50" s="1"/>
  <c r="AA4" i="50" s="1"/>
  <c r="AB59" i="50" s="1"/>
  <c r="K40" i="50" a="1"/>
  <c r="K40" i="50" s="1"/>
  <c r="AI40" i="50" s="1"/>
  <c r="AJ71" i="50" s="1"/>
  <c r="K50" i="50" a="1"/>
  <c r="K50" i="50" s="1"/>
  <c r="N9" i="49" a="1"/>
  <c r="N9" i="49" s="1"/>
  <c r="K23" i="49" a="1"/>
  <c r="K23" i="49" s="1"/>
  <c r="AP22" i="49" s="1"/>
  <c r="AQ65" i="49" s="1"/>
  <c r="M10" i="49" a="1"/>
  <c r="M10" i="49" s="1"/>
  <c r="AK10" i="49" s="1"/>
  <c r="AL61" i="49" s="1"/>
  <c r="H44" i="49" a="1"/>
  <c r="H44" i="49" s="1"/>
  <c r="I48" i="49" a="1"/>
  <c r="I48" i="49" s="1"/>
  <c r="Z49" i="49" s="1"/>
  <c r="AA74" i="49" s="1"/>
  <c r="N56" i="51" a="1"/>
  <c r="N56" i="51" s="1"/>
  <c r="N33" i="50" a="1"/>
  <c r="N33" i="50" s="1"/>
  <c r="AE34" i="50" s="1"/>
  <c r="AF69" i="50" s="1"/>
  <c r="M13" i="50" a="1"/>
  <c r="M13" i="50" s="1"/>
  <c r="AK13" i="50" s="1"/>
  <c r="AL62" i="50" s="1"/>
  <c r="I38" i="50" a="1"/>
  <c r="I38" i="50" s="1"/>
  <c r="AN37" i="50" s="1"/>
  <c r="AO70" i="50" s="1"/>
  <c r="N53" i="50" a="1"/>
  <c r="N53" i="50" s="1"/>
  <c r="N13" i="49" a="1"/>
  <c r="N13" i="49" s="1"/>
  <c r="AL13" i="49" s="1"/>
  <c r="AM62" i="49" s="1"/>
  <c r="H9" i="49" a="1"/>
  <c r="H9" i="49" s="1"/>
  <c r="I32" i="49" a="1"/>
  <c r="I32" i="49" s="1"/>
  <c r="AN31" i="49" s="1"/>
  <c r="AO68" i="49" s="1"/>
  <c r="N52" i="49" a="1"/>
  <c r="N52" i="49" s="1"/>
  <c r="AL52" i="49" s="1"/>
  <c r="AM75" i="49" s="1"/>
  <c r="J14" i="48" a="1"/>
  <c r="J14" i="48" s="1"/>
  <c r="AR13" i="48" s="1"/>
  <c r="AS62" i="48" s="1"/>
  <c r="N49" i="51" a="1"/>
  <c r="N49" i="51" s="1"/>
  <c r="AL49" i="51" s="1"/>
  <c r="AM74" i="51" s="1"/>
  <c r="K24" i="50" a="1"/>
  <c r="K24" i="50" s="1"/>
  <c r="AB25" i="50" s="1"/>
  <c r="AC66" i="50" s="1"/>
  <c r="N20" i="50" a="1"/>
  <c r="N20" i="50" s="1"/>
  <c r="M34" i="50" a="1"/>
  <c r="M34" i="50" s="1"/>
  <c r="AK34" i="50" s="1"/>
  <c r="AL69" i="50" s="1"/>
  <c r="L34" i="50" a="1"/>
  <c r="L34" i="50" s="1"/>
  <c r="AJ34" i="50" s="1"/>
  <c r="AK69" i="50" s="1"/>
  <c r="I3" i="49" a="1"/>
  <c r="I3" i="49" s="1"/>
  <c r="Z4" i="49" s="1"/>
  <c r="AA59" i="49" s="1"/>
  <c r="K15" i="49" a="1"/>
  <c r="K15" i="49" s="1"/>
  <c r="AB16" i="49" s="1"/>
  <c r="AC63" i="49" s="1"/>
  <c r="I14" i="49" a="1"/>
  <c r="I14" i="49" s="1"/>
  <c r="AN13" i="49" s="1"/>
  <c r="AO62" i="49" s="1"/>
  <c r="N37" i="49" a="1"/>
  <c r="N37" i="49" s="1"/>
  <c r="AL37" i="49" s="1"/>
  <c r="AM70" i="49" s="1"/>
  <c r="L56" i="49" a="1"/>
  <c r="L56" i="49" s="1"/>
  <c r="K49" i="51" a="1"/>
  <c r="K49" i="51" s="1"/>
  <c r="AI49" i="51" s="1"/>
  <c r="AJ74" i="51" s="1"/>
  <c r="M30" i="50" a="1"/>
  <c r="M30" i="50" s="1"/>
  <c r="AD31" i="50" s="1"/>
  <c r="AE68" i="50" s="1"/>
  <c r="J15" i="50" a="1"/>
  <c r="J15" i="50" s="1"/>
  <c r="AA16" i="50" s="1"/>
  <c r="AB63" i="50" s="1"/>
  <c r="J44" i="50" a="1"/>
  <c r="J44" i="50" s="1"/>
  <c r="AO43" i="50" s="1"/>
  <c r="AP72" i="50" s="1"/>
  <c r="N4" i="45" a="1"/>
  <c r="N4" i="45" s="1"/>
  <c r="AL4" i="45" s="1"/>
  <c r="AM59" i="45" s="1"/>
  <c r="H31" i="45" a="1"/>
  <c r="H31" i="45" s="1"/>
  <c r="N7" i="44" a="1"/>
  <c r="N7" i="44" s="1"/>
  <c r="AL7" i="44" s="1"/>
  <c r="AM60" i="44" s="1"/>
  <c r="N33" i="44" a="1"/>
  <c r="N33" i="44" s="1"/>
  <c r="AE34" i="44" s="1"/>
  <c r="AF69" i="44" s="1"/>
  <c r="J39" i="46" a="1"/>
  <c r="J39" i="46" s="1"/>
  <c r="AA40" i="46" s="1"/>
  <c r="AB71" i="46" s="1"/>
  <c r="J56" i="46" a="1"/>
  <c r="J56" i="46" s="1"/>
  <c r="H6" i="45" a="1"/>
  <c r="H6" i="45" s="1"/>
  <c r="I23" i="45" a="1"/>
  <c r="I23" i="45" s="1"/>
  <c r="AN22" i="45" s="1"/>
  <c r="AO65" i="45" s="1"/>
  <c r="K41" i="45" a="1"/>
  <c r="K41" i="45" s="1"/>
  <c r="AP40" i="45" s="1"/>
  <c r="AQ71" i="45" s="1"/>
  <c r="I52" i="45" a="1"/>
  <c r="I52" i="45" s="1"/>
  <c r="AG52" i="45" s="1"/>
  <c r="AH75" i="45" s="1"/>
  <c r="K11" i="44" a="1"/>
  <c r="K11" i="44" s="1"/>
  <c r="AP10" i="44" s="1"/>
  <c r="AQ61" i="44" s="1"/>
  <c r="H34" i="44" a="1"/>
  <c r="H34" i="44" s="1"/>
  <c r="H46" i="44" a="1"/>
  <c r="H46" i="44" s="1"/>
  <c r="I28" i="46" a="1"/>
  <c r="I28" i="46" s="1"/>
  <c r="AG28" i="46" s="1"/>
  <c r="AH67" i="46" s="1"/>
  <c r="M48" i="46" a="1"/>
  <c r="M48" i="46" s="1"/>
  <c r="AD49" i="46" s="1"/>
  <c r="AE74" i="46" s="1"/>
  <c r="K5" i="45" a="1"/>
  <c r="K5" i="45" s="1"/>
  <c r="AP4" i="45" s="1"/>
  <c r="AQ59" i="45" s="1"/>
  <c r="M17" i="45" a="1"/>
  <c r="M17" i="45" s="1"/>
  <c r="AR16" i="45" s="1"/>
  <c r="AS63" i="45" s="1"/>
  <c r="I25" i="45" a="1"/>
  <c r="I25" i="45" s="1"/>
  <c r="AG25" i="45" s="1"/>
  <c r="AH66" i="45" s="1"/>
  <c r="H47" i="45" a="1"/>
  <c r="H47" i="45" s="1"/>
  <c r="H5" i="44" a="1"/>
  <c r="H5" i="44" s="1"/>
  <c r="N26" i="44" a="1"/>
  <c r="N26" i="44" s="1"/>
  <c r="AS25" i="44" s="1"/>
  <c r="AT66" i="44" s="1"/>
  <c r="N29" i="44" a="1"/>
  <c r="N29" i="44" s="1"/>
  <c r="AS28" i="44" s="1"/>
  <c r="AT67" i="44" s="1"/>
  <c r="N40" i="44" a="1"/>
  <c r="N40" i="44" s="1"/>
  <c r="AL40" i="44" s="1"/>
  <c r="AM71" i="44" s="1"/>
  <c r="I45" i="46" a="1"/>
  <c r="I45" i="46" s="1"/>
  <c r="Z46" i="46" s="1"/>
  <c r="AA73" i="46" s="1"/>
  <c r="K53" i="46" a="1"/>
  <c r="K53" i="46" s="1"/>
  <c r="N7" i="45" a="1"/>
  <c r="N7" i="45" s="1"/>
  <c r="AL7" i="45" s="1"/>
  <c r="AM60" i="45" s="1"/>
  <c r="L28" i="45" a="1"/>
  <c r="L28" i="45" s="1"/>
  <c r="AJ28" i="45" s="1"/>
  <c r="AK67" i="45" s="1"/>
  <c r="N37" i="45" a="1"/>
  <c r="N37" i="45" s="1"/>
  <c r="AL37" i="45" s="1"/>
  <c r="AM70" i="45" s="1"/>
  <c r="K47" i="45" a="1"/>
  <c r="K47" i="45" s="1"/>
  <c r="AP46" i="45" s="1"/>
  <c r="AQ73" i="45" s="1"/>
  <c r="N20" i="44" a="1"/>
  <c r="N20" i="44" s="1"/>
  <c r="AS19" i="44" s="1"/>
  <c r="AT64" i="44" s="1"/>
  <c r="J19" i="44" a="1"/>
  <c r="J19" i="44" s="1"/>
  <c r="AH19" i="44" s="1"/>
  <c r="AI64" i="44" s="1"/>
  <c r="M29" i="44" a="1"/>
  <c r="M29" i="44" s="1"/>
  <c r="AR28" i="44" s="1"/>
  <c r="AS67" i="44" s="1"/>
  <c r="J40" i="44" a="1"/>
  <c r="J40" i="44" s="1"/>
  <c r="AH40" i="44" s="1"/>
  <c r="AI71" i="44" s="1"/>
  <c r="M27" i="50" a="1"/>
  <c r="M27" i="50" s="1"/>
  <c r="AD28" i="50" s="1"/>
  <c r="AE67" i="50" s="1"/>
  <c r="K13" i="50" a="1"/>
  <c r="K13" i="50" s="1"/>
  <c r="AI13" i="50" s="1"/>
  <c r="AJ62" i="50" s="1"/>
  <c r="L32" i="50" a="1"/>
  <c r="L32" i="50" s="1"/>
  <c r="AQ31" i="50" s="1"/>
  <c r="AR68" i="50" s="1"/>
  <c r="J42" i="50" a="1"/>
  <c r="J42" i="50" s="1"/>
  <c r="AA43" i="50" s="1"/>
  <c r="AB72" i="50" s="1"/>
  <c r="I56" i="50" a="1"/>
  <c r="I56" i="50" s="1"/>
  <c r="J17" i="49" a="1"/>
  <c r="J17" i="49" s="1"/>
  <c r="AO16" i="49" s="1"/>
  <c r="AP63" i="49" s="1"/>
  <c r="K27" i="49" a="1"/>
  <c r="K27" i="49" s="1"/>
  <c r="AB28" i="49" s="1"/>
  <c r="AC67" i="49" s="1"/>
  <c r="J34" i="49" a="1"/>
  <c r="J34" i="49" s="1"/>
  <c r="AH34" i="49" s="1"/>
  <c r="AI69" i="49" s="1"/>
  <c r="I44" i="49" a="1"/>
  <c r="I44" i="49" s="1"/>
  <c r="AN43" i="49" s="1"/>
  <c r="AO72" i="49" s="1"/>
  <c r="K55" i="49" a="1"/>
  <c r="K55" i="49" s="1"/>
  <c r="AI55" i="49" s="1"/>
  <c r="AJ76" i="49" s="1"/>
  <c r="M23" i="50" a="1"/>
  <c r="M23" i="50" s="1"/>
  <c r="AR22" i="50" s="1"/>
  <c r="AS65" i="50" s="1"/>
  <c r="J33" i="50" a="1"/>
  <c r="J33" i="50" s="1"/>
  <c r="AA34" i="50" s="1"/>
  <c r="AB69" i="50" s="1"/>
  <c r="H39" i="50" a="1"/>
  <c r="H39" i="50" s="1"/>
  <c r="M52" i="50" a="1"/>
  <c r="M52" i="50" s="1"/>
  <c r="AK52" i="50" s="1"/>
  <c r="AL75" i="50" s="1"/>
  <c r="M54" i="50" a="1"/>
  <c r="M54" i="50" s="1"/>
  <c r="AD55" i="50" s="1"/>
  <c r="AE76" i="50" s="1"/>
  <c r="J9" i="49" a="1"/>
  <c r="J9" i="49" s="1"/>
  <c r="AA10" i="49" s="1"/>
  <c r="AB61" i="49" s="1"/>
  <c r="I22" i="49" a="1"/>
  <c r="I22" i="49" s="1"/>
  <c r="AG22" i="49" s="1"/>
  <c r="AH65" i="49" s="1"/>
  <c r="H35" i="49" a="1"/>
  <c r="H35" i="49" s="1"/>
  <c r="M34" i="49" a="1"/>
  <c r="M34" i="49" s="1"/>
  <c r="AK34" i="49" s="1"/>
  <c r="AL69" i="49" s="1"/>
  <c r="H48" i="51" a="1"/>
  <c r="H48" i="51" s="1"/>
  <c r="M33" i="50" a="1"/>
  <c r="M33" i="50" s="1"/>
  <c r="AD34" i="50" s="1"/>
  <c r="AE69" i="50" s="1"/>
  <c r="N15" i="50" a="1"/>
  <c r="N15" i="50" s="1"/>
  <c r="AE16" i="50" s="1"/>
  <c r="AF63" i="50" s="1"/>
  <c r="N39" i="50" a="1"/>
  <c r="N39" i="50" s="1"/>
  <c r="AE40" i="50" s="1"/>
  <c r="AF71" i="50" s="1"/>
  <c r="I44" i="50" a="1"/>
  <c r="I44" i="50" s="1"/>
  <c r="AN43" i="50" s="1"/>
  <c r="AO72" i="50" s="1"/>
  <c r="J53" i="49" a="1"/>
  <c r="J53" i="49" s="1"/>
  <c r="L36" i="49" a="1"/>
  <c r="L36" i="49" s="1"/>
  <c r="AC37" i="49" s="1"/>
  <c r="AD70" i="49" s="1"/>
  <c r="M20" i="49" a="1"/>
  <c r="M20" i="49" s="1"/>
  <c r="AR19" i="49" s="1"/>
  <c r="AS64" i="49" s="1"/>
  <c r="H43" i="49" a="1"/>
  <c r="H43" i="49" s="1"/>
  <c r="M52" i="49" a="1"/>
  <c r="M52" i="49" s="1"/>
  <c r="AK52" i="49" s="1"/>
  <c r="AL75" i="49" s="1"/>
  <c r="H45" i="50" a="1"/>
  <c r="H45" i="50" s="1"/>
  <c r="L16" i="50" a="1"/>
  <c r="L16" i="50" s="1"/>
  <c r="AJ16" i="50" s="1"/>
  <c r="AK63" i="50" s="1"/>
  <c r="K22" i="50" a="1"/>
  <c r="K22" i="50" s="1"/>
  <c r="AI22" i="50" s="1"/>
  <c r="AJ65" i="50" s="1"/>
  <c r="M48" i="50" a="1"/>
  <c r="M48" i="50" s="1"/>
  <c r="AD49" i="50" s="1"/>
  <c r="AE74" i="50" s="1"/>
  <c r="N51" i="50" a="1"/>
  <c r="N51" i="50" s="1"/>
  <c r="M22" i="49" a="1"/>
  <c r="M22" i="49" s="1"/>
  <c r="AK22" i="49" s="1"/>
  <c r="AL65" i="49" s="1"/>
  <c r="M17" i="49" a="1"/>
  <c r="M17" i="49" s="1"/>
  <c r="AR16" i="49" s="1"/>
  <c r="AS63" i="49" s="1"/>
  <c r="J32" i="49" a="1"/>
  <c r="J32" i="49" s="1"/>
  <c r="AO31" i="49" s="1"/>
  <c r="AP68" i="49" s="1"/>
  <c r="J51" i="49" a="1"/>
  <c r="J51" i="49" s="1"/>
  <c r="H13" i="48" a="1"/>
  <c r="H13" i="48" s="1"/>
  <c r="M48" i="51" a="1"/>
  <c r="M48" i="51" s="1"/>
  <c r="AD49" i="51" s="1"/>
  <c r="AE74" i="51" s="1"/>
  <c r="J30" i="50" a="1"/>
  <c r="J30" i="50" s="1"/>
  <c r="AA31" i="50" s="1"/>
  <c r="AB68" i="50" s="1"/>
  <c r="L4" i="50" a="1"/>
  <c r="L4" i="50" s="1"/>
  <c r="AJ4" i="50" s="1"/>
  <c r="AK59" i="50" s="1"/>
  <c r="M42" i="50" a="1"/>
  <c r="M42" i="50" s="1"/>
  <c r="AD43" i="50" s="1"/>
  <c r="AE72" i="50" s="1"/>
  <c r="H51" i="50" a="1"/>
  <c r="H51" i="50" s="1"/>
  <c r="M5" i="49" a="1"/>
  <c r="M5" i="49" s="1"/>
  <c r="AR4" i="49" s="1"/>
  <c r="AS59" i="49" s="1"/>
  <c r="N4" i="49" a="1"/>
  <c r="N4" i="49" s="1"/>
  <c r="AL4" i="49" s="1"/>
  <c r="AM59" i="49" s="1"/>
  <c r="N23" i="49" a="1"/>
  <c r="N23" i="49" s="1"/>
  <c r="AS22" i="49" s="1"/>
  <c r="AT65" i="49" s="1"/>
  <c r="L35" i="49" a="1"/>
  <c r="L35" i="49" s="1"/>
  <c r="AQ34" i="49" s="1"/>
  <c r="AR69" i="49" s="1"/>
  <c r="I13" i="48" a="1"/>
  <c r="I13" i="48" s="1"/>
  <c r="AJ13" i="48" s="1"/>
  <c r="AK62" i="48" s="1"/>
  <c r="I56" i="51" a="1"/>
  <c r="I56" i="51" s="1"/>
  <c r="H5" i="50" a="1"/>
  <c r="H5" i="50" s="1"/>
  <c r="L26" i="50" a="1"/>
  <c r="L26" i="50" s="1"/>
  <c r="AQ25" i="50" s="1"/>
  <c r="AR66" i="50" s="1"/>
  <c r="N21" i="45" a="1"/>
  <c r="N21" i="45" s="1"/>
  <c r="AE22" i="45" s="1"/>
  <c r="AF65" i="45" s="1"/>
  <c r="K25" i="45" a="1"/>
  <c r="K25" i="45" s="1"/>
  <c r="AI25" i="45" s="1"/>
  <c r="AJ66" i="45" s="1"/>
  <c r="H12" i="44" a="1"/>
  <c r="H12" i="44" s="1"/>
  <c r="H23" i="44" a="1"/>
  <c r="H23" i="44" s="1"/>
  <c r="J43" i="46" a="1"/>
  <c r="J43" i="46" s="1"/>
  <c r="AH43" i="46" s="1"/>
  <c r="AI72" i="46" s="1"/>
  <c r="J54" i="46" a="1"/>
  <c r="J54" i="46" s="1"/>
  <c r="AA55" i="46" s="1"/>
  <c r="AB76" i="46" s="1"/>
  <c r="J6" i="45" a="1"/>
  <c r="J6" i="45" s="1"/>
  <c r="AA7" i="45" s="1"/>
  <c r="AB60" i="45" s="1"/>
  <c r="L16" i="45" a="1"/>
  <c r="L16" i="45" s="1"/>
  <c r="AJ16" i="45" s="1"/>
  <c r="AK63" i="45" s="1"/>
  <c r="M36" i="45" a="1"/>
  <c r="M36" i="45" s="1"/>
  <c r="AD37" i="45" s="1"/>
  <c r="AE70" i="45" s="1"/>
  <c r="L53" i="45" a="1"/>
  <c r="L53" i="45" s="1"/>
  <c r="L17" i="44" a="1"/>
  <c r="L17" i="44" s="1"/>
  <c r="AQ16" i="44" s="1"/>
  <c r="AR63" i="44" s="1"/>
  <c r="I22" i="44" a="1"/>
  <c r="I22" i="44" s="1"/>
  <c r="AG22" i="44" s="1"/>
  <c r="AH65" i="44" s="1"/>
  <c r="H37" i="44" a="1"/>
  <c r="H37" i="44" s="1"/>
  <c r="H34" i="46" a="1"/>
  <c r="H34" i="46" s="1"/>
  <c r="N51" i="46" a="1"/>
  <c r="N51" i="46" s="1"/>
  <c r="H18" i="45" a="1"/>
  <c r="H18" i="45" s="1"/>
  <c r="N23" i="45" a="1"/>
  <c r="N23" i="45" s="1"/>
  <c r="AS22" i="45" s="1"/>
  <c r="AT65" i="45" s="1"/>
  <c r="M34" i="45" a="1"/>
  <c r="M34" i="45" s="1"/>
  <c r="AK34" i="45" s="1"/>
  <c r="AL69" i="45" s="1"/>
  <c r="I51" i="45" a="1"/>
  <c r="I51" i="45" s="1"/>
  <c r="I13" i="44" a="1"/>
  <c r="I13" i="44" s="1"/>
  <c r="AG13" i="44" s="1"/>
  <c r="AH62" i="44" s="1"/>
  <c r="J29" i="44" a="1"/>
  <c r="J29" i="44" s="1"/>
  <c r="AO28" i="44" s="1"/>
  <c r="AP67" i="44" s="1"/>
  <c r="M26" i="44" a="1"/>
  <c r="M26" i="44" s="1"/>
  <c r="AR25" i="44" s="1"/>
  <c r="AS66" i="44" s="1"/>
  <c r="K43" i="44" a="1"/>
  <c r="K43" i="44" s="1"/>
  <c r="AI43" i="44" s="1"/>
  <c r="AJ72" i="44" s="1"/>
  <c r="M46" i="46" a="1"/>
  <c r="M46" i="46" s="1"/>
  <c r="AK46" i="46" s="1"/>
  <c r="AL73" i="46" s="1"/>
  <c r="L55" i="46" a="1"/>
  <c r="L55" i="46" s="1"/>
  <c r="AJ55" i="46" s="1"/>
  <c r="AK76" i="46" s="1"/>
  <c r="I9" i="45" a="1"/>
  <c r="I9" i="45" s="1"/>
  <c r="Z10" i="45" s="1"/>
  <c r="AA61" i="45" s="1"/>
  <c r="N16" i="45" a="1"/>
  <c r="N16" i="45" s="1"/>
  <c r="AL16" i="45" s="1"/>
  <c r="AM63" i="45" s="1"/>
  <c r="J41" i="45" a="1"/>
  <c r="J41" i="45" s="1"/>
  <c r="AO40" i="45" s="1"/>
  <c r="AP71" i="45" s="1"/>
  <c r="M51" i="45" a="1"/>
  <c r="M51" i="45" s="1"/>
  <c r="L10" i="44" a="1"/>
  <c r="L10" i="44" s="1"/>
  <c r="AJ10" i="44" s="1"/>
  <c r="AK61" i="44" s="1"/>
  <c r="H30" i="44" a="1"/>
  <c r="H30" i="44" s="1"/>
  <c r="N36" i="44" a="1"/>
  <c r="N36" i="44" s="1"/>
  <c r="L47" i="44" a="1"/>
  <c r="L47" i="44" s="1"/>
  <c r="AQ46" i="44" s="1"/>
  <c r="AR73" i="44" s="1"/>
  <c r="L19" i="50" a="1"/>
  <c r="L19" i="50" s="1"/>
  <c r="AJ19" i="50" s="1"/>
  <c r="AK64" i="50" s="1"/>
  <c r="H25" i="50" a="1"/>
  <c r="H25" i="50" s="1"/>
  <c r="K36" i="50" a="1"/>
  <c r="K36" i="50" s="1"/>
  <c r="AB37" i="50" s="1"/>
  <c r="AC70" i="50" s="1"/>
  <c r="J47" i="50" a="1"/>
  <c r="J47" i="50" s="1"/>
  <c r="AO46" i="50" s="1"/>
  <c r="AP73" i="50" s="1"/>
  <c r="I54" i="50" a="1"/>
  <c r="I54" i="50" s="1"/>
  <c r="Z55" i="50" s="1"/>
  <c r="AA76" i="50" s="1"/>
  <c r="H30" i="49" a="1"/>
  <c r="H30" i="49" s="1"/>
  <c r="K31" i="49" a="1"/>
  <c r="K31" i="49" s="1"/>
  <c r="AI31" i="49" s="1"/>
  <c r="AJ68" i="49" s="1"/>
  <c r="H28" i="49" a="1"/>
  <c r="H28" i="49" s="1"/>
  <c r="K45" i="49" a="1"/>
  <c r="K45" i="49" s="1"/>
  <c r="AB46" i="49" s="1"/>
  <c r="AC73" i="49" s="1"/>
  <c r="H56" i="51" a="1"/>
  <c r="H56" i="51" s="1"/>
  <c r="I31" i="50" a="1"/>
  <c r="I31" i="50" s="1"/>
  <c r="AG31" i="50" s="1"/>
  <c r="AH68" i="50" s="1"/>
  <c r="I11" i="50" a="1"/>
  <c r="I11" i="50" s="1"/>
  <c r="AN10" i="50" s="1"/>
  <c r="AO61" i="50" s="1"/>
  <c r="K39" i="50" a="1"/>
  <c r="K39" i="50" s="1"/>
  <c r="AB40" i="50" s="1"/>
  <c r="AC71" i="50" s="1"/>
  <c r="H44" i="50" a="1"/>
  <c r="H44" i="50" s="1"/>
  <c r="J54" i="50" a="1"/>
  <c r="J54" i="50" s="1"/>
  <c r="AA55" i="50" s="1"/>
  <c r="AB76" i="50" s="1"/>
  <c r="N21" i="49" a="1"/>
  <c r="N21" i="49" s="1"/>
  <c r="AE22" i="49" s="1"/>
  <c r="AF65" i="49" s="1"/>
  <c r="K28" i="49" a="1"/>
  <c r="K28" i="49" s="1"/>
  <c r="AI28" i="49" s="1"/>
  <c r="AJ67" i="49" s="1"/>
  <c r="I11" i="49" a="1"/>
  <c r="I11" i="49" s="1"/>
  <c r="AN10" i="49" s="1"/>
  <c r="AO61" i="49" s="1"/>
  <c r="L43" i="49" a="1"/>
  <c r="L43" i="49" s="1"/>
  <c r="AJ43" i="49" s="1"/>
  <c r="AK72" i="49" s="1"/>
  <c r="I50" i="51" a="1"/>
  <c r="I50" i="51" s="1"/>
  <c r="M7" i="50" a="1"/>
  <c r="M7" i="50" s="1"/>
  <c r="AK7" i="50" s="1"/>
  <c r="AL60" i="50" s="1"/>
  <c r="M4" i="50" a="1"/>
  <c r="M4" i="50" s="1"/>
  <c r="AK4" i="50" s="1"/>
  <c r="AL59" i="50" s="1"/>
  <c r="H33" i="50" a="1"/>
  <c r="H33" i="50" s="1"/>
  <c r="I34" i="50" a="1"/>
  <c r="I34" i="50" s="1"/>
  <c r="AG34" i="50" s="1"/>
  <c r="AH69" i="50" s="1"/>
  <c r="J11" i="49" a="1"/>
  <c r="J11" i="49" s="1"/>
  <c r="AO10" i="49" s="1"/>
  <c r="AP61" i="49" s="1"/>
  <c r="M14" i="49" a="1"/>
  <c r="M14" i="49" s="1"/>
  <c r="AR13" i="49" s="1"/>
  <c r="AS62" i="49" s="1"/>
  <c r="N26" i="49" a="1"/>
  <c r="N26" i="49" s="1"/>
  <c r="AS25" i="49" s="1"/>
  <c r="AT66" i="49" s="1"/>
  <c r="L47" i="49" a="1"/>
  <c r="L47" i="49" s="1"/>
  <c r="AQ46" i="49" s="1"/>
  <c r="AR73" i="49" s="1"/>
  <c r="M56" i="49" a="1"/>
  <c r="M56" i="49" s="1"/>
  <c r="L27" i="50" a="1"/>
  <c r="L27" i="50" s="1"/>
  <c r="AC28" i="50" s="1"/>
  <c r="AD67" i="50" s="1"/>
  <c r="J17" i="50" a="1"/>
  <c r="J17" i="50" s="1"/>
  <c r="K20" i="50" a="1"/>
  <c r="K20" i="50" s="1"/>
  <c r="K44" i="50" a="1"/>
  <c r="K44" i="50" s="1"/>
  <c r="AP43" i="50" s="1"/>
  <c r="AQ72" i="50" s="1"/>
  <c r="L51" i="50" a="1"/>
  <c r="L51" i="50" s="1"/>
  <c r="J13" i="49" a="1"/>
  <c r="J13" i="49" s="1"/>
  <c r="AH13" i="49" s="1"/>
  <c r="AI62" i="49" s="1"/>
  <c r="H13" i="49" a="1"/>
  <c r="H13" i="49" s="1"/>
  <c r="I18" i="49" a="1"/>
  <c r="I18" i="49" s="1"/>
  <c r="Z19" i="49" s="1"/>
  <c r="AA64" i="49" s="1"/>
  <c r="N49" i="49" a="1"/>
  <c r="N49" i="49" s="1"/>
  <c r="AL49" i="49" s="1"/>
  <c r="AM74" i="49" s="1"/>
  <c r="K7" i="48" a="1"/>
  <c r="K7" i="48" s="1"/>
  <c r="AL7" i="48" s="1"/>
  <c r="AM60" i="48" s="1"/>
  <c r="L54" i="51" a="1"/>
  <c r="L54" i="51" s="1"/>
  <c r="AC55" i="51" s="1"/>
  <c r="AD76" i="51" s="1"/>
  <c r="N21" i="50" a="1"/>
  <c r="N21" i="50" s="1"/>
  <c r="AE22" i="50" s="1"/>
  <c r="AF65" i="50" s="1"/>
  <c r="J22" i="50" a="1"/>
  <c r="J22" i="50" s="1"/>
  <c r="AH22" i="50" s="1"/>
  <c r="AI65" i="50" s="1"/>
  <c r="M38" i="50" a="1"/>
  <c r="M38" i="50" s="1"/>
  <c r="AR37" i="50" s="1"/>
  <c r="AS70" i="50" s="1"/>
  <c r="I46" i="50" a="1"/>
  <c r="I46" i="50" s="1"/>
  <c r="AG46" i="50" s="1"/>
  <c r="AH73" i="50" s="1"/>
  <c r="I39" i="49" a="1"/>
  <c r="I39" i="49" s="1"/>
  <c r="Z40" i="49" s="1"/>
  <c r="AA71" i="49" s="1"/>
  <c r="N16" i="49" a="1"/>
  <c r="N16" i="49" s="1"/>
  <c r="AL16" i="49" s="1"/>
  <c r="AM63" i="49" s="1"/>
  <c r="M26" i="49" a="1"/>
  <c r="M26" i="49" s="1"/>
  <c r="AR25" i="49" s="1"/>
  <c r="AS66" i="49" s="1"/>
  <c r="N43" i="49" a="1"/>
  <c r="N43" i="49" s="1"/>
  <c r="AL43" i="49" s="1"/>
  <c r="AM72" i="49" s="1"/>
  <c r="K9" i="45" a="1"/>
  <c r="K9" i="45" s="1"/>
  <c r="AB10" i="45" s="1"/>
  <c r="AC61" i="45" s="1"/>
  <c r="I36" i="45" a="1"/>
  <c r="I36" i="45" s="1"/>
  <c r="Z37" i="45" s="1"/>
  <c r="AA70" i="45" s="1"/>
  <c r="N13" i="44" a="1"/>
  <c r="N13" i="44" s="1"/>
  <c r="AL13" i="44" s="1"/>
  <c r="AM62" i="44" s="1"/>
  <c r="J24" i="44" a="1"/>
  <c r="J24" i="44" s="1"/>
  <c r="AA25" i="44" s="1"/>
  <c r="AB66" i="44" s="1"/>
  <c r="J47" i="46" a="1"/>
  <c r="J47" i="46" s="1"/>
  <c r="AO46" i="46" s="1"/>
  <c r="AP73" i="46" s="1"/>
  <c r="H23" i="45" a="1"/>
  <c r="H23" i="45" s="1"/>
  <c r="I18" i="45" a="1"/>
  <c r="I18" i="45" s="1"/>
  <c r="Z19" i="45" s="1"/>
  <c r="AA64" i="45" s="1"/>
  <c r="N24" i="45" a="1"/>
  <c r="N24" i="45" s="1"/>
  <c r="AE25" i="45" s="1"/>
  <c r="AF66" i="45" s="1"/>
  <c r="N46" i="45" a="1"/>
  <c r="N46" i="45" s="1"/>
  <c r="AL46" i="45" s="1"/>
  <c r="AM73" i="45" s="1"/>
  <c r="M54" i="45" a="1"/>
  <c r="M54" i="45" s="1"/>
  <c r="AD55" i="45" s="1"/>
  <c r="AE76" i="45" s="1"/>
  <c r="K8" i="44" a="1"/>
  <c r="K8" i="44" s="1"/>
  <c r="AP7" i="44" s="1"/>
  <c r="AQ60" i="44" s="1"/>
  <c r="N23" i="44" a="1"/>
  <c r="N23" i="44" s="1"/>
  <c r="AS22" i="44" s="1"/>
  <c r="AT65" i="44" s="1"/>
  <c r="I37" i="44" a="1"/>
  <c r="I37" i="44" s="1"/>
  <c r="AG37" i="44" s="1"/>
  <c r="AH70" i="44" s="1"/>
  <c r="H32" i="46" a="1"/>
  <c r="H32" i="46" s="1"/>
  <c r="M42" i="46" a="1"/>
  <c r="M42" i="46" s="1"/>
  <c r="AD43" i="46" s="1"/>
  <c r="AE72" i="46" s="1"/>
  <c r="J3" i="45" a="1"/>
  <c r="J3" i="45" s="1"/>
  <c r="AA4" i="45" s="1"/>
  <c r="AB59" i="45" s="1"/>
  <c r="H16" i="45" a="1"/>
  <c r="H16" i="45" s="1"/>
  <c r="N41" i="45" a="1"/>
  <c r="N41" i="45" s="1"/>
  <c r="AS40" i="45" s="1"/>
  <c r="AT71" i="45" s="1"/>
  <c r="M52" i="45" a="1"/>
  <c r="M52" i="45" s="1"/>
  <c r="AK52" i="45" s="1"/>
  <c r="AL75" i="45" s="1"/>
  <c r="K12" i="44" a="1"/>
  <c r="K12" i="44" s="1"/>
  <c r="AB13" i="44" s="1"/>
  <c r="AC62" i="44" s="1"/>
  <c r="I12" i="44" a="1"/>
  <c r="I12" i="44" s="1"/>
  <c r="Z13" i="44" s="1"/>
  <c r="AA62" i="44" s="1"/>
  <c r="H45" i="44" a="1"/>
  <c r="H45" i="44" s="1"/>
  <c r="N51" i="44" a="1"/>
  <c r="N51" i="44" s="1"/>
  <c r="L49" i="46" a="1"/>
  <c r="L49" i="46" s="1"/>
  <c r="AJ49" i="46" s="1"/>
  <c r="AK74" i="46" s="1"/>
  <c r="I53" i="46" a="1"/>
  <c r="I53" i="46" s="1"/>
  <c r="L13" i="45" a="1"/>
  <c r="L13" i="45" s="1"/>
  <c r="AJ13" i="45" s="1"/>
  <c r="AK62" i="45" s="1"/>
  <c r="H30" i="45" a="1"/>
  <c r="H30" i="45" s="1"/>
  <c r="J38" i="45" a="1"/>
  <c r="J38" i="45" s="1"/>
  <c r="AO37" i="45" s="1"/>
  <c r="AP70" i="45" s="1"/>
  <c r="K54" i="45" a="1"/>
  <c r="K54" i="45" s="1"/>
  <c r="AB55" i="45" s="1"/>
  <c r="AC76" i="45" s="1"/>
  <c r="M6" i="44" a="1"/>
  <c r="M6" i="44" s="1"/>
  <c r="AD7" i="44" s="1"/>
  <c r="AE60" i="44" s="1"/>
  <c r="M32" i="44" a="1"/>
  <c r="M32" i="44" s="1"/>
  <c r="AR31" i="44" s="1"/>
  <c r="AS68" i="44" s="1"/>
  <c r="J26" i="44" a="1"/>
  <c r="J26" i="44" s="1"/>
  <c r="AO25" i="44" s="1"/>
  <c r="AP66" i="44" s="1"/>
  <c r="K51" i="51" a="1"/>
  <c r="K51" i="51" s="1"/>
  <c r="N30" i="50" a="1"/>
  <c r="N30" i="50" s="1"/>
  <c r="AE31" i="50" s="1"/>
  <c r="AF68" i="50" s="1"/>
  <c r="J16" i="50" a="1"/>
  <c r="J16" i="50" s="1"/>
  <c r="AH16" i="50" s="1"/>
  <c r="AI63" i="50" s="1"/>
  <c r="L40" i="50" a="1"/>
  <c r="L40" i="50" s="1"/>
  <c r="AJ40" i="50" s="1"/>
  <c r="AK71" i="50" s="1"/>
  <c r="K42" i="50" a="1"/>
  <c r="K42" i="50" s="1"/>
  <c r="AB43" i="50" s="1"/>
  <c r="AC72" i="50" s="1"/>
  <c r="M55" i="50" a="1"/>
  <c r="M55" i="50" s="1"/>
  <c r="AK55" i="50" s="1"/>
  <c r="AL76" i="50" s="1"/>
  <c r="I21" i="49" a="1"/>
  <c r="I21" i="49" s="1"/>
  <c r="Z22" i="49" s="1"/>
  <c r="AA65" i="49" s="1"/>
  <c r="M6" i="49" a="1"/>
  <c r="M6" i="49" s="1"/>
  <c r="AD7" i="49" s="1"/>
  <c r="AE60" i="49" s="1"/>
  <c r="K38" i="49" a="1"/>
  <c r="K38" i="49" s="1"/>
  <c r="AP37" i="49" s="1"/>
  <c r="AQ70" i="49" s="1"/>
  <c r="J49" i="49" a="1"/>
  <c r="J49" i="49" s="1"/>
  <c r="AH49" i="49" s="1"/>
  <c r="AI74" i="49" s="1"/>
  <c r="M54" i="51" a="1"/>
  <c r="M54" i="51" s="1"/>
  <c r="AD55" i="51" s="1"/>
  <c r="AE76" i="51" s="1"/>
  <c r="L15" i="50" a="1"/>
  <c r="L15" i="50" s="1"/>
  <c r="AC16" i="50" s="1"/>
  <c r="AD63" i="50" s="1"/>
  <c r="J28" i="50" a="1"/>
  <c r="J28" i="50" s="1"/>
  <c r="AH28" i="50" s="1"/>
  <c r="AI67" i="50" s="1"/>
  <c r="J40" i="50" a="1"/>
  <c r="J40" i="50" s="1"/>
  <c r="AH40" i="50" s="1"/>
  <c r="AI71" i="50" s="1"/>
  <c r="H29" i="50" a="1"/>
  <c r="H29" i="50" s="1"/>
  <c r="N55" i="49" a="1"/>
  <c r="N55" i="49" s="1"/>
  <c r="AL55" i="49" s="1"/>
  <c r="AM76" i="49" s="1"/>
  <c r="I25" i="49" a="1"/>
  <c r="I25" i="49" s="1"/>
  <c r="AG25" i="49" s="1"/>
  <c r="AH66" i="49" s="1"/>
  <c r="H4" i="49" a="1"/>
  <c r="H4" i="49" s="1"/>
  <c r="I35" i="49" a="1"/>
  <c r="I35" i="49" s="1"/>
  <c r="AN34" i="49" s="1"/>
  <c r="AO69" i="49" s="1"/>
  <c r="K46" i="49" a="1"/>
  <c r="K46" i="49" s="1"/>
  <c r="AI46" i="49" s="1"/>
  <c r="AJ73" i="49" s="1"/>
  <c r="J56" i="51" a="1"/>
  <c r="J56" i="51" s="1"/>
  <c r="K23" i="50" a="1"/>
  <c r="K23" i="50" s="1"/>
  <c r="AP22" i="50" s="1"/>
  <c r="AQ65" i="50" s="1"/>
  <c r="M12" i="50" a="1"/>
  <c r="M12" i="50" s="1"/>
  <c r="AD13" i="50" s="1"/>
  <c r="AE62" i="50" s="1"/>
  <c r="L49" i="50" a="1"/>
  <c r="L49" i="50" s="1"/>
  <c r="AJ49" i="50" s="1"/>
  <c r="AK74" i="50" s="1"/>
  <c r="J53" i="50" a="1"/>
  <c r="J53" i="50" s="1"/>
  <c r="H21" i="49" a="1"/>
  <c r="H21" i="49" s="1"/>
  <c r="H26" i="49" a="1"/>
  <c r="H26" i="49" s="1"/>
  <c r="N35" i="49" a="1"/>
  <c r="N35" i="49" s="1"/>
  <c r="AS34" i="49" s="1"/>
  <c r="AT69" i="49" s="1"/>
  <c r="L52" i="49" a="1"/>
  <c r="L52" i="49" s="1"/>
  <c r="AJ52" i="49" s="1"/>
  <c r="AK75" i="49" s="1"/>
  <c r="H11" i="48" a="1"/>
  <c r="H11" i="48" s="1"/>
  <c r="L24" i="50" a="1"/>
  <c r="L24" i="50" s="1"/>
  <c r="AC25" i="50" s="1"/>
  <c r="AD66" i="50" s="1"/>
  <c r="I7" i="50" a="1"/>
  <c r="I7" i="50" s="1"/>
  <c r="AG7" i="50" s="1"/>
  <c r="AH60" i="50" s="1"/>
  <c r="M40" i="50" a="1"/>
  <c r="M40" i="50" s="1"/>
  <c r="AK40" i="50" s="1"/>
  <c r="AL71" i="50" s="1"/>
  <c r="L52" i="50" a="1"/>
  <c r="L52" i="50" s="1"/>
  <c r="AJ52" i="50" s="1"/>
  <c r="AK75" i="50" s="1"/>
  <c r="H11" i="49" a="1"/>
  <c r="H11" i="49" s="1"/>
  <c r="L6" i="49" a="1"/>
  <c r="L6" i="49" s="1"/>
  <c r="AC7" i="49" s="1"/>
  <c r="AD60" i="49" s="1"/>
  <c r="K22" i="49" a="1"/>
  <c r="K22" i="49" s="1"/>
  <c r="AI22" i="49" s="1"/>
  <c r="AJ65" i="49" s="1"/>
  <c r="H37" i="49" a="1"/>
  <c r="H37" i="49" s="1"/>
  <c r="H56" i="49" a="1"/>
  <c r="H56" i="49" s="1"/>
  <c r="L3" i="48" a="1"/>
  <c r="L3" i="48" s="1"/>
  <c r="AF4" i="48" s="1"/>
  <c r="AG59" i="48" s="1"/>
  <c r="I53" i="51" a="1"/>
  <c r="I53" i="51" s="1"/>
  <c r="H16" i="50" a="1"/>
  <c r="H16" i="50" s="1"/>
  <c r="N4" i="50" a="1"/>
  <c r="N4" i="50" s="1"/>
  <c r="AL4" i="50" s="1"/>
  <c r="AM59" i="50" s="1"/>
  <c r="H50" i="50" a="1"/>
  <c r="H50" i="50" s="1"/>
  <c r="H43" i="50" a="1"/>
  <c r="H43" i="50" s="1"/>
  <c r="K14" i="49" a="1"/>
  <c r="K14" i="49" s="1"/>
  <c r="AP13" i="49" s="1"/>
  <c r="AQ62" i="49" s="1"/>
  <c r="J27" i="49" a="1"/>
  <c r="J27" i="49" s="1"/>
  <c r="AA28" i="49" s="1"/>
  <c r="AB67" i="49" s="1"/>
  <c r="L28" i="49" a="1"/>
  <c r="L28" i="49" s="1"/>
  <c r="AJ28" i="49" s="1"/>
  <c r="AK67" i="49" s="1"/>
  <c r="N48" i="49" a="1"/>
  <c r="N48" i="49" s="1"/>
  <c r="AE49" i="49" s="1"/>
  <c r="AF74" i="49" s="1"/>
  <c r="J52" i="49" a="1"/>
  <c r="J52" i="49" s="1"/>
  <c r="AH52" i="49" s="1"/>
  <c r="AI75" i="49" s="1"/>
  <c r="M17" i="50" a="1"/>
  <c r="M17" i="50" s="1"/>
  <c r="H41" i="50" a="1"/>
  <c r="H41" i="50" s="1"/>
  <c r="N55" i="50" a="1"/>
  <c r="N55" i="50" s="1"/>
  <c r="AL55" i="50" s="1"/>
  <c r="AM76" i="50" s="1"/>
  <c r="J15" i="49" a="1"/>
  <c r="J15" i="49" s="1"/>
  <c r="AA16" i="49" s="1"/>
  <c r="AB63" i="49" s="1"/>
  <c r="L17" i="49" a="1"/>
  <c r="L17" i="49" s="1"/>
  <c r="AQ16" i="49" s="1"/>
  <c r="AR63" i="49" s="1"/>
  <c r="N44" i="49" a="1"/>
  <c r="N44" i="49" s="1"/>
  <c r="AS43" i="49" s="1"/>
  <c r="AT72" i="49" s="1"/>
  <c r="I36" i="49" a="1"/>
  <c r="I36" i="49" s="1"/>
  <c r="Z37" i="49" s="1"/>
  <c r="AA70" i="49" s="1"/>
  <c r="J9" i="48" a="1"/>
  <c r="J9" i="48" s="1"/>
  <c r="AD10" i="48" s="1"/>
  <c r="AE61" i="48" s="1"/>
  <c r="N11" i="50" a="1"/>
  <c r="N11" i="50" s="1"/>
  <c r="AS10" i="50" s="1"/>
  <c r="AT61" i="50" s="1"/>
  <c r="M31" i="50" a="1"/>
  <c r="M31" i="50" s="1"/>
  <c r="AK31" i="50" s="1"/>
  <c r="AL68" i="50" s="1"/>
  <c r="H24" i="50" a="1"/>
  <c r="H24" i="50" s="1"/>
  <c r="K32" i="50" a="1"/>
  <c r="K32" i="50" s="1"/>
  <c r="AP31" i="50" s="1"/>
  <c r="AQ68" i="50" s="1"/>
  <c r="N50" i="50" a="1"/>
  <c r="N50" i="50" s="1"/>
  <c r="H7" i="49" a="1"/>
  <c r="H7" i="49" s="1"/>
  <c r="M19" i="49" a="1"/>
  <c r="M19" i="49" s="1"/>
  <c r="AK19" i="49" s="1"/>
  <c r="AL64" i="49" s="1"/>
  <c r="I17" i="49" a="1"/>
  <c r="I17" i="49" s="1"/>
  <c r="AN16" i="49" s="1"/>
  <c r="AO63" i="49" s="1"/>
  <c r="K32" i="49" a="1"/>
  <c r="K32" i="49" s="1"/>
  <c r="AP31" i="49" s="1"/>
  <c r="AQ68" i="49" s="1"/>
  <c r="I51" i="49" a="1"/>
  <c r="I51" i="49" s="1"/>
  <c r="H18" i="50" a="1"/>
  <c r="H18" i="50" s="1"/>
  <c r="N25" i="50" a="1"/>
  <c r="N25" i="50" s="1"/>
  <c r="AL25" i="50" s="1"/>
  <c r="AM66" i="50" s="1"/>
  <c r="J32" i="50" a="1"/>
  <c r="J32" i="50" s="1"/>
  <c r="AO31" i="50" s="1"/>
  <c r="AP68" i="50" s="1"/>
  <c r="N47" i="50" a="1"/>
  <c r="N47" i="50" s="1"/>
  <c r="AS46" i="50" s="1"/>
  <c r="AT73" i="50" s="1"/>
  <c r="L54" i="50" a="1"/>
  <c r="L54" i="50" s="1"/>
  <c r="AC55" i="50" s="1"/>
  <c r="AD76" i="50" s="1"/>
  <c r="H25" i="49" a="1"/>
  <c r="H25" i="49" s="1"/>
  <c r="J12" i="49" a="1"/>
  <c r="J12" i="49" s="1"/>
  <c r="AA13" i="49" s="1"/>
  <c r="AB62" i="49" s="1"/>
  <c r="K29" i="49" a="1"/>
  <c r="K29" i="49" s="1"/>
  <c r="AP28" i="49" s="1"/>
  <c r="AQ67" i="49" s="1"/>
  <c r="K53" i="49" a="1"/>
  <c r="K53" i="49" s="1"/>
  <c r="L16" i="48" a="1"/>
  <c r="L16" i="48" s="1"/>
  <c r="AM16" i="48" s="1"/>
  <c r="AN63" i="48" s="1"/>
  <c r="H38" i="45" a="1"/>
  <c r="H38" i="45" s="1"/>
  <c r="M45" i="45" a="1"/>
  <c r="M45" i="45" s="1"/>
  <c r="AD46" i="45" s="1"/>
  <c r="AE73" i="45" s="1"/>
  <c r="M40" i="46" a="1"/>
  <c r="M40" i="46" s="1"/>
  <c r="AK40" i="46" s="1"/>
  <c r="AL71" i="46" s="1"/>
  <c r="M32" i="48" a="1"/>
  <c r="M32" i="48" s="1"/>
  <c r="AU31" i="48" s="1"/>
  <c r="AV68" i="48" s="1"/>
  <c r="L48" i="48" a="1"/>
  <c r="L48" i="48" s="1"/>
  <c r="AF49" i="48" s="1"/>
  <c r="AG74" i="48" s="1"/>
  <c r="K16" i="48" a="1"/>
  <c r="K16" i="48" s="1"/>
  <c r="AL16" i="48" s="1"/>
  <c r="AM63" i="48" s="1"/>
  <c r="L11" i="52" a="1"/>
  <c r="L11" i="52" s="1"/>
  <c r="AQ10" i="52" s="1"/>
  <c r="AR61" i="52" s="1"/>
  <c r="M26" i="52" a="1"/>
  <c r="M26" i="52" s="1"/>
  <c r="AR25" i="52" s="1"/>
  <c r="AS66" i="52" s="1"/>
  <c r="N13" i="53" a="1"/>
  <c r="N13" i="53" s="1"/>
  <c r="AO13" i="53" s="1"/>
  <c r="AP62" i="53" s="1"/>
  <c r="J28" i="53" a="1"/>
  <c r="J28" i="53" s="1"/>
  <c r="AK28" i="53" s="1"/>
  <c r="AL67" i="53" s="1"/>
  <c r="N52" i="45" a="1"/>
  <c r="N52" i="45" s="1"/>
  <c r="AL52" i="45" s="1"/>
  <c r="AM75" i="45" s="1"/>
  <c r="J42" i="49" a="1"/>
  <c r="J42" i="49" s="1"/>
  <c r="AA43" i="49" s="1"/>
  <c r="AB72" i="49" s="1"/>
  <c r="J39" i="45" a="1"/>
  <c r="J39" i="45" s="1"/>
  <c r="AA40" i="45" s="1"/>
  <c r="AB71" i="45" s="1"/>
  <c r="K19" i="50" a="1"/>
  <c r="K19" i="50" s="1"/>
  <c r="AI19" i="50" s="1"/>
  <c r="AJ64" i="50" s="1"/>
  <c r="L19" i="52" a="1"/>
  <c r="L19" i="52" s="1"/>
  <c r="AJ19" i="52" s="1"/>
  <c r="AK64" i="52" s="1"/>
  <c r="K33" i="51" a="1"/>
  <c r="K33" i="51" s="1"/>
  <c r="AB34" i="51" s="1"/>
  <c r="AC69" i="51" s="1"/>
  <c r="L35" i="51" a="1"/>
  <c r="L35" i="51" s="1"/>
  <c r="AQ34" i="51" s="1"/>
  <c r="AR69" i="51" s="1"/>
  <c r="J13" i="53" a="1"/>
  <c r="J13" i="53" s="1"/>
  <c r="AK13" i="53" s="1"/>
  <c r="AL62" i="53" s="1"/>
  <c r="N29" i="53" a="1"/>
  <c r="N29" i="53" s="1"/>
  <c r="AV28" i="53" s="1"/>
  <c r="AW67" i="53" s="1"/>
  <c r="H44" i="53" a="1"/>
  <c r="H44" i="53" s="1"/>
  <c r="J50" i="44" a="1"/>
  <c r="J50" i="44" s="1"/>
  <c r="M49" i="44" a="1"/>
  <c r="M49" i="44" s="1"/>
  <c r="AK49" i="44" s="1"/>
  <c r="AL74" i="44" s="1"/>
  <c r="K27" i="46" a="1"/>
  <c r="K27" i="46" s="1"/>
  <c r="AB28" i="46" s="1"/>
  <c r="AC67" i="46" s="1"/>
  <c r="J40" i="46" a="1"/>
  <c r="J40" i="46" s="1"/>
  <c r="AH40" i="46" s="1"/>
  <c r="AI71" i="46" s="1"/>
  <c r="K13" i="46" a="1"/>
  <c r="K13" i="46" s="1"/>
  <c r="AI13" i="46" s="1"/>
  <c r="AJ62" i="46" s="1"/>
  <c r="M26" i="50" a="1"/>
  <c r="M26" i="50" s="1"/>
  <c r="AR25" i="50" s="1"/>
  <c r="AS66" i="50" s="1"/>
  <c r="N20" i="48" a="1"/>
  <c r="N20" i="48" s="1"/>
  <c r="AV19" i="48" s="1"/>
  <c r="AW64" i="48" s="1"/>
  <c r="M35" i="52" a="1"/>
  <c r="M35" i="52" s="1"/>
  <c r="AR34" i="52" s="1"/>
  <c r="AS69" i="52" s="1"/>
  <c r="L44" i="52" a="1"/>
  <c r="L44" i="52" s="1"/>
  <c r="AQ43" i="52" s="1"/>
  <c r="AR72" i="52" s="1"/>
  <c r="L15" i="53" a="1"/>
  <c r="L15" i="53" s="1"/>
  <c r="AF16" i="53" s="1"/>
  <c r="AG63" i="53" s="1"/>
  <c r="N54" i="45" a="1"/>
  <c r="N54" i="45" s="1"/>
  <c r="J26" i="43" a="1"/>
  <c r="J26" i="43" s="1"/>
  <c r="AO25" i="43" s="1"/>
  <c r="AP66" i="43" s="1"/>
  <c r="K12" i="47" a="1"/>
  <c r="K12" i="47" s="1"/>
  <c r="AB13" i="47" s="1"/>
  <c r="AC62" i="47" s="1"/>
  <c r="K45" i="47" a="1"/>
  <c r="K45" i="47" s="1"/>
  <c r="AB46" i="47" s="1"/>
  <c r="AC73" i="47" s="1"/>
  <c r="M18" i="48" a="1"/>
  <c r="M18" i="48" s="1"/>
  <c r="AG19" i="48" s="1"/>
  <c r="AH64" i="48" s="1"/>
  <c r="I10" i="49" a="1"/>
  <c r="I10" i="49" s="1"/>
  <c r="AG10" i="49" s="1"/>
  <c r="AH61" i="49" s="1"/>
  <c r="J19" i="50" a="1"/>
  <c r="J19" i="50" s="1"/>
  <c r="AH19" i="50" s="1"/>
  <c r="AI64" i="50" s="1"/>
  <c r="J4" i="51" a="1"/>
  <c r="J4" i="51" s="1"/>
  <c r="AH4" i="51" s="1"/>
  <c r="AI59" i="51" s="1"/>
  <c r="M38" i="51" a="1"/>
  <c r="M38" i="51" s="1"/>
  <c r="AR37" i="51" s="1"/>
  <c r="AS70" i="51" s="1"/>
  <c r="N19" i="53" a="1"/>
  <c r="N19" i="53" s="1"/>
  <c r="AO19" i="53" s="1"/>
  <c r="AP64" i="53" s="1"/>
  <c r="L20" i="53" a="1"/>
  <c r="L20" i="53" s="1"/>
  <c r="AT19" i="53" s="1"/>
  <c r="AU64" i="53" s="1"/>
  <c r="I4" i="45" a="1"/>
  <c r="I4" i="45" s="1"/>
  <c r="AG4" i="45" s="1"/>
  <c r="AH59" i="45" s="1"/>
  <c r="N54" i="47" a="1"/>
  <c r="N54" i="47" s="1"/>
  <c r="K8" i="51" a="1"/>
  <c r="K8" i="51" s="1"/>
  <c r="AP7" i="51" s="1"/>
  <c r="AQ60" i="51" s="1"/>
  <c r="L4" i="49" a="1"/>
  <c r="L4" i="49" s="1"/>
  <c r="AJ4" i="49" s="1"/>
  <c r="AK59" i="49" s="1"/>
  <c r="K46" i="47" a="1"/>
  <c r="K46" i="47" s="1"/>
  <c r="AI46" i="47" s="1"/>
  <c r="AJ73" i="47" s="1"/>
  <c r="J10" i="52" a="1"/>
  <c r="J10" i="52" s="1"/>
  <c r="AH10" i="52" s="1"/>
  <c r="AI61" i="52" s="1"/>
  <c r="K42" i="49" a="1"/>
  <c r="K42" i="49" s="1"/>
  <c r="AB43" i="49" s="1"/>
  <c r="AC72" i="49" s="1"/>
  <c r="L46" i="52" a="1"/>
  <c r="L46" i="52" s="1"/>
  <c r="AJ46" i="52" s="1"/>
  <c r="AK73" i="52" s="1"/>
  <c r="H16" i="53" a="1"/>
  <c r="H16" i="53" s="1"/>
  <c r="K34" i="53" a="1"/>
  <c r="K34" i="53" s="1"/>
  <c r="AL34" i="53" s="1"/>
  <c r="AM69" i="53" s="1"/>
  <c r="J35" i="43" a="1"/>
  <c r="J35" i="43" s="1"/>
  <c r="AO34" i="43" s="1"/>
  <c r="AP69" i="43" s="1"/>
  <c r="M4" i="45" a="1"/>
  <c r="M4" i="45" s="1"/>
  <c r="AK4" i="45" s="1"/>
  <c r="AL59" i="45" s="1"/>
  <c r="L52" i="46" a="1"/>
  <c r="L52" i="46" s="1"/>
  <c r="AJ52" i="46" s="1"/>
  <c r="AK75" i="46" s="1"/>
  <c r="H54" i="46" a="1"/>
  <c r="H54" i="46" s="1"/>
  <c r="M47" i="48" a="1"/>
  <c r="M47" i="48" s="1"/>
  <c r="AU46" i="48" s="1"/>
  <c r="AV73" i="48" s="1"/>
  <c r="M45" i="48" a="1"/>
  <c r="M45" i="48" s="1"/>
  <c r="AG46" i="48" s="1"/>
  <c r="AH73" i="48" s="1"/>
  <c r="M50" i="49" a="1"/>
  <c r="M50" i="49" s="1"/>
  <c r="M24" i="50" a="1"/>
  <c r="M24" i="50" s="1"/>
  <c r="AD25" i="50" s="1"/>
  <c r="AE66" i="50" s="1"/>
  <c r="J34" i="50" a="1"/>
  <c r="J34" i="50" s="1"/>
  <c r="AH34" i="50" s="1"/>
  <c r="AI69" i="50" s="1"/>
  <c r="K55" i="50" a="1"/>
  <c r="K55" i="50" s="1"/>
  <c r="AI55" i="50" s="1"/>
  <c r="AJ76" i="50" s="1"/>
  <c r="J20" i="49" a="1"/>
  <c r="J20" i="49" s="1"/>
  <c r="AO19" i="49" s="1"/>
  <c r="AP64" i="49" s="1"/>
  <c r="I27" i="49" a="1"/>
  <c r="I27" i="49" s="1"/>
  <c r="Z28" i="49" s="1"/>
  <c r="AA67" i="49" s="1"/>
  <c r="M44" i="49" a="1"/>
  <c r="M44" i="49" s="1"/>
  <c r="AR43" i="49" s="1"/>
  <c r="AS72" i="49" s="1"/>
  <c r="L48" i="49" a="1"/>
  <c r="L48" i="49" s="1"/>
  <c r="AC49" i="49" s="1"/>
  <c r="AD74" i="49" s="1"/>
  <c r="H14" i="48" a="1"/>
  <c r="H14" i="48" s="1"/>
  <c r="J11" i="50" a="1"/>
  <c r="J11" i="50" s="1"/>
  <c r="AO10" i="50" s="1"/>
  <c r="AP61" i="50" s="1"/>
  <c r="L5" i="50" a="1"/>
  <c r="L5" i="50" s="1"/>
  <c r="AQ4" i="50" s="1"/>
  <c r="AR59" i="50" s="1"/>
  <c r="I10" i="50" a="1"/>
  <c r="I10" i="50" s="1"/>
  <c r="AG10" i="50" s="1"/>
  <c r="AH61" i="50" s="1"/>
  <c r="N44" i="50" a="1"/>
  <c r="N44" i="50" s="1"/>
  <c r="AS43" i="50" s="1"/>
  <c r="AT72" i="50" s="1"/>
  <c r="K54" i="50" a="1"/>
  <c r="K54" i="50" s="1"/>
  <c r="AB55" i="50" s="1"/>
  <c r="AC76" i="50" s="1"/>
  <c r="L20" i="49" a="1"/>
  <c r="L20" i="49" s="1"/>
  <c r="AQ19" i="49" s="1"/>
  <c r="AR64" i="49" s="1"/>
  <c r="M27" i="49" a="1"/>
  <c r="M27" i="49" s="1"/>
  <c r="AD28" i="49" s="1"/>
  <c r="AE67" i="49" s="1"/>
  <c r="L34" i="49" a="1"/>
  <c r="L34" i="49" s="1"/>
  <c r="AJ34" i="49" s="1"/>
  <c r="AK69" i="49" s="1"/>
  <c r="M39" i="49" a="1"/>
  <c r="M39" i="49" s="1"/>
  <c r="AD40" i="49" s="1"/>
  <c r="AE71" i="49" s="1"/>
  <c r="I53" i="49" a="1"/>
  <c r="I53" i="49" s="1"/>
  <c r="I30" i="50" a="1"/>
  <c r="I30" i="50" s="1"/>
  <c r="Z31" i="50" s="1"/>
  <c r="AA68" i="50" s="1"/>
  <c r="H10" i="50" a="1"/>
  <c r="H10" i="50" s="1"/>
  <c r="H37" i="50" a="1"/>
  <c r="H37" i="50" s="1"/>
  <c r="J52" i="50" a="1"/>
  <c r="J52" i="50" s="1"/>
  <c r="AH52" i="50" s="1"/>
  <c r="AI75" i="50" s="1"/>
  <c r="I55" i="50" a="1"/>
  <c r="I55" i="50" s="1"/>
  <c r="AG55" i="50" s="1"/>
  <c r="AH76" i="50" s="1"/>
  <c r="M4" i="49" a="1"/>
  <c r="M4" i="49" s="1"/>
  <c r="AK4" i="49" s="1"/>
  <c r="AL59" i="49" s="1"/>
  <c r="N22" i="49" a="1"/>
  <c r="N22" i="49" s="1"/>
  <c r="AL22" i="49" s="1"/>
  <c r="AM65" i="49" s="1"/>
  <c r="M37" i="49" a="1"/>
  <c r="M37" i="49" s="1"/>
  <c r="AK37" i="49" s="1"/>
  <c r="AL70" i="49" s="1"/>
  <c r="M53" i="49" a="1"/>
  <c r="M53" i="49" s="1"/>
  <c r="I10" i="48" a="1"/>
  <c r="I10" i="48" s="1"/>
  <c r="AJ10" i="48" s="1"/>
  <c r="AK61" i="48" s="1"/>
  <c r="N34" i="47" a="1"/>
  <c r="N34" i="47" s="1"/>
  <c r="AL34" i="47" s="1"/>
  <c r="AM69" i="47" s="1"/>
  <c r="I22" i="46" a="1"/>
  <c r="I22" i="46" s="1"/>
  <c r="AG22" i="46" s="1"/>
  <c r="AH65" i="46" s="1"/>
  <c r="L41" i="47" a="1"/>
  <c r="L41" i="47" s="1"/>
  <c r="AQ40" i="47" s="1"/>
  <c r="AR71" i="47" s="1"/>
  <c r="I48" i="48" a="1"/>
  <c r="I48" i="48" s="1"/>
  <c r="AC49" i="48" s="1"/>
  <c r="AD74" i="48" s="1"/>
  <c r="H9" i="52" a="1"/>
  <c r="H9" i="52" s="1"/>
  <c r="I27" i="52" a="1"/>
  <c r="I27" i="52" s="1"/>
  <c r="Z28" i="52" s="1"/>
  <c r="AA67" i="52" s="1"/>
  <c r="L49" i="52" a="1"/>
  <c r="L49" i="52" s="1"/>
  <c r="AJ49" i="52" s="1"/>
  <c r="AK74" i="52" s="1"/>
  <c r="L22" i="53" a="1"/>
  <c r="L22" i="53" s="1"/>
  <c r="AM22" i="53" s="1"/>
  <c r="AN65" i="53" s="1"/>
  <c r="L28" i="53" a="1"/>
  <c r="L28" i="53" s="1"/>
  <c r="AM28" i="53" s="1"/>
  <c r="AN67" i="53" s="1"/>
  <c r="N13" i="47" a="1"/>
  <c r="N13" i="47" s="1"/>
  <c r="AL13" i="47" s="1"/>
  <c r="AM62" i="47" s="1"/>
  <c r="I49" i="50" a="1"/>
  <c r="I49" i="50" s="1"/>
  <c r="AG49" i="50" s="1"/>
  <c r="AH74" i="50" s="1"/>
  <c r="K10" i="48" a="1"/>
  <c r="K10" i="48" s="1"/>
  <c r="AL10" i="48" s="1"/>
  <c r="AM61" i="48" s="1"/>
  <c r="K18" i="47" a="1"/>
  <c r="K18" i="47" s="1"/>
  <c r="AB19" i="47" s="1"/>
  <c r="AC64" i="47" s="1"/>
  <c r="H11" i="52" a="1"/>
  <c r="H11" i="52" s="1"/>
  <c r="I12" i="52" a="1"/>
  <c r="I12" i="52" s="1"/>
  <c r="Z13" i="52" s="1"/>
  <c r="AA62" i="52" s="1"/>
  <c r="L28" i="52" a="1"/>
  <c r="L28" i="52" s="1"/>
  <c r="AJ28" i="52" s="1"/>
  <c r="AK67" i="52" s="1"/>
  <c r="J24" i="53" a="1"/>
  <c r="J24" i="53" s="1"/>
  <c r="AD25" i="53" s="1"/>
  <c r="AE66" i="53" s="1"/>
  <c r="J18" i="53" a="1"/>
  <c r="J18" i="53" s="1"/>
  <c r="AD19" i="53" s="1"/>
  <c r="AE64" i="53" s="1"/>
  <c r="L34" i="53" a="1"/>
  <c r="L34" i="53" s="1"/>
  <c r="AM34" i="53" s="1"/>
  <c r="AN69" i="53" s="1"/>
  <c r="J29" i="43" a="1"/>
  <c r="J29" i="43" s="1"/>
  <c r="AO28" i="43" s="1"/>
  <c r="AP67" i="43" s="1"/>
  <c r="K56" i="45" a="1"/>
  <c r="K56" i="45" s="1"/>
  <c r="N50" i="47" a="1"/>
  <c r="N50" i="47" s="1"/>
  <c r="M17" i="47" a="1"/>
  <c r="M17" i="47" s="1"/>
  <c r="AR16" i="47" s="1"/>
  <c r="AS63" i="47" s="1"/>
  <c r="L24" i="47" a="1"/>
  <c r="L24" i="47" s="1"/>
  <c r="AC25" i="47" s="1"/>
  <c r="AD66" i="47" s="1"/>
  <c r="J30" i="47" a="1"/>
  <c r="J30" i="47" s="1"/>
  <c r="AA31" i="47" s="1"/>
  <c r="AB68" i="47" s="1"/>
  <c r="K37" i="50" a="1"/>
  <c r="K37" i="50" s="1"/>
  <c r="AI37" i="50" s="1"/>
  <c r="AJ70" i="50" s="1"/>
  <c r="M22" i="48" a="1"/>
  <c r="M22" i="48" s="1"/>
  <c r="AN22" i="48" s="1"/>
  <c r="AO65" i="48" s="1"/>
  <c r="K56" i="50" a="1"/>
  <c r="K56" i="50" s="1"/>
  <c r="I24" i="53" a="1"/>
  <c r="I24" i="53" s="1"/>
  <c r="AC25" i="53" s="1"/>
  <c r="AD66" i="53" s="1"/>
  <c r="I8" i="43" a="1"/>
  <c r="I8" i="43" s="1"/>
  <c r="AN7" i="43" s="1"/>
  <c r="AO60" i="43" s="1"/>
  <c r="L50" i="44" a="1"/>
  <c r="L50" i="44" s="1"/>
  <c r="I51" i="47" a="1"/>
  <c r="I51" i="47" s="1"/>
  <c r="M26" i="48" a="1"/>
  <c r="M26" i="48" s="1"/>
  <c r="AU25" i="48" s="1"/>
  <c r="AV66" i="48" s="1"/>
  <c r="I3" i="50" a="1"/>
  <c r="I3" i="50" s="1"/>
  <c r="Z4" i="50" s="1"/>
  <c r="AA59" i="50" s="1"/>
  <c r="K26" i="51" a="1"/>
  <c r="K26" i="51" s="1"/>
  <c r="AP25" i="51" s="1"/>
  <c r="AQ66" i="51" s="1"/>
  <c r="L8" i="50" a="1"/>
  <c r="L8" i="50" s="1"/>
  <c r="AQ7" i="50" s="1"/>
  <c r="AR60" i="50" s="1"/>
  <c r="L52" i="51" a="1"/>
  <c r="L52" i="51" s="1"/>
  <c r="AJ52" i="51" s="1"/>
  <c r="AK75" i="51" s="1"/>
  <c r="K35" i="52" a="1"/>
  <c r="K35" i="52" s="1"/>
  <c r="AP34" i="52" s="1"/>
  <c r="AQ69" i="52" s="1"/>
  <c r="M30" i="53" a="1"/>
  <c r="M30" i="53" s="1"/>
  <c r="AG31" i="53" s="1"/>
  <c r="AH68" i="53" s="1"/>
  <c r="M37" i="53" a="1"/>
  <c r="M37" i="53" s="1"/>
  <c r="AN37" i="53" s="1"/>
  <c r="AO70" i="53" s="1"/>
  <c r="I49" i="47" a="1"/>
  <c r="I49" i="47" s="1"/>
  <c r="AG49" i="47" s="1"/>
  <c r="AH74" i="47" s="1"/>
  <c r="J23" i="45" a="1"/>
  <c r="J23" i="45" s="1"/>
  <c r="AO22" i="45" s="1"/>
  <c r="AP65" i="45" s="1"/>
  <c r="M7" i="49" a="1"/>
  <c r="M7" i="49" s="1"/>
  <c r="AK7" i="49" s="1"/>
  <c r="AL60" i="49" s="1"/>
  <c r="I51" i="46" a="1"/>
  <c r="I51" i="46" s="1"/>
  <c r="M48" i="48" a="1"/>
  <c r="M48" i="48" s="1"/>
  <c r="AG49" i="48" s="1"/>
  <c r="AH74" i="48" s="1"/>
  <c r="I26" i="52" a="1"/>
  <c r="I26" i="52" s="1"/>
  <c r="AN25" i="52" s="1"/>
  <c r="AO66" i="52" s="1"/>
  <c r="M5" i="51" a="1"/>
  <c r="M5" i="51" s="1"/>
  <c r="AR4" i="51" s="1"/>
  <c r="AS59" i="51" s="1"/>
  <c r="H12" i="51" a="1"/>
  <c r="H12" i="51" s="1"/>
  <c r="I28" i="53" a="1"/>
  <c r="I28" i="53" s="1"/>
  <c r="AJ28" i="53" s="1"/>
  <c r="AK67" i="53" s="1"/>
  <c r="L13" i="53" a="1"/>
  <c r="L13" i="53" s="1"/>
  <c r="AM13" i="53" s="1"/>
  <c r="AN62" i="53" s="1"/>
  <c r="H9" i="44" a="1"/>
  <c r="H9" i="44" s="1"/>
  <c r="M44" i="46" a="1"/>
  <c r="M44" i="46" s="1"/>
  <c r="AR43" i="46" s="1"/>
  <c r="AS72" i="46" s="1"/>
  <c r="I16" i="47" a="1"/>
  <c r="I16" i="47" s="1"/>
  <c r="AG16" i="47" s="1"/>
  <c r="AH63" i="47" s="1"/>
  <c r="K26" i="47" a="1"/>
  <c r="K26" i="47" s="1"/>
  <c r="AP25" i="47" s="1"/>
  <c r="AQ66" i="47" s="1"/>
  <c r="N31" i="47" a="1"/>
  <c r="N31" i="47" s="1"/>
  <c r="AL31" i="47" s="1"/>
  <c r="AM68" i="47" s="1"/>
  <c r="H32" i="49" a="1"/>
  <c r="H32" i="49" s="1"/>
  <c r="N9" i="48" a="1"/>
  <c r="N9" i="48" s="1"/>
  <c r="J12" i="50" a="1"/>
  <c r="J12" i="50" s="1"/>
  <c r="AA13" i="50" s="1"/>
  <c r="AB62" i="50" s="1"/>
  <c r="L47" i="50" a="1"/>
  <c r="L47" i="50" s="1"/>
  <c r="AQ46" i="50" s="1"/>
  <c r="AR73" i="50" s="1"/>
  <c r="L55" i="50" a="1"/>
  <c r="L55" i="50" s="1"/>
  <c r="AJ55" i="50" s="1"/>
  <c r="AK76" i="50" s="1"/>
  <c r="H23" i="49" a="1"/>
  <c r="H23" i="49" s="1"/>
  <c r="H31" i="49" a="1"/>
  <c r="H31" i="49" s="1"/>
  <c r="J35" i="49" a="1"/>
  <c r="J35" i="49" s="1"/>
  <c r="AO34" i="49" s="1"/>
  <c r="AP69" i="49" s="1"/>
  <c r="M51" i="49" a="1"/>
  <c r="M51" i="49" s="1"/>
  <c r="H15" i="48" a="1"/>
  <c r="H15" i="48" s="1"/>
  <c r="N27" i="50" a="1"/>
  <c r="N27" i="50" s="1"/>
  <c r="N3" i="50" a="1"/>
  <c r="N3" i="50" s="1"/>
  <c r="AE4" i="50" s="1"/>
  <c r="AF59" i="50" s="1"/>
  <c r="M16" i="50" a="1"/>
  <c r="M16" i="50" s="1"/>
  <c r="AK16" i="50" s="1"/>
  <c r="AL63" i="50" s="1"/>
  <c r="I43" i="50" a="1"/>
  <c r="I43" i="50" s="1"/>
  <c r="AG43" i="50" s="1"/>
  <c r="AH72" i="50" s="1"/>
  <c r="H54" i="50" a="1"/>
  <c r="H54" i="50" s="1"/>
  <c r="L25" i="49" a="1"/>
  <c r="L25" i="49" s="1"/>
  <c r="AJ25" i="49" s="1"/>
  <c r="AK66" i="49" s="1"/>
  <c r="M31" i="49" a="1"/>
  <c r="M31" i="49" s="1"/>
  <c r="AK31" i="49" s="1"/>
  <c r="AL68" i="49" s="1"/>
  <c r="J44" i="49" a="1"/>
  <c r="J44" i="49" s="1"/>
  <c r="AO43" i="49" s="1"/>
  <c r="AP72" i="49" s="1"/>
  <c r="H40" i="49" a="1"/>
  <c r="H40" i="49" s="1"/>
  <c r="L4" i="48" a="1"/>
  <c r="L4" i="48" s="1"/>
  <c r="AM4" i="48" s="1"/>
  <c r="AN59" i="48" s="1"/>
  <c r="H35" i="50" a="1"/>
  <c r="H35" i="50" s="1"/>
  <c r="H8" i="50" a="1"/>
  <c r="H8" i="50" s="1"/>
  <c r="J37" i="50" a="1"/>
  <c r="J37" i="50" s="1"/>
  <c r="AH37" i="50" s="1"/>
  <c r="AI70" i="50" s="1"/>
  <c r="J41" i="50" a="1"/>
  <c r="J41" i="50" s="1"/>
  <c r="AO40" i="50" s="1"/>
  <c r="AP71" i="50" s="1"/>
  <c r="H39" i="49" a="1"/>
  <c r="H39" i="49" s="1"/>
  <c r="L19" i="49" a="1"/>
  <c r="L19" i="49" s="1"/>
  <c r="AJ19" i="49" s="1"/>
  <c r="AK64" i="49" s="1"/>
  <c r="J16" i="49" a="1"/>
  <c r="J16" i="49" s="1"/>
  <c r="AH16" i="49" s="1"/>
  <c r="AI63" i="49" s="1"/>
  <c r="N40" i="49" a="1"/>
  <c r="N40" i="49" s="1"/>
  <c r="AL40" i="49" s="1"/>
  <c r="AM71" i="49" s="1"/>
  <c r="N3" i="48" a="1"/>
  <c r="N3" i="48" s="1"/>
  <c r="AH4" i="48" s="1"/>
  <c r="AI59" i="48" s="1"/>
  <c r="H19" i="48" a="1"/>
  <c r="H19" i="48" s="1"/>
  <c r="K12" i="43" a="1"/>
  <c r="K12" i="43" s="1"/>
  <c r="AB13" i="43" s="1"/>
  <c r="AC62" i="43" s="1"/>
  <c r="L5" i="47" a="1"/>
  <c r="L5" i="47" s="1"/>
  <c r="AQ4" i="47" s="1"/>
  <c r="AR59" i="47" s="1"/>
  <c r="K12" i="48" a="1"/>
  <c r="K12" i="48" s="1"/>
  <c r="AE13" i="48" s="1"/>
  <c r="AF62" i="48" s="1"/>
  <c r="L46" i="49" a="1"/>
  <c r="L46" i="49" s="1"/>
  <c r="AJ46" i="49" s="1"/>
  <c r="AK73" i="49" s="1"/>
  <c r="K39" i="48" a="1"/>
  <c r="K39" i="48" s="1"/>
  <c r="AE40" i="48" s="1"/>
  <c r="AF71" i="48" s="1"/>
  <c r="L38" i="50" a="1"/>
  <c r="L38" i="50" s="1"/>
  <c r="AQ37" i="50" s="1"/>
  <c r="AR70" i="50" s="1"/>
  <c r="K47" i="52" a="1"/>
  <c r="K47" i="52" s="1"/>
  <c r="AP46" i="52" s="1"/>
  <c r="AQ73" i="52" s="1"/>
  <c r="H23" i="53" a="1"/>
  <c r="H23" i="53" s="1"/>
  <c r="N11" i="53" a="1"/>
  <c r="N11" i="53" s="1"/>
  <c r="AV10" i="53" s="1"/>
  <c r="AW61" i="53" s="1"/>
  <c r="N18" i="53" a="1"/>
  <c r="N18" i="53" s="1"/>
  <c r="N23" i="43" a="1"/>
  <c r="N23" i="43" s="1"/>
  <c r="AS22" i="43" s="1"/>
  <c r="AT65" i="43" s="1"/>
  <c r="J35" i="48" a="1"/>
  <c r="J35" i="48" s="1"/>
  <c r="AR34" i="48" s="1"/>
  <c r="AS69" i="48" s="1"/>
  <c r="K43" i="48" a="1"/>
  <c r="K43" i="48" s="1"/>
  <c r="AL43" i="48" s="1"/>
  <c r="AM72" i="48" s="1"/>
  <c r="H32" i="48" a="1"/>
  <c r="H32" i="48" s="1"/>
  <c r="L38" i="52" a="1"/>
  <c r="L38" i="52" s="1"/>
  <c r="AQ37" i="52" s="1"/>
  <c r="AR70" i="52" s="1"/>
  <c r="N49" i="52" a="1"/>
  <c r="N49" i="52" s="1"/>
  <c r="AL49" i="52" s="1"/>
  <c r="AM74" i="52" s="1"/>
  <c r="H25" i="53" a="1"/>
  <c r="H25" i="53" s="1"/>
  <c r="L31" i="53" a="1"/>
  <c r="L31" i="53" s="1"/>
  <c r="AM31" i="53" s="1"/>
  <c r="AN68" i="53" s="1"/>
  <c r="M17" i="53" a="1"/>
  <c r="M17" i="53" s="1"/>
  <c r="AU16" i="53" s="1"/>
  <c r="AV63" i="53" s="1"/>
  <c r="I49" i="53" a="1"/>
  <c r="I49" i="53" s="1"/>
  <c r="AJ49" i="53" s="1"/>
  <c r="AK74" i="53" s="1"/>
  <c r="J53" i="43" a="1"/>
  <c r="J53" i="43" s="1"/>
  <c r="M27" i="43" a="1"/>
  <c r="M27" i="43" s="1"/>
  <c r="AD28" i="43" s="1"/>
  <c r="AE67" i="43" s="1"/>
  <c r="I22" i="48" a="1"/>
  <c r="I22" i="48" s="1"/>
  <c r="AJ22" i="48" s="1"/>
  <c r="AK65" i="48" s="1"/>
  <c r="N44" i="47" a="1"/>
  <c r="N44" i="47" s="1"/>
  <c r="AS43" i="47" s="1"/>
  <c r="AT72" i="47" s="1"/>
  <c r="M10" i="48" a="1"/>
  <c r="M10" i="48" s="1"/>
  <c r="AN10" i="48" s="1"/>
  <c r="AO61" i="48" s="1"/>
  <c r="M7" i="48" a="1"/>
  <c r="M7" i="48" s="1"/>
  <c r="AN7" i="48" s="1"/>
  <c r="AO60" i="48" s="1"/>
  <c r="N20" i="51" a="1"/>
  <c r="N20" i="51" s="1"/>
  <c r="AS19" i="51" s="1"/>
  <c r="AT64" i="51" s="1"/>
  <c r="N19" i="49" a="1"/>
  <c r="N19" i="49" s="1"/>
  <c r="AL19" i="49" s="1"/>
  <c r="AM64" i="49" s="1"/>
  <c r="H37" i="51" a="1"/>
  <c r="H37" i="51" s="1"/>
  <c r="M15" i="53" a="1"/>
  <c r="M15" i="53" s="1"/>
  <c r="AG16" i="53" s="1"/>
  <c r="AH63" i="53" s="1"/>
  <c r="J31" i="43" a="1"/>
  <c r="J31" i="43" s="1"/>
  <c r="AH31" i="43" s="1"/>
  <c r="AI68" i="43" s="1"/>
  <c r="H28" i="45" a="1"/>
  <c r="H28" i="45" s="1"/>
  <c r="H49" i="48" a="1"/>
  <c r="H49" i="48" s="1"/>
  <c r="J56" i="48" a="1"/>
  <c r="J56" i="48" s="1"/>
  <c r="I4" i="51" a="1"/>
  <c r="I4" i="51" s="1"/>
  <c r="AG4" i="51" s="1"/>
  <c r="AH59" i="51" s="1"/>
  <c r="J19" i="52" a="1"/>
  <c r="J19" i="52" s="1"/>
  <c r="AH19" i="52" s="1"/>
  <c r="AI64" i="52" s="1"/>
  <c r="H56" i="50" a="1"/>
  <c r="H56" i="50" s="1"/>
  <c r="I6" i="49" a="1"/>
  <c r="I6" i="49" s="1"/>
  <c r="Z7" i="49" s="1"/>
  <c r="AA60" i="49" s="1"/>
  <c r="J23" i="53" a="1"/>
  <c r="J23" i="53" s="1"/>
  <c r="AR22" i="53" s="1"/>
  <c r="AS65" i="53" s="1"/>
  <c r="J37" i="53" a="1"/>
  <c r="J37" i="53" s="1"/>
  <c r="AK37" i="53" s="1"/>
  <c r="AL70" i="53" s="1"/>
  <c r="N37" i="44" a="1"/>
  <c r="N37" i="44" s="1"/>
  <c r="AL37" i="44" s="1"/>
  <c r="AM70" i="44" s="1"/>
  <c r="N31" i="43" a="1"/>
  <c r="N31" i="43" s="1"/>
  <c r="AL31" i="43" s="1"/>
  <c r="AM68" i="43" s="1"/>
  <c r="N9" i="46" a="1"/>
  <c r="N9" i="46" s="1"/>
  <c r="H10" i="46" a="1"/>
  <c r="H10" i="46" s="1"/>
  <c r="M31" i="47" a="1"/>
  <c r="M31" i="47" s="1"/>
  <c r="AK31" i="47" s="1"/>
  <c r="AL68" i="47" s="1"/>
  <c r="I45" i="48" a="1"/>
  <c r="I45" i="48" s="1"/>
  <c r="AC46" i="48" s="1"/>
  <c r="AD73" i="48" s="1"/>
  <c r="I6" i="51" a="1"/>
  <c r="I6" i="51" s="1"/>
  <c r="Z7" i="51" s="1"/>
  <c r="AA60" i="51" s="1"/>
  <c r="N14" i="52" a="1"/>
  <c r="N14" i="52" s="1"/>
  <c r="AS13" i="52" s="1"/>
  <c r="AT62" i="52" s="1"/>
  <c r="L44" i="51" a="1"/>
  <c r="L44" i="51" s="1"/>
  <c r="AQ43" i="51" s="1"/>
  <c r="AR72" i="51" s="1"/>
  <c r="K6" i="53" a="1"/>
  <c r="K6" i="53" s="1"/>
  <c r="AE7" i="53" s="1"/>
  <c r="AF60" i="53" s="1"/>
  <c r="K39" i="53" a="1"/>
  <c r="K39" i="53" s="1"/>
  <c r="AE40" i="53" s="1"/>
  <c r="AF71" i="53" s="1"/>
  <c r="H40" i="44" a="1"/>
  <c r="H40" i="44" s="1"/>
  <c r="N7" i="48" a="1"/>
  <c r="N7" i="48" s="1"/>
  <c r="AO7" i="48" s="1"/>
  <c r="AP60" i="48" s="1"/>
  <c r="M3" i="48" a="1"/>
  <c r="M3" i="48" s="1"/>
  <c r="AG4" i="48" s="1"/>
  <c r="AH59" i="48" s="1"/>
  <c r="M28" i="48" a="1"/>
  <c r="M28" i="48" s="1"/>
  <c r="AN28" i="48" s="1"/>
  <c r="AO67" i="48" s="1"/>
  <c r="H8" i="48" a="1"/>
  <c r="H8" i="48" s="1"/>
  <c r="J7" i="48" a="1"/>
  <c r="J7" i="48" s="1"/>
  <c r="AK7" i="48" s="1"/>
  <c r="AL60" i="48" s="1"/>
  <c r="H22" i="50" a="1"/>
  <c r="H22" i="50" s="1"/>
  <c r="K52" i="50" a="1"/>
  <c r="K52" i="50" s="1"/>
  <c r="AI52" i="50" s="1"/>
  <c r="AJ75" i="50" s="1"/>
  <c r="M53" i="50" a="1"/>
  <c r="M53" i="50" s="1"/>
  <c r="J3" i="49" a="1"/>
  <c r="J3" i="49" s="1"/>
  <c r="AA4" i="49" s="1"/>
  <c r="AB59" i="49" s="1"/>
  <c r="H10" i="49" a="1"/>
  <c r="H10" i="49" s="1"/>
  <c r="H47" i="49" a="1"/>
  <c r="H47" i="49" s="1"/>
  <c r="J50" i="49" a="1"/>
  <c r="J50" i="49" s="1"/>
  <c r="L18" i="48" a="1"/>
  <c r="L18" i="48" s="1"/>
  <c r="AF19" i="48" s="1"/>
  <c r="AG64" i="48" s="1"/>
  <c r="L18" i="50" a="1"/>
  <c r="L18" i="50" s="1"/>
  <c r="AC19" i="50" s="1"/>
  <c r="AD64" i="50" s="1"/>
  <c r="K12" i="50" a="1"/>
  <c r="K12" i="50" s="1"/>
  <c r="AB13" i="50" s="1"/>
  <c r="AC62" i="50" s="1"/>
  <c r="L28" i="50" a="1"/>
  <c r="L28" i="50" s="1"/>
  <c r="AJ28" i="50" s="1"/>
  <c r="AK67" i="50" s="1"/>
  <c r="I41" i="50" a="1"/>
  <c r="I41" i="50" s="1"/>
  <c r="AN40" i="50" s="1"/>
  <c r="AO71" i="50" s="1"/>
  <c r="H41" i="49" a="1"/>
  <c r="H41" i="49" s="1"/>
  <c r="L7" i="49" a="1"/>
  <c r="L7" i="49" s="1"/>
  <c r="AJ7" i="49" s="1"/>
  <c r="AK60" i="49" s="1"/>
  <c r="L3" i="49" a="1"/>
  <c r="L3" i="49" s="1"/>
  <c r="AC4" i="49" s="1"/>
  <c r="AD59" i="49" s="1"/>
  <c r="M33" i="49" a="1"/>
  <c r="M33" i="49" s="1"/>
  <c r="AD34" i="49" s="1"/>
  <c r="AE69" i="49" s="1"/>
  <c r="M43" i="49" a="1"/>
  <c r="M43" i="49" s="1"/>
  <c r="AK43" i="49" s="1"/>
  <c r="AL72" i="49" s="1"/>
  <c r="M52" i="51" a="1"/>
  <c r="M52" i="51" s="1"/>
  <c r="AK52" i="51" s="1"/>
  <c r="AL75" i="51" s="1"/>
  <c r="M19" i="50" a="1"/>
  <c r="M19" i="50" s="1"/>
  <c r="AK19" i="50" s="1"/>
  <c r="AL64" i="50" s="1"/>
  <c r="K17" i="50" a="1"/>
  <c r="K17" i="50" s="1"/>
  <c r="J20" i="50" a="1"/>
  <c r="J20" i="50" s="1"/>
  <c r="K47" i="50" a="1"/>
  <c r="K47" i="50" s="1"/>
  <c r="AP46" i="50" s="1"/>
  <c r="AQ73" i="50" s="1"/>
  <c r="H49" i="49" a="1"/>
  <c r="H49" i="49" s="1"/>
  <c r="J36" i="49" a="1"/>
  <c r="J36" i="49" s="1"/>
  <c r="AA37" i="49" s="1"/>
  <c r="AB70" i="49" s="1"/>
  <c r="L21" i="49" a="1"/>
  <c r="L21" i="49" s="1"/>
  <c r="AC22" i="49" s="1"/>
  <c r="AD65" i="49" s="1"/>
  <c r="J41" i="49" a="1"/>
  <c r="J41" i="49" s="1"/>
  <c r="AO40" i="49" s="1"/>
  <c r="AP71" i="49" s="1"/>
  <c r="H4" i="48" a="1"/>
  <c r="H4" i="48" s="1"/>
  <c r="I4" i="46" a="1"/>
  <c r="I4" i="46" s="1"/>
  <c r="AG4" i="46" s="1"/>
  <c r="AH59" i="46" s="1"/>
  <c r="J44" i="43" a="1"/>
  <c r="J44" i="43" s="1"/>
  <c r="AO43" i="43" s="1"/>
  <c r="AP72" i="43" s="1"/>
  <c r="M33" i="47" a="1"/>
  <c r="M33" i="47" s="1"/>
  <c r="AD34" i="47" s="1"/>
  <c r="AE69" i="47" s="1"/>
  <c r="H48" i="48" a="1"/>
  <c r="H48" i="48" s="1"/>
  <c r="I29" i="45" a="1"/>
  <c r="I29" i="45" s="1"/>
  <c r="AN28" i="45" s="1"/>
  <c r="AO67" i="45" s="1"/>
  <c r="I9" i="47" a="1"/>
  <c r="I9" i="47" s="1"/>
  <c r="Z10" i="47" s="1"/>
  <c r="AA61" i="47" s="1"/>
  <c r="M35" i="51" a="1"/>
  <c r="M35" i="51" s="1"/>
  <c r="AR34" i="51" s="1"/>
  <c r="AS69" i="51" s="1"/>
  <c r="L32" i="49" a="1"/>
  <c r="L32" i="49" s="1"/>
  <c r="AQ31" i="49" s="1"/>
  <c r="AR68" i="49" s="1"/>
  <c r="M23" i="53" a="1"/>
  <c r="M23" i="53" s="1"/>
  <c r="AU22" i="53" s="1"/>
  <c r="AV65" i="53" s="1"/>
  <c r="M22" i="53" a="1"/>
  <c r="M22" i="53" s="1"/>
  <c r="AN22" i="53" s="1"/>
  <c r="AO65" i="53" s="1"/>
  <c r="M33" i="53" a="1"/>
  <c r="M33" i="53" s="1"/>
  <c r="AG34" i="53" s="1"/>
  <c r="AH69" i="53" s="1"/>
  <c r="K12" i="45" a="1"/>
  <c r="K12" i="45" s="1"/>
  <c r="AB13" i="45" s="1"/>
  <c r="AC62" i="45" s="1"/>
  <c r="M21" i="50" a="1"/>
  <c r="M21" i="50" s="1"/>
  <c r="AD22" i="50" s="1"/>
  <c r="AE65" i="50" s="1"/>
  <c r="J26" i="49" a="1"/>
  <c r="J26" i="49" s="1"/>
  <c r="AO25" i="49" s="1"/>
  <c r="AP66" i="49" s="1"/>
  <c r="L52" i="48" a="1"/>
  <c r="L52" i="48" s="1"/>
  <c r="AM52" i="48" s="1"/>
  <c r="AN75" i="48" s="1"/>
  <c r="J37" i="51" a="1"/>
  <c r="J37" i="51" s="1"/>
  <c r="AH37" i="51" s="1"/>
  <c r="AI70" i="51" s="1"/>
  <c r="I49" i="49" a="1"/>
  <c r="I49" i="49" s="1"/>
  <c r="AG49" i="49" s="1"/>
  <c r="AH74" i="49" s="1"/>
  <c r="L25" i="53" a="1"/>
  <c r="L25" i="53" s="1"/>
  <c r="AM25" i="53" s="1"/>
  <c r="AN66" i="53" s="1"/>
  <c r="N10" i="53" a="1"/>
  <c r="N10" i="53" s="1"/>
  <c r="AO10" i="53" s="1"/>
  <c r="AP61" i="53" s="1"/>
  <c r="H32" i="53" a="1"/>
  <c r="H32" i="53" s="1"/>
  <c r="K50" i="53" a="1"/>
  <c r="K50" i="53" s="1"/>
  <c r="J56" i="44" a="1"/>
  <c r="J56" i="44" s="1"/>
  <c r="K18" i="44" a="1"/>
  <c r="K18" i="44" s="1"/>
  <c r="AB19" i="44" s="1"/>
  <c r="AC64" i="44" s="1"/>
  <c r="M46" i="48" a="1"/>
  <c r="M46" i="48" s="1"/>
  <c r="AN46" i="48" s="1"/>
  <c r="AO73" i="48" s="1"/>
  <c r="K25" i="48" a="1"/>
  <c r="K25" i="48" s="1"/>
  <c r="AL25" i="48" s="1"/>
  <c r="AM66" i="48" s="1"/>
  <c r="I46" i="48" a="1"/>
  <c r="I46" i="48" s="1"/>
  <c r="AJ46" i="48" s="1"/>
  <c r="AK73" i="48" s="1"/>
  <c r="K52" i="48" a="1"/>
  <c r="K52" i="48" s="1"/>
  <c r="AL52" i="48" s="1"/>
  <c r="AM75" i="48" s="1"/>
  <c r="N21" i="52" a="1"/>
  <c r="N21" i="52" s="1"/>
  <c r="AE22" i="52" s="1"/>
  <c r="AF65" i="52" s="1"/>
  <c r="N54" i="50" a="1"/>
  <c r="N54" i="50" s="1"/>
  <c r="N33" i="52" a="1"/>
  <c r="N33" i="52" s="1"/>
  <c r="AE34" i="52" s="1"/>
  <c r="AF69" i="52" s="1"/>
  <c r="J26" i="53" a="1"/>
  <c r="J26" i="53" s="1"/>
  <c r="AR25" i="53" s="1"/>
  <c r="AS66" i="53" s="1"/>
  <c r="L6" i="44" a="1"/>
  <c r="L6" i="44" s="1"/>
  <c r="AC7" i="44" s="1"/>
  <c r="AD60" i="44" s="1"/>
  <c r="M27" i="46" a="1"/>
  <c r="M27" i="46" s="1"/>
  <c r="AD28" i="46" s="1"/>
  <c r="AE67" i="46" s="1"/>
  <c r="K6" i="50" a="1"/>
  <c r="K6" i="50" s="1"/>
  <c r="AB7" i="50" s="1"/>
  <c r="AC60" i="50" s="1"/>
  <c r="L19" i="51" a="1"/>
  <c r="L19" i="51" s="1"/>
  <c r="AJ19" i="51" s="1"/>
  <c r="AK64" i="51" s="1"/>
  <c r="J14" i="49" a="1"/>
  <c r="J14" i="49" s="1"/>
  <c r="AO13" i="49" s="1"/>
  <c r="AP62" i="49" s="1"/>
  <c r="J33" i="46" a="1"/>
  <c r="J33" i="46" s="1"/>
  <c r="AA34" i="46" s="1"/>
  <c r="AB69" i="46" s="1"/>
  <c r="M43" i="51" a="1"/>
  <c r="M43" i="51" s="1"/>
  <c r="AK43" i="51" s="1"/>
  <c r="AL72" i="51" s="1"/>
  <c r="K3" i="50" a="1"/>
  <c r="K3" i="50" s="1"/>
  <c r="AB4" i="50" s="1"/>
  <c r="AC59" i="50" s="1"/>
  <c r="J3" i="53" a="1"/>
  <c r="J3" i="53" s="1"/>
  <c r="AD4" i="53" s="1"/>
  <c r="AE59" i="53" s="1"/>
  <c r="H12" i="53" a="1"/>
  <c r="H12" i="53" s="1"/>
  <c r="N49" i="44" a="1"/>
  <c r="N49" i="44" s="1"/>
  <c r="AL49" i="44" s="1"/>
  <c r="AM74" i="44" s="1"/>
  <c r="I30" i="44" a="1"/>
  <c r="I30" i="44" s="1"/>
  <c r="Z31" i="44" s="1"/>
  <c r="AA68" i="44" s="1"/>
  <c r="H50" i="46" a="1"/>
  <c r="H50" i="46" s="1"/>
  <c r="J48" i="46" a="1"/>
  <c r="J48" i="46" s="1"/>
  <c r="AA49" i="46" s="1"/>
  <c r="AB74" i="46" s="1"/>
  <c r="H27" i="48" a="1"/>
  <c r="H27" i="48" s="1"/>
  <c r="H26" i="51" a="1"/>
  <c r="H26" i="51" s="1"/>
  <c r="K6" i="49" a="1"/>
  <c r="K6" i="49" s="1"/>
  <c r="AB7" i="49" s="1"/>
  <c r="AC60" i="49" s="1"/>
  <c r="N43" i="52" a="1"/>
  <c r="N43" i="52" s="1"/>
  <c r="AL43" i="52" s="1"/>
  <c r="AM72" i="52" s="1"/>
  <c r="L12" i="53" a="1"/>
  <c r="L12" i="53" s="1"/>
  <c r="AF13" i="53" s="1"/>
  <c r="AG62" i="53" s="1"/>
  <c r="L9" i="53" a="1"/>
  <c r="L9" i="53" s="1"/>
  <c r="AF10" i="53" s="1"/>
  <c r="AG61" i="53" s="1"/>
  <c r="H9" i="45" a="1"/>
  <c r="H9" i="45" s="1"/>
  <c r="M46" i="43" a="1"/>
  <c r="M46" i="43" s="1"/>
  <c r="AK46" i="43" s="1"/>
  <c r="AL73" i="43" s="1"/>
  <c r="I33" i="48" a="1"/>
  <c r="I33" i="48" s="1"/>
  <c r="AC34" i="48" s="1"/>
  <c r="AD69" i="48" s="1"/>
  <c r="N18" i="49" a="1"/>
  <c r="N18" i="49" s="1"/>
  <c r="J55" i="49" a="1"/>
  <c r="J55" i="49" s="1"/>
  <c r="AH55" i="49" s="1"/>
  <c r="AI76" i="49" s="1"/>
  <c r="K44" i="46" a="1"/>
  <c r="K44" i="46" s="1"/>
  <c r="AP43" i="46" s="1"/>
  <c r="AQ72" i="46" s="1"/>
  <c r="M51" i="51" a="1"/>
  <c r="M51" i="51" s="1"/>
  <c r="J14" i="50" a="1"/>
  <c r="J14" i="50" s="1"/>
  <c r="I37" i="50" a="1"/>
  <c r="I37" i="50" s="1"/>
  <c r="AG37" i="50" s="1"/>
  <c r="AH70" i="50" s="1"/>
  <c r="M21" i="49" a="1"/>
  <c r="M21" i="49" s="1"/>
  <c r="AD22" i="49" s="1"/>
  <c r="AE65" i="49" s="1"/>
  <c r="M8" i="49" a="1"/>
  <c r="M8" i="49" s="1"/>
  <c r="AR7" i="49" s="1"/>
  <c r="AS60" i="49" s="1"/>
  <c r="N33" i="49" a="1"/>
  <c r="N33" i="49" s="1"/>
  <c r="AE34" i="49" s="1"/>
  <c r="AF69" i="49" s="1"/>
  <c r="K35" i="49" a="1"/>
  <c r="K35" i="49" s="1"/>
  <c r="AP34" i="49" s="1"/>
  <c r="AQ69" i="49" s="1"/>
  <c r="L50" i="49" a="1"/>
  <c r="L50" i="49" s="1"/>
  <c r="M44" i="51" a="1"/>
  <c r="M44" i="51" s="1"/>
  <c r="AR43" i="51" s="1"/>
  <c r="AS72" i="51" s="1"/>
  <c r="I33" i="50" a="1"/>
  <c r="I33" i="50" s="1"/>
  <c r="Z34" i="50" s="1"/>
  <c r="AA69" i="50" s="1"/>
  <c r="N24" i="50" a="1"/>
  <c r="N24" i="50" s="1"/>
  <c r="AE25" i="50" s="1"/>
  <c r="AF66" i="50" s="1"/>
  <c r="H36" i="50" a="1"/>
  <c r="H36" i="50" s="1"/>
  <c r="H47" i="50" a="1"/>
  <c r="H47" i="50" s="1"/>
  <c r="K41" i="49" a="1"/>
  <c r="K41" i="49" s="1"/>
  <c r="AP40" i="49" s="1"/>
  <c r="AQ71" i="49" s="1"/>
  <c r="K10" i="49" a="1"/>
  <c r="K10" i="49" s="1"/>
  <c r="AI10" i="49" s="1"/>
  <c r="AJ61" i="49" s="1"/>
  <c r="L11" i="49" a="1"/>
  <c r="L11" i="49" s="1"/>
  <c r="AQ10" i="49" s="1"/>
  <c r="AR61" i="49" s="1"/>
  <c r="I24" i="49" a="1"/>
  <c r="I24" i="49" s="1"/>
  <c r="Z25" i="49" s="1"/>
  <c r="AA66" i="49" s="1"/>
  <c r="M54" i="49" a="1"/>
  <c r="M54" i="49" s="1"/>
  <c r="AD55" i="49" s="1"/>
  <c r="AE76" i="49" s="1"/>
  <c r="I55" i="51" a="1"/>
  <c r="I55" i="51" s="1"/>
  <c r="AG55" i="51" s="1"/>
  <c r="AH76" i="51" s="1"/>
  <c r="N23" i="50" a="1"/>
  <c r="N23" i="50" s="1"/>
  <c r="AS22" i="50" s="1"/>
  <c r="AT65" i="50" s="1"/>
  <c r="K28" i="50" a="1"/>
  <c r="K28" i="50" s="1"/>
  <c r="AI28" i="50" s="1"/>
  <c r="AJ67" i="50" s="1"/>
  <c r="N37" i="50" a="1"/>
  <c r="N37" i="50" s="1"/>
  <c r="AL37" i="50" s="1"/>
  <c r="AM70" i="50" s="1"/>
  <c r="I45" i="50" a="1"/>
  <c r="I45" i="50" s="1"/>
  <c r="Z46" i="50" s="1"/>
  <c r="AA73" i="50" s="1"/>
  <c r="N39" i="49" a="1"/>
  <c r="N39" i="49" s="1"/>
  <c r="AE40" i="49" s="1"/>
  <c r="AF71" i="49" s="1"/>
  <c r="J21" i="49" a="1"/>
  <c r="J21" i="49" s="1"/>
  <c r="AA22" i="49" s="1"/>
  <c r="AB65" i="49" s="1"/>
  <c r="H34" i="49" a="1"/>
  <c r="H34" i="49" s="1"/>
  <c r="K49" i="49" a="1"/>
  <c r="K49" i="49" s="1"/>
  <c r="AI49" i="49" s="1"/>
  <c r="AJ74" i="49" s="1"/>
  <c r="I16" i="48" a="1"/>
  <c r="I16" i="48" s="1"/>
  <c r="AJ16" i="48" s="1"/>
  <c r="AK63" i="48" s="1"/>
  <c r="J37" i="47" a="1"/>
  <c r="J37" i="47" s="1"/>
  <c r="AH37" i="47" s="1"/>
  <c r="AI70" i="47" s="1"/>
  <c r="M12" i="43" a="1"/>
  <c r="M12" i="43" s="1"/>
  <c r="AD13" i="43" s="1"/>
  <c r="AE62" i="43" s="1"/>
  <c r="N6" i="49" a="1"/>
  <c r="N6" i="49" s="1"/>
  <c r="AE7" i="49" s="1"/>
  <c r="AF60" i="49" s="1"/>
  <c r="J18" i="49" a="1"/>
  <c r="J18" i="49" s="1"/>
  <c r="AA19" i="49" s="1"/>
  <c r="AB64" i="49" s="1"/>
  <c r="N11" i="47" a="1"/>
  <c r="N11" i="47" s="1"/>
  <c r="AS10" i="47" s="1"/>
  <c r="AT61" i="47" s="1"/>
  <c r="K52" i="49" a="1"/>
  <c r="K52" i="49" s="1"/>
  <c r="AI52" i="49" s="1"/>
  <c r="AJ75" i="49" s="1"/>
  <c r="N5" i="52" a="1"/>
  <c r="N5" i="52" s="1"/>
  <c r="AS4" i="52" s="1"/>
  <c r="AT59" i="52" s="1"/>
  <c r="H15" i="51" a="1"/>
  <c r="H15" i="51" s="1"/>
  <c r="N3" i="53" a="1"/>
  <c r="N3" i="53" s="1"/>
  <c r="AH4" i="53" s="1"/>
  <c r="AI59" i="53" s="1"/>
  <c r="H30" i="53" a="1"/>
  <c r="H30" i="53" s="1"/>
  <c r="J3" i="46" a="1"/>
  <c r="J3" i="46" s="1"/>
  <c r="AA4" i="46" s="1"/>
  <c r="AB59" i="46" s="1"/>
  <c r="K7" i="46" a="1"/>
  <c r="K7" i="46" s="1"/>
  <c r="AI7" i="46" s="1"/>
  <c r="AJ60" i="46" s="1"/>
  <c r="K44" i="47" a="1"/>
  <c r="K44" i="47" s="1"/>
  <c r="AP43" i="47" s="1"/>
  <c r="AQ72" i="47" s="1"/>
  <c r="N40" i="50" a="1"/>
  <c r="N40" i="50" s="1"/>
  <c r="AL40" i="50" s="1"/>
  <c r="AM71" i="50" s="1"/>
  <c r="N47" i="51" a="1"/>
  <c r="N47" i="51" s="1"/>
  <c r="AS46" i="51" s="1"/>
  <c r="AT73" i="51" s="1"/>
  <c r="H33" i="52" a="1"/>
  <c r="H33" i="52" s="1"/>
  <c r="J35" i="51" a="1"/>
  <c r="J35" i="51" s="1"/>
  <c r="AO34" i="51" s="1"/>
  <c r="AP69" i="51" s="1"/>
  <c r="M21" i="53" a="1"/>
  <c r="M21" i="53" s="1"/>
  <c r="AG22" i="53" s="1"/>
  <c r="AH65" i="53" s="1"/>
  <c r="I33" i="53" a="1"/>
  <c r="I33" i="53" s="1"/>
  <c r="AC34" i="53" s="1"/>
  <c r="AD69" i="53" s="1"/>
  <c r="I41" i="53" a="1"/>
  <c r="I41" i="53" s="1"/>
  <c r="AQ40" i="53" s="1"/>
  <c r="AR71" i="53" s="1"/>
  <c r="H43" i="53" a="1"/>
  <c r="H43" i="53" s="1"/>
  <c r="I21" i="45" a="1"/>
  <c r="I21" i="45" s="1"/>
  <c r="Z22" i="45" s="1"/>
  <c r="AA65" i="45" s="1"/>
  <c r="H19" i="45" a="1"/>
  <c r="H19" i="45" s="1"/>
  <c r="M3" i="50" a="1"/>
  <c r="M3" i="50" s="1"/>
  <c r="AD4" i="50" s="1"/>
  <c r="AE59" i="50" s="1"/>
  <c r="K56" i="48" a="1"/>
  <c r="K56" i="48" s="1"/>
  <c r="I40" i="50" a="1"/>
  <c r="I40" i="50" s="1"/>
  <c r="AG40" i="50" s="1"/>
  <c r="AH71" i="50" s="1"/>
  <c r="N26" i="51" a="1"/>
  <c r="N26" i="51" s="1"/>
  <c r="AS25" i="51" s="1"/>
  <c r="AT66" i="51" s="1"/>
  <c r="I47" i="52" a="1"/>
  <c r="I47" i="52" s="1"/>
  <c r="AN46" i="52" s="1"/>
  <c r="AO73" i="52" s="1"/>
  <c r="I37" i="52" a="1"/>
  <c r="I37" i="52" s="1"/>
  <c r="AG37" i="52" s="1"/>
  <c r="AH70" i="52" s="1"/>
  <c r="K31" i="53" a="1"/>
  <c r="K31" i="53" s="1"/>
  <c r="AL31" i="53" s="1"/>
  <c r="AM68" i="53" s="1"/>
  <c r="H31" i="53" a="1"/>
  <c r="H31" i="53" s="1"/>
  <c r="J34" i="44" a="1"/>
  <c r="J34" i="44" s="1"/>
  <c r="AH34" i="44" s="1"/>
  <c r="AI69" i="44" s="1"/>
  <c r="J49" i="46" a="1"/>
  <c r="J49" i="46" s="1"/>
  <c r="AH49" i="46" s="1"/>
  <c r="AI74" i="46" s="1"/>
  <c r="H49" i="50" a="1"/>
  <c r="H49" i="50" s="1"/>
  <c r="L28" i="47" a="1"/>
  <c r="L28" i="47" s="1"/>
  <c r="AJ28" i="47" s="1"/>
  <c r="AK67" i="47" s="1"/>
  <c r="N23" i="47" a="1"/>
  <c r="N23" i="47" s="1"/>
  <c r="AS22" i="47" s="1"/>
  <c r="AT65" i="47" s="1"/>
  <c r="N38" i="47" a="1"/>
  <c r="N38" i="47" s="1"/>
  <c r="AS37" i="47" s="1"/>
  <c r="AT70" i="47" s="1"/>
  <c r="N11" i="52" a="1"/>
  <c r="N11" i="52" s="1"/>
  <c r="AS10" i="52" s="1"/>
  <c r="AT61" i="52" s="1"/>
  <c r="H44" i="51" a="1"/>
  <c r="H44" i="51" s="1"/>
  <c r="N26" i="53" a="1"/>
  <c r="N26" i="53" s="1"/>
  <c r="AV25" i="53" s="1"/>
  <c r="AW66" i="53" s="1"/>
  <c r="N30" i="53" a="1"/>
  <c r="N30" i="53" s="1"/>
  <c r="AH31" i="53" s="1"/>
  <c r="AI68" i="53" s="1"/>
  <c r="H54" i="45" a="1"/>
  <c r="H54" i="45" s="1"/>
  <c r="L3" i="45" a="1"/>
  <c r="L3" i="45" s="1"/>
  <c r="AC4" i="45" s="1"/>
  <c r="AD59" i="45" s="1"/>
  <c r="N12" i="47" a="1"/>
  <c r="N12" i="47" s="1"/>
  <c r="AE13" i="47" s="1"/>
  <c r="AF62" i="47" s="1"/>
  <c r="I25" i="47" a="1"/>
  <c r="I25" i="47" s="1"/>
  <c r="AG25" i="47" s="1"/>
  <c r="AH66" i="47" s="1"/>
  <c r="N47" i="48" a="1"/>
  <c r="N47" i="48" s="1"/>
  <c r="AV46" i="48" s="1"/>
  <c r="AW73" i="48" s="1"/>
  <c r="H36" i="46" a="1"/>
  <c r="H36" i="46" s="1"/>
  <c r="K44" i="51" a="1"/>
  <c r="K44" i="51" s="1"/>
  <c r="AP43" i="51" s="1"/>
  <c r="AQ72" i="51" s="1"/>
  <c r="I22" i="50" a="1"/>
  <c r="I22" i="50" s="1"/>
  <c r="AG22" i="50" s="1"/>
  <c r="AH65" i="50" s="1"/>
  <c r="H21" i="53" a="1"/>
  <c r="H21" i="53" s="1"/>
  <c r="K20" i="53" a="1"/>
  <c r="K20" i="53" s="1"/>
  <c r="AS19" i="53" s="1"/>
  <c r="AT64" i="53" s="1"/>
  <c r="J48" i="44" a="1"/>
  <c r="J48" i="44" s="1"/>
  <c r="AA49" i="44" s="1"/>
  <c r="AB74" i="44" s="1"/>
  <c r="J50" i="45" a="1"/>
  <c r="J50" i="45" s="1"/>
  <c r="I33" i="45" a="1"/>
  <c r="I33" i="45" s="1"/>
  <c r="Z34" i="45" s="1"/>
  <c r="AA69" i="45" s="1"/>
  <c r="M49" i="48" a="1"/>
  <c r="M49" i="48" s="1"/>
  <c r="AN49" i="48" s="1"/>
  <c r="AO74" i="48" s="1"/>
  <c r="J26" i="50" a="1"/>
  <c r="J26" i="50" s="1"/>
  <c r="AO25" i="50" s="1"/>
  <c r="AP66" i="50" s="1"/>
  <c r="N46" i="47" a="1"/>
  <c r="N46" i="47" s="1"/>
  <c r="AL46" i="47" s="1"/>
  <c r="AM73" i="47" s="1"/>
  <c r="K52" i="47" a="1"/>
  <c r="K52" i="47" s="1"/>
  <c r="AI52" i="47" s="1"/>
  <c r="AJ75" i="47" s="1"/>
  <c r="H49" i="51" a="1"/>
  <c r="H49" i="51" s="1"/>
  <c r="I9" i="50" a="1"/>
  <c r="I9" i="50" s="1"/>
  <c r="Z10" i="50" s="1"/>
  <c r="AA61" i="50" s="1"/>
  <c r="K51" i="50" a="1"/>
  <c r="K51" i="50" s="1"/>
  <c r="I15" i="49" a="1"/>
  <c r="I15" i="49" s="1"/>
  <c r="Z16" i="49" s="1"/>
  <c r="AA63" i="49" s="1"/>
  <c r="H16" i="49" a="1"/>
  <c r="H16" i="49" s="1"/>
  <c r="H15" i="49" a="1"/>
  <c r="H15" i="49" s="1"/>
  <c r="M38" i="49" a="1"/>
  <c r="M38" i="49" s="1"/>
  <c r="AR37" i="49" s="1"/>
  <c r="AS70" i="49" s="1"/>
  <c r="I50" i="49" a="1"/>
  <c r="I50" i="49" s="1"/>
  <c r="I27" i="51" a="1"/>
  <c r="I27" i="51" s="1"/>
  <c r="Z28" i="51" s="1"/>
  <c r="AA67" i="51" s="1"/>
  <c r="N17" i="50" a="1"/>
  <c r="N17" i="50" s="1"/>
  <c r="L9" i="50" a="1"/>
  <c r="L9" i="50" s="1"/>
  <c r="AC10" i="50" s="1"/>
  <c r="AD61" i="50" s="1"/>
  <c r="L37" i="50" a="1"/>
  <c r="L37" i="50" s="1"/>
  <c r="AJ37" i="50" s="1"/>
  <c r="AK70" i="50" s="1"/>
  <c r="N52" i="50" a="1"/>
  <c r="N52" i="50" s="1"/>
  <c r="AL52" i="50" s="1"/>
  <c r="AM75" i="50" s="1"/>
  <c r="K39" i="49" a="1"/>
  <c r="K39" i="49" s="1"/>
  <c r="AB40" i="49" s="1"/>
  <c r="AC71" i="49" s="1"/>
  <c r="M18" i="49" a="1"/>
  <c r="M18" i="49" s="1"/>
  <c r="AD19" i="49" s="1"/>
  <c r="AE64" i="49" s="1"/>
  <c r="K21" i="49" a="1"/>
  <c r="K21" i="49" s="1"/>
  <c r="AB22" i="49" s="1"/>
  <c r="AC65" i="49" s="1"/>
  <c r="L38" i="49" a="1"/>
  <c r="L38" i="49" s="1"/>
  <c r="AQ37" i="49" s="1"/>
  <c r="AR70" i="49" s="1"/>
  <c r="H45" i="49" a="1"/>
  <c r="H45" i="49" s="1"/>
  <c r="H23" i="50" a="1"/>
  <c r="H23" i="50" s="1"/>
  <c r="N31" i="50" a="1"/>
  <c r="N31" i="50" s="1"/>
  <c r="AL31" i="50" s="1"/>
  <c r="AM68" i="50" s="1"/>
  <c r="N10" i="50" a="1"/>
  <c r="N10" i="50" s="1"/>
  <c r="AL10" i="50" s="1"/>
  <c r="AM61" i="50" s="1"/>
  <c r="J46" i="50" a="1"/>
  <c r="J46" i="50" s="1"/>
  <c r="AH46" i="50" s="1"/>
  <c r="AI73" i="50" s="1"/>
  <c r="K49" i="50" a="1"/>
  <c r="K49" i="50" s="1"/>
  <c r="AI49" i="50" s="1"/>
  <c r="AJ74" i="50" s="1"/>
  <c r="I30" i="49" a="1"/>
  <c r="I30" i="49" s="1"/>
  <c r="Z31" i="49" s="1"/>
  <c r="AA68" i="49" s="1"/>
  <c r="H27" i="49" a="1"/>
  <c r="H27" i="49" s="1"/>
  <c r="M24" i="49" a="1"/>
  <c r="M24" i="49" s="1"/>
  <c r="AD25" i="49" s="1"/>
  <c r="AE66" i="49" s="1"/>
  <c r="I54" i="49" a="1"/>
  <c r="I54" i="49" s="1"/>
  <c r="Z55" i="49" s="1"/>
  <c r="AA76" i="49" s="1"/>
  <c r="H12" i="48" a="1"/>
  <c r="H12" i="48" s="1"/>
  <c r="H24" i="43" a="1"/>
  <c r="H24" i="43" s="1"/>
  <c r="H13" i="44" a="1"/>
  <c r="H13" i="44" s="1"/>
  <c r="L42" i="49" a="1"/>
  <c r="L42" i="49" s="1"/>
  <c r="AC43" i="49" s="1"/>
  <c r="AD72" i="49" s="1"/>
  <c r="M50" i="46" a="1"/>
  <c r="M50" i="46" s="1"/>
  <c r="N43" i="48" a="1"/>
  <c r="N43" i="48" s="1"/>
  <c r="AO43" i="48" s="1"/>
  <c r="AP72" i="48" s="1"/>
  <c r="N30" i="51" a="1"/>
  <c r="N30" i="51" s="1"/>
  <c r="AE31" i="51" s="1"/>
  <c r="AF68" i="51" s="1"/>
  <c r="J6" i="49" a="1"/>
  <c r="J6" i="49" s="1"/>
  <c r="AA7" i="49" s="1"/>
  <c r="AB60" i="49" s="1"/>
  <c r="K5" i="52" a="1"/>
  <c r="K5" i="52" s="1"/>
  <c r="AP4" i="52" s="1"/>
  <c r="AQ59" i="52" s="1"/>
  <c r="L4" i="53" a="1"/>
  <c r="L4" i="53" s="1"/>
  <c r="AM4" i="53" s="1"/>
  <c r="AN59" i="53" s="1"/>
  <c r="H18" i="53" a="1"/>
  <c r="H18" i="53" s="1"/>
  <c r="N48" i="44" a="1"/>
  <c r="N48" i="44" s="1"/>
  <c r="AE49" i="44" s="1"/>
  <c r="AF74" i="44" s="1"/>
  <c r="K3" i="45" a="1"/>
  <c r="K3" i="45" s="1"/>
  <c r="AB4" i="45" s="1"/>
  <c r="AC59" i="45" s="1"/>
  <c r="H19" i="51" a="1"/>
  <c r="H19" i="51" s="1"/>
  <c r="J48" i="48" a="1"/>
  <c r="J48" i="48" s="1"/>
  <c r="AD49" i="48" s="1"/>
  <c r="AE74" i="48" s="1"/>
  <c r="L19" i="46" a="1"/>
  <c r="L19" i="46" s="1"/>
  <c r="AJ19" i="46" s="1"/>
  <c r="AK64" i="46" s="1"/>
  <c r="I34" i="46" a="1"/>
  <c r="I34" i="46" s="1"/>
  <c r="AG34" i="46" s="1"/>
  <c r="AH69" i="46" s="1"/>
  <c r="K20" i="52" a="1"/>
  <c r="K20" i="52" s="1"/>
  <c r="AP19" i="52" s="1"/>
  <c r="AQ64" i="52" s="1"/>
  <c r="J4" i="53" a="1"/>
  <c r="J4" i="53" s="1"/>
  <c r="AK4" i="53" s="1"/>
  <c r="AL59" i="53" s="1"/>
  <c r="N9" i="53" a="1"/>
  <c r="N9" i="53" s="1"/>
  <c r="N47" i="53" a="1"/>
  <c r="N47" i="53" s="1"/>
  <c r="AV46" i="53" s="1"/>
  <c r="AW73" i="53" s="1"/>
  <c r="J52" i="53" a="1"/>
  <c r="J52" i="53" s="1"/>
  <c r="AK52" i="53" s="1"/>
  <c r="AL75" i="53" s="1"/>
  <c r="N42" i="45" a="1"/>
  <c r="N42" i="45" s="1"/>
  <c r="AE43" i="45" s="1"/>
  <c r="AF72" i="45" s="1"/>
  <c r="H7" i="46" a="1"/>
  <c r="H7" i="46" s="1"/>
  <c r="N49" i="50" a="1"/>
  <c r="N49" i="50" s="1"/>
  <c r="AL49" i="50" s="1"/>
  <c r="AM74" i="50" s="1"/>
  <c r="M19" i="51" a="1"/>
  <c r="M19" i="51" s="1"/>
  <c r="AK19" i="51" s="1"/>
  <c r="AL64" i="51" s="1"/>
  <c r="N14" i="49" a="1"/>
  <c r="N14" i="49" s="1"/>
  <c r="AS13" i="49" s="1"/>
  <c r="AT62" i="49" s="1"/>
  <c r="L6" i="52" a="1"/>
  <c r="L6" i="52" s="1"/>
  <c r="AC7" i="52" s="1"/>
  <c r="AD60" i="52" s="1"/>
  <c r="N12" i="52" a="1"/>
  <c r="N12" i="52" s="1"/>
  <c r="AE13" i="52" s="1"/>
  <c r="AF62" i="52" s="1"/>
  <c r="K56" i="49" a="1"/>
  <c r="K56" i="49" s="1"/>
  <c r="J21" i="53" a="1"/>
  <c r="J21" i="53" s="1"/>
  <c r="AD22" i="53" s="1"/>
  <c r="AE65" i="53" s="1"/>
  <c r="I19" i="53" a="1"/>
  <c r="I19" i="53" s="1"/>
  <c r="AJ19" i="53" s="1"/>
  <c r="AK64" i="53" s="1"/>
  <c r="I3" i="45" a="1"/>
  <c r="I3" i="45" s="1"/>
  <c r="Z4" i="45" s="1"/>
  <c r="AA59" i="45" s="1"/>
  <c r="N19" i="46" a="1"/>
  <c r="N19" i="46" s="1"/>
  <c r="AL19" i="46" s="1"/>
  <c r="AM64" i="46" s="1"/>
  <c r="M44" i="45" a="1"/>
  <c r="M44" i="45" s="1"/>
  <c r="AR43" i="45" s="1"/>
  <c r="AS72" i="45" s="1"/>
  <c r="J43" i="48" a="1"/>
  <c r="J43" i="48" s="1"/>
  <c r="AK43" i="48" s="1"/>
  <c r="AL72" i="48" s="1"/>
  <c r="J46" i="48" a="1"/>
  <c r="J46" i="48" s="1"/>
  <c r="AK46" i="48" s="1"/>
  <c r="AL73" i="48" s="1"/>
  <c r="H22" i="48" a="1"/>
  <c r="H22" i="48" s="1"/>
  <c r="J35" i="52" a="1"/>
  <c r="J35" i="52" s="1"/>
  <c r="AO34" i="52" s="1"/>
  <c r="AP69" i="52" s="1"/>
  <c r="J28" i="52" a="1"/>
  <c r="J28" i="52" s="1"/>
  <c r="AH28" i="52" s="1"/>
  <c r="AI67" i="52" s="1"/>
  <c r="L16" i="53" a="1"/>
  <c r="L16" i="53" s="1"/>
  <c r="AM16" i="53" s="1"/>
  <c r="AN63" i="53" s="1"/>
  <c r="I8" i="53" a="1"/>
  <c r="I8" i="53" s="1"/>
  <c r="AQ7" i="53" s="1"/>
  <c r="AR60" i="53" s="1"/>
  <c r="H10" i="43" a="1"/>
  <c r="H10" i="43" s="1"/>
  <c r="H12" i="46" a="1"/>
  <c r="H12" i="46" s="1"/>
  <c r="N49" i="48" a="1"/>
  <c r="N49" i="48" s="1"/>
  <c r="AO49" i="48" s="1"/>
  <c r="AP74" i="48" s="1"/>
  <c r="K28" i="48" a="1"/>
  <c r="K28" i="48" s="1"/>
  <c r="AL28" i="48" s="1"/>
  <c r="AM67" i="48" s="1"/>
  <c r="M29" i="49" a="1"/>
  <c r="M29" i="49" s="1"/>
  <c r="AR28" i="49" s="1"/>
  <c r="AS67" i="49" s="1"/>
  <c r="M41" i="48" a="1"/>
  <c r="M41" i="48" s="1"/>
  <c r="AU40" i="48" s="1"/>
  <c r="AV71" i="48" s="1"/>
  <c r="K13" i="52" a="1"/>
  <c r="K13" i="52" s="1"/>
  <c r="AI13" i="52" s="1"/>
  <c r="AJ62" i="52" s="1"/>
  <c r="H47" i="51" a="1"/>
  <c r="H47" i="51" s="1"/>
  <c r="L21" i="53" a="1"/>
  <c r="L21" i="53" s="1"/>
  <c r="AF22" i="53" s="1"/>
  <c r="AG65" i="53" s="1"/>
  <c r="M12" i="53" a="1"/>
  <c r="M12" i="53" s="1"/>
  <c r="AG13" i="53" s="1"/>
  <c r="AH62" i="53" s="1"/>
  <c r="K10" i="47" a="1"/>
  <c r="K10" i="47" s="1"/>
  <c r="AI10" i="47" s="1"/>
  <c r="AJ61" i="47" s="1"/>
  <c r="K33" i="46" a="1"/>
  <c r="K33" i="46" s="1"/>
  <c r="AB34" i="46" s="1"/>
  <c r="AC69" i="46" s="1"/>
  <c r="H54" i="47" a="1"/>
  <c r="H54" i="47" s="1"/>
  <c r="N24" i="49" a="1"/>
  <c r="N24" i="49" s="1"/>
  <c r="AE25" i="49" s="1"/>
  <c r="AF66" i="49" s="1"/>
  <c r="H37" i="46" a="1"/>
  <c r="H37" i="46" s="1"/>
  <c r="K4" i="49" a="1"/>
  <c r="K4" i="49" s="1"/>
  <c r="AI4" i="49" s="1"/>
  <c r="AJ59" i="49" s="1"/>
  <c r="L47" i="48" a="1"/>
  <c r="L47" i="48" s="1"/>
  <c r="AT46" i="48" s="1"/>
  <c r="AU73" i="48" s="1"/>
  <c r="M53" i="51" a="1"/>
  <c r="M53" i="51" s="1"/>
  <c r="L36" i="50" a="1"/>
  <c r="L36" i="50" s="1"/>
  <c r="AC37" i="50" s="1"/>
  <c r="AD70" i="50" s="1"/>
  <c r="M46" i="50" a="1"/>
  <c r="M46" i="50" s="1"/>
  <c r="AK46" i="50" s="1"/>
  <c r="AL73" i="50" s="1"/>
  <c r="N41" i="49" a="1"/>
  <c r="N41" i="49" s="1"/>
  <c r="AS40" i="49" s="1"/>
  <c r="AT71" i="49" s="1"/>
  <c r="N25" i="49" a="1"/>
  <c r="N25" i="49" s="1"/>
  <c r="AL25" i="49" s="1"/>
  <c r="AM66" i="49" s="1"/>
  <c r="M28" i="49" a="1"/>
  <c r="M28" i="49" s="1"/>
  <c r="AK28" i="49" s="1"/>
  <c r="AL67" i="49" s="1"/>
  <c r="I37" i="49" a="1"/>
  <c r="I37" i="49" s="1"/>
  <c r="AG37" i="49" s="1"/>
  <c r="AH70" i="49" s="1"/>
  <c r="N56" i="49" a="1"/>
  <c r="N56" i="49" s="1"/>
  <c r="N55" i="51" a="1"/>
  <c r="N55" i="51" s="1"/>
  <c r="AL55" i="51" s="1"/>
  <c r="AM76" i="51" s="1"/>
  <c r="H17" i="50" a="1"/>
  <c r="H17" i="50" s="1"/>
  <c r="L23" i="50" a="1"/>
  <c r="L23" i="50" s="1"/>
  <c r="AQ22" i="50" s="1"/>
  <c r="AR65" i="50" s="1"/>
  <c r="N26" i="50" a="1"/>
  <c r="N26" i="50" s="1"/>
  <c r="AS25" i="50" s="1"/>
  <c r="AT66" i="50" s="1"/>
  <c r="M37" i="50" a="1"/>
  <c r="M37" i="50" s="1"/>
  <c r="AK37" i="50" s="1"/>
  <c r="AL70" i="50" s="1"/>
  <c r="L16" i="49" a="1"/>
  <c r="L16" i="49" s="1"/>
  <c r="AJ16" i="49" s="1"/>
  <c r="AK63" i="49" s="1"/>
  <c r="N36" i="49" a="1"/>
  <c r="N36" i="49" s="1"/>
  <c r="L33" i="49" a="1"/>
  <c r="L33" i="49" s="1"/>
  <c r="AC34" i="49" s="1"/>
  <c r="AD69" i="49" s="1"/>
  <c r="K40" i="49" a="1"/>
  <c r="K40" i="49" s="1"/>
  <c r="AI40" i="49" s="1"/>
  <c r="AJ71" i="49" s="1"/>
  <c r="H50" i="49" a="1"/>
  <c r="H50" i="49" s="1"/>
  <c r="M15" i="50" a="1"/>
  <c r="M15" i="50" s="1"/>
  <c r="AD16" i="50" s="1"/>
  <c r="AE63" i="50" s="1"/>
  <c r="J8" i="50" a="1"/>
  <c r="J8" i="50" s="1"/>
  <c r="AO7" i="50" s="1"/>
  <c r="AP60" i="50" s="1"/>
  <c r="M18" i="50" a="1"/>
  <c r="M18" i="50" s="1"/>
  <c r="AD19" i="50" s="1"/>
  <c r="AE64" i="50" s="1"/>
  <c r="M43" i="50" a="1"/>
  <c r="M43" i="50" s="1"/>
  <c r="AK43" i="50" s="1"/>
  <c r="AL72" i="50" s="1"/>
  <c r="I52" i="50" a="1"/>
  <c r="I52" i="50" s="1"/>
  <c r="AG52" i="50" s="1"/>
  <c r="AH75" i="50" s="1"/>
  <c r="H8" i="49" a="1"/>
  <c r="H8" i="49" s="1"/>
  <c r="L31" i="49" a="1"/>
  <c r="L31" i="49" s="1"/>
  <c r="AJ31" i="49" s="1"/>
  <c r="AK68" i="49" s="1"/>
  <c r="H38" i="49" a="1"/>
  <c r="H38" i="49" s="1"/>
  <c r="L45" i="49" a="1"/>
  <c r="L45" i="49" s="1"/>
  <c r="AC46" i="49" s="1"/>
  <c r="AD73" i="49" s="1"/>
  <c r="L17" i="48" a="1"/>
  <c r="L17" i="48" s="1"/>
  <c r="AT16" i="48" s="1"/>
  <c r="AU63" i="48" s="1"/>
  <c r="J43" i="43" a="1"/>
  <c r="J43" i="43" s="1"/>
  <c r="AH43" i="43" s="1"/>
  <c r="AI72" i="43" s="1"/>
  <c r="H10" i="45" a="1"/>
  <c r="H10" i="45" s="1"/>
  <c r="M35" i="48" a="1"/>
  <c r="M35" i="48" s="1"/>
  <c r="AU34" i="48" s="1"/>
  <c r="AV69" i="48" s="1"/>
  <c r="H15" i="47" a="1"/>
  <c r="H15" i="47" s="1"/>
  <c r="J24" i="49" a="1"/>
  <c r="J24" i="49" s="1"/>
  <c r="AA25" i="49" s="1"/>
  <c r="AB66" i="49" s="1"/>
  <c r="M51" i="52" a="1"/>
  <c r="M51" i="52" s="1"/>
  <c r="M32" i="50" a="1"/>
  <c r="M32" i="50" s="1"/>
  <c r="AR31" i="50" s="1"/>
  <c r="AS68" i="50" s="1"/>
  <c r="K38" i="52" a="1"/>
  <c r="K38" i="52" s="1"/>
  <c r="AP37" i="52" s="1"/>
  <c r="AQ70" i="52" s="1"/>
  <c r="M5" i="53" a="1"/>
  <c r="M5" i="53" s="1"/>
  <c r="AU4" i="53" s="1"/>
  <c r="AV59" i="53" s="1"/>
  <c r="L32" i="53" a="1"/>
  <c r="L32" i="53" s="1"/>
  <c r="AT31" i="53" s="1"/>
  <c r="AU68" i="53" s="1"/>
  <c r="I16" i="43" a="1"/>
  <c r="I16" i="43" s="1"/>
  <c r="AG16" i="43" s="1"/>
  <c r="AH63" i="43" s="1"/>
  <c r="L46" i="45" a="1"/>
  <c r="L46" i="45" s="1"/>
  <c r="AJ46" i="45" s="1"/>
  <c r="AK73" i="45" s="1"/>
  <c r="N50" i="46" a="1"/>
  <c r="N50" i="46" s="1"/>
  <c r="K9" i="47" a="1"/>
  <c r="K9" i="47" s="1"/>
  <c r="AB10" i="47" s="1"/>
  <c r="AC61" i="47" s="1"/>
  <c r="J11" i="47" a="1"/>
  <c r="J11" i="47" s="1"/>
  <c r="AO10" i="47" s="1"/>
  <c r="AP61" i="47" s="1"/>
  <c r="N17" i="49" a="1"/>
  <c r="N17" i="49" s="1"/>
  <c r="AS16" i="49" s="1"/>
  <c r="AT63" i="49" s="1"/>
  <c r="K42" i="52" a="1"/>
  <c r="K42" i="52" s="1"/>
  <c r="AB43" i="52" s="1"/>
  <c r="AC72" i="52" s="1"/>
  <c r="H5" i="53" a="1"/>
  <c r="H5" i="53" s="1"/>
  <c r="K17" i="53" a="1"/>
  <c r="K17" i="53" s="1"/>
  <c r="AS16" i="53" s="1"/>
  <c r="AT63" i="53" s="1"/>
  <c r="L45" i="53" a="1"/>
  <c r="L45" i="53" s="1"/>
  <c r="AF46" i="53" s="1"/>
  <c r="AG73" i="53" s="1"/>
  <c r="N37" i="47" a="1"/>
  <c r="N37" i="47" s="1"/>
  <c r="AL37" i="47" s="1"/>
  <c r="AM70" i="47" s="1"/>
  <c r="H19" i="46" a="1"/>
  <c r="H19" i="46" s="1"/>
  <c r="L4" i="45" a="1"/>
  <c r="L4" i="45" s="1"/>
  <c r="AJ4" i="45" s="1"/>
  <c r="AK59" i="45" s="1"/>
  <c r="N46" i="48" a="1"/>
  <c r="N46" i="48" s="1"/>
  <c r="J53" i="47" a="1"/>
  <c r="J53" i="47" s="1"/>
  <c r="M23" i="47" a="1"/>
  <c r="M23" i="47" s="1"/>
  <c r="AR22" i="47" s="1"/>
  <c r="AS65" i="47" s="1"/>
  <c r="I32" i="46" a="1"/>
  <c r="I32" i="46" s="1"/>
  <c r="AN31" i="46" s="1"/>
  <c r="AO68" i="46" s="1"/>
  <c r="H43" i="52" a="1"/>
  <c r="H43" i="52" s="1"/>
  <c r="I4" i="53" a="1"/>
  <c r="I4" i="53" s="1"/>
  <c r="AJ4" i="53" s="1"/>
  <c r="AK59" i="53" s="1"/>
  <c r="K26" i="53" a="1"/>
  <c r="K26" i="53" s="1"/>
  <c r="AS25" i="53" s="1"/>
  <c r="AT66" i="53" s="1"/>
  <c r="M50" i="45" a="1"/>
  <c r="M50" i="45" s="1"/>
  <c r="I11" i="45" a="1"/>
  <c r="I11" i="45" s="1"/>
  <c r="AN10" i="45" s="1"/>
  <c r="AO61" i="45" s="1"/>
  <c r="N47" i="46" a="1"/>
  <c r="N47" i="46" s="1"/>
  <c r="AS46" i="46" s="1"/>
  <c r="AT73" i="46" s="1"/>
  <c r="H42" i="49" a="1"/>
  <c r="H42" i="49" s="1"/>
  <c r="M28" i="50" a="1"/>
  <c r="M28" i="50" s="1"/>
  <c r="AK28" i="50" s="1"/>
  <c r="AL67" i="50" s="1"/>
  <c r="L50" i="50" a="1"/>
  <c r="L50" i="50" s="1"/>
  <c r="N27" i="48" a="1"/>
  <c r="N27" i="48" s="1"/>
  <c r="N45" i="52" a="1"/>
  <c r="N45" i="52" s="1"/>
  <c r="H37" i="53" a="1"/>
  <c r="H37" i="53" s="1"/>
  <c r="H39" i="53" a="1"/>
  <c r="H39" i="53" s="1"/>
  <c r="M33" i="43" a="1"/>
  <c r="M33" i="43" s="1"/>
  <c r="AD34" i="43" s="1"/>
  <c r="AE69" i="43" s="1"/>
  <c r="N44" i="43" a="1"/>
  <c r="N44" i="43" s="1"/>
  <c r="AS43" i="43" s="1"/>
  <c r="AT72" i="43" s="1"/>
  <c r="H24" i="49" a="1"/>
  <c r="H24" i="49" s="1"/>
  <c r="K25" i="46" a="1"/>
  <c r="K25" i="46" s="1"/>
  <c r="AI25" i="46" s="1"/>
  <c r="AJ66" i="46" s="1"/>
  <c r="L20" i="50" a="1"/>
  <c r="L20" i="50" s="1"/>
  <c r="N38" i="52" a="1"/>
  <c r="N38" i="52" s="1"/>
  <c r="AS37" i="52" s="1"/>
  <c r="AT70" i="52" s="1"/>
  <c r="I15" i="52" a="1"/>
  <c r="I15" i="52" s="1"/>
  <c r="Z16" i="52" s="1"/>
  <c r="AA63" i="52" s="1"/>
  <c r="N20" i="53" a="1"/>
  <c r="N20" i="53" s="1"/>
  <c r="AV19" i="53" s="1"/>
  <c r="AW64" i="53" s="1"/>
  <c r="H56" i="44" a="1"/>
  <c r="H56" i="44" s="1"/>
  <c r="N49" i="47" a="1"/>
  <c r="N49" i="47" s="1"/>
  <c r="AL49" i="47" s="1"/>
  <c r="AM74" i="47" s="1"/>
  <c r="M27" i="45" a="1"/>
  <c r="M27" i="45" s="1"/>
  <c r="AD28" i="45" s="1"/>
  <c r="AE67" i="45" s="1"/>
  <c r="K7" i="49" a="1"/>
  <c r="K7" i="49" s="1"/>
  <c r="AI7" i="49" s="1"/>
  <c r="AJ60" i="49" s="1"/>
  <c r="M4" i="47" a="1"/>
  <c r="M4" i="47" s="1"/>
  <c r="AK4" i="47" s="1"/>
  <c r="AL59" i="47" s="1"/>
  <c r="K34" i="47" a="1"/>
  <c r="K34" i="47" s="1"/>
  <c r="AI34" i="47" s="1"/>
  <c r="AJ69" i="47" s="1"/>
  <c r="J39" i="49" a="1"/>
  <c r="J39" i="49" s="1"/>
  <c r="AA40" i="49" s="1"/>
  <c r="AB71" i="49" s="1"/>
  <c r="I5" i="50" a="1"/>
  <c r="I5" i="50" s="1"/>
  <c r="AN4" i="50" s="1"/>
  <c r="AO59" i="50" s="1"/>
  <c r="K34" i="50" a="1"/>
  <c r="K34" i="50" s="1"/>
  <c r="AI34" i="50" s="1"/>
  <c r="AJ69" i="50" s="1"/>
  <c r="J45" i="50" a="1"/>
  <c r="J45" i="50" s="1"/>
  <c r="AA46" i="50" s="1"/>
  <c r="AB73" i="50" s="1"/>
  <c r="I9" i="49" a="1"/>
  <c r="I9" i="49" s="1"/>
  <c r="Z10" i="49" s="1"/>
  <c r="AA61" i="49" s="1"/>
  <c r="I8" i="49" a="1"/>
  <c r="I8" i="49" s="1"/>
  <c r="AN7" i="49" s="1"/>
  <c r="AO60" i="49" s="1"/>
  <c r="L26" i="49" a="1"/>
  <c r="L26" i="49" s="1"/>
  <c r="AQ25" i="49" s="1"/>
  <c r="AR66" i="49" s="1"/>
  <c r="J43" i="49" a="1"/>
  <c r="J43" i="49" s="1"/>
  <c r="AH43" i="49" s="1"/>
  <c r="AI72" i="49" s="1"/>
  <c r="K11" i="48" a="1"/>
  <c r="K11" i="48" s="1"/>
  <c r="AS10" i="48" s="1"/>
  <c r="AT61" i="48" s="1"/>
  <c r="M56" i="51" a="1"/>
  <c r="M56" i="51" s="1"/>
  <c r="N22" i="50" a="1"/>
  <c r="N22" i="50" s="1"/>
  <c r="AL22" i="50" s="1"/>
  <c r="AM65" i="50" s="1"/>
  <c r="N5" i="50" a="1"/>
  <c r="N5" i="50" s="1"/>
  <c r="AS4" i="50" s="1"/>
  <c r="AT59" i="50" s="1"/>
  <c r="I18" i="50" a="1"/>
  <c r="I18" i="50" s="1"/>
  <c r="Z19" i="50" s="1"/>
  <c r="AA64" i="50" s="1"/>
  <c r="K43" i="50" a="1"/>
  <c r="K43" i="50" s="1"/>
  <c r="AI43" i="50" s="1"/>
  <c r="AJ72" i="50" s="1"/>
  <c r="N30" i="49" a="1"/>
  <c r="N30" i="49" s="1"/>
  <c r="AE31" i="49" s="1"/>
  <c r="AF68" i="49" s="1"/>
  <c r="L10" i="49" a="1"/>
  <c r="L10" i="49" s="1"/>
  <c r="AJ10" i="49" s="1"/>
  <c r="AK61" i="49" s="1"/>
  <c r="M15" i="49" a="1"/>
  <c r="M15" i="49" s="1"/>
  <c r="AD16" i="49" s="1"/>
  <c r="AE63" i="49" s="1"/>
  <c r="L29" i="49" a="1"/>
  <c r="L29" i="49" s="1"/>
  <c r="AQ28" i="49" s="1"/>
  <c r="AR67" i="49" s="1"/>
  <c r="I45" i="49" a="1"/>
  <c r="I45" i="49" s="1"/>
  <c r="Z46" i="49" s="1"/>
  <c r="AA73" i="49" s="1"/>
  <c r="I27" i="50" a="1"/>
  <c r="I27" i="50" s="1"/>
  <c r="Z28" i="50" s="1"/>
  <c r="AA67" i="50" s="1"/>
  <c r="K4" i="50" a="1"/>
  <c r="K4" i="50" s="1"/>
  <c r="AI4" i="50" s="1"/>
  <c r="AJ59" i="50" s="1"/>
  <c r="K30" i="50" a="1"/>
  <c r="K30" i="50" s="1"/>
  <c r="AB31" i="50" s="1"/>
  <c r="AC68" i="50" s="1"/>
  <c r="M41" i="50" a="1"/>
  <c r="M41" i="50" s="1"/>
  <c r="AR40" i="50" s="1"/>
  <c r="AS71" i="50" s="1"/>
  <c r="L56" i="50" a="1"/>
  <c r="L56" i="50" s="1"/>
  <c r="H20" i="49" a="1"/>
  <c r="H20" i="49" s="1"/>
  <c r="M41" i="49" a="1"/>
  <c r="M41" i="49" s="1"/>
  <c r="AR40" i="49" s="1"/>
  <c r="AS71" i="49" s="1"/>
  <c r="N47" i="49" a="1"/>
  <c r="N47" i="49" s="1"/>
  <c r="AS46" i="49" s="1"/>
  <c r="AT73" i="49" s="1"/>
  <c r="N15" i="48" a="1"/>
  <c r="N15" i="48" s="1"/>
  <c r="AH16" i="48" s="1"/>
  <c r="AI63" i="48" s="1"/>
  <c r="K20" i="45" a="1"/>
  <c r="K20" i="45" s="1"/>
  <c r="AP19" i="45" s="1"/>
  <c r="AQ64" i="45" s="1"/>
  <c r="H4" i="46" a="1"/>
  <c r="H4" i="46" s="1"/>
  <c r="I21" i="50" a="1"/>
  <c r="I21" i="50" s="1"/>
  <c r="Z22" i="50" s="1"/>
  <c r="AA65" i="50" s="1"/>
  <c r="N52" i="47" a="1"/>
  <c r="N52" i="47" s="1"/>
  <c r="AL52" i="47" s="1"/>
  <c r="AM75" i="47" s="1"/>
  <c r="H48" i="49" a="1"/>
  <c r="H48" i="49" s="1"/>
  <c r="K6" i="47" a="1"/>
  <c r="K6" i="47" s="1"/>
  <c r="AB7" i="47" s="1"/>
  <c r="AC60" i="47" s="1"/>
  <c r="H28" i="51" a="1"/>
  <c r="H28" i="51" s="1"/>
  <c r="N41" i="50" a="1"/>
  <c r="N41" i="50" s="1"/>
  <c r="AS40" i="50" s="1"/>
  <c r="AT71" i="50" s="1"/>
  <c r="H7" i="53" a="1"/>
  <c r="H7" i="53" s="1"/>
  <c r="N15" i="53" a="1"/>
  <c r="N15" i="53" s="1"/>
  <c r="AH16" i="53" s="1"/>
  <c r="AI63" i="53" s="1"/>
  <c r="J18" i="44" a="1"/>
  <c r="J18" i="44" s="1"/>
  <c r="AA19" i="44" s="1"/>
  <c r="AB64" i="44" s="1"/>
  <c r="L45" i="47" a="1"/>
  <c r="L45" i="47" s="1"/>
  <c r="AC46" i="47" s="1"/>
  <c r="AD73" i="47" s="1"/>
  <c r="I38" i="49" a="1"/>
  <c r="I38" i="49" s="1"/>
  <c r="AN37" i="49" s="1"/>
  <c r="AO70" i="49" s="1"/>
  <c r="I23" i="49" a="1"/>
  <c r="I23" i="49" s="1"/>
  <c r="AN22" i="49" s="1"/>
  <c r="AO65" i="49" s="1"/>
  <c r="K16" i="49" a="1"/>
  <c r="K16" i="49" s="1"/>
  <c r="AI16" i="49" s="1"/>
  <c r="AJ63" i="49" s="1"/>
  <c r="I48" i="50" a="1"/>
  <c r="I48" i="50" s="1"/>
  <c r="Z49" i="50" s="1"/>
  <c r="AA74" i="50" s="1"/>
  <c r="N48" i="50" a="1"/>
  <c r="N48" i="50" s="1"/>
  <c r="AE49" i="50" s="1"/>
  <c r="AF74" i="50" s="1"/>
  <c r="L7" i="53" a="1"/>
  <c r="L7" i="53" s="1"/>
  <c r="AM7" i="53" s="1"/>
  <c r="AN60" i="53" s="1"/>
  <c r="K28" i="53" a="1"/>
  <c r="K28" i="53" s="1"/>
  <c r="AL28" i="53" s="1"/>
  <c r="AM67" i="53" s="1"/>
  <c r="I35" i="53" a="1"/>
  <c r="I35" i="53" s="1"/>
  <c r="AQ34" i="53" s="1"/>
  <c r="AR69" i="53" s="1"/>
  <c r="K30" i="45" a="1"/>
  <c r="K30" i="45" s="1"/>
  <c r="AB31" i="45" s="1"/>
  <c r="AC68" i="45" s="1"/>
  <c r="J34" i="47" a="1"/>
  <c r="J34" i="47" s="1"/>
  <c r="AH34" i="47" s="1"/>
  <c r="AI69" i="47" s="1"/>
  <c r="K5" i="46" a="1"/>
  <c r="K5" i="46" s="1"/>
  <c r="AP4" i="46" s="1"/>
  <c r="AQ59" i="46" s="1"/>
  <c r="L21" i="50" a="1"/>
  <c r="L21" i="50" s="1"/>
  <c r="AC22" i="50" s="1"/>
  <c r="AD65" i="50" s="1"/>
  <c r="H39" i="48" a="1"/>
  <c r="H39" i="48" s="1"/>
  <c r="M45" i="49" a="1"/>
  <c r="M45" i="49" s="1"/>
  <c r="AD46" i="49" s="1"/>
  <c r="AE73" i="49" s="1"/>
  <c r="I14" i="47" a="1"/>
  <c r="I14" i="47" s="1"/>
  <c r="AN13" i="47" s="1"/>
  <c r="AO62" i="47" s="1"/>
  <c r="L43" i="50" a="1"/>
  <c r="L43" i="50" s="1"/>
  <c r="AJ43" i="50" s="1"/>
  <c r="AK72" i="50" s="1"/>
  <c r="M22" i="52" a="1"/>
  <c r="M22" i="52" s="1"/>
  <c r="AK22" i="52" s="1"/>
  <c r="AL65" i="52" s="1"/>
  <c r="H13" i="53" a="1"/>
  <c r="H13" i="53" s="1"/>
  <c r="N37" i="53" a="1"/>
  <c r="N37" i="53" s="1"/>
  <c r="AO37" i="53" s="1"/>
  <c r="AP70" i="53" s="1"/>
  <c r="H34" i="47" a="1"/>
  <c r="H34" i="47" s="1"/>
  <c r="J8" i="46" a="1"/>
  <c r="J8" i="46" s="1"/>
  <c r="AO7" i="46" s="1"/>
  <c r="AP60" i="46" s="1"/>
  <c r="M19" i="47" a="1"/>
  <c r="M19" i="47" s="1"/>
  <c r="AK19" i="47" s="1"/>
  <c r="AL64" i="47" s="1"/>
  <c r="K27" i="47" a="1"/>
  <c r="K27" i="47" s="1"/>
  <c r="AB28" i="47" s="1"/>
  <c r="AC67" i="47" s="1"/>
  <c r="H7" i="48" a="1"/>
  <c r="H7" i="48" s="1"/>
  <c r="K24" i="52" a="1"/>
  <c r="K24" i="52" s="1"/>
  <c r="AB25" i="52" s="1"/>
  <c r="AC66" i="52" s="1"/>
  <c r="I40" i="49" a="1"/>
  <c r="I40" i="49" s="1"/>
  <c r="AG40" i="49" s="1"/>
  <c r="AH71" i="49" s="1"/>
  <c r="L3" i="51" a="1"/>
  <c r="L3" i="51" s="1"/>
  <c r="AC4" i="51" s="1"/>
  <c r="AD59" i="51" s="1"/>
  <c r="J11" i="53" a="1"/>
  <c r="J11" i="53" s="1"/>
  <c r="AR10" i="53" s="1"/>
  <c r="AS61" i="53" s="1"/>
  <c r="J6" i="53" a="1"/>
  <c r="J6" i="53" s="1"/>
  <c r="AD7" i="53" s="1"/>
  <c r="AE60" i="53" s="1"/>
  <c r="N35" i="44" a="1"/>
  <c r="N35" i="44" s="1"/>
  <c r="AS34" i="44" s="1"/>
  <c r="AT69" i="44" s="1"/>
  <c r="N31" i="45" a="1"/>
  <c r="N31" i="45" s="1"/>
  <c r="AL31" i="45" s="1"/>
  <c r="AM68" i="45" s="1"/>
  <c r="H6" i="50" a="1"/>
  <c r="H6" i="50" s="1"/>
  <c r="H46" i="48" a="1"/>
  <c r="H46" i="48" s="1"/>
  <c r="K8" i="48" a="1"/>
  <c r="K8" i="48" s="1"/>
  <c r="AS7" i="48" s="1"/>
  <c r="AT60" i="48" s="1"/>
  <c r="H53" i="50" a="1"/>
  <c r="H53" i="50" s="1"/>
  <c r="M37" i="48" a="1"/>
  <c r="M37" i="48" s="1"/>
  <c r="AN37" i="48" s="1"/>
  <c r="AO70" i="48" s="1"/>
  <c r="I31" i="52" a="1"/>
  <c r="I31" i="52" s="1"/>
  <c r="AG31" i="52" s="1"/>
  <c r="AH68" i="52" s="1"/>
  <c r="M35" i="53" a="1"/>
  <c r="M35" i="53" s="1"/>
  <c r="AU34" i="53" s="1"/>
  <c r="AV69" i="53" s="1"/>
  <c r="M32" i="53" a="1"/>
  <c r="M32" i="53" s="1"/>
  <c r="AU31" i="53" s="1"/>
  <c r="AV68" i="53" s="1"/>
  <c r="L9" i="46" a="1"/>
  <c r="L9" i="46" s="1"/>
  <c r="AC10" i="46" s="1"/>
  <c r="AD61" i="46" s="1"/>
  <c r="M34" i="43" a="1"/>
  <c r="M34" i="43" s="1"/>
  <c r="AK34" i="43" s="1"/>
  <c r="AL69" i="43" s="1"/>
  <c r="K15" i="46" a="1"/>
  <c r="K15" i="46" s="1"/>
  <c r="AB16" i="46" s="1"/>
  <c r="AC63" i="46" s="1"/>
  <c r="M19" i="46" a="1"/>
  <c r="M19" i="46" s="1"/>
  <c r="AK19" i="46" s="1"/>
  <c r="AL64" i="46" s="1"/>
  <c r="N23" i="48" a="1"/>
  <c r="N23" i="48" s="1"/>
  <c r="AV22" i="48" s="1"/>
  <c r="AW65" i="48" s="1"/>
  <c r="I24" i="48" a="1"/>
  <c r="I24" i="48" s="1"/>
  <c r="AC25" i="48" s="1"/>
  <c r="AD66" i="48" s="1"/>
  <c r="I17" i="52" a="1"/>
  <c r="I17" i="52" s="1"/>
  <c r="AN16" i="52" s="1"/>
  <c r="AO63" i="52" s="1"/>
  <c r="K7" i="52" a="1"/>
  <c r="K7" i="52" s="1"/>
  <c r="AI7" i="52" s="1"/>
  <c r="AJ60" i="52" s="1"/>
  <c r="M20" i="51" a="1"/>
  <c r="M20" i="51" s="1"/>
  <c r="AR19" i="51" s="1"/>
  <c r="AS64" i="51" s="1"/>
  <c r="N16" i="53" a="1"/>
  <c r="N16" i="53" s="1"/>
  <c r="AO16" i="53" s="1"/>
  <c r="AP63" i="53" s="1"/>
  <c r="H51" i="45" a="1"/>
  <c r="H51" i="45" s="1"/>
  <c r="K39" i="44" a="1"/>
  <c r="K39" i="44" s="1"/>
  <c r="AB40" i="44" s="1"/>
  <c r="AC71" i="44" s="1"/>
  <c r="H20" i="47" a="1"/>
  <c r="H20" i="47" s="1"/>
  <c r="J8" i="48" a="1"/>
  <c r="J8" i="48" s="1"/>
  <c r="AR7" i="48" s="1"/>
  <c r="AS60" i="48" s="1"/>
  <c r="J31" i="47" a="1"/>
  <c r="J31" i="47" s="1"/>
  <c r="AH31" i="47" s="1"/>
  <c r="AI68" i="47" s="1"/>
  <c r="J45" i="48" a="1"/>
  <c r="J45" i="48" s="1"/>
  <c r="AD46" i="48" s="1"/>
  <c r="AE73" i="48" s="1"/>
  <c r="H35" i="51" a="1"/>
  <c r="H35" i="51" s="1"/>
  <c r="L7" i="52" a="1"/>
  <c r="L7" i="52" s="1"/>
  <c r="AJ7" i="52" s="1"/>
  <c r="AK60" i="52" s="1"/>
  <c r="M21" i="51" a="1"/>
  <c r="M21" i="51" s="1"/>
  <c r="AD22" i="51" s="1"/>
  <c r="AE65" i="51" s="1"/>
  <c r="K12" i="53" a="1"/>
  <c r="K12" i="53" s="1"/>
  <c r="AE13" i="53" s="1"/>
  <c r="AF62" i="53" s="1"/>
  <c r="L50" i="46" a="1"/>
  <c r="L50" i="46" s="1"/>
  <c r="K43" i="43" a="1"/>
  <c r="K43" i="43" s="1"/>
  <c r="AI43" i="43" s="1"/>
  <c r="AJ72" i="43" s="1"/>
  <c r="K43" i="45" a="1"/>
  <c r="K43" i="45" s="1"/>
  <c r="AI43" i="45" s="1"/>
  <c r="AJ72" i="45" s="1"/>
  <c r="L32" i="48" a="1"/>
  <c r="L32" i="48" s="1"/>
  <c r="AT31" i="48" s="1"/>
  <c r="AU68" i="48" s="1"/>
  <c r="L10" i="47" a="1"/>
  <c r="L10" i="47" s="1"/>
  <c r="AJ10" i="47" s="1"/>
  <c r="AK61" i="47" s="1"/>
  <c r="N38" i="48" a="1"/>
  <c r="N38" i="48" s="1"/>
  <c r="AV37" i="48" s="1"/>
  <c r="AW70" i="48" s="1"/>
  <c r="K46" i="48" a="1"/>
  <c r="K46" i="48" s="1"/>
  <c r="AL46" i="48" s="1"/>
  <c r="AM73" i="48" s="1"/>
  <c r="M19" i="52" a="1"/>
  <c r="M19" i="52" s="1"/>
  <c r="AK19" i="52" s="1"/>
  <c r="AL64" i="52" s="1"/>
  <c r="H46" i="52" a="1"/>
  <c r="H46" i="52" s="1"/>
  <c r="I48" i="52" a="1"/>
  <c r="I48" i="52" s="1"/>
  <c r="Z49" i="52" s="1"/>
  <c r="AA74" i="52" s="1"/>
  <c r="H22" i="53" a="1"/>
  <c r="H22" i="53" s="1"/>
  <c r="L44" i="53" a="1"/>
  <c r="L44" i="53" s="1"/>
  <c r="AT43" i="53" s="1"/>
  <c r="AU72" i="53" s="1"/>
  <c r="H54" i="53" a="1"/>
  <c r="H54" i="53" s="1"/>
  <c r="I22" i="52" a="1"/>
  <c r="I22" i="52" s="1"/>
  <c r="AG22" i="52" s="1"/>
  <c r="AH65" i="52" s="1"/>
  <c r="I32" i="52" a="1"/>
  <c r="I32" i="52" s="1"/>
  <c r="AN31" i="52" s="1"/>
  <c r="AO68" i="52" s="1"/>
  <c r="I39" i="52" a="1"/>
  <c r="I39" i="52" s="1"/>
  <c r="Z40" i="52" s="1"/>
  <c r="AA71" i="52" s="1"/>
  <c r="K54" i="52" a="1"/>
  <c r="K54" i="52" s="1"/>
  <c r="AB55" i="52" s="1"/>
  <c r="AC76" i="52" s="1"/>
  <c r="H11" i="51" a="1"/>
  <c r="H11" i="51" s="1"/>
  <c r="L32" i="51" a="1"/>
  <c r="L32" i="51" s="1"/>
  <c r="AQ31" i="51" s="1"/>
  <c r="AR68" i="51" s="1"/>
  <c r="M41" i="51" a="1"/>
  <c r="M41" i="51" s="1"/>
  <c r="AR40" i="51" s="1"/>
  <c r="AS71" i="51" s="1"/>
  <c r="K37" i="53" a="1"/>
  <c r="K37" i="53" s="1"/>
  <c r="AL37" i="53" s="1"/>
  <c r="AM70" i="53" s="1"/>
  <c r="H42" i="53" a="1"/>
  <c r="H42" i="53" s="1"/>
  <c r="M54" i="53" a="1"/>
  <c r="M54" i="53" s="1"/>
  <c r="AG55" i="53" s="1"/>
  <c r="AH76" i="53" s="1"/>
  <c r="L16" i="52" a="1"/>
  <c r="L16" i="52" s="1"/>
  <c r="AJ16" i="52" s="1"/>
  <c r="AK63" i="52" s="1"/>
  <c r="H28" i="52" a="1"/>
  <c r="H28" i="52" s="1"/>
  <c r="J51" i="52" a="1"/>
  <c r="J51" i="52" s="1"/>
  <c r="I53" i="52" a="1"/>
  <c r="I53" i="52" s="1"/>
  <c r="N13" i="51" a="1"/>
  <c r="N13" i="51" s="1"/>
  <c r="AL13" i="51" s="1"/>
  <c r="AM62" i="51" s="1"/>
  <c r="H20" i="51" a="1"/>
  <c r="H20" i="51" s="1"/>
  <c r="J34" i="51" a="1"/>
  <c r="J34" i="51" s="1"/>
  <c r="AH34" i="51" s="1"/>
  <c r="AI69" i="51" s="1"/>
  <c r="I48" i="53" a="1"/>
  <c r="I48" i="53" s="1"/>
  <c r="AC49" i="53" s="1"/>
  <c r="AD74" i="53" s="1"/>
  <c r="J29" i="53" a="1"/>
  <c r="J29" i="53" s="1"/>
  <c r="AR28" i="53" s="1"/>
  <c r="AS67" i="53" s="1"/>
  <c r="N23" i="52" a="1"/>
  <c r="N23" i="52" s="1"/>
  <c r="AS22" i="52" s="1"/>
  <c r="AT65" i="52" s="1"/>
  <c r="M18" i="52" a="1"/>
  <c r="M18" i="52" s="1"/>
  <c r="AD19" i="52" s="1"/>
  <c r="AE64" i="52" s="1"/>
  <c r="N46" i="52" a="1"/>
  <c r="N46" i="52" s="1"/>
  <c r="AL46" i="52" s="1"/>
  <c r="AM73" i="52" s="1"/>
  <c r="M53" i="52" a="1"/>
  <c r="M53" i="52" s="1"/>
  <c r="N5" i="51" a="1"/>
  <c r="N5" i="51" s="1"/>
  <c r="AS4" i="51" s="1"/>
  <c r="AT59" i="51" s="1"/>
  <c r="I29" i="51" a="1"/>
  <c r="I29" i="51" s="1"/>
  <c r="AN28" i="51" s="1"/>
  <c r="AO67" i="51" s="1"/>
  <c r="M22" i="51" a="1"/>
  <c r="M22" i="51" s="1"/>
  <c r="AK22" i="51" s="1"/>
  <c r="AL65" i="51" s="1"/>
  <c r="K42" i="51" a="1"/>
  <c r="K42" i="51" s="1"/>
  <c r="AB43" i="51" s="1"/>
  <c r="AC72" i="51" s="1"/>
  <c r="J47" i="53" a="1"/>
  <c r="J47" i="53" s="1"/>
  <c r="AR46" i="53" s="1"/>
  <c r="AS73" i="53" s="1"/>
  <c r="J34" i="53" a="1"/>
  <c r="J34" i="53" s="1"/>
  <c r="AK34" i="53" s="1"/>
  <c r="AL69" i="53" s="1"/>
  <c r="L26" i="52" a="1"/>
  <c r="L26" i="52" s="1"/>
  <c r="AQ25" i="52" s="1"/>
  <c r="AR66" i="52" s="1"/>
  <c r="N10" i="52" a="1"/>
  <c r="N10" i="52" s="1"/>
  <c r="AL10" i="52" s="1"/>
  <c r="AM61" i="52" s="1"/>
  <c r="L41" i="52" a="1"/>
  <c r="L41" i="52" s="1"/>
  <c r="AQ40" i="52" s="1"/>
  <c r="AR71" i="52" s="1"/>
  <c r="M50" i="52" a="1"/>
  <c r="M50" i="52" s="1"/>
  <c r="H14" i="51" a="1"/>
  <c r="H14" i="51" s="1"/>
  <c r="L24" i="51" a="1"/>
  <c r="L24" i="51" s="1"/>
  <c r="AC25" i="51" s="1"/>
  <c r="AD66" i="51" s="1"/>
  <c r="N43" i="51" a="1"/>
  <c r="N43" i="51" s="1"/>
  <c r="AL43" i="51" s="1"/>
  <c r="AM72" i="51" s="1"/>
  <c r="L56" i="51" a="1"/>
  <c r="L56" i="51" s="1"/>
  <c r="L40" i="53" a="1"/>
  <c r="L40" i="53" s="1"/>
  <c r="AM40" i="53" s="1"/>
  <c r="AN71" i="53" s="1"/>
  <c r="I50" i="53" a="1"/>
  <c r="I50" i="53" s="1"/>
  <c r="K8" i="52" a="1"/>
  <c r="K8" i="52" s="1"/>
  <c r="AP7" i="52" s="1"/>
  <c r="AQ60" i="52" s="1"/>
  <c r="M24" i="52" a="1"/>
  <c r="M24" i="52" s="1"/>
  <c r="AD25" i="52" s="1"/>
  <c r="AE66" i="52" s="1"/>
  <c r="N47" i="52" a="1"/>
  <c r="N47" i="52" s="1"/>
  <c r="AS46" i="52" s="1"/>
  <c r="AT73" i="52" s="1"/>
  <c r="I51" i="51" a="1"/>
  <c r="I51" i="51" s="1"/>
  <c r="J31" i="51" a="1"/>
  <c r="J31" i="51" s="1"/>
  <c r="AH31" i="51" s="1"/>
  <c r="AI68" i="51" s="1"/>
  <c r="L26" i="51" a="1"/>
  <c r="L26" i="51" s="1"/>
  <c r="AQ25" i="51" s="1"/>
  <c r="AR66" i="51" s="1"/>
  <c r="K36" i="51" a="1"/>
  <c r="K36" i="51" s="1"/>
  <c r="AB37" i="51" s="1"/>
  <c r="AC70" i="51" s="1"/>
  <c r="J31" i="53" a="1"/>
  <c r="J31" i="53" s="1"/>
  <c r="AK31" i="53" s="1"/>
  <c r="AL68" i="53" s="1"/>
  <c r="J48" i="53" a="1"/>
  <c r="J48" i="53" s="1"/>
  <c r="AD49" i="53" s="1"/>
  <c r="AE74" i="53" s="1"/>
  <c r="J9" i="52" a="1"/>
  <c r="J9" i="52" s="1"/>
  <c r="AA10" i="52" s="1"/>
  <c r="AB61" i="52" s="1"/>
  <c r="L10" i="52" a="1"/>
  <c r="L10" i="52" s="1"/>
  <c r="AJ10" i="52" s="1"/>
  <c r="AK61" i="52" s="1"/>
  <c r="N41" i="52" a="1"/>
  <c r="N41" i="52" s="1"/>
  <c r="AS40" i="52" s="1"/>
  <c r="AT71" i="52" s="1"/>
  <c r="H45" i="52" a="1"/>
  <c r="H45" i="52" s="1"/>
  <c r="K3" i="51" a="1"/>
  <c r="K3" i="51" s="1"/>
  <c r="AB4" i="51" s="1"/>
  <c r="AC59" i="51" s="1"/>
  <c r="N31" i="51" a="1"/>
  <c r="N31" i="51" s="1"/>
  <c r="AL31" i="51" s="1"/>
  <c r="AM68" i="51" s="1"/>
  <c r="I26" i="51" a="1"/>
  <c r="I26" i="51" s="1"/>
  <c r="AN25" i="51" s="1"/>
  <c r="AO66" i="51" s="1"/>
  <c r="M27" i="51" a="1"/>
  <c r="M27" i="51" s="1"/>
  <c r="AD28" i="51" s="1"/>
  <c r="AE67" i="51" s="1"/>
  <c r="M13" i="53" a="1"/>
  <c r="M13" i="53" s="1"/>
  <c r="AN13" i="53" s="1"/>
  <c r="AO62" i="53" s="1"/>
  <c r="N45" i="53" a="1"/>
  <c r="N45" i="53" s="1"/>
  <c r="K29" i="52" a="1"/>
  <c r="K29" i="52" s="1"/>
  <c r="AP28" i="52" s="1"/>
  <c r="AQ67" i="52" s="1"/>
  <c r="I12" i="50" a="1"/>
  <c r="I12" i="50" s="1"/>
  <c r="Z13" i="50" s="1"/>
  <c r="AA62" i="50" s="1"/>
  <c r="H44" i="52" a="1"/>
  <c r="H44" i="52" s="1"/>
  <c r="I48" i="51" a="1"/>
  <c r="I48" i="51" s="1"/>
  <c r="Z49" i="51" s="1"/>
  <c r="AA74" i="51" s="1"/>
  <c r="L8" i="53" a="1"/>
  <c r="L8" i="53" s="1"/>
  <c r="AT7" i="53" s="1"/>
  <c r="AU60" i="53" s="1"/>
  <c r="N42" i="46" a="1"/>
  <c r="N42" i="46" s="1"/>
  <c r="AE43" i="46" s="1"/>
  <c r="AF72" i="46" s="1"/>
  <c r="K38" i="45" a="1"/>
  <c r="K38" i="45" s="1"/>
  <c r="AP37" i="45" s="1"/>
  <c r="AQ70" i="45" s="1"/>
  <c r="M5" i="48" a="1"/>
  <c r="M5" i="48" s="1"/>
  <c r="AU4" i="48" s="1"/>
  <c r="AV59" i="48" s="1"/>
  <c r="K26" i="50" a="1"/>
  <c r="K26" i="50" s="1"/>
  <c r="AP25" i="50" s="1"/>
  <c r="AQ66" i="50" s="1"/>
  <c r="M35" i="49" a="1"/>
  <c r="M35" i="49" s="1"/>
  <c r="AR34" i="49" s="1"/>
  <c r="AS69" i="49" s="1"/>
  <c r="M40" i="52" a="1"/>
  <c r="M40" i="52" s="1"/>
  <c r="AK40" i="52" s="1"/>
  <c r="AL71" i="52" s="1"/>
  <c r="N18" i="52" a="1"/>
  <c r="N18" i="52" s="1"/>
  <c r="N19" i="52" a="1"/>
  <c r="N19" i="52" s="1"/>
  <c r="AL19" i="52" s="1"/>
  <c r="AM64" i="52" s="1"/>
  <c r="N17" i="53" a="1"/>
  <c r="N17" i="53" s="1"/>
  <c r="AV16" i="53" s="1"/>
  <c r="AW63" i="53" s="1"/>
  <c r="L25" i="44" a="1"/>
  <c r="L25" i="44" s="1"/>
  <c r="AJ25" i="44" s="1"/>
  <c r="AK66" i="44" s="1"/>
  <c r="J37" i="44" a="1"/>
  <c r="J37" i="44" s="1"/>
  <c r="AH37" i="44" s="1"/>
  <c r="AI70" i="44" s="1"/>
  <c r="L20" i="46" a="1"/>
  <c r="L20" i="46" s="1"/>
  <c r="AQ19" i="46" s="1"/>
  <c r="AR64" i="46" s="1"/>
  <c r="I16" i="50" a="1"/>
  <c r="I16" i="50" s="1"/>
  <c r="AG16" i="50" s="1"/>
  <c r="AH63" i="50" s="1"/>
  <c r="L52" i="47" a="1"/>
  <c r="L52" i="47" s="1"/>
  <c r="AJ52" i="47" s="1"/>
  <c r="AK75" i="47" s="1"/>
  <c r="J46" i="49" a="1"/>
  <c r="J46" i="49" s="1"/>
  <c r="AH46" i="49" s="1"/>
  <c r="AI73" i="49" s="1"/>
  <c r="N46" i="49" a="1"/>
  <c r="N46" i="49" s="1"/>
  <c r="AL46" i="49" s="1"/>
  <c r="AM73" i="49" s="1"/>
  <c r="H20" i="50" a="1"/>
  <c r="H20" i="50" s="1"/>
  <c r="L27" i="49" a="1"/>
  <c r="L27" i="49" s="1"/>
  <c r="AC28" i="49" s="1"/>
  <c r="AD67" i="49" s="1"/>
  <c r="K7" i="53" a="1"/>
  <c r="K7" i="53" s="1"/>
  <c r="AL7" i="53" s="1"/>
  <c r="AM60" i="53" s="1"/>
  <c r="L30" i="53" a="1"/>
  <c r="L30" i="53" s="1"/>
  <c r="AF31" i="53" s="1"/>
  <c r="AG68" i="53" s="1"/>
  <c r="N36" i="53" a="1"/>
  <c r="N36" i="53" s="1"/>
  <c r="I54" i="53" a="1"/>
  <c r="I54" i="53" s="1"/>
  <c r="AC55" i="53" s="1"/>
  <c r="AD76" i="53" s="1"/>
  <c r="H5" i="52" a="1"/>
  <c r="H5" i="52" s="1"/>
  <c r="M10" i="52" a="1"/>
  <c r="M10" i="52" s="1"/>
  <c r="AK10" i="52" s="1"/>
  <c r="AL61" i="52" s="1"/>
  <c r="N44" i="52" a="1"/>
  <c r="N44" i="52" s="1"/>
  <c r="AS43" i="52" s="1"/>
  <c r="AT72" i="52" s="1"/>
  <c r="I56" i="52" a="1"/>
  <c r="I56" i="52" s="1"/>
  <c r="H4" i="51" a="1"/>
  <c r="H4" i="51" s="1"/>
  <c r="K19" i="51" a="1"/>
  <c r="K19" i="51" s="1"/>
  <c r="AI19" i="51" s="1"/>
  <c r="AJ64" i="51" s="1"/>
  <c r="H41" i="51" a="1"/>
  <c r="H41" i="51" s="1"/>
  <c r="L33" i="53" a="1"/>
  <c r="L33" i="53" s="1"/>
  <c r="AF34" i="53" s="1"/>
  <c r="AG69" i="53" s="1"/>
  <c r="K48" i="53" a="1"/>
  <c r="K48" i="53" s="1"/>
  <c r="AE49" i="53" s="1"/>
  <c r="AF74" i="53" s="1"/>
  <c r="L12" i="52" a="1"/>
  <c r="L12" i="52" s="1"/>
  <c r="AC13" i="52" s="1"/>
  <c r="AD62" i="52" s="1"/>
  <c r="L30" i="52" a="1"/>
  <c r="L30" i="52" s="1"/>
  <c r="AC31" i="52" s="1"/>
  <c r="AD68" i="52" s="1"/>
  <c r="H27" i="52" a="1"/>
  <c r="H27" i="52" s="1"/>
  <c r="M49" i="52" a="1"/>
  <c r="M49" i="52" s="1"/>
  <c r="AK49" i="52" s="1"/>
  <c r="AL74" i="52" s="1"/>
  <c r="N21" i="51" a="1"/>
  <c r="N21" i="51" s="1"/>
  <c r="AE22" i="51" s="1"/>
  <c r="AF65" i="51" s="1"/>
  <c r="M12" i="51" a="1"/>
  <c r="M12" i="51" s="1"/>
  <c r="AD13" i="51" s="1"/>
  <c r="AE62" i="51" s="1"/>
  <c r="I30" i="51" a="1"/>
  <c r="I30" i="51" s="1"/>
  <c r="Z31" i="51" s="1"/>
  <c r="AA68" i="51" s="1"/>
  <c r="M47" i="51" a="1"/>
  <c r="M47" i="51" s="1"/>
  <c r="AR46" i="51" s="1"/>
  <c r="AS73" i="51" s="1"/>
  <c r="I37" i="53" a="1"/>
  <c r="I37" i="53" s="1"/>
  <c r="AJ37" i="53" s="1"/>
  <c r="AK70" i="53" s="1"/>
  <c r="K54" i="53" a="1"/>
  <c r="K54" i="53" s="1"/>
  <c r="AE55" i="53" s="1"/>
  <c r="AF76" i="53" s="1"/>
  <c r="N6" i="52" a="1"/>
  <c r="N6" i="52" s="1"/>
  <c r="AE7" i="52" s="1"/>
  <c r="AF60" i="52" s="1"/>
  <c r="K28" i="52" a="1"/>
  <c r="K28" i="52" s="1"/>
  <c r="AI28" i="52" s="1"/>
  <c r="AJ67" i="52" s="1"/>
  <c r="I38" i="52" a="1"/>
  <c r="I38" i="52" s="1"/>
  <c r="AN37" i="52" s="1"/>
  <c r="AO70" i="52" s="1"/>
  <c r="H27" i="51" a="1"/>
  <c r="H27" i="51" s="1"/>
  <c r="K14" i="51" a="1"/>
  <c r="K14" i="51" s="1"/>
  <c r="AP13" i="51" s="1"/>
  <c r="AQ62" i="51" s="1"/>
  <c r="K22" i="51" a="1"/>
  <c r="K22" i="51" s="1"/>
  <c r="AI22" i="51" s="1"/>
  <c r="AJ65" i="51" s="1"/>
  <c r="J32" i="51" a="1"/>
  <c r="J32" i="51" s="1"/>
  <c r="AO31" i="51" s="1"/>
  <c r="AP68" i="51" s="1"/>
  <c r="L49" i="51" a="1"/>
  <c r="L49" i="51" s="1"/>
  <c r="AJ49" i="51" s="1"/>
  <c r="AK74" i="51" s="1"/>
  <c r="N48" i="53" a="1"/>
  <c r="N48" i="53" s="1"/>
  <c r="AH49" i="53" s="1"/>
  <c r="AI74" i="53" s="1"/>
  <c r="L51" i="53" a="1"/>
  <c r="L51" i="53" s="1"/>
  <c r="M12" i="52" a="1"/>
  <c r="M12" i="52" s="1"/>
  <c r="AD13" i="52" s="1"/>
  <c r="AE62" i="52" s="1"/>
  <c r="N20" i="52" a="1"/>
  <c r="N20" i="52" s="1"/>
  <c r="AS19" i="52" s="1"/>
  <c r="AT64" i="52" s="1"/>
  <c r="L48" i="52" a="1"/>
  <c r="L48" i="52" s="1"/>
  <c r="AC49" i="52" s="1"/>
  <c r="AD74" i="52" s="1"/>
  <c r="L55" i="52" a="1"/>
  <c r="L55" i="52" s="1"/>
  <c r="AJ55" i="52" s="1"/>
  <c r="AK76" i="52" s="1"/>
  <c r="H6" i="51" a="1"/>
  <c r="H6" i="51" s="1"/>
  <c r="M33" i="51" a="1"/>
  <c r="M33" i="51" s="1"/>
  <c r="AD34" i="51" s="1"/>
  <c r="AE69" i="51" s="1"/>
  <c r="I39" i="51" a="1"/>
  <c r="I39" i="51" s="1"/>
  <c r="Z40" i="51" s="1"/>
  <c r="AA71" i="51" s="1"/>
  <c r="L55" i="51" a="1"/>
  <c r="L55" i="51" s="1"/>
  <c r="AJ55" i="51" s="1"/>
  <c r="AK76" i="51" s="1"/>
  <c r="H29" i="53" a="1"/>
  <c r="H29" i="53" s="1"/>
  <c r="M53" i="53" a="1"/>
  <c r="M53" i="53" s="1"/>
  <c r="M31" i="52" a="1"/>
  <c r="M31" i="52" s="1"/>
  <c r="AK31" i="52" s="1"/>
  <c r="AL68" i="52" s="1"/>
  <c r="L39" i="52" a="1"/>
  <c r="L39" i="52" s="1"/>
  <c r="AC40" i="52" s="1"/>
  <c r="AD71" i="52" s="1"/>
  <c r="J43" i="52" a="1"/>
  <c r="J43" i="52" s="1"/>
  <c r="AH43" i="52" s="1"/>
  <c r="AI72" i="52" s="1"/>
  <c r="H53" i="51" a="1"/>
  <c r="H53" i="51" s="1"/>
  <c r="M8" i="51" a="1"/>
  <c r="M8" i="51" s="1"/>
  <c r="AR7" i="51" s="1"/>
  <c r="AS60" i="51" s="1"/>
  <c r="I37" i="51" a="1"/>
  <c r="I37" i="51" s="1"/>
  <c r="AG37" i="51" s="1"/>
  <c r="AH70" i="51" s="1"/>
  <c r="I20" i="51" a="1"/>
  <c r="I20" i="51" s="1"/>
  <c r="AN19" i="51" s="1"/>
  <c r="AO64" i="51" s="1"/>
  <c r="L17" i="53" a="1"/>
  <c r="L17" i="53" s="1"/>
  <c r="AT16" i="53" s="1"/>
  <c r="AU63" i="53" s="1"/>
  <c r="I51" i="53" a="1"/>
  <c r="I51" i="53" s="1"/>
  <c r="K25" i="52" a="1"/>
  <c r="K25" i="52" s="1"/>
  <c r="AI25" i="52" s="1"/>
  <c r="AJ66" i="52" s="1"/>
  <c r="H31" i="52" a="1"/>
  <c r="H31" i="52" s="1"/>
  <c r="N35" i="52" a="1"/>
  <c r="N35" i="52" s="1"/>
  <c r="AS34" i="52" s="1"/>
  <c r="AT69" i="52" s="1"/>
  <c r="N48" i="52" a="1"/>
  <c r="N48" i="52" s="1"/>
  <c r="AE49" i="52" s="1"/>
  <c r="AF74" i="52" s="1"/>
  <c r="L8" i="51" a="1"/>
  <c r="L8" i="51" s="1"/>
  <c r="AQ7" i="51" s="1"/>
  <c r="AR60" i="51" s="1"/>
  <c r="M10" i="51" a="1"/>
  <c r="M10" i="51" s="1"/>
  <c r="AK10" i="51" s="1"/>
  <c r="AL61" i="51" s="1"/>
  <c r="L39" i="51" a="1"/>
  <c r="L39" i="51" s="1"/>
  <c r="AC40" i="51" s="1"/>
  <c r="AD71" i="51" s="1"/>
  <c r="M40" i="51" a="1"/>
  <c r="M40" i="51" s="1"/>
  <c r="AK40" i="51" s="1"/>
  <c r="AL71" i="51" s="1"/>
  <c r="K35" i="53" a="1"/>
  <c r="K35" i="53" s="1"/>
  <c r="AS34" i="53" s="1"/>
  <c r="AT69" i="53" s="1"/>
  <c r="M42" i="53" a="1"/>
  <c r="M42" i="53" s="1"/>
  <c r="AG43" i="53" s="1"/>
  <c r="AH72" i="53" s="1"/>
  <c r="J8" i="49" a="1"/>
  <c r="J8" i="49" s="1"/>
  <c r="AO7" i="49" s="1"/>
  <c r="AP60" i="49" s="1"/>
  <c r="K5" i="53" a="1"/>
  <c r="K5" i="53" s="1"/>
  <c r="AS4" i="53" s="1"/>
  <c r="AT59" i="53" s="1"/>
  <c r="I20" i="53" a="1"/>
  <c r="I20" i="53" s="1"/>
  <c r="AQ19" i="53" s="1"/>
  <c r="AR64" i="53" s="1"/>
  <c r="I38" i="43" a="1"/>
  <c r="I38" i="43" s="1"/>
  <c r="AN37" i="43" s="1"/>
  <c r="AO70" i="43" s="1"/>
  <c r="H27" i="46" a="1"/>
  <c r="H27" i="46" s="1"/>
  <c r="M6" i="50" a="1"/>
  <c r="M6" i="50" s="1"/>
  <c r="AD7" i="50" s="1"/>
  <c r="AE60" i="50" s="1"/>
  <c r="M48" i="47" a="1"/>
  <c r="M48" i="47" s="1"/>
  <c r="AD49" i="47" s="1"/>
  <c r="AE74" i="47" s="1"/>
  <c r="L25" i="50" a="1"/>
  <c r="L25" i="50" s="1"/>
  <c r="AJ25" i="50" s="1"/>
  <c r="AK66" i="50" s="1"/>
  <c r="K4" i="48" a="1"/>
  <c r="K4" i="48" s="1"/>
  <c r="AL4" i="48" s="1"/>
  <c r="AM59" i="48" s="1"/>
  <c r="N14" i="50" a="1"/>
  <c r="N14" i="50" s="1"/>
  <c r="J45" i="52" a="1"/>
  <c r="J45" i="52" s="1"/>
  <c r="AA46" i="52" s="1"/>
  <c r="AB73" i="52" s="1"/>
  <c r="N21" i="53" a="1"/>
  <c r="N21" i="53" s="1"/>
  <c r="AH22" i="53" s="1"/>
  <c r="AI65" i="53" s="1"/>
  <c r="L11" i="53" a="1"/>
  <c r="L11" i="53" s="1"/>
  <c r="AT10" i="53" s="1"/>
  <c r="AU61" i="53" s="1"/>
  <c r="M41" i="43" a="1"/>
  <c r="M41" i="43" s="1"/>
  <c r="AR40" i="43" s="1"/>
  <c r="AS71" i="43" s="1"/>
  <c r="M10" i="43" a="1"/>
  <c r="M10" i="43" s="1"/>
  <c r="AK10" i="43" s="1"/>
  <c r="AL61" i="43" s="1"/>
  <c r="J55" i="46" a="1"/>
  <c r="J55" i="46" s="1"/>
  <c r="AH55" i="46" s="1"/>
  <c r="AI76" i="46" s="1"/>
  <c r="I35" i="46" a="1"/>
  <c r="I35" i="46" s="1"/>
  <c r="AN34" i="46" s="1"/>
  <c r="AO69" i="46" s="1"/>
  <c r="K47" i="48" a="1"/>
  <c r="K47" i="48" s="1"/>
  <c r="AS46" i="48" s="1"/>
  <c r="AT73" i="48" s="1"/>
  <c r="K25" i="50" a="1"/>
  <c r="K25" i="50" s="1"/>
  <c r="AI25" i="50" s="1"/>
  <c r="AJ66" i="50" s="1"/>
  <c r="N4" i="47" a="1"/>
  <c r="N4" i="47" s="1"/>
  <c r="AL4" i="47" s="1"/>
  <c r="AM59" i="47" s="1"/>
  <c r="L3" i="52" a="1"/>
  <c r="L3" i="52" s="1"/>
  <c r="AC4" i="52" s="1"/>
  <c r="AD59" i="52" s="1"/>
  <c r="K48" i="50" a="1"/>
  <c r="K48" i="50" s="1"/>
  <c r="AB49" i="50" s="1"/>
  <c r="AC74" i="50" s="1"/>
  <c r="H4" i="53" a="1"/>
  <c r="H4" i="53" s="1"/>
  <c r="N28" i="53" a="1"/>
  <c r="N28" i="53" s="1"/>
  <c r="AO28" i="53" s="1"/>
  <c r="AP67" i="53" s="1"/>
  <c r="K41" i="53" a="1"/>
  <c r="K41" i="53" s="1"/>
  <c r="AS40" i="53" s="1"/>
  <c r="AT71" i="53" s="1"/>
  <c r="J54" i="53" a="1"/>
  <c r="J54" i="53" s="1"/>
  <c r="AD55" i="53" s="1"/>
  <c r="AE76" i="53" s="1"/>
  <c r="N22" i="52" a="1"/>
  <c r="N22" i="52" s="1"/>
  <c r="AL22" i="52" s="1"/>
  <c r="AM65" i="52" s="1"/>
  <c r="K15" i="52" a="1"/>
  <c r="K15" i="52" s="1"/>
  <c r="AB16" i="52" s="1"/>
  <c r="AC63" i="52" s="1"/>
  <c r="N51" i="52" a="1"/>
  <c r="N51" i="52" s="1"/>
  <c r="N56" i="52" a="1"/>
  <c r="N56" i="52" s="1"/>
  <c r="N9" i="51" a="1"/>
  <c r="N9" i="51" s="1"/>
  <c r="N24" i="51" a="1"/>
  <c r="N24" i="51" s="1"/>
  <c r="AE25" i="51" s="1"/>
  <c r="AF66" i="51" s="1"/>
  <c r="I41" i="51" a="1"/>
  <c r="I41" i="51" s="1"/>
  <c r="AN40" i="51" s="1"/>
  <c r="AO71" i="51" s="1"/>
  <c r="N24" i="53" a="1"/>
  <c r="N24" i="53" s="1"/>
  <c r="AH25" i="53" s="1"/>
  <c r="AI66" i="53" s="1"/>
  <c r="I34" i="53" a="1"/>
  <c r="I34" i="53" s="1"/>
  <c r="AJ34" i="53" s="1"/>
  <c r="AK69" i="53" s="1"/>
  <c r="N25" i="52" a="1"/>
  <c r="N25" i="52" s="1"/>
  <c r="AL25" i="52" s="1"/>
  <c r="AM66" i="52" s="1"/>
  <c r="K22" i="52" a="1"/>
  <c r="K22" i="52" s="1"/>
  <c r="AI22" i="52" s="1"/>
  <c r="AJ65" i="52" s="1"/>
  <c r="L35" i="52" a="1"/>
  <c r="L35" i="52" s="1"/>
  <c r="AQ34" i="52" s="1"/>
  <c r="AR69" i="52" s="1"/>
  <c r="K46" i="52" a="1"/>
  <c r="K46" i="52" s="1"/>
  <c r="AI46" i="52" s="1"/>
  <c r="AJ73" i="52" s="1"/>
  <c r="H23" i="51" a="1"/>
  <c r="H23" i="51" s="1"/>
  <c r="M15" i="51" a="1"/>
  <c r="M15" i="51" s="1"/>
  <c r="AD16" i="51" s="1"/>
  <c r="AE63" i="51" s="1"/>
  <c r="K35" i="51" a="1"/>
  <c r="K35" i="51" s="1"/>
  <c r="AP34" i="51" s="1"/>
  <c r="AQ69" i="51" s="1"/>
  <c r="M49" i="51" a="1"/>
  <c r="M49" i="51" s="1"/>
  <c r="AK49" i="51" s="1"/>
  <c r="AL74" i="51" s="1"/>
  <c r="L46" i="53" a="1"/>
  <c r="L46" i="53" s="1"/>
  <c r="AM46" i="53" s="1"/>
  <c r="AN73" i="53" s="1"/>
  <c r="I56" i="53" a="1"/>
  <c r="I56" i="53" s="1"/>
  <c r="K17" i="52" a="1"/>
  <c r="K17" i="52" s="1"/>
  <c r="AP16" i="52" s="1"/>
  <c r="AQ63" i="52" s="1"/>
  <c r="N27" i="52" a="1"/>
  <c r="N27" i="52" s="1"/>
  <c r="J39" i="52" a="1"/>
  <c r="J39" i="52" s="1"/>
  <c r="AA40" i="52" s="1"/>
  <c r="AB71" i="52" s="1"/>
  <c r="N15" i="51" a="1"/>
  <c r="N15" i="51" s="1"/>
  <c r="AE16" i="51" s="1"/>
  <c r="AF63" i="51" s="1"/>
  <c r="M29" i="51" a="1"/>
  <c r="M29" i="51" s="1"/>
  <c r="AR28" i="51" s="1"/>
  <c r="AS67" i="51" s="1"/>
  <c r="I22" i="51" a="1"/>
  <c r="I22" i="51" s="1"/>
  <c r="AG22" i="51" s="1"/>
  <c r="AH65" i="51" s="1"/>
  <c r="J32" i="53" a="1"/>
  <c r="J32" i="53" s="1"/>
  <c r="AR31" i="53" s="1"/>
  <c r="AS68" i="53" s="1"/>
  <c r="H40" i="53" a="1"/>
  <c r="H40" i="53" s="1"/>
  <c r="L56" i="53" a="1"/>
  <c r="L56" i="53" s="1"/>
  <c r="H6" i="52" a="1"/>
  <c r="H6" i="52" s="1"/>
  <c r="N28" i="52" a="1"/>
  <c r="N28" i="52" s="1"/>
  <c r="AL28" i="52" s="1"/>
  <c r="AM67" i="52" s="1"/>
  <c r="M38" i="52" a="1"/>
  <c r="M38" i="52" s="1"/>
  <c r="AR37" i="52" s="1"/>
  <c r="AS70" i="52" s="1"/>
  <c r="I45" i="51" a="1"/>
  <c r="I45" i="51" s="1"/>
  <c r="Z46" i="51" s="1"/>
  <c r="AA73" i="51" s="1"/>
  <c r="L9" i="51" a="1"/>
  <c r="L9" i="51" s="1"/>
  <c r="AC10" i="51" s="1"/>
  <c r="AD61" i="51" s="1"/>
  <c r="N25" i="51" a="1"/>
  <c r="N25" i="51" s="1"/>
  <c r="AL25" i="51" s="1"/>
  <c r="AM66" i="51" s="1"/>
  <c r="L42" i="51" a="1"/>
  <c r="L42" i="51" s="1"/>
  <c r="AC43" i="51" s="1"/>
  <c r="AD72" i="51" s="1"/>
  <c r="J19" i="53" a="1"/>
  <c r="J19" i="53" s="1"/>
  <c r="AK19" i="53" s="1"/>
  <c r="AL64" i="53" s="1"/>
  <c r="M45" i="53" a="1"/>
  <c r="M45" i="53" s="1"/>
  <c r="AG46" i="53" s="1"/>
  <c r="AH73" i="53" s="1"/>
  <c r="K16" i="52" a="1"/>
  <c r="K16" i="52" s="1"/>
  <c r="AI16" i="52" s="1"/>
  <c r="AJ63" i="52" s="1"/>
  <c r="L8" i="52" a="1"/>
  <c r="L8" i="52" s="1"/>
  <c r="AQ7" i="52" s="1"/>
  <c r="AR60" i="52" s="1"/>
  <c r="J33" i="52" a="1"/>
  <c r="J33" i="52" s="1"/>
  <c r="AA34" i="52" s="1"/>
  <c r="AB69" i="52" s="1"/>
  <c r="J48" i="52" a="1"/>
  <c r="J48" i="52" s="1"/>
  <c r="AA49" i="52" s="1"/>
  <c r="AB74" i="52" s="1"/>
  <c r="K13" i="51" a="1"/>
  <c r="K13" i="51" s="1"/>
  <c r="AI13" i="51" s="1"/>
  <c r="AJ62" i="51" s="1"/>
  <c r="L23" i="51" a="1"/>
  <c r="L23" i="51" s="1"/>
  <c r="AQ22" i="51" s="1"/>
  <c r="AR65" i="51" s="1"/>
  <c r="L36" i="51" a="1"/>
  <c r="L36" i="51" s="1"/>
  <c r="AC37" i="51" s="1"/>
  <c r="AD70" i="51" s="1"/>
  <c r="K39" i="51" a="1"/>
  <c r="K39" i="51" s="1"/>
  <c r="AB40" i="51" s="1"/>
  <c r="AC71" i="51" s="1"/>
  <c r="L39" i="53" a="1"/>
  <c r="L39" i="53" s="1"/>
  <c r="AF40" i="53" s="1"/>
  <c r="AG71" i="53" s="1"/>
  <c r="J45" i="53" a="1"/>
  <c r="J45" i="53" s="1"/>
  <c r="AD46" i="53" s="1"/>
  <c r="AE73" i="53" s="1"/>
  <c r="I6" i="52" a="1"/>
  <c r="I6" i="52" s="1"/>
  <c r="Z7" i="52" s="1"/>
  <c r="AA60" i="52" s="1"/>
  <c r="J12" i="52" a="1"/>
  <c r="J12" i="52" s="1"/>
  <c r="AA13" i="52" s="1"/>
  <c r="AB62" i="52" s="1"/>
  <c r="J40" i="52" a="1"/>
  <c r="J40" i="52" s="1"/>
  <c r="AH40" i="52" s="1"/>
  <c r="AI71" i="52" s="1"/>
  <c r="L52" i="52" a="1"/>
  <c r="L52" i="52" s="1"/>
  <c r="AJ52" i="52" s="1"/>
  <c r="AK75" i="52" s="1"/>
  <c r="L14" i="51" a="1"/>
  <c r="L14" i="51" s="1"/>
  <c r="AQ13" i="51" s="1"/>
  <c r="AR62" i="51" s="1"/>
  <c r="J23" i="51" a="1"/>
  <c r="J23" i="51" s="1"/>
  <c r="AO22" i="51" s="1"/>
  <c r="AP65" i="51" s="1"/>
  <c r="H36" i="51" a="1"/>
  <c r="H36" i="51" s="1"/>
  <c r="N52" i="51" a="1"/>
  <c r="N52" i="51" s="1"/>
  <c r="AL52" i="51" s="1"/>
  <c r="AM75" i="51" s="1"/>
  <c r="N42" i="53" a="1"/>
  <c r="N42" i="53" s="1"/>
  <c r="AH43" i="53" s="1"/>
  <c r="AI72" i="53" s="1"/>
  <c r="I43" i="53" a="1"/>
  <c r="I43" i="53" s="1"/>
  <c r="AJ43" i="53" s="1"/>
  <c r="AK72" i="53" s="1"/>
  <c r="H50" i="51" a="1"/>
  <c r="H50" i="51" s="1"/>
  <c r="J29" i="50" a="1"/>
  <c r="J29" i="50" s="1"/>
  <c r="AO28" i="50" s="1"/>
  <c r="AP67" i="50" s="1"/>
  <c r="M3" i="53" a="1"/>
  <c r="M3" i="53" s="1"/>
  <c r="AG4" i="53" s="1"/>
  <c r="AH59" i="53" s="1"/>
  <c r="K32" i="53" a="1"/>
  <c r="K32" i="53" s="1"/>
  <c r="AS31" i="53" s="1"/>
  <c r="AT68" i="53" s="1"/>
  <c r="K36" i="44" a="1"/>
  <c r="K36" i="44" s="1"/>
  <c r="AB37" i="44" s="1"/>
  <c r="AC70" i="44" s="1"/>
  <c r="H29" i="43" a="1"/>
  <c r="H29" i="43" s="1"/>
  <c r="N8" i="51" a="1"/>
  <c r="N8" i="51" s="1"/>
  <c r="AS7" i="51" s="1"/>
  <c r="AT60" i="51" s="1"/>
  <c r="N26" i="48" a="1"/>
  <c r="N26" i="48" s="1"/>
  <c r="AV25" i="48" s="1"/>
  <c r="AW66" i="48" s="1"/>
  <c r="M15" i="48" a="1"/>
  <c r="M15" i="48" s="1"/>
  <c r="AG16" i="48" s="1"/>
  <c r="AH63" i="48" s="1"/>
  <c r="H5" i="49" a="1"/>
  <c r="H5" i="49" s="1"/>
  <c r="J21" i="51" a="1"/>
  <c r="J21" i="51" s="1"/>
  <c r="AA22" i="51" s="1"/>
  <c r="AB65" i="51" s="1"/>
  <c r="K12" i="49" a="1"/>
  <c r="K12" i="49" s="1"/>
  <c r="AB13" i="49" s="1"/>
  <c r="AC62" i="49" s="1"/>
  <c r="K23" i="53" a="1"/>
  <c r="K23" i="53" s="1"/>
  <c r="AS22" i="53" s="1"/>
  <c r="AT65" i="53" s="1"/>
  <c r="M19" i="53" a="1"/>
  <c r="M19" i="53" s="1"/>
  <c r="AN19" i="53" s="1"/>
  <c r="AO64" i="53" s="1"/>
  <c r="I18" i="44" a="1"/>
  <c r="I18" i="44" s="1"/>
  <c r="Z19" i="44" s="1"/>
  <c r="AA64" i="44" s="1"/>
  <c r="K4" i="44" a="1"/>
  <c r="K4" i="44" s="1"/>
  <c r="AI4" i="44" s="1"/>
  <c r="AJ59" i="44" s="1"/>
  <c r="H22" i="47" a="1"/>
  <c r="H22" i="47" s="1"/>
  <c r="J6" i="47" a="1"/>
  <c r="J6" i="47" s="1"/>
  <c r="AA7" i="47" s="1"/>
  <c r="AB60" i="47" s="1"/>
  <c r="N32" i="49" a="1"/>
  <c r="N32" i="49" s="1"/>
  <c r="AS31" i="49" s="1"/>
  <c r="AT68" i="49" s="1"/>
  <c r="J50" i="50" a="1"/>
  <c r="J50" i="50" s="1"/>
  <c r="L7" i="48" a="1"/>
  <c r="L7" i="48" s="1"/>
  <c r="AM7" i="48" s="1"/>
  <c r="AN60" i="48" s="1"/>
  <c r="J17" i="52" a="1"/>
  <c r="J17" i="52" s="1"/>
  <c r="AO16" i="52" s="1"/>
  <c r="AP63" i="52" s="1"/>
  <c r="I4" i="52" a="1"/>
  <c r="I4" i="52" s="1"/>
  <c r="AG4" i="52" s="1"/>
  <c r="AH59" i="52" s="1"/>
  <c r="I5" i="53" a="1"/>
  <c r="I5" i="53" s="1"/>
  <c r="AQ4" i="53" s="1"/>
  <c r="AR59" i="53" s="1"/>
  <c r="J39" i="53" a="1"/>
  <c r="J39" i="53" s="1"/>
  <c r="AD40" i="53" s="1"/>
  <c r="AE71" i="53" s="1"/>
  <c r="M29" i="53" a="1"/>
  <c r="M29" i="53" s="1"/>
  <c r="AU28" i="53" s="1"/>
  <c r="AV67" i="53" s="1"/>
  <c r="M8" i="52" a="1"/>
  <c r="M8" i="52" s="1"/>
  <c r="AR7" i="52" s="1"/>
  <c r="AS60" i="52" s="1"/>
  <c r="H12" i="52" a="1"/>
  <c r="H12" i="52" s="1"/>
  <c r="M28" i="52" a="1"/>
  <c r="M28" i="52" s="1"/>
  <c r="AK28" i="52" s="1"/>
  <c r="AL67" i="52" s="1"/>
  <c r="M48" i="52" a="1"/>
  <c r="M48" i="52" s="1"/>
  <c r="AD49" i="52" s="1"/>
  <c r="AE74" i="52" s="1"/>
  <c r="L21" i="51" a="1"/>
  <c r="L21" i="51" s="1"/>
  <c r="AC22" i="51" s="1"/>
  <c r="AD65" i="51" s="1"/>
  <c r="J17" i="51" a="1"/>
  <c r="J17" i="51" s="1"/>
  <c r="AO16" i="51" s="1"/>
  <c r="AP63" i="51" s="1"/>
  <c r="N33" i="51" a="1"/>
  <c r="N33" i="51" s="1"/>
  <c r="AE34" i="51" s="1"/>
  <c r="AF69" i="51" s="1"/>
  <c r="M42" i="51" a="1"/>
  <c r="M42" i="51" s="1"/>
  <c r="AD43" i="51" s="1"/>
  <c r="AE72" i="51" s="1"/>
  <c r="L37" i="53" a="1"/>
  <c r="L37" i="53" s="1"/>
  <c r="AM37" i="53" s="1"/>
  <c r="AN70" i="53" s="1"/>
  <c r="K52" i="53" a="1"/>
  <c r="K52" i="53" s="1"/>
  <c r="AL52" i="53" s="1"/>
  <c r="AM75" i="53" s="1"/>
  <c r="H29" i="52" a="1"/>
  <c r="H29" i="52" s="1"/>
  <c r="N15" i="52" a="1"/>
  <c r="N15" i="52" s="1"/>
  <c r="AE16" i="52" s="1"/>
  <c r="AF63" i="52" s="1"/>
  <c r="I14" i="52" a="1"/>
  <c r="I14" i="52" s="1"/>
  <c r="AN13" i="52" s="1"/>
  <c r="AO62" i="52" s="1"/>
  <c r="I45" i="52" a="1"/>
  <c r="I45" i="52" s="1"/>
  <c r="Z46" i="52" s="1"/>
  <c r="AA73" i="52" s="1"/>
  <c r="J6" i="51" a="1"/>
  <c r="J6" i="51" s="1"/>
  <c r="AA7" i="51" s="1"/>
  <c r="AB60" i="51" s="1"/>
  <c r="K11" i="51" a="1"/>
  <c r="K11" i="51" s="1"/>
  <c r="AP10" i="51" s="1"/>
  <c r="AQ61" i="51" s="1"/>
  <c r="J42" i="51" a="1"/>
  <c r="J42" i="51" s="1"/>
  <c r="AA43" i="51" s="1"/>
  <c r="AB72" i="51" s="1"/>
  <c r="N32" i="53" a="1"/>
  <c r="N32" i="53" s="1"/>
  <c r="AV31" i="53" s="1"/>
  <c r="AW68" i="53" s="1"/>
  <c r="I25" i="53" a="1"/>
  <c r="I25" i="53" s="1"/>
  <c r="AJ25" i="53" s="1"/>
  <c r="AK66" i="53" s="1"/>
  <c r="N56" i="53" a="1"/>
  <c r="N56" i="53" s="1"/>
  <c r="J30" i="52" a="1"/>
  <c r="J30" i="52" s="1"/>
  <c r="AA31" i="52" s="1"/>
  <c r="AB68" i="52" s="1"/>
  <c r="I21" i="52" a="1"/>
  <c r="I21" i="52" s="1"/>
  <c r="Z22" i="52" s="1"/>
  <c r="AA65" i="52" s="1"/>
  <c r="L47" i="52" a="1"/>
  <c r="L47" i="52" s="1"/>
  <c r="AQ46" i="52" s="1"/>
  <c r="AR73" i="52" s="1"/>
  <c r="K43" i="51" a="1"/>
  <c r="K43" i="51" s="1"/>
  <c r="AI43" i="51" s="1"/>
  <c r="AJ72" i="51" s="1"/>
  <c r="I3" i="51" a="1"/>
  <c r="I3" i="51" s="1"/>
  <c r="Z4" i="51" s="1"/>
  <c r="AA59" i="51" s="1"/>
  <c r="H7" i="51" a="1"/>
  <c r="H7" i="51" s="1"/>
  <c r="K34" i="51" a="1"/>
  <c r="K34" i="51" s="1"/>
  <c r="AI34" i="51" s="1"/>
  <c r="AJ69" i="51" s="1"/>
  <c r="K14" i="53" a="1"/>
  <c r="K14" i="53" s="1"/>
  <c r="AS13" i="53" s="1"/>
  <c r="AT62" i="53" s="1"/>
  <c r="M25" i="53" a="1"/>
  <c r="M25" i="53" s="1"/>
  <c r="AN25" i="53" s="1"/>
  <c r="AO66" i="53" s="1"/>
  <c r="M56" i="53" a="1"/>
  <c r="M56" i="53" s="1"/>
  <c r="K19" i="52" a="1"/>
  <c r="K19" i="52" s="1"/>
  <c r="AI19" i="52" s="1"/>
  <c r="AJ64" i="52" s="1"/>
  <c r="J27" i="52" a="1"/>
  <c r="J27" i="52" s="1"/>
  <c r="AA28" i="52" s="1"/>
  <c r="AB67" i="52" s="1"/>
  <c r="N39" i="52" a="1"/>
  <c r="N39" i="52" s="1"/>
  <c r="AE40" i="52" s="1"/>
  <c r="AF71" i="52" s="1"/>
  <c r="I12" i="51" a="1"/>
  <c r="I12" i="51" s="1"/>
  <c r="Z13" i="51" s="1"/>
  <c r="AA62" i="51" s="1"/>
  <c r="M17" i="51" a="1"/>
  <c r="M17" i="51" s="1"/>
  <c r="AR16" i="51" s="1"/>
  <c r="AS63" i="51" s="1"/>
  <c r="I25" i="51" a="1"/>
  <c r="I25" i="51" s="1"/>
  <c r="AG25" i="51" s="1"/>
  <c r="AH66" i="51" s="1"/>
  <c r="I35" i="51" a="1"/>
  <c r="I35" i="51" s="1"/>
  <c r="AN34" i="51" s="1"/>
  <c r="AO69" i="51" s="1"/>
  <c r="L26" i="53" a="1"/>
  <c r="L26" i="53" s="1"/>
  <c r="AT25" i="53" s="1"/>
  <c r="AU66" i="53" s="1"/>
  <c r="M44" i="53" a="1"/>
  <c r="M44" i="53" s="1"/>
  <c r="AU43" i="53" s="1"/>
  <c r="AV72" i="53" s="1"/>
  <c r="H25" i="52" a="1"/>
  <c r="H25" i="52" s="1"/>
  <c r="H23" i="52" a="1"/>
  <c r="H23" i="52" s="1"/>
  <c r="N40" i="52" a="1"/>
  <c r="N40" i="52" s="1"/>
  <c r="AL40" i="52" s="1"/>
  <c r="AM71" i="52" s="1"/>
  <c r="K48" i="52" a="1"/>
  <c r="K48" i="52" s="1"/>
  <c r="AB49" i="52" s="1"/>
  <c r="AC74" i="52" s="1"/>
  <c r="J18" i="51" a="1"/>
  <c r="J18" i="51" s="1"/>
  <c r="AA19" i="51" s="1"/>
  <c r="AB64" i="51" s="1"/>
  <c r="K32" i="51" a="1"/>
  <c r="K32" i="51" s="1"/>
  <c r="AP31" i="51" s="1"/>
  <c r="AQ68" i="51" s="1"/>
  <c r="K46" i="51" a="1"/>
  <c r="K46" i="51" s="1"/>
  <c r="AI46" i="51" s="1"/>
  <c r="AJ73" i="51" s="1"/>
  <c r="K52" i="51" a="1"/>
  <c r="K52" i="51" s="1"/>
  <c r="AI52" i="51" s="1"/>
  <c r="AJ75" i="51" s="1"/>
  <c r="N31" i="53" a="1"/>
  <c r="N31" i="53" s="1"/>
  <c r="AO31" i="53" s="1"/>
  <c r="AP68" i="53" s="1"/>
  <c r="I52" i="53" a="1"/>
  <c r="I52" i="53" s="1"/>
  <c r="AJ52" i="53" s="1"/>
  <c r="AK75" i="53" s="1"/>
  <c r="L20" i="52" a="1"/>
  <c r="L20" i="52" s="1"/>
  <c r="AQ19" i="52" s="1"/>
  <c r="AR64" i="52" s="1"/>
  <c r="I11" i="52" a="1"/>
  <c r="I11" i="52" s="1"/>
  <c r="AN10" i="52" s="1"/>
  <c r="AO61" i="52" s="1"/>
  <c r="L42" i="52" a="1"/>
  <c r="L42" i="52" s="1"/>
  <c r="AC43" i="52" s="1"/>
  <c r="AD72" i="52" s="1"/>
  <c r="N53" i="52" a="1"/>
  <c r="N53" i="52" s="1"/>
  <c r="K15" i="51" a="1"/>
  <c r="K15" i="51" s="1"/>
  <c r="AB16" i="51" s="1"/>
  <c r="AC63" i="51" s="1"/>
  <c r="N32" i="51" a="1"/>
  <c r="N32" i="51" s="1"/>
  <c r="AS31" i="51" s="1"/>
  <c r="AT68" i="51" s="1"/>
  <c r="K45" i="51" a="1"/>
  <c r="K45" i="51" s="1"/>
  <c r="AB46" i="51" s="1"/>
  <c r="AC73" i="51" s="1"/>
  <c r="L47" i="51" a="1"/>
  <c r="L47" i="51" s="1"/>
  <c r="AQ46" i="51" s="1"/>
  <c r="AR73" i="51" s="1"/>
  <c r="I36" i="53" a="1"/>
  <c r="I36" i="53" s="1"/>
  <c r="AC37" i="53" s="1"/>
  <c r="AD70" i="53" s="1"/>
  <c r="J51" i="53" a="1"/>
  <c r="J51" i="53" s="1"/>
  <c r="M14" i="52" a="1"/>
  <c r="M14" i="52" s="1"/>
  <c r="AR13" i="52" s="1"/>
  <c r="AS62" i="52" s="1"/>
  <c r="M50" i="51" a="1"/>
  <c r="M50" i="51" s="1"/>
  <c r="K4" i="53" a="1"/>
  <c r="K4" i="53" s="1"/>
  <c r="AL4" i="53" s="1"/>
  <c r="AM59" i="53" s="1"/>
  <c r="K13" i="53" a="1"/>
  <c r="K13" i="53" s="1"/>
  <c r="AL13" i="53" s="1"/>
  <c r="AM62" i="53" s="1"/>
  <c r="H7" i="45" a="1"/>
  <c r="H7" i="45" s="1"/>
  <c r="H30" i="46" a="1"/>
  <c r="H30" i="46" s="1"/>
  <c r="N16" i="50" a="1"/>
  <c r="N16" i="50" s="1"/>
  <c r="AL16" i="50" s="1"/>
  <c r="AM63" i="50" s="1"/>
  <c r="H47" i="48" a="1"/>
  <c r="H47" i="48" s="1"/>
  <c r="K5" i="49" a="1"/>
  <c r="K5" i="49" s="1"/>
  <c r="AP4" i="49" s="1"/>
  <c r="AQ59" i="49" s="1"/>
  <c r="M11" i="50" a="1"/>
  <c r="M11" i="50" s="1"/>
  <c r="AR10" i="50" s="1"/>
  <c r="AS61" i="50" s="1"/>
  <c r="K14" i="52" a="1"/>
  <c r="K14" i="52" s="1"/>
  <c r="AP13" i="52" s="1"/>
  <c r="AQ62" i="52" s="1"/>
  <c r="L31" i="50" a="1"/>
  <c r="L31" i="50" s="1"/>
  <c r="AJ31" i="50" s="1"/>
  <c r="AK68" i="50" s="1"/>
  <c r="J5" i="53" a="1"/>
  <c r="J5" i="53" s="1"/>
  <c r="AR4" i="53" s="1"/>
  <c r="AS59" i="53" s="1"/>
  <c r="K9" i="53" a="1"/>
  <c r="K9" i="53" s="1"/>
  <c r="AE10" i="53" s="1"/>
  <c r="AF61" i="53" s="1"/>
  <c r="M18" i="45" a="1"/>
  <c r="M18" i="45" s="1"/>
  <c r="AD19" i="45" s="1"/>
  <c r="AE64" i="45" s="1"/>
  <c r="N41" i="44" a="1"/>
  <c r="N41" i="44" s="1"/>
  <c r="AS40" i="44" s="1"/>
  <c r="AT71" i="44" s="1"/>
  <c r="K5" i="48" a="1"/>
  <c r="K5" i="48" s="1"/>
  <c r="AS4" i="48" s="1"/>
  <c r="AT59" i="48" s="1"/>
  <c r="M12" i="48" a="1"/>
  <c r="M12" i="48" s="1"/>
  <c r="AG13" i="48" s="1"/>
  <c r="AH62" i="48" s="1"/>
  <c r="M46" i="49" a="1"/>
  <c r="M46" i="49" s="1"/>
  <c r="AK46" i="49" s="1"/>
  <c r="AL73" i="49" s="1"/>
  <c r="N35" i="48" a="1"/>
  <c r="N35" i="48" s="1"/>
  <c r="AV34" i="48" s="1"/>
  <c r="AW69" i="48" s="1"/>
  <c r="M13" i="49" a="1"/>
  <c r="M13" i="49" s="1"/>
  <c r="AK13" i="49" s="1"/>
  <c r="AL62" i="49" s="1"/>
  <c r="N5" i="49" a="1"/>
  <c r="N5" i="49" s="1"/>
  <c r="AS4" i="49" s="1"/>
  <c r="AT59" i="49" s="1"/>
  <c r="H18" i="52" a="1"/>
  <c r="H18" i="52" s="1"/>
  <c r="N7" i="53" a="1"/>
  <c r="N7" i="53" s="1"/>
  <c r="AO7" i="53" s="1"/>
  <c r="AP60" i="53" s="1"/>
  <c r="K18" i="53" a="1"/>
  <c r="K18" i="53" s="1"/>
  <c r="AE19" i="53" s="1"/>
  <c r="AF64" i="53" s="1"/>
  <c r="H52" i="53" a="1"/>
  <c r="H52" i="53" s="1"/>
  <c r="J11" i="52" a="1"/>
  <c r="J11" i="52" s="1"/>
  <c r="AO10" i="52" s="1"/>
  <c r="AP61" i="52" s="1"/>
  <c r="I5" i="52" a="1"/>
  <c r="I5" i="52" s="1"/>
  <c r="AN4" i="52" s="1"/>
  <c r="AO59" i="52" s="1"/>
  <c r="H22" i="52" a="1"/>
  <c r="H22" i="52" s="1"/>
  <c r="K44" i="52" a="1"/>
  <c r="K44" i="52" s="1"/>
  <c r="AP43" i="52" s="1"/>
  <c r="AQ72" i="52" s="1"/>
  <c r="I9" i="51" a="1"/>
  <c r="I9" i="51" s="1"/>
  <c r="Z10" i="51" s="1"/>
  <c r="AA61" i="51" s="1"/>
  <c r="L25" i="51" a="1"/>
  <c r="L25" i="51" s="1"/>
  <c r="AJ25" i="51" s="1"/>
  <c r="AK66" i="51" s="1"/>
  <c r="L16" i="51" a="1"/>
  <c r="L16" i="51" s="1"/>
  <c r="AJ16" i="51" s="1"/>
  <c r="AK63" i="51" s="1"/>
  <c r="M23" i="51" a="1"/>
  <c r="M23" i="51" s="1"/>
  <c r="AR22" i="51" s="1"/>
  <c r="AS65" i="51" s="1"/>
  <c r="L47" i="53" a="1"/>
  <c r="L47" i="53" s="1"/>
  <c r="AT46" i="53" s="1"/>
  <c r="AU73" i="53" s="1"/>
  <c r="I27" i="53" a="1"/>
  <c r="I27" i="53" s="1"/>
  <c r="AC28" i="53" s="1"/>
  <c r="AD67" i="53" s="1"/>
  <c r="M23" i="52" a="1"/>
  <c r="M23" i="52" s="1"/>
  <c r="AR22" i="52" s="1"/>
  <c r="AS65" i="52" s="1"/>
  <c r="L22" i="52" a="1"/>
  <c r="L22" i="52" s="1"/>
  <c r="AJ22" i="52" s="1"/>
  <c r="AK65" i="52" s="1"/>
  <c r="H36" i="52" a="1"/>
  <c r="H36" i="52" s="1"/>
  <c r="I51" i="52" a="1"/>
  <c r="I51" i="52" s="1"/>
  <c r="I5" i="51" a="1"/>
  <c r="I5" i="51" s="1"/>
  <c r="AN4" i="51" s="1"/>
  <c r="AO59" i="51" s="1"/>
  <c r="J9" i="51" a="1"/>
  <c r="J9" i="51" s="1"/>
  <c r="AA10" i="51" s="1"/>
  <c r="AB61" i="51" s="1"/>
  <c r="M46" i="51" a="1"/>
  <c r="M46" i="51" s="1"/>
  <c r="AK46" i="51" s="1"/>
  <c r="AL73" i="51" s="1"/>
  <c r="L35" i="53" a="1"/>
  <c r="L35" i="53" s="1"/>
  <c r="AT34" i="53" s="1"/>
  <c r="AU69" i="53" s="1"/>
  <c r="K43" i="53" a="1"/>
  <c r="K43" i="53" s="1"/>
  <c r="AL43" i="53" s="1"/>
  <c r="AM72" i="53" s="1"/>
  <c r="L29" i="52" a="1"/>
  <c r="L29" i="52" s="1"/>
  <c r="AQ28" i="52" s="1"/>
  <c r="AR67" i="52" s="1"/>
  <c r="J31" i="52" a="1"/>
  <c r="J31" i="52" s="1"/>
  <c r="AH31" i="52" s="1"/>
  <c r="AI68" i="52" s="1"/>
  <c r="N37" i="52" a="1"/>
  <c r="N37" i="52" s="1"/>
  <c r="AL37" i="52" s="1"/>
  <c r="AM70" i="52" s="1"/>
  <c r="I36" i="52" a="1"/>
  <c r="I36" i="52" s="1"/>
  <c r="Z37" i="52" s="1"/>
  <c r="AA70" i="52" s="1"/>
  <c r="J7" i="51" a="1"/>
  <c r="J7" i="51" s="1"/>
  <c r="AH7" i="51" s="1"/>
  <c r="AI60" i="51" s="1"/>
  <c r="I13" i="51" a="1"/>
  <c r="I13" i="51" s="1"/>
  <c r="AG13" i="51" s="1"/>
  <c r="AH62" i="51" s="1"/>
  <c r="N19" i="51" a="1"/>
  <c r="N19" i="51" s="1"/>
  <c r="AL19" i="51" s="1"/>
  <c r="AM64" i="51" s="1"/>
  <c r="N37" i="51" a="1"/>
  <c r="N37" i="51" s="1"/>
  <c r="AL37" i="51" s="1"/>
  <c r="AM70" i="51" s="1"/>
  <c r="J22" i="53" a="1"/>
  <c r="J22" i="53" s="1"/>
  <c r="AK22" i="53" s="1"/>
  <c r="AL65" i="53" s="1"/>
  <c r="I45" i="53" a="1"/>
  <c r="I45" i="53" s="1"/>
  <c r="AC46" i="53" s="1"/>
  <c r="AD73" i="53" s="1"/>
  <c r="I53" i="53" a="1"/>
  <c r="I53" i="53" s="1"/>
  <c r="N30" i="52" a="1"/>
  <c r="N30" i="52" s="1"/>
  <c r="AE31" i="52" s="1"/>
  <c r="AF68" i="52" s="1"/>
  <c r="L37" i="52" a="1"/>
  <c r="L37" i="52" s="1"/>
  <c r="AJ37" i="52" s="1"/>
  <c r="AK70" i="52" s="1"/>
  <c r="H47" i="52" a="1"/>
  <c r="H47" i="52" s="1"/>
  <c r="K6" i="51" a="1"/>
  <c r="K6" i="51" s="1"/>
  <c r="AB7" i="51" s="1"/>
  <c r="AC60" i="51" s="1"/>
  <c r="L29" i="51" a="1"/>
  <c r="L29" i="51" s="1"/>
  <c r="AQ28" i="51" s="1"/>
  <c r="AR67" i="51" s="1"/>
  <c r="M36" i="51" a="1"/>
  <c r="M36" i="51" s="1"/>
  <c r="AD37" i="51" s="1"/>
  <c r="AE70" i="51" s="1"/>
  <c r="K41" i="51" a="1"/>
  <c r="K41" i="51" s="1"/>
  <c r="AP40" i="51" s="1"/>
  <c r="AQ71" i="51" s="1"/>
  <c r="M11" i="53" a="1"/>
  <c r="M11" i="53" s="1"/>
  <c r="AU10" i="53" s="1"/>
  <c r="AV61" i="53" s="1"/>
  <c r="J49" i="53" a="1"/>
  <c r="J49" i="53" s="1"/>
  <c r="AK49" i="53" s="1"/>
  <c r="AL74" i="53" s="1"/>
  <c r="N4" i="52" a="1"/>
  <c r="N4" i="52" s="1"/>
  <c r="AL4" i="52" s="1"/>
  <c r="AM59" i="52" s="1"/>
  <c r="N32" i="52" a="1"/>
  <c r="N32" i="52" s="1"/>
  <c r="AS31" i="52" s="1"/>
  <c r="AT68" i="52" s="1"/>
  <c r="K41" i="52" a="1"/>
  <c r="K41" i="52" s="1"/>
  <c r="AP40" i="52" s="1"/>
  <c r="AQ71" i="52" s="1"/>
  <c r="I52" i="52" a="1"/>
  <c r="I52" i="52" s="1"/>
  <c r="AG52" i="52" s="1"/>
  <c r="AH75" i="52" s="1"/>
  <c r="N6" i="51" a="1"/>
  <c r="N6" i="51" s="1"/>
  <c r="AE7" i="51" s="1"/>
  <c r="AF60" i="51" s="1"/>
  <c r="J28" i="51" a="1"/>
  <c r="J28" i="51" s="1"/>
  <c r="AH28" i="51" s="1"/>
  <c r="AI67" i="51" s="1"/>
  <c r="H34" i="51" a="1"/>
  <c r="H34" i="51" s="1"/>
  <c r="J44" i="51" a="1"/>
  <c r="J44" i="51" s="1"/>
  <c r="AO43" i="51" s="1"/>
  <c r="AP72" i="51" s="1"/>
  <c r="J42" i="53" a="1"/>
  <c r="J42" i="53" s="1"/>
  <c r="AD43" i="53" s="1"/>
  <c r="AE72" i="53" s="1"/>
  <c r="I38" i="53" a="1"/>
  <c r="I38" i="53" s="1"/>
  <c r="AQ37" i="53" s="1"/>
  <c r="AR70" i="53" s="1"/>
  <c r="K30" i="52" a="1"/>
  <c r="K30" i="52" s="1"/>
  <c r="AB31" i="52" s="1"/>
  <c r="AC68" i="52" s="1"/>
  <c r="H21" i="52" a="1"/>
  <c r="H21" i="52" s="1"/>
  <c r="M42" i="52" a="1"/>
  <c r="M42" i="52" s="1"/>
  <c r="AD43" i="52" s="1"/>
  <c r="AE72" i="52" s="1"/>
  <c r="K55" i="52" a="1"/>
  <c r="K55" i="52" s="1"/>
  <c r="AI55" i="52" s="1"/>
  <c r="AJ76" i="52" s="1"/>
  <c r="L10" i="51" a="1"/>
  <c r="L10" i="51" s="1"/>
  <c r="AJ10" i="51" s="1"/>
  <c r="AK61" i="51" s="1"/>
  <c r="L22" i="51" a="1"/>
  <c r="L22" i="51" s="1"/>
  <c r="AJ22" i="51" s="1"/>
  <c r="AK65" i="51" s="1"/>
  <c r="J46" i="51" a="1"/>
  <c r="J46" i="51" s="1"/>
  <c r="AH46" i="51" s="1"/>
  <c r="AI73" i="51" s="1"/>
  <c r="H51" i="51" a="1"/>
  <c r="H51" i="51" s="1"/>
  <c r="J41" i="53" a="1"/>
  <c r="J41" i="53" s="1"/>
  <c r="AR40" i="53" s="1"/>
  <c r="AS71" i="53" s="1"/>
  <c r="K53" i="53" a="1"/>
  <c r="K53" i="53" s="1"/>
  <c r="N29" i="52" a="1"/>
  <c r="N29" i="52" s="1"/>
  <c r="AS28" i="52" s="1"/>
  <c r="AT67" i="52" s="1"/>
  <c r="M50" i="48" a="1"/>
  <c r="M50" i="48" s="1"/>
  <c r="M16" i="52" a="1"/>
  <c r="M16" i="52" s="1"/>
  <c r="AK16" i="52" s="1"/>
  <c r="AL63" i="52" s="1"/>
  <c r="I3" i="53" a="1"/>
  <c r="I3" i="53" s="1"/>
  <c r="AC4" i="53" s="1"/>
  <c r="AD59" i="53" s="1"/>
  <c r="H20" i="43" a="1"/>
  <c r="H20" i="43" s="1"/>
  <c r="J44" i="46" a="1"/>
  <c r="J44" i="46" s="1"/>
  <c r="AO43" i="46" s="1"/>
  <c r="AP72" i="46" s="1"/>
  <c r="I41" i="45" a="1"/>
  <c r="I41" i="45" s="1"/>
  <c r="AN40" i="45" s="1"/>
  <c r="AO71" i="45" s="1"/>
  <c r="K19" i="46" a="1"/>
  <c r="K19" i="46" s="1"/>
  <c r="AI19" i="46" s="1"/>
  <c r="AJ64" i="46" s="1"/>
  <c r="N15" i="49" a="1"/>
  <c r="N15" i="49" s="1"/>
  <c r="AE16" i="49" s="1"/>
  <c r="AF63" i="49" s="1"/>
  <c r="L53" i="49" a="1"/>
  <c r="L53" i="49" s="1"/>
  <c r="J11" i="51" a="1"/>
  <c r="J11" i="51" s="1"/>
  <c r="AO10" i="51" s="1"/>
  <c r="AP61" i="51" s="1"/>
  <c r="N50" i="52" a="1"/>
  <c r="N50" i="52" s="1"/>
  <c r="L50" i="51" a="1"/>
  <c r="L50" i="51" s="1"/>
  <c r="K3" i="53" a="1"/>
  <c r="K3" i="53" s="1"/>
  <c r="AE4" i="53" s="1"/>
  <c r="AF59" i="53" s="1"/>
  <c r="J16" i="53" a="1"/>
  <c r="J16" i="53" s="1"/>
  <c r="AK16" i="53" s="1"/>
  <c r="AL63" i="53" s="1"/>
  <c r="J52" i="45" a="1"/>
  <c r="J52" i="45" s="1"/>
  <c r="AH52" i="45" s="1"/>
  <c r="AI75" i="45" s="1"/>
  <c r="K48" i="45" a="1"/>
  <c r="K48" i="45" s="1"/>
  <c r="AB49" i="45" s="1"/>
  <c r="AC74" i="45" s="1"/>
  <c r="K42" i="48" a="1"/>
  <c r="K42" i="48" s="1"/>
  <c r="AE43" i="48" s="1"/>
  <c r="AF72" i="48" s="1"/>
  <c r="L42" i="48" a="1"/>
  <c r="L42" i="48" s="1"/>
  <c r="AF43" i="48" s="1"/>
  <c r="AG72" i="48" s="1"/>
  <c r="H14" i="45" a="1"/>
  <c r="H14" i="45" s="1"/>
  <c r="L5" i="49" a="1"/>
  <c r="L5" i="49" s="1"/>
  <c r="AQ4" i="49" s="1"/>
  <c r="AR59" i="49" s="1"/>
  <c r="J13" i="50" a="1"/>
  <c r="J13" i="50" s="1"/>
  <c r="AH13" i="50" s="1"/>
  <c r="AI62" i="50" s="1"/>
  <c r="H25" i="51" a="1"/>
  <c r="H25" i="51" s="1"/>
  <c r="I28" i="50" a="1"/>
  <c r="I28" i="50" s="1"/>
  <c r="AG28" i="50" s="1"/>
  <c r="AH67" i="50" s="1"/>
  <c r="I13" i="53" a="1"/>
  <c r="I13" i="53" s="1"/>
  <c r="AJ13" i="53" s="1"/>
  <c r="AK62" i="53" s="1"/>
  <c r="K46" i="53" a="1"/>
  <c r="K46" i="53" s="1"/>
  <c r="AL46" i="53" s="1"/>
  <c r="AM73" i="53" s="1"/>
  <c r="I7" i="53" a="1"/>
  <c r="I7" i="53" s="1"/>
  <c r="AJ7" i="53" s="1"/>
  <c r="AK60" i="53" s="1"/>
  <c r="M21" i="52" a="1"/>
  <c r="M21" i="52" s="1"/>
  <c r="AD22" i="52" s="1"/>
  <c r="AE65" i="52" s="1"/>
  <c r="M27" i="52" a="1"/>
  <c r="M27" i="52" s="1"/>
  <c r="AD28" i="52" s="1"/>
  <c r="AE67" i="52" s="1"/>
  <c r="I34" i="52" a="1"/>
  <c r="I34" i="52" s="1"/>
  <c r="AG34" i="52" s="1"/>
  <c r="AH69" i="52" s="1"/>
  <c r="L50" i="52" a="1"/>
  <c r="L50" i="52" s="1"/>
  <c r="M3" i="51" a="1"/>
  <c r="M3" i="51" s="1"/>
  <c r="AD4" i="51" s="1"/>
  <c r="AE59" i="51" s="1"/>
  <c r="K29" i="51" a="1"/>
  <c r="K29" i="51" s="1"/>
  <c r="AP28" i="51" s="1"/>
  <c r="AQ67" i="51" s="1"/>
  <c r="H22" i="51" a="1"/>
  <c r="H22" i="51" s="1"/>
  <c r="J39" i="51" a="1"/>
  <c r="J39" i="51" s="1"/>
  <c r="AA40" i="51" s="1"/>
  <c r="AB71" i="51" s="1"/>
  <c r="H45" i="53" a="1"/>
  <c r="H45" i="53" s="1"/>
  <c r="H50" i="53" a="1"/>
  <c r="H50" i="53" s="1"/>
  <c r="J8" i="52" a="1"/>
  <c r="J8" i="52" s="1"/>
  <c r="AO7" i="52" s="1"/>
  <c r="AP60" i="52" s="1"/>
  <c r="M32" i="52" a="1"/>
  <c r="M32" i="52" s="1"/>
  <c r="AR31" i="52" s="1"/>
  <c r="AS68" i="52" s="1"/>
  <c r="J26" i="52" a="1"/>
  <c r="J26" i="52" s="1"/>
  <c r="AO25" i="52" s="1"/>
  <c r="AP66" i="52" s="1"/>
  <c r="J52" i="52" a="1"/>
  <c r="J52" i="52" s="1"/>
  <c r="AH52" i="52" s="1"/>
  <c r="AI75" i="52" s="1"/>
  <c r="M13" i="51" a="1"/>
  <c r="M13" i="51" s="1"/>
  <c r="AK13" i="51" s="1"/>
  <c r="AL62" i="51" s="1"/>
  <c r="K31" i="51" a="1"/>
  <c r="K31" i="51" s="1"/>
  <c r="AI31" i="51" s="1"/>
  <c r="AJ68" i="51" s="1"/>
  <c r="K38" i="51" a="1"/>
  <c r="K38" i="51" s="1"/>
  <c r="AP37" i="51" s="1"/>
  <c r="AQ70" i="51" s="1"/>
  <c r="M7" i="53" a="1"/>
  <c r="M7" i="53" s="1"/>
  <c r="AN7" i="53" s="1"/>
  <c r="AO60" i="53" s="1"/>
  <c r="L42" i="53" a="1"/>
  <c r="L42" i="53" s="1"/>
  <c r="AF43" i="53" s="1"/>
  <c r="AG72" i="53" s="1"/>
  <c r="K18" i="52" a="1"/>
  <c r="K18" i="52" s="1"/>
  <c r="AB19" i="52" s="1"/>
  <c r="AC64" i="52" s="1"/>
  <c r="J15" i="52" a="1"/>
  <c r="J15" i="52" s="1"/>
  <c r="AA16" i="52" s="1"/>
  <c r="AB63" i="52" s="1"/>
  <c r="L27" i="52" a="1"/>
  <c r="L27" i="52" s="1"/>
  <c r="AC28" i="52" s="1"/>
  <c r="AD67" i="52" s="1"/>
  <c r="M45" i="52" a="1"/>
  <c r="M45" i="52" s="1"/>
  <c r="AD46" i="52" s="1"/>
  <c r="AE73" i="52" s="1"/>
  <c r="M4" i="51" a="1"/>
  <c r="M4" i="51" s="1"/>
  <c r="AK4" i="51" s="1"/>
  <c r="AL59" i="51" s="1"/>
  <c r="K4" i="51" a="1"/>
  <c r="K4" i="51" s="1"/>
  <c r="AI4" i="51" s="1"/>
  <c r="AJ59" i="51" s="1"/>
  <c r="H24" i="51" a="1"/>
  <c r="H24" i="51" s="1"/>
  <c r="L45" i="51" a="1"/>
  <c r="L45" i="51" s="1"/>
  <c r="AC46" i="51" s="1"/>
  <c r="AD73" i="51" s="1"/>
  <c r="K33" i="53" a="1"/>
  <c r="K33" i="53" s="1"/>
  <c r="AE34" i="53" s="1"/>
  <c r="AF69" i="53" s="1"/>
  <c r="I44" i="53" a="1"/>
  <c r="I44" i="53" s="1"/>
  <c r="AQ43" i="53" s="1"/>
  <c r="AR72" i="53" s="1"/>
  <c r="J13" i="52" a="1"/>
  <c r="J13" i="52" s="1"/>
  <c r="AH13" i="52" s="1"/>
  <c r="AI62" i="52" s="1"/>
  <c r="J5" i="52" a="1"/>
  <c r="J5" i="52" s="1"/>
  <c r="AO4" i="52" s="1"/>
  <c r="AP59" i="52" s="1"/>
  <c r="I24" i="52" a="1"/>
  <c r="I24" i="52" s="1"/>
  <c r="Z25" i="52" s="1"/>
  <c r="AA66" i="52" s="1"/>
  <c r="J38" i="52" a="1"/>
  <c r="J38" i="52" s="1"/>
  <c r="AO37" i="52" s="1"/>
  <c r="AP70" i="52" s="1"/>
  <c r="H18" i="51" a="1"/>
  <c r="H18" i="51" s="1"/>
  <c r="I8" i="51" a="1"/>
  <c r="I8" i="51" s="1"/>
  <c r="AN7" i="51" s="1"/>
  <c r="AO60" i="51" s="1"/>
  <c r="N41" i="51" a="1"/>
  <c r="N41" i="51" s="1"/>
  <c r="AS40" i="51" s="1"/>
  <c r="AT71" i="51" s="1"/>
  <c r="L38" i="51" a="1"/>
  <c r="L38" i="51" s="1"/>
  <c r="AQ37" i="51" s="1"/>
  <c r="AR70" i="51" s="1"/>
  <c r="M41" i="53" a="1"/>
  <c r="M41" i="53" s="1"/>
  <c r="AU40" i="53" s="1"/>
  <c r="AV71" i="53" s="1"/>
  <c r="M52" i="53" a="1"/>
  <c r="M52" i="53" s="1"/>
  <c r="AN52" i="53" s="1"/>
  <c r="AO75" i="53" s="1"/>
  <c r="K27" i="52" a="1"/>
  <c r="K27" i="52" s="1"/>
  <c r="AB28" i="52" s="1"/>
  <c r="AC67" i="52" s="1"/>
  <c r="K11" i="52" a="1"/>
  <c r="K11" i="52" s="1"/>
  <c r="AP10" i="52" s="1"/>
  <c r="AQ61" i="52" s="1"/>
  <c r="I42" i="52" a="1"/>
  <c r="I42" i="52" s="1"/>
  <c r="Z43" i="52" s="1"/>
  <c r="AA72" i="52" s="1"/>
  <c r="K53" i="52" a="1"/>
  <c r="K53" i="52" s="1"/>
  <c r="L12" i="51" a="1"/>
  <c r="L12" i="51" s="1"/>
  <c r="AC13" i="51" s="1"/>
  <c r="AD62" i="51" s="1"/>
  <c r="H33" i="51" a="1"/>
  <c r="H33" i="51" s="1"/>
  <c r="J43" i="51" a="1"/>
  <c r="J43" i="51" s="1"/>
  <c r="AH43" i="51" s="1"/>
  <c r="AI72" i="51" s="1"/>
  <c r="I43" i="51" a="1"/>
  <c r="I43" i="51" s="1"/>
  <c r="AG43" i="51" s="1"/>
  <c r="AH72" i="51" s="1"/>
  <c r="M49" i="53" a="1"/>
  <c r="M49" i="53" s="1"/>
  <c r="AN49" i="53" s="1"/>
  <c r="AO74" i="53" s="1"/>
  <c r="N51" i="53" a="1"/>
  <c r="N51" i="53" s="1"/>
  <c r="M20" i="52" a="1"/>
  <c r="M20" i="52" s="1"/>
  <c r="AR19" i="52" s="1"/>
  <c r="AS64" i="52" s="1"/>
  <c r="M33" i="52" a="1"/>
  <c r="M33" i="52" s="1"/>
  <c r="AD34" i="52" s="1"/>
  <c r="AE69" i="52" s="1"/>
  <c r="I43" i="52" a="1"/>
  <c r="I43" i="52" s="1"/>
  <c r="AG43" i="52" s="1"/>
  <c r="AH72" i="52" s="1"/>
  <c r="M55" i="52" a="1"/>
  <c r="M55" i="52" s="1"/>
  <c r="AK55" i="52" s="1"/>
  <c r="AL76" i="52" s="1"/>
  <c r="J14" i="51" a="1"/>
  <c r="J14" i="51" s="1"/>
  <c r="AO13" i="51" s="1"/>
  <c r="AP62" i="51" s="1"/>
  <c r="L33" i="51" a="1"/>
  <c r="L33" i="51" s="1"/>
  <c r="AC34" i="51" s="1"/>
  <c r="AD69" i="51" s="1"/>
  <c r="L43" i="51" a="1"/>
  <c r="L43" i="51" s="1"/>
  <c r="AJ43" i="51" s="1"/>
  <c r="AK72" i="51" s="1"/>
  <c r="J17" i="53" a="1"/>
  <c r="J17" i="53" s="1"/>
  <c r="AR16" i="53" s="1"/>
  <c r="AS63" i="53" s="1"/>
  <c r="H34" i="53" a="1"/>
  <c r="H34" i="53" s="1"/>
  <c r="K12" i="52" a="1"/>
  <c r="K12" i="52" s="1"/>
  <c r="AB13" i="52" s="1"/>
  <c r="AC62" i="52" s="1"/>
  <c r="N45" i="49" a="1"/>
  <c r="N45" i="49" s="1"/>
  <c r="L33" i="52" a="1"/>
  <c r="L33" i="52" s="1"/>
  <c r="AC34" i="52" s="1"/>
  <c r="AD69" i="52" s="1"/>
  <c r="M10" i="53" a="1"/>
  <c r="M10" i="53" s="1"/>
  <c r="AN10" i="53" s="1"/>
  <c r="AO61" i="53" s="1"/>
  <c r="I17" i="45" a="1"/>
  <c r="I17" i="45" s="1"/>
  <c r="AN16" i="45" s="1"/>
  <c r="AO63" i="45" s="1"/>
  <c r="M8" i="43" a="1"/>
  <c r="M8" i="43" s="1"/>
  <c r="AR7" i="43" s="1"/>
  <c r="AS60" i="43" s="1"/>
  <c r="M16" i="46" a="1"/>
  <c r="M16" i="46" s="1"/>
  <c r="AK16" i="46" s="1"/>
  <c r="AL63" i="46" s="1"/>
  <c r="K3" i="47" a="1"/>
  <c r="K3" i="47" s="1"/>
  <c r="AB4" i="47" s="1"/>
  <c r="AC59" i="47" s="1"/>
  <c r="I46" i="49" a="1"/>
  <c r="I46" i="49" s="1"/>
  <c r="AG46" i="49" s="1"/>
  <c r="AH73" i="49" s="1"/>
  <c r="I48" i="47" a="1"/>
  <c r="I48" i="47" s="1"/>
  <c r="Z49" i="47" s="1"/>
  <c r="AA74" i="47" s="1"/>
  <c r="K37" i="51" a="1"/>
  <c r="K37" i="51" s="1"/>
  <c r="AI37" i="51" s="1"/>
  <c r="AJ70" i="51" s="1"/>
  <c r="I4" i="49" a="1"/>
  <c r="I4" i="49" s="1"/>
  <c r="AG4" i="49" s="1"/>
  <c r="AH59" i="49" s="1"/>
  <c r="H34" i="52" a="1"/>
  <c r="H34" i="52" s="1"/>
  <c r="M4" i="53" a="1"/>
  <c r="M4" i="53" s="1"/>
  <c r="AN4" i="53" s="1"/>
  <c r="AO59" i="53" s="1"/>
  <c r="I22" i="53" a="1"/>
  <c r="I22" i="53" s="1"/>
  <c r="AJ22" i="53" s="1"/>
  <c r="AK65" i="53" s="1"/>
  <c r="M34" i="47" a="1"/>
  <c r="M34" i="47" s="1"/>
  <c r="AK34" i="47" s="1"/>
  <c r="AL69" i="47" s="1"/>
  <c r="N40" i="46" a="1"/>
  <c r="N40" i="46" s="1"/>
  <c r="AL40" i="46" s="1"/>
  <c r="AM71" i="46" s="1"/>
  <c r="J4" i="49" a="1"/>
  <c r="J4" i="49" s="1"/>
  <c r="AH4" i="49" s="1"/>
  <c r="AI59" i="49" s="1"/>
  <c r="H26" i="50" a="1"/>
  <c r="H26" i="50" s="1"/>
  <c r="K7" i="47" a="1"/>
  <c r="K7" i="47" s="1"/>
  <c r="AI7" i="47" s="1"/>
  <c r="AJ60" i="47" s="1"/>
  <c r="J10" i="50" a="1"/>
  <c r="J10" i="50" s="1"/>
  <c r="AH10" i="50" s="1"/>
  <c r="AI61" i="50" s="1"/>
  <c r="N38" i="51" a="1"/>
  <c r="N38" i="51" s="1"/>
  <c r="AS37" i="51" s="1"/>
  <c r="AT70" i="51" s="1"/>
  <c r="I8" i="52" a="1"/>
  <c r="I8" i="52" s="1"/>
  <c r="AN7" i="52" s="1"/>
  <c r="AO60" i="52" s="1"/>
  <c r="K23" i="51" a="1"/>
  <c r="K23" i="51" s="1"/>
  <c r="AP22" i="51" s="1"/>
  <c r="AQ65" i="51" s="1"/>
  <c r="H19" i="53" a="1"/>
  <c r="H19" i="53" s="1"/>
  <c r="N43" i="53" a="1"/>
  <c r="N43" i="53" s="1"/>
  <c r="AO43" i="53" s="1"/>
  <c r="AP72" i="53" s="1"/>
  <c r="M48" i="53" a="1"/>
  <c r="M48" i="53" s="1"/>
  <c r="AG49" i="53" s="1"/>
  <c r="AH74" i="53" s="1"/>
  <c r="M29" i="52" a="1"/>
  <c r="M29" i="52" s="1"/>
  <c r="AR28" i="52" s="1"/>
  <c r="AS67" i="52" s="1"/>
  <c r="N31" i="52" a="1"/>
  <c r="N31" i="52" s="1"/>
  <c r="AL31" i="52" s="1"/>
  <c r="AM68" i="52" s="1"/>
  <c r="L36" i="52" a="1"/>
  <c r="L36" i="52" s="1"/>
  <c r="AC37" i="52" s="1"/>
  <c r="AD70" i="52" s="1"/>
  <c r="K50" i="52" a="1"/>
  <c r="K50" i="52" s="1"/>
  <c r="K12" i="51" a="1"/>
  <c r="K12" i="51" s="1"/>
  <c r="AB13" i="51" s="1"/>
  <c r="AC62" i="51" s="1"/>
  <c r="L31" i="51" a="1"/>
  <c r="L31" i="51" s="1"/>
  <c r="AJ31" i="51" s="1"/>
  <c r="AK68" i="51" s="1"/>
  <c r="N14" i="51" a="1"/>
  <c r="N14" i="51" s="1"/>
  <c r="AS13" i="51" s="1"/>
  <c r="AT62" i="51" s="1"/>
  <c r="I9" i="53" a="1"/>
  <c r="I9" i="53" s="1"/>
  <c r="AC10" i="53" s="1"/>
  <c r="AD61" i="53" s="1"/>
  <c r="H46" i="53" a="1"/>
  <c r="H46" i="53" s="1"/>
  <c r="N55" i="53" a="1"/>
  <c r="N55" i="53" s="1"/>
  <c r="AO55" i="53" s="1"/>
  <c r="AP76" i="53" s="1"/>
  <c r="J22" i="52" a="1"/>
  <c r="J22" i="52" s="1"/>
  <c r="AH22" i="52" s="1"/>
  <c r="AI65" i="52" s="1"/>
  <c r="I9" i="52" a="1"/>
  <c r="I9" i="52" s="1"/>
  <c r="Z10" i="52" s="1"/>
  <c r="AA61" i="52" s="1"/>
  <c r="M39" i="52" a="1"/>
  <c r="M39" i="52" s="1"/>
  <c r="AD40" i="52" s="1"/>
  <c r="AE71" i="52" s="1"/>
  <c r="L56" i="52" a="1"/>
  <c r="L56" i="52" s="1"/>
  <c r="M18" i="51" a="1"/>
  <c r="M18" i="51" s="1"/>
  <c r="AD19" i="51" s="1"/>
  <c r="AE64" i="51" s="1"/>
  <c r="L28" i="51" a="1"/>
  <c r="L28" i="51" s="1"/>
  <c r="AJ28" i="51" s="1"/>
  <c r="AK67" i="51" s="1"/>
  <c r="I42" i="51" a="1"/>
  <c r="I42" i="51" s="1"/>
  <c r="Z43" i="51" s="1"/>
  <c r="AA72" i="51" s="1"/>
  <c r="H33" i="53" a="1"/>
  <c r="H33" i="53" s="1"/>
  <c r="M34" i="53" a="1"/>
  <c r="M34" i="53" s="1"/>
  <c r="AN34" i="53" s="1"/>
  <c r="AO69" i="53" s="1"/>
  <c r="N26" i="52" a="1"/>
  <c r="N26" i="52" s="1"/>
  <c r="AS25" i="52" s="1"/>
  <c r="AT66" i="52" s="1"/>
  <c r="H32" i="52" a="1"/>
  <c r="H32" i="52" s="1"/>
  <c r="M34" i="52" a="1"/>
  <c r="M34" i="52" s="1"/>
  <c r="AK34" i="52" s="1"/>
  <c r="AL69" i="52" s="1"/>
  <c r="I44" i="52" a="1"/>
  <c r="I44" i="52" s="1"/>
  <c r="AN43" i="52" s="1"/>
  <c r="AO72" i="52" s="1"/>
  <c r="L18" i="51" a="1"/>
  <c r="L18" i="51" s="1"/>
  <c r="AC19" i="51" s="1"/>
  <c r="AD64" i="51" s="1"/>
  <c r="H17" i="51" a="1"/>
  <c r="H17" i="51" s="1"/>
  <c r="I33" i="51" a="1"/>
  <c r="I33" i="51" s="1"/>
  <c r="Z34" i="51" s="1"/>
  <c r="AA69" i="51" s="1"/>
  <c r="H46" i="51" a="1"/>
  <c r="H46" i="51" s="1"/>
  <c r="I26" i="53" a="1"/>
  <c r="I26" i="53" s="1"/>
  <c r="AQ25" i="53" s="1"/>
  <c r="AR66" i="53" s="1"/>
  <c r="K49" i="53" a="1"/>
  <c r="K49" i="53" s="1"/>
  <c r="AL49" i="53" s="1"/>
  <c r="AM74" i="53" s="1"/>
  <c r="L25" i="52" a="1"/>
  <c r="L25" i="52" s="1"/>
  <c r="AJ25" i="52" s="1"/>
  <c r="AK66" i="52" s="1"/>
  <c r="L23" i="52" a="1"/>
  <c r="L23" i="52" s="1"/>
  <c r="AQ22" i="52" s="1"/>
  <c r="AR65" i="52" s="1"/>
  <c r="K40" i="52" a="1"/>
  <c r="K40" i="52" s="1"/>
  <c r="AI40" i="52" s="1"/>
  <c r="AJ71" i="52" s="1"/>
  <c r="I46" i="52" a="1"/>
  <c r="I46" i="52" s="1"/>
  <c r="AG46" i="52" s="1"/>
  <c r="AH73" i="52" s="1"/>
  <c r="J5" i="51" a="1"/>
  <c r="J5" i="51" s="1"/>
  <c r="AO4" i="51" s="1"/>
  <c r="AP59" i="51" s="1"/>
  <c r="L7" i="51" a="1"/>
  <c r="L7" i="51" s="1"/>
  <c r="AJ7" i="51" s="1"/>
  <c r="AK60" i="51" s="1"/>
  <c r="H45" i="51" a="1"/>
  <c r="H45" i="51" s="1"/>
  <c r="H52" i="51" a="1"/>
  <c r="H52" i="51" s="1"/>
  <c r="H48" i="53" a="1"/>
  <c r="H48" i="53" s="1"/>
  <c r="H36" i="53" a="1"/>
  <c r="H36" i="53" s="1"/>
  <c r="L18" i="52" a="1"/>
  <c r="L18" i="52" s="1"/>
  <c r="AC19" i="52" s="1"/>
  <c r="AD64" i="52" s="1"/>
  <c r="J20" i="52" a="1"/>
  <c r="J20" i="52" s="1"/>
  <c r="AO19" i="52" s="1"/>
  <c r="AP64" i="52" s="1"/>
  <c r="H50" i="52" a="1"/>
  <c r="H50" i="52" s="1"/>
  <c r="I55" i="52" a="1"/>
  <c r="I55" i="52" s="1"/>
  <c r="AG55" i="52" s="1"/>
  <c r="AH76" i="52" s="1"/>
  <c r="L15" i="51" a="1"/>
  <c r="L15" i="51" s="1"/>
  <c r="AC16" i="51" s="1"/>
  <c r="AD63" i="51" s="1"/>
  <c r="K27" i="51" a="1"/>
  <c r="K27" i="51" s="1"/>
  <c r="AB28" i="51" s="1"/>
  <c r="AC67" i="51" s="1"/>
  <c r="H40" i="51" a="1"/>
  <c r="H40" i="51" s="1"/>
  <c r="L51" i="51" a="1"/>
  <c r="L51" i="51" s="1"/>
  <c r="K47" i="53" a="1"/>
  <c r="K47" i="53" s="1"/>
  <c r="AS46" i="53" s="1"/>
  <c r="AT73" i="53" s="1"/>
  <c r="M50" i="53" a="1"/>
  <c r="M50" i="53" s="1"/>
  <c r="L5" i="52" a="1"/>
  <c r="L5" i="52" s="1"/>
  <c r="AQ4" i="52" s="1"/>
  <c r="AR59" i="52" s="1"/>
  <c r="K37" i="52" a="1"/>
  <c r="K37" i="52" s="1"/>
  <c r="AI37" i="52" s="1"/>
  <c r="AJ70" i="52" s="1"/>
  <c r="M41" i="52" a="1"/>
  <c r="M41" i="52" s="1"/>
  <c r="AR40" i="52" s="1"/>
  <c r="AS71" i="52" s="1"/>
  <c r="N3" i="51" a="1"/>
  <c r="N3" i="51" s="1"/>
  <c r="AE4" i="51" s="1"/>
  <c r="AF59" i="51" s="1"/>
  <c r="N22" i="51" a="1"/>
  <c r="N22" i="51" s="1"/>
  <c r="AL22" i="51" s="1"/>
  <c r="AM65" i="51" s="1"/>
  <c r="H29" i="51" a="1"/>
  <c r="H29" i="51" s="1"/>
  <c r="J41" i="51" a="1"/>
  <c r="J41" i="51" s="1"/>
  <c r="AO40" i="51" s="1"/>
  <c r="AP71" i="51" s="1"/>
  <c r="K21" i="53" a="1"/>
  <c r="K21" i="53" s="1"/>
  <c r="AE22" i="53" s="1"/>
  <c r="AF65" i="53" s="1"/>
  <c r="I40" i="53" a="1"/>
  <c r="I40" i="53" s="1"/>
  <c r="AJ40" i="53" s="1"/>
  <c r="AK71" i="53" s="1"/>
  <c r="M32" i="51" a="1"/>
  <c r="M32" i="51" s="1"/>
  <c r="AR31" i="51" s="1"/>
  <c r="AS68" i="51" s="1"/>
  <c r="I10" i="51" a="1"/>
  <c r="I10" i="51" s="1"/>
  <c r="AG10" i="51" s="1"/>
  <c r="AH61" i="51" s="1"/>
  <c r="H4" i="50" a="1"/>
  <c r="H4" i="50" s="1"/>
  <c r="I17" i="53" a="1"/>
  <c r="I17" i="53" s="1"/>
  <c r="AQ16" i="53" s="1"/>
  <c r="AR63" i="53" s="1"/>
  <c r="M38" i="45" a="1"/>
  <c r="M38" i="45" s="1"/>
  <c r="AR37" i="45" s="1"/>
  <c r="AS70" i="45" s="1"/>
  <c r="N54" i="43" a="1"/>
  <c r="N54" i="43" s="1"/>
  <c r="AE55" i="43" s="1"/>
  <c r="AF76" i="43" s="1"/>
  <c r="J52" i="46" a="1"/>
  <c r="J52" i="46" s="1"/>
  <c r="AH52" i="46" s="1"/>
  <c r="AI75" i="46" s="1"/>
  <c r="M41" i="47" a="1"/>
  <c r="M41" i="47" s="1"/>
  <c r="AR40" i="47" s="1"/>
  <c r="AS71" i="47" s="1"/>
  <c r="J13" i="45" a="1"/>
  <c r="J13" i="45" s="1"/>
  <c r="AH13" i="45" s="1"/>
  <c r="AI62" i="45" s="1"/>
  <c r="M24" i="48" a="1"/>
  <c r="M24" i="48" s="1"/>
  <c r="AG25" i="48" s="1"/>
  <c r="AH66" i="48" s="1"/>
  <c r="H17" i="52" a="1"/>
  <c r="H17" i="52" s="1"/>
  <c r="J20" i="51" a="1"/>
  <c r="J20" i="51" s="1"/>
  <c r="AO19" i="51" s="1"/>
  <c r="AP64" i="51" s="1"/>
  <c r="H12" i="50" a="1"/>
  <c r="H12" i="50" s="1"/>
  <c r="N4" i="53" a="1"/>
  <c r="N4" i="53" s="1"/>
  <c r="AO4" i="53" s="1"/>
  <c r="AP59" i="53" s="1"/>
  <c r="K4" i="46" a="1"/>
  <c r="K4" i="46" s="1"/>
  <c r="AI4" i="46" s="1"/>
  <c r="AJ59" i="46" s="1"/>
  <c r="L10" i="43" a="1"/>
  <c r="L10" i="43" s="1"/>
  <c r="AJ10" i="43" s="1"/>
  <c r="AK61" i="43" s="1"/>
  <c r="L11" i="47" a="1"/>
  <c r="L11" i="47" s="1"/>
  <c r="AQ10" i="47" s="1"/>
  <c r="AR61" i="47" s="1"/>
  <c r="J30" i="49" a="1"/>
  <c r="J30" i="49" s="1"/>
  <c r="AA31" i="49" s="1"/>
  <c r="AB68" i="49" s="1"/>
  <c r="M43" i="46" a="1"/>
  <c r="M43" i="46" s="1"/>
  <c r="AK43" i="46" s="1"/>
  <c r="AL72" i="46" s="1"/>
  <c r="J40" i="47" a="1"/>
  <c r="J40" i="47" s="1"/>
  <c r="AH40" i="47" s="1"/>
  <c r="AI71" i="47" s="1"/>
  <c r="H53" i="46" a="1"/>
  <c r="H53" i="46" s="1"/>
  <c r="I7" i="52" a="1"/>
  <c r="I7" i="52" s="1"/>
  <c r="AG7" i="52" s="1"/>
  <c r="AH60" i="52" s="1"/>
  <c r="I20" i="52" a="1"/>
  <c r="I20" i="52" s="1"/>
  <c r="AN19" i="52" s="1"/>
  <c r="AO64" i="52" s="1"/>
  <c r="M4" i="52" a="1"/>
  <c r="M4" i="52" s="1"/>
  <c r="AK4" i="52" s="1"/>
  <c r="AL59" i="52" s="1"/>
  <c r="H11" i="53" a="1"/>
  <c r="H11" i="53" s="1"/>
  <c r="M31" i="53" a="1"/>
  <c r="M31" i="53" s="1"/>
  <c r="AN31" i="53" s="1"/>
  <c r="AO68" i="53" s="1"/>
  <c r="J55" i="53" a="1"/>
  <c r="J55" i="53" s="1"/>
  <c r="AK55" i="53" s="1"/>
  <c r="AL76" i="53" s="1"/>
  <c r="M15" i="52" a="1"/>
  <c r="M15" i="52" s="1"/>
  <c r="AD16" i="52" s="1"/>
  <c r="AE63" i="52" s="1"/>
  <c r="H16" i="52" a="1"/>
  <c r="H16" i="52" s="1"/>
  <c r="I18" i="52" a="1"/>
  <c r="I18" i="52" s="1"/>
  <c r="Z19" i="52" s="1"/>
  <c r="AA64" i="52" s="1"/>
  <c r="N52" i="52" a="1"/>
  <c r="N52" i="52" s="1"/>
  <c r="AL52" i="52" s="1"/>
  <c r="AM75" i="52" s="1"/>
  <c r="I15" i="51" a="1"/>
  <c r="I15" i="51" s="1"/>
  <c r="Z16" i="51" s="1"/>
  <c r="AA63" i="51" s="1"/>
  <c r="M26" i="51" a="1"/>
  <c r="M26" i="51" s="1"/>
  <c r="AR25" i="51" s="1"/>
  <c r="AS66" i="51" s="1"/>
  <c r="L27" i="51" a="1"/>
  <c r="L27" i="51" s="1"/>
  <c r="AC28" i="51" s="1"/>
  <c r="AD67" i="51" s="1"/>
  <c r="J10" i="53" a="1"/>
  <c r="J10" i="53" s="1"/>
  <c r="AK10" i="53" s="1"/>
  <c r="AL61" i="53" s="1"/>
  <c r="K38" i="53" a="1"/>
  <c r="K38" i="53" s="1"/>
  <c r="AS37" i="53" s="1"/>
  <c r="AT70" i="53" s="1"/>
  <c r="L54" i="53" a="1"/>
  <c r="L54" i="53" s="1"/>
  <c r="AF55" i="53" s="1"/>
  <c r="AG76" i="53" s="1"/>
  <c r="J6" i="52" a="1"/>
  <c r="J6" i="52" s="1"/>
  <c r="AA7" i="52" s="1"/>
  <c r="AB60" i="52" s="1"/>
  <c r="N16" i="52" a="1"/>
  <c r="N16" i="52" s="1"/>
  <c r="AL16" i="52" s="1"/>
  <c r="AM63" i="52" s="1"/>
  <c r="J46" i="52" a="1"/>
  <c r="J46" i="52" s="1"/>
  <c r="AH46" i="52" s="1"/>
  <c r="AI73" i="52" s="1"/>
  <c r="M56" i="52" a="1"/>
  <c r="M56" i="52" s="1"/>
  <c r="N4" i="51" a="1"/>
  <c r="N4" i="51" s="1"/>
  <c r="AL4" i="51" s="1"/>
  <c r="AM59" i="51" s="1"/>
  <c r="I19" i="51" a="1"/>
  <c r="I19" i="51" s="1"/>
  <c r="AG19" i="51" s="1"/>
  <c r="AH64" i="51" s="1"/>
  <c r="L30" i="51" a="1"/>
  <c r="L30" i="51" s="1"/>
  <c r="AC31" i="51" s="1"/>
  <c r="AD68" i="51" s="1"/>
  <c r="H47" i="53" a="1"/>
  <c r="H47" i="53" s="1"/>
  <c r="N52" i="53" a="1"/>
  <c r="N52" i="53" s="1"/>
  <c r="AO52" i="53" s="1"/>
  <c r="AP75" i="53" s="1"/>
  <c r="M7" i="52" a="1"/>
  <c r="M7" i="52" s="1"/>
  <c r="AK7" i="52" s="1"/>
  <c r="AL60" i="52" s="1"/>
  <c r="I10" i="52" a="1"/>
  <c r="I10" i="52" s="1"/>
  <c r="AG10" i="52" s="1"/>
  <c r="AH61" i="52" s="1"/>
  <c r="H41" i="52" a="1"/>
  <c r="H41" i="52" s="1"/>
  <c r="I50" i="52" a="1"/>
  <c r="I50" i="52" s="1"/>
  <c r="P50" i="52" s="1"/>
  <c r="K18" i="51" a="1"/>
  <c r="K18" i="51" s="1"/>
  <c r="AB19" i="51" s="1"/>
  <c r="AC64" i="51" s="1"/>
  <c r="M25" i="51" a="1"/>
  <c r="M25" i="51" s="1"/>
  <c r="AK25" i="51" s="1"/>
  <c r="AL66" i="51" s="1"/>
  <c r="N28" i="51" a="1"/>
  <c r="N28" i="51" s="1"/>
  <c r="AL28" i="51" s="1"/>
  <c r="AM67" i="51" s="1"/>
  <c r="K30" i="51" a="1"/>
  <c r="K30" i="51" s="1"/>
  <c r="AB31" i="51" s="1"/>
  <c r="AC68" i="51" s="1"/>
  <c r="K40" i="53" a="1"/>
  <c r="K40" i="53" s="1"/>
  <c r="AL40" i="53" s="1"/>
  <c r="AM71" i="53" s="1"/>
  <c r="K36" i="53" a="1"/>
  <c r="K36" i="53" s="1"/>
  <c r="AE37" i="53" s="1"/>
  <c r="AF70" i="53" s="1"/>
  <c r="M3" i="52" a="1"/>
  <c r="M3" i="52" s="1"/>
  <c r="AD4" i="52" s="1"/>
  <c r="AE59" i="52" s="1"/>
  <c r="K32" i="52" a="1"/>
  <c r="K32" i="52" s="1"/>
  <c r="AP31" i="52" s="1"/>
  <c r="AQ68" i="52" s="1"/>
  <c r="M36" i="52" a="1"/>
  <c r="M36" i="52" s="1"/>
  <c r="AD37" i="52" s="1"/>
  <c r="AE70" i="52" s="1"/>
  <c r="M52" i="52" a="1"/>
  <c r="M52" i="52" s="1"/>
  <c r="AK52" i="52" s="1"/>
  <c r="AL75" i="52" s="1"/>
  <c r="J15" i="51" a="1"/>
  <c r="J15" i="51" s="1"/>
  <c r="AA16" i="51" s="1"/>
  <c r="AB63" i="51" s="1"/>
  <c r="L20" i="51" a="1"/>
  <c r="L20" i="51" s="1"/>
  <c r="AQ19" i="51" s="1"/>
  <c r="AR64" i="51" s="1"/>
  <c r="L46" i="51" a="1"/>
  <c r="L46" i="51" s="1"/>
  <c r="AJ46" i="51" s="1"/>
  <c r="AK73" i="51" s="1"/>
  <c r="I38" i="51" a="1"/>
  <c r="I38" i="51" s="1"/>
  <c r="AN37" i="51" s="1"/>
  <c r="AO70" i="51" s="1"/>
  <c r="H49" i="53" a="1"/>
  <c r="H49" i="53" s="1"/>
  <c r="H51" i="53" a="1"/>
  <c r="H51" i="53" s="1"/>
  <c r="J4" i="52" a="1"/>
  <c r="J4" i="52" s="1"/>
  <c r="AH4" i="52" s="1"/>
  <c r="AI59" i="52" s="1"/>
  <c r="H37" i="52" a="1"/>
  <c r="H37" i="52" s="1"/>
  <c r="I41" i="52" a="1"/>
  <c r="I41" i="52" s="1"/>
  <c r="AN40" i="52" s="1"/>
  <c r="AO71" i="52" s="1"/>
  <c r="L41" i="51" a="1"/>
  <c r="L41" i="51" s="1"/>
  <c r="AQ40" i="51" s="1"/>
  <c r="AR71" i="51" s="1"/>
  <c r="N17" i="51" a="1"/>
  <c r="N17" i="51" s="1"/>
  <c r="AS16" i="51" s="1"/>
  <c r="AT63" i="51" s="1"/>
  <c r="H8" i="51" a="1"/>
  <c r="H8" i="51" s="1"/>
  <c r="H42" i="51" a="1"/>
  <c r="H42" i="51" s="1"/>
  <c r="I49" i="51" a="1"/>
  <c r="I49" i="51" s="1"/>
  <c r="AG49" i="51" s="1"/>
  <c r="AH74" i="51" s="1"/>
  <c r="L29" i="53" a="1"/>
  <c r="L29" i="53" s="1"/>
  <c r="AT28" i="53" s="1"/>
  <c r="AU67" i="53" s="1"/>
  <c r="L55" i="53" a="1"/>
  <c r="L55" i="53" s="1"/>
  <c r="AM55" i="53" s="1"/>
  <c r="AN76" i="53" s="1"/>
  <c r="J3" i="52" a="1"/>
  <c r="J3" i="52" s="1"/>
  <c r="AA4" i="52" s="1"/>
  <c r="AB59" i="52" s="1"/>
  <c r="H26" i="52" a="1"/>
  <c r="H26" i="52" s="1"/>
  <c r="J47" i="52" a="1"/>
  <c r="J47" i="52" s="1"/>
  <c r="AO46" i="52" s="1"/>
  <c r="AP73" i="52" s="1"/>
  <c r="J53" i="51" a="1"/>
  <c r="J53" i="51" s="1"/>
  <c r="K28" i="51" a="1"/>
  <c r="K28" i="51" s="1"/>
  <c r="AI28" i="51" s="1"/>
  <c r="AJ67" i="51" s="1"/>
  <c r="H10" i="51" a="1"/>
  <c r="H10" i="51" s="1"/>
  <c r="L37" i="51" a="1"/>
  <c r="L37" i="51" s="1"/>
  <c r="AJ37" i="51" s="1"/>
  <c r="AK70" i="51" s="1"/>
  <c r="K19" i="53" a="1"/>
  <c r="K19" i="53" s="1"/>
  <c r="AL19" i="53" s="1"/>
  <c r="AM64" i="53" s="1"/>
  <c r="I46" i="53" a="1"/>
  <c r="I46" i="53" s="1"/>
  <c r="AJ46" i="53" s="1"/>
  <c r="AK73" i="53" s="1"/>
  <c r="I31" i="44" a="1"/>
  <c r="I31" i="44" s="1"/>
  <c r="AG31" i="44" s="1"/>
  <c r="AH68" i="44" s="1"/>
  <c r="M10" i="47" a="1"/>
  <c r="M10" i="47" s="1"/>
  <c r="AK10" i="47" s="1"/>
  <c r="AL61" i="47" s="1"/>
  <c r="I45" i="43" a="1"/>
  <c r="I45" i="43" s="1"/>
  <c r="Z46" i="43" s="1"/>
  <c r="AA73" i="43" s="1"/>
  <c r="K18" i="48" a="1"/>
  <c r="K18" i="48" s="1"/>
  <c r="AE19" i="48" s="1"/>
  <c r="AF64" i="48" s="1"/>
  <c r="K3" i="52" a="1"/>
  <c r="K3" i="52" s="1"/>
  <c r="AB4" i="52" s="1"/>
  <c r="AC59" i="52" s="1"/>
  <c r="L39" i="48" a="1"/>
  <c r="L39" i="48" s="1"/>
  <c r="AF40" i="48" s="1"/>
  <c r="AG71" i="48" s="1"/>
  <c r="H20" i="45" a="1"/>
  <c r="H20" i="45" s="1"/>
  <c r="I49" i="48" a="1"/>
  <c r="I49" i="48" s="1"/>
  <c r="AJ49" i="48" s="1"/>
  <c r="AK74" i="48" s="1"/>
  <c r="J9" i="44" a="1"/>
  <c r="J9" i="44" s="1"/>
  <c r="AA10" i="44" s="1"/>
  <c r="AB61" i="44" s="1"/>
  <c r="J50" i="46" a="1"/>
  <c r="J50" i="46" s="1"/>
  <c r="N54" i="53" a="1"/>
  <c r="N54" i="53" s="1"/>
  <c r="K19" i="43" a="1"/>
  <c r="K19" i="43" s="1"/>
  <c r="AI19" i="43" s="1"/>
  <c r="AJ64" i="43" s="1"/>
  <c r="J20" i="53" a="1"/>
  <c r="J20" i="53" s="1"/>
  <c r="AR19" i="53" s="1"/>
  <c r="AS64" i="53" s="1"/>
  <c r="L46" i="44" a="1"/>
  <c r="L46" i="44" s="1"/>
  <c r="AJ46" i="44" s="1"/>
  <c r="AK73" i="44" s="1"/>
  <c r="M5" i="52" a="1"/>
  <c r="M5" i="52" s="1"/>
  <c r="AR4" i="52" s="1"/>
  <c r="AS59" i="52" s="1"/>
  <c r="H5" i="48" a="1"/>
  <c r="H5" i="48" s="1"/>
  <c r="K16" i="45" a="1"/>
  <c r="K16" i="45" s="1"/>
  <c r="AI16" i="45" s="1"/>
  <c r="AJ63" i="45" s="1"/>
  <c r="J50" i="52" a="1"/>
  <c r="J50" i="52" s="1"/>
  <c r="J7" i="44" a="1"/>
  <c r="J7" i="44" s="1"/>
  <c r="AH7" i="44" s="1"/>
  <c r="AI60" i="44" s="1"/>
  <c r="K56" i="47" a="1"/>
  <c r="K56" i="47" s="1"/>
  <c r="N17" i="52" a="1"/>
  <c r="N17" i="52" s="1"/>
  <c r="AS16" i="52" s="1"/>
  <c r="AT63" i="52" s="1"/>
  <c r="N15" i="45" a="1"/>
  <c r="N15" i="45" s="1"/>
  <c r="AE16" i="45" s="1"/>
  <c r="AF63" i="45" s="1"/>
  <c r="K24" i="44" a="1"/>
  <c r="K24" i="44" s="1"/>
  <c r="AB25" i="44" s="1"/>
  <c r="AC66" i="44" s="1"/>
  <c r="N23" i="53" a="1"/>
  <c r="N23" i="53" s="1"/>
  <c r="AV22" i="53" s="1"/>
  <c r="AW65" i="53" s="1"/>
  <c r="J53" i="46" a="1"/>
  <c r="J53" i="46" s="1"/>
  <c r="N42" i="52" a="1"/>
  <c r="N42" i="52" s="1"/>
  <c r="AE43" i="52" s="1"/>
  <c r="AF72" i="52" s="1"/>
  <c r="L6" i="45" a="1"/>
  <c r="L6" i="45" s="1"/>
  <c r="AC7" i="45" s="1"/>
  <c r="AD60" i="45" s="1"/>
  <c r="K56" i="52" a="1"/>
  <c r="K56" i="52" s="1"/>
  <c r="N7" i="52" a="1"/>
  <c r="N7" i="52" s="1"/>
  <c r="AL7" i="52" s="1"/>
  <c r="AM60" i="52" s="1"/>
  <c r="J4" i="44" a="1"/>
  <c r="J4" i="44" s="1"/>
  <c r="AH4" i="44" s="1"/>
  <c r="AI59" i="44" s="1"/>
  <c r="J49" i="48" a="1"/>
  <c r="J49" i="48" s="1"/>
  <c r="AK49" i="48" s="1"/>
  <c r="AL74" i="48" s="1"/>
  <c r="H28" i="47" a="1"/>
  <c r="H28" i="47" s="1"/>
  <c r="L21" i="44" a="1"/>
  <c r="L21" i="44" s="1"/>
  <c r="AC22" i="44" s="1"/>
  <c r="AD65" i="44" s="1"/>
  <c r="I30" i="53" a="1"/>
  <c r="I30" i="53" s="1"/>
  <c r="AC31" i="53" s="1"/>
  <c r="AD68" i="53" s="1"/>
  <c r="J9" i="50" a="1"/>
  <c r="J9" i="50" s="1"/>
  <c r="AA10" i="50" s="1"/>
  <c r="AB61" i="50" s="1"/>
  <c r="H21" i="51" a="1"/>
  <c r="H21" i="51" s="1"/>
  <c r="M3" i="47" a="1"/>
  <c r="M3" i="47" s="1"/>
  <c r="AD4" i="47" s="1"/>
  <c r="AE59" i="47" s="1"/>
  <c r="N54" i="52" a="1"/>
  <c r="N54" i="52" s="1"/>
  <c r="P54" i="52" s="1"/>
  <c r="H54" i="51" a="1"/>
  <c r="H54" i="51" s="1"/>
  <c r="I49" i="43" a="1"/>
  <c r="I49" i="43" s="1"/>
  <c r="AG49" i="43" s="1"/>
  <c r="AH74" i="43" s="1"/>
  <c r="J37" i="52" a="1"/>
  <c r="J37" i="52" s="1"/>
  <c r="AH37" i="52" s="1"/>
  <c r="AI70" i="52" s="1"/>
  <c r="J49" i="51" a="1"/>
  <c r="J49" i="51" s="1"/>
  <c r="AH49" i="51" s="1"/>
  <c r="AI74" i="51" s="1"/>
  <c r="H21" i="46" a="1"/>
  <c r="H21" i="46" s="1"/>
  <c r="L38" i="53" a="1"/>
  <c r="L38" i="53" s="1"/>
  <c r="AT37" i="53" s="1"/>
  <c r="AU70" i="53" s="1"/>
  <c r="K23" i="44" a="1"/>
  <c r="K23" i="44" s="1"/>
  <c r="AP22" i="44" s="1"/>
  <c r="AQ65" i="44" s="1"/>
  <c r="I23" i="46" a="1"/>
  <c r="I23" i="46" s="1"/>
  <c r="AN22" i="46" s="1"/>
  <c r="AO65" i="46" s="1"/>
  <c r="L5" i="51" a="1"/>
  <c r="L5" i="51" s="1"/>
  <c r="AQ4" i="51" s="1"/>
  <c r="AR59" i="51" s="1"/>
  <c r="K39" i="46" a="1"/>
  <c r="K39" i="46" s="1"/>
  <c r="AB40" i="46" s="1"/>
  <c r="AC71" i="46" s="1"/>
  <c r="K31" i="43" a="1"/>
  <c r="K31" i="43" s="1"/>
  <c r="AI31" i="43" s="1"/>
  <c r="AJ68" i="43" s="1"/>
  <c r="J43" i="53" a="1"/>
  <c r="J43" i="53" s="1"/>
  <c r="AK43" i="53" s="1"/>
  <c r="AL72" i="53" s="1"/>
  <c r="L32" i="47" a="1"/>
  <c r="L32" i="47" s="1"/>
  <c r="AQ31" i="47" s="1"/>
  <c r="AR68" i="47" s="1"/>
  <c r="J22" i="43" a="1"/>
  <c r="J22" i="43" s="1"/>
  <c r="AH22" i="43" s="1"/>
  <c r="AI65" i="43" s="1"/>
  <c r="K15" i="43" a="1"/>
  <c r="K15" i="43" s="1"/>
  <c r="AB16" i="43" s="1"/>
  <c r="AC63" i="43" s="1"/>
  <c r="K30" i="53" a="1"/>
  <c r="K30" i="53" s="1"/>
  <c r="AE31" i="53" s="1"/>
  <c r="AF68" i="53" s="1"/>
  <c r="H21" i="44" a="1"/>
  <c r="H21" i="44" s="1"/>
  <c r="J19" i="46" a="1"/>
  <c r="J19" i="46" s="1"/>
  <c r="AH19" i="46" s="1"/>
  <c r="AI64" i="46" s="1"/>
  <c r="J10" i="51" a="1"/>
  <c r="J10" i="51" s="1"/>
  <c r="AH10" i="51" s="1"/>
  <c r="AI61" i="51" s="1"/>
  <c r="L45" i="45" a="1"/>
  <c r="L45" i="45" s="1"/>
  <c r="AC46" i="45" s="1"/>
  <c r="AD73" i="45" s="1"/>
  <c r="J31" i="48" a="1"/>
  <c r="J31" i="48" s="1"/>
  <c r="AK31" i="48" s="1"/>
  <c r="AL68" i="48" s="1"/>
  <c r="J35" i="53" a="1"/>
  <c r="J35" i="53" s="1"/>
  <c r="AR34" i="53" s="1"/>
  <c r="AS69" i="53" s="1"/>
  <c r="K22" i="53" a="1"/>
  <c r="K22" i="53" s="1"/>
  <c r="AL22" i="53" s="1"/>
  <c r="AM65" i="53" s="1"/>
  <c r="I45" i="44" a="1"/>
  <c r="I45" i="44" s="1"/>
  <c r="Z46" i="44" s="1"/>
  <c r="AA73" i="44" s="1"/>
  <c r="I16" i="46" a="1"/>
  <c r="I16" i="46" s="1"/>
  <c r="AG16" i="46" s="1"/>
  <c r="AH63" i="46" s="1"/>
  <c r="J7" i="53" a="1"/>
  <c r="J7" i="53" s="1"/>
  <c r="AK7" i="53" s="1"/>
  <c r="AL60" i="53" s="1"/>
  <c r="H16" i="43" a="1"/>
  <c r="H16" i="43" s="1"/>
  <c r="H10" i="48" a="1"/>
  <c r="H10" i="48" s="1"/>
  <c r="I6" i="50" a="1"/>
  <c r="I6" i="50" s="1"/>
  <c r="Z7" i="50" s="1"/>
  <c r="AA60" i="50" s="1"/>
  <c r="K22" i="48" a="1"/>
  <c r="K22" i="48" s="1"/>
  <c r="AL22" i="48" s="1"/>
  <c r="AM65" i="48" s="1"/>
  <c r="N44" i="51" a="1"/>
  <c r="N44" i="51" s="1"/>
  <c r="AS43" i="51" s="1"/>
  <c r="AT72" i="51" s="1"/>
  <c r="L27" i="53" a="1"/>
  <c r="L27" i="53" s="1"/>
  <c r="AF28" i="53" s="1"/>
  <c r="AG67" i="53" s="1"/>
  <c r="N8" i="46" a="1"/>
  <c r="N8" i="46" s="1"/>
  <c r="AS7" i="46" s="1"/>
  <c r="AT60" i="46" s="1"/>
  <c r="H55" i="51" a="1"/>
  <c r="H55" i="51" s="1"/>
  <c r="M21" i="44" a="1"/>
  <c r="M21" i="44" s="1"/>
  <c r="AD22" i="44" s="1"/>
  <c r="AE65" i="44" s="1"/>
  <c r="I22" i="43" a="1"/>
  <c r="I22" i="43" s="1"/>
  <c r="AG22" i="43" s="1"/>
  <c r="AH65" i="43" s="1"/>
  <c r="I12" i="53" a="1"/>
  <c r="I12" i="53" s="1"/>
  <c r="AC13" i="53" s="1"/>
  <c r="AD62" i="53" s="1"/>
  <c r="M14" i="43" a="1"/>
  <c r="M14" i="43" s="1"/>
  <c r="AR13" i="43" s="1"/>
  <c r="AS62" i="43" s="1"/>
  <c r="N22" i="48" a="1"/>
  <c r="N22" i="48" s="1"/>
  <c r="AO22" i="48" s="1"/>
  <c r="AP65" i="48" s="1"/>
  <c r="K51" i="49" a="1"/>
  <c r="K51" i="49" s="1"/>
  <c r="L27" i="46" a="1"/>
  <c r="L27" i="46" s="1"/>
  <c r="AC28" i="46" s="1"/>
  <c r="AD67" i="46" s="1"/>
  <c r="L27" i="48" a="1"/>
  <c r="L27" i="48" s="1"/>
  <c r="AF28" i="48" s="1"/>
  <c r="AG67" i="48" s="1"/>
  <c r="H28" i="53" a="1"/>
  <c r="H28" i="53" s="1"/>
  <c r="L14" i="50" a="1"/>
  <c r="L14" i="50" s="1"/>
  <c r="I5" i="44" a="1"/>
  <c r="I5" i="44" s="1"/>
  <c r="AN4" i="44" s="1"/>
  <c r="AO59" i="44" s="1"/>
  <c r="K48" i="51" a="1"/>
  <c r="K48" i="51" s="1"/>
  <c r="AB49" i="51" s="1"/>
  <c r="AC74" i="51" s="1"/>
  <c r="J40" i="51" a="1"/>
  <c r="J40" i="51" s="1"/>
  <c r="AH40" i="51" s="1"/>
  <c r="AI71" i="51" s="1"/>
  <c r="J16" i="51" a="1"/>
  <c r="J16" i="51" s="1"/>
  <c r="AH16" i="51" s="1"/>
  <c r="AI63" i="51" s="1"/>
  <c r="J12" i="51" a="1"/>
  <c r="J12" i="51" s="1"/>
  <c r="AA13" i="51" s="1"/>
  <c r="AB62" i="51" s="1"/>
  <c r="L54" i="52" a="1"/>
  <c r="L54" i="52" s="1"/>
  <c r="AC55" i="52" s="1"/>
  <c r="AD76" i="52" s="1"/>
  <c r="K33" i="52" a="1"/>
  <c r="K33" i="52" s="1"/>
  <c r="AB34" i="52" s="1"/>
  <c r="AC69" i="52" s="1"/>
  <c r="J14" i="52" a="1"/>
  <c r="J14" i="52" s="1"/>
  <c r="AO13" i="52" s="1"/>
  <c r="AP62" i="52" s="1"/>
  <c r="K55" i="53" a="1"/>
  <c r="K55" i="53" s="1"/>
  <c r="AL55" i="53" s="1"/>
  <c r="AM76" i="53" s="1"/>
  <c r="J36" i="53" a="1"/>
  <c r="J36" i="53" s="1"/>
  <c r="AD37" i="53" s="1"/>
  <c r="AE70" i="53" s="1"/>
  <c r="N35" i="53" a="1"/>
  <c r="N35" i="53" s="1"/>
  <c r="AV34" i="53" s="1"/>
  <c r="AW69" i="53" s="1"/>
  <c r="N51" i="51" a="1"/>
  <c r="N51" i="51" s="1"/>
  <c r="N45" i="51" a="1"/>
  <c r="N45" i="51" s="1"/>
  <c r="I32" i="51" a="1"/>
  <c r="I32" i="51" s="1"/>
  <c r="AN31" i="51" s="1"/>
  <c r="AO68" i="51" s="1"/>
  <c r="L6" i="51" a="1"/>
  <c r="L6" i="51" s="1"/>
  <c r="AC7" i="51" s="1"/>
  <c r="AD60" i="51" s="1"/>
  <c r="H52" i="52" a="1"/>
  <c r="H52" i="52" s="1"/>
  <c r="H42" i="52" a="1"/>
  <c r="H42" i="52" s="1"/>
  <c r="Y43" i="52" s="1"/>
  <c r="Z72" i="52" s="1"/>
  <c r="L31" i="52" a="1"/>
  <c r="L31" i="52" s="1"/>
  <c r="AJ31" i="52" s="1"/>
  <c r="AK68" i="52" s="1"/>
  <c r="N9" i="52" a="1"/>
  <c r="N9" i="52" s="1"/>
  <c r="P9" i="52" s="1"/>
  <c r="L29" i="46" a="1"/>
  <c r="L29" i="46" s="1"/>
  <c r="AQ28" i="46" s="1"/>
  <c r="AR67" i="46" s="1"/>
  <c r="J3" i="43" a="1"/>
  <c r="J3" i="43" s="1"/>
  <c r="AA4" i="43" s="1"/>
  <c r="AB59" i="43" s="1"/>
  <c r="K5" i="43" a="1"/>
  <c r="K5" i="43" s="1"/>
  <c r="AP4" i="43" s="1"/>
  <c r="AQ59" i="43" s="1"/>
  <c r="K56" i="51" a="1"/>
  <c r="K56" i="51" s="1"/>
  <c r="K33" i="49" a="1"/>
  <c r="K33" i="49" s="1"/>
  <c r="AB34" i="49" s="1"/>
  <c r="AC69" i="49" s="1"/>
  <c r="K21" i="45" a="1"/>
  <c r="K21" i="45" s="1"/>
  <c r="AB22" i="45" s="1"/>
  <c r="AC65" i="45" s="1"/>
  <c r="L10" i="53" a="1"/>
  <c r="L10" i="53" s="1"/>
  <c r="AM10" i="53" s="1"/>
  <c r="AN61" i="53" s="1"/>
  <c r="H55" i="52" a="1"/>
  <c r="H55" i="52" s="1"/>
  <c r="O55" i="52" s="1"/>
  <c r="K33" i="43" a="1"/>
  <c r="K33" i="43" s="1"/>
  <c r="AB34" i="43" s="1"/>
  <c r="AC69" i="43" s="1"/>
  <c r="L23" i="53" a="1"/>
  <c r="L23" i="53" s="1"/>
  <c r="AT22" i="53" s="1"/>
  <c r="AU65" i="53" s="1"/>
  <c r="M22" i="43" a="1"/>
  <c r="M22" i="43" s="1"/>
  <c r="AK22" i="43" s="1"/>
  <c r="AL65" i="43" s="1"/>
  <c r="I33" i="44" a="1"/>
  <c r="I33" i="44" s="1"/>
  <c r="Z34" i="44" s="1"/>
  <c r="AA69" i="44" s="1"/>
  <c r="M43" i="53" a="1"/>
  <c r="M43" i="53" s="1"/>
  <c r="AN43" i="53" s="1"/>
  <c r="AO72" i="53" s="1"/>
  <c r="J25" i="48" a="1"/>
  <c r="J25" i="48" s="1"/>
  <c r="AK25" i="48" s="1"/>
  <c r="AL66" i="48" s="1"/>
  <c r="H39" i="51" a="1"/>
  <c r="H39" i="51" s="1"/>
  <c r="K18" i="45" a="1"/>
  <c r="K18" i="45" s="1"/>
  <c r="AB19" i="45" s="1"/>
  <c r="AC64" i="45" s="1"/>
  <c r="I33" i="49" a="1"/>
  <c r="I33" i="49" s="1"/>
  <c r="Z34" i="49" s="1"/>
  <c r="AA69" i="49" s="1"/>
  <c r="M37" i="44" a="1"/>
  <c r="M37" i="44" s="1"/>
  <c r="AK37" i="44" s="1"/>
  <c r="AL70" i="44" s="1"/>
  <c r="L6" i="50" a="1"/>
  <c r="L6" i="50" s="1"/>
  <c r="AC7" i="50" s="1"/>
  <c r="AD60" i="50" s="1"/>
  <c r="H55" i="53" a="1"/>
  <c r="H55" i="53" s="1"/>
  <c r="I25" i="44" a="1"/>
  <c r="I25" i="44" s="1"/>
  <c r="AG25" i="44" s="1"/>
  <c r="AH66" i="44" s="1"/>
  <c r="N24" i="43" a="1"/>
  <c r="N24" i="43" s="1"/>
  <c r="AE25" i="43" s="1"/>
  <c r="AF66" i="43" s="1"/>
  <c r="H53" i="43" a="1"/>
  <c r="H53" i="43" s="1"/>
  <c r="K40" i="51" a="1"/>
  <c r="K40" i="51" s="1"/>
  <c r="AI40" i="51" s="1"/>
  <c r="AJ71" i="51" s="1"/>
  <c r="L34" i="51" a="1"/>
  <c r="L34" i="51" s="1"/>
  <c r="AJ34" i="51" s="1"/>
  <c r="AK69" i="51" s="1"/>
  <c r="N47" i="45" a="1"/>
  <c r="N47" i="45" s="1"/>
  <c r="AS46" i="45" s="1"/>
  <c r="AT73" i="45" s="1"/>
  <c r="J25" i="50" a="1"/>
  <c r="J25" i="50" s="1"/>
  <c r="AH25" i="50" s="1"/>
  <c r="AI66" i="50" s="1"/>
  <c r="H50" i="48" a="1"/>
  <c r="H50" i="48" s="1"/>
  <c r="H9" i="51" a="1"/>
  <c r="H9" i="51" s="1"/>
  <c r="H17" i="53" a="1"/>
  <c r="H17" i="53" s="1"/>
  <c r="H50" i="44" a="1"/>
  <c r="H50" i="44" s="1"/>
  <c r="N14" i="43" a="1"/>
  <c r="N14" i="43" s="1"/>
  <c r="AS13" i="43" s="1"/>
  <c r="AT62" i="43" s="1"/>
  <c r="N22" i="43" a="1"/>
  <c r="N22" i="43" s="1"/>
  <c r="AL22" i="43" s="1"/>
  <c r="AM65" i="43" s="1"/>
  <c r="M43" i="45" a="1"/>
  <c r="M43" i="45" s="1"/>
  <c r="AK43" i="45" s="1"/>
  <c r="AL72" i="45" s="1"/>
  <c r="N12" i="50" a="1"/>
  <c r="N12" i="50" s="1"/>
  <c r="AE13" i="50" s="1"/>
  <c r="AF62" i="50" s="1"/>
  <c r="N43" i="50" a="1"/>
  <c r="N43" i="50" s="1"/>
  <c r="AL43" i="50" s="1"/>
  <c r="AM72" i="50" s="1"/>
  <c r="L30" i="49" a="1"/>
  <c r="L30" i="49" s="1"/>
  <c r="AC31" i="49" s="1"/>
  <c r="AD68" i="49" s="1"/>
  <c r="M43" i="48" a="1"/>
  <c r="M43" i="48" s="1"/>
  <c r="AN43" i="48" s="1"/>
  <c r="AO72" i="48" s="1"/>
  <c r="M16" i="47" a="1"/>
  <c r="M16" i="47" s="1"/>
  <c r="AK16" i="47" s="1"/>
  <c r="AL63" i="47" s="1"/>
  <c r="J36" i="44" a="1"/>
  <c r="J36" i="44" s="1"/>
  <c r="AA37" i="44" s="1"/>
  <c r="AB70" i="44" s="1"/>
  <c r="J38" i="51" a="1"/>
  <c r="J38" i="51" s="1"/>
  <c r="AO37" i="51" s="1"/>
  <c r="AP70" i="51" s="1"/>
  <c r="H42" i="44" a="1"/>
  <c r="H42" i="44" s="1"/>
  <c r="J12" i="53" a="1"/>
  <c r="J12" i="53" s="1"/>
  <c r="AD13" i="53" s="1"/>
  <c r="AE62" i="53" s="1"/>
  <c r="N34" i="44" a="1"/>
  <c r="N34" i="44" s="1"/>
  <c r="AL34" i="44" s="1"/>
  <c r="AM69" i="44" s="1"/>
  <c r="L46" i="48" a="1"/>
  <c r="L46" i="48" s="1"/>
  <c r="AM46" i="48" s="1"/>
  <c r="AN73" i="48" s="1"/>
  <c r="I43" i="49" a="1"/>
  <c r="I43" i="49" s="1"/>
  <c r="AG43" i="49" s="1"/>
  <c r="AH72" i="49" s="1"/>
  <c r="J24" i="45" a="1"/>
  <c r="J24" i="45" s="1"/>
  <c r="AA25" i="45" s="1"/>
  <c r="AB66" i="45" s="1"/>
  <c r="L3" i="53" a="1"/>
  <c r="L3" i="53" s="1"/>
  <c r="AF4" i="53" s="1"/>
  <c r="AG59" i="53" s="1"/>
  <c r="H38" i="52" a="1"/>
  <c r="H38" i="52" s="1"/>
  <c r="AM37" i="52" s="1"/>
  <c r="AN70" i="52" s="1"/>
  <c r="H27" i="53" a="1"/>
  <c r="H27" i="53" s="1"/>
  <c r="L22" i="50" a="1"/>
  <c r="L22" i="50" s="1"/>
  <c r="AJ22" i="50" s="1"/>
  <c r="AK65" i="50" s="1"/>
  <c r="J8" i="44" a="1"/>
  <c r="J8" i="44" s="1"/>
  <c r="AO7" i="44" s="1"/>
  <c r="AP60" i="44" s="1"/>
  <c r="N50" i="53" a="1"/>
  <c r="N50" i="53" s="1"/>
  <c r="M52" i="44" a="1"/>
  <c r="M52" i="44" s="1"/>
  <c r="AK52" i="44" s="1"/>
  <c r="AL75" i="44" s="1"/>
  <c r="I9" i="48" a="1"/>
  <c r="I9" i="48" s="1"/>
  <c r="AC10" i="48" s="1"/>
  <c r="AD61" i="48" s="1"/>
  <c r="N54" i="51" a="1"/>
  <c r="N54" i="51" s="1"/>
  <c r="H37" i="45" a="1"/>
  <c r="H37" i="45" s="1"/>
  <c r="K42" i="44" a="1"/>
  <c r="K42" i="44" s="1"/>
  <c r="AB43" i="44" s="1"/>
  <c r="AC72" i="44" s="1"/>
  <c r="M24" i="51" a="1"/>
  <c r="M24" i="51" s="1"/>
  <c r="AD25" i="51" s="1"/>
  <c r="AE66" i="51" s="1"/>
  <c r="M14" i="53" a="1"/>
  <c r="M14" i="53" s="1"/>
  <c r="AU13" i="53" s="1"/>
  <c r="AV62" i="53" s="1"/>
  <c r="K43" i="52" a="1"/>
  <c r="K43" i="52" s="1"/>
  <c r="AI43" i="52" s="1"/>
  <c r="AJ72" i="52" s="1"/>
  <c r="L8" i="45" a="1"/>
  <c r="L8" i="45" s="1"/>
  <c r="AQ7" i="45" s="1"/>
  <c r="AR60" i="45" s="1"/>
  <c r="M28" i="53" a="1"/>
  <c r="M28" i="53" s="1"/>
  <c r="AN28" i="53" s="1"/>
  <c r="AO67" i="53" s="1"/>
  <c r="I16" i="44" a="1"/>
  <c r="I16" i="44" s="1"/>
  <c r="AG16" i="44" s="1"/>
  <c r="AH63" i="44" s="1"/>
  <c r="L52" i="45" a="1"/>
  <c r="L52" i="45" s="1"/>
  <c r="AJ52" i="45" s="1"/>
  <c r="AK75" i="45" s="1"/>
  <c r="L13" i="48" a="1"/>
  <c r="L13" i="48" s="1"/>
  <c r="AM13" i="48" s="1"/>
  <c r="AN62" i="48" s="1"/>
  <c r="I24" i="46" a="1"/>
  <c r="I24" i="46" s="1"/>
  <c r="Z25" i="46" s="1"/>
  <c r="AA66" i="46" s="1"/>
  <c r="M29" i="48" a="1"/>
  <c r="M29" i="48" s="1"/>
  <c r="AU28" i="48" s="1"/>
  <c r="AV67" i="48" s="1"/>
  <c r="L24" i="52" a="1"/>
  <c r="L24" i="52" s="1"/>
  <c r="AC25" i="52" s="1"/>
  <c r="AD66" i="52" s="1"/>
  <c r="I6" i="44" a="1"/>
  <c r="I6" i="44" s="1"/>
  <c r="Z7" i="44" s="1"/>
  <c r="AA60" i="44" s="1"/>
  <c r="I20" i="49" a="1"/>
  <c r="I20" i="49" s="1"/>
  <c r="AN19" i="49" s="1"/>
  <c r="AO64" i="49" s="1"/>
  <c r="K50" i="45" a="1"/>
  <c r="K50" i="45" s="1"/>
  <c r="K47" i="44" a="1"/>
  <c r="K47" i="44" s="1"/>
  <c r="AP46" i="44" s="1"/>
  <c r="AQ73" i="44" s="1"/>
  <c r="N22" i="53" a="1"/>
  <c r="N22" i="53" s="1"/>
  <c r="AO22" i="53" s="1"/>
  <c r="AP65" i="53" s="1"/>
  <c r="N11" i="43" a="1"/>
  <c r="N11" i="43" s="1"/>
  <c r="AS10" i="43" s="1"/>
  <c r="AT61" i="43" s="1"/>
  <c r="H7" i="52" a="1"/>
  <c r="H7" i="52" s="1"/>
  <c r="M47" i="52" a="1"/>
  <c r="M47" i="52" s="1"/>
  <c r="AR46" i="52" s="1"/>
  <c r="AS73" i="52" s="1"/>
  <c r="H45" i="48" a="1"/>
  <c r="H45" i="48" s="1"/>
  <c r="M24" i="44" a="1"/>
  <c r="M24" i="44" s="1"/>
  <c r="AD25" i="44" s="1"/>
  <c r="AE66" i="44" s="1"/>
  <c r="I32" i="50" a="1"/>
  <c r="I32" i="50" s="1"/>
  <c r="AN31" i="50" s="1"/>
  <c r="AO68" i="50" s="1"/>
  <c r="J7" i="52" a="1"/>
  <c r="J7" i="52" s="1"/>
  <c r="AH7" i="52" s="1"/>
  <c r="AI60" i="52" s="1"/>
  <c r="H9" i="53" a="1"/>
  <c r="H9" i="53" s="1"/>
  <c r="N48" i="51" a="1"/>
  <c r="N48" i="51" s="1"/>
  <c r="AE49" i="51" s="1"/>
  <c r="AF74" i="51" s="1"/>
  <c r="N27" i="51" a="1"/>
  <c r="N27" i="51" s="1"/>
  <c r="M31" i="51" a="1"/>
  <c r="M31" i="51" s="1"/>
  <c r="AK31" i="51" s="1"/>
  <c r="AL68" i="51" s="1"/>
  <c r="M7" i="51" a="1"/>
  <c r="M7" i="51" s="1"/>
  <c r="AK7" i="51" s="1"/>
  <c r="AL60" i="51" s="1"/>
  <c r="N55" i="52" a="1"/>
  <c r="N55" i="52" s="1"/>
  <c r="AL55" i="52" s="1"/>
  <c r="AM76" i="52" s="1"/>
  <c r="J36" i="52" a="1"/>
  <c r="J36" i="52" s="1"/>
  <c r="AA37" i="52" s="1"/>
  <c r="AB70" i="52" s="1"/>
  <c r="K4" i="52" a="1"/>
  <c r="K4" i="52" s="1"/>
  <c r="AI4" i="52" s="1"/>
  <c r="AJ59" i="52" s="1"/>
  <c r="N53" i="53" a="1"/>
  <c r="N53" i="53" s="1"/>
  <c r="K42" i="53" a="1"/>
  <c r="K42" i="53" s="1"/>
  <c r="AE43" i="53" s="1"/>
  <c r="AF72" i="53" s="1"/>
  <c r="K24" i="53" a="1"/>
  <c r="K24" i="53" s="1"/>
  <c r="AE25" i="53" s="1"/>
  <c r="AF66" i="53" s="1"/>
  <c r="K47" i="51" a="1"/>
  <c r="K47" i="51" s="1"/>
  <c r="AP46" i="51" s="1"/>
  <c r="AQ73" i="51" s="1"/>
  <c r="N36" i="51" a="1"/>
  <c r="N36" i="51" s="1"/>
  <c r="N16" i="51" a="1"/>
  <c r="N16" i="51" s="1"/>
  <c r="AL16" i="51" s="1"/>
  <c r="AM63" i="51" s="1"/>
  <c r="L13" i="51" a="1"/>
  <c r="L13" i="51" s="1"/>
  <c r="AJ13" i="51" s="1"/>
  <c r="AK62" i="51" s="1"/>
  <c r="K49" i="52" a="1"/>
  <c r="K49" i="52" s="1"/>
  <c r="AI49" i="52" s="1"/>
  <c r="AJ74" i="52" s="1"/>
  <c r="N36" i="52" a="1"/>
  <c r="N36" i="52" s="1"/>
  <c r="M30" i="52" a="1"/>
  <c r="M30" i="52" s="1"/>
  <c r="AD31" i="52" s="1"/>
  <c r="AE68" i="52" s="1"/>
  <c r="I55" i="53" a="1"/>
  <c r="I55" i="53" s="1"/>
  <c r="AJ55" i="53" s="1"/>
  <c r="AK76" i="53" s="1"/>
  <c r="H53" i="44" a="1"/>
  <c r="H53" i="44" s="1"/>
  <c r="H37" i="43" a="1"/>
  <c r="H37" i="43" s="1"/>
  <c r="M17" i="43" a="1"/>
  <c r="M17" i="43" s="1"/>
  <c r="AR16" i="43" s="1"/>
  <c r="AS63" i="43" s="1"/>
  <c r="H23" i="43" a="1"/>
  <c r="H23" i="43" s="1"/>
  <c r="N27" i="43" a="1"/>
  <c r="N27" i="43" s="1"/>
  <c r="AE28" i="43" s="1"/>
  <c r="AF67" i="43" s="1"/>
  <c r="L52" i="43" a="1"/>
  <c r="L52" i="43" s="1"/>
  <c r="AJ52" i="43" s="1"/>
  <c r="AK75" i="43" s="1"/>
  <c r="L53" i="43" a="1"/>
  <c r="L53" i="43" s="1"/>
  <c r="K18" i="43" a="1"/>
  <c r="K18" i="43" s="1"/>
  <c r="AB19" i="43" s="1"/>
  <c r="AC64" i="43" s="1"/>
  <c r="K29" i="43" a="1"/>
  <c r="K29" i="43" s="1"/>
  <c r="AP28" i="43" s="1"/>
  <c r="AQ67" i="43" s="1"/>
  <c r="L40" i="43" a="1"/>
  <c r="L40" i="43" s="1"/>
  <c r="AJ40" i="43" s="1"/>
  <c r="AK71" i="43" s="1"/>
  <c r="M55" i="43" a="1"/>
  <c r="M55" i="43" s="1"/>
  <c r="AK55" i="43" s="1"/>
  <c r="AL76" i="43" s="1"/>
  <c r="I56" i="44" a="1"/>
  <c r="I56" i="44" s="1"/>
  <c r="H8" i="43" a="1"/>
  <c r="H8" i="43" s="1"/>
  <c r="J28" i="43" a="1"/>
  <c r="J28" i="43" s="1"/>
  <c r="AH28" i="43" s="1"/>
  <c r="AI67" i="43" s="1"/>
  <c r="K32" i="43" a="1"/>
  <c r="K32" i="43" s="1"/>
  <c r="AP31" i="43" s="1"/>
  <c r="AQ68" i="43" s="1"/>
  <c r="I41" i="43" a="1"/>
  <c r="I41" i="43" s="1"/>
  <c r="AN40" i="43" s="1"/>
  <c r="AO71" i="43" s="1"/>
  <c r="H54" i="44" a="1"/>
  <c r="H54" i="44" s="1"/>
  <c r="L11" i="43" a="1"/>
  <c r="L11" i="43" s="1"/>
  <c r="AQ10" i="43" s="1"/>
  <c r="AR61" i="43" s="1"/>
  <c r="I12" i="43" a="1"/>
  <c r="I12" i="43" s="1"/>
  <c r="Z13" i="43" s="1"/>
  <c r="AA62" i="43" s="1"/>
  <c r="J32" i="43" a="1"/>
  <c r="J32" i="43" s="1"/>
  <c r="AO31" i="43" s="1"/>
  <c r="AP68" i="43" s="1"/>
  <c r="J45" i="43" a="1"/>
  <c r="J45" i="43" s="1"/>
  <c r="AA46" i="43" s="1"/>
  <c r="AB73" i="43" s="1"/>
  <c r="H44" i="44" a="1"/>
  <c r="H44" i="44" s="1"/>
  <c r="M19" i="43" a="1"/>
  <c r="M19" i="43" s="1"/>
  <c r="AK19" i="43" s="1"/>
  <c r="AL64" i="43" s="1"/>
  <c r="M26" i="43" a="1"/>
  <c r="M26" i="43" s="1"/>
  <c r="AR25" i="43" s="1"/>
  <c r="AS66" i="43" s="1"/>
  <c r="N38" i="43" a="1"/>
  <c r="N38" i="43" s="1"/>
  <c r="AS37" i="43" s="1"/>
  <c r="AT70" i="43" s="1"/>
  <c r="H47" i="43" a="1"/>
  <c r="H47" i="43" s="1"/>
  <c r="L56" i="43" a="1"/>
  <c r="L56" i="43" s="1"/>
  <c r="M5" i="43" a="1"/>
  <c r="M5" i="43" s="1"/>
  <c r="AR4" i="43" s="1"/>
  <c r="AS59" i="43" s="1"/>
  <c r="L14" i="43" a="1"/>
  <c r="L14" i="43" s="1"/>
  <c r="AQ13" i="43" s="1"/>
  <c r="AR62" i="43" s="1"/>
  <c r="M35" i="43" a="1"/>
  <c r="M35" i="43" s="1"/>
  <c r="AR34" i="43" s="1"/>
  <c r="AS69" i="43" s="1"/>
  <c r="I42" i="43" a="1"/>
  <c r="I42" i="43" s="1"/>
  <c r="Z43" i="43" s="1"/>
  <c r="AA72" i="43" s="1"/>
  <c r="M56" i="43" a="1"/>
  <c r="M56" i="43" s="1"/>
  <c r="M54" i="44" a="1"/>
  <c r="M54" i="44" s="1"/>
  <c r="AD55" i="44" s="1"/>
  <c r="AE76" i="44" s="1"/>
  <c r="K4" i="43" a="1"/>
  <c r="K4" i="43" s="1"/>
  <c r="AI4" i="43" s="1"/>
  <c r="AJ59" i="43" s="1"/>
  <c r="N12" i="43" a="1"/>
  <c r="N12" i="43" s="1"/>
  <c r="AE13" i="43" s="1"/>
  <c r="AF62" i="43" s="1"/>
  <c r="H36" i="43" a="1"/>
  <c r="H36" i="43" s="1"/>
  <c r="L45" i="43" a="1"/>
  <c r="L45" i="43" s="1"/>
  <c r="AC46" i="43" s="1"/>
  <c r="AD73" i="43" s="1"/>
  <c r="J51" i="44" a="1"/>
  <c r="J51" i="44" s="1"/>
  <c r="K9" i="43" a="1"/>
  <c r="K9" i="43" s="1"/>
  <c r="AB10" i="43" s="1"/>
  <c r="AC61" i="43" s="1"/>
  <c r="H18" i="43" a="1"/>
  <c r="H18" i="43" s="1"/>
  <c r="M42" i="43" a="1"/>
  <c r="M42" i="43" s="1"/>
  <c r="AD43" i="43" s="1"/>
  <c r="AE72" i="43" s="1"/>
  <c r="H45" i="43" a="1"/>
  <c r="H45" i="43" s="1"/>
  <c r="I56" i="49" a="1"/>
  <c r="I56" i="49" s="1"/>
  <c r="N30" i="48" a="1"/>
  <c r="N30" i="48" s="1"/>
  <c r="AH31" i="48" s="1"/>
  <c r="AI68" i="48" s="1"/>
  <c r="K37" i="48" a="1"/>
  <c r="K37" i="48" s="1"/>
  <c r="AL37" i="48" s="1"/>
  <c r="AM70" i="48" s="1"/>
  <c r="N51" i="48" a="1"/>
  <c r="N51" i="48" s="1"/>
  <c r="K15" i="47" a="1"/>
  <c r="K15" i="47" s="1"/>
  <c r="AB16" i="47" s="1"/>
  <c r="AC63" i="47" s="1"/>
  <c r="K39" i="47" a="1"/>
  <c r="K39" i="47" s="1"/>
  <c r="AB40" i="47" s="1"/>
  <c r="AC71" i="47" s="1"/>
  <c r="I45" i="47" a="1"/>
  <c r="I45" i="47" s="1"/>
  <c r="Z46" i="47" s="1"/>
  <c r="AA73" i="47" s="1"/>
  <c r="L3" i="46" a="1"/>
  <c r="L3" i="46" s="1"/>
  <c r="AC4" i="46" s="1"/>
  <c r="AD59" i="46" s="1"/>
  <c r="N20" i="46" a="1"/>
  <c r="N20" i="46" s="1"/>
  <c r="AS19" i="46" s="1"/>
  <c r="AT64" i="46" s="1"/>
  <c r="I30" i="46" a="1"/>
  <c r="I30" i="46" s="1"/>
  <c r="Z31" i="46" s="1"/>
  <c r="AA68" i="46" s="1"/>
  <c r="H9" i="48" a="1"/>
  <c r="H9" i="48" s="1"/>
  <c r="H30" i="48" a="1"/>
  <c r="H30" i="48" s="1"/>
  <c r="I39" i="48" a="1"/>
  <c r="I39" i="48" s="1"/>
  <c r="AC40" i="48" s="1"/>
  <c r="AD71" i="48" s="1"/>
  <c r="I55" i="48" a="1"/>
  <c r="I55" i="48" s="1"/>
  <c r="AJ55" i="48" s="1"/>
  <c r="AK76" i="48" s="1"/>
  <c r="M18" i="47" a="1"/>
  <c r="M18" i="47" s="1"/>
  <c r="AD19" i="47" s="1"/>
  <c r="AE64" i="47" s="1"/>
  <c r="M39" i="47" a="1"/>
  <c r="M39" i="47" s="1"/>
  <c r="AD40" i="47" s="1"/>
  <c r="AE71" i="47" s="1"/>
  <c r="I39" i="47" a="1"/>
  <c r="I39" i="47" s="1"/>
  <c r="Z40" i="47" s="1"/>
  <c r="AA71" i="47" s="1"/>
  <c r="I36" i="47" a="1"/>
  <c r="I36" i="47" s="1"/>
  <c r="Z37" i="47" s="1"/>
  <c r="AA70" i="47" s="1"/>
  <c r="J18" i="46" a="1"/>
  <c r="J18" i="46" s="1"/>
  <c r="AA19" i="46" s="1"/>
  <c r="AB64" i="46" s="1"/>
  <c r="I7" i="46" a="1"/>
  <c r="I7" i="46" s="1"/>
  <c r="AG7" i="46" s="1"/>
  <c r="AH60" i="46" s="1"/>
  <c r="M16" i="48" a="1"/>
  <c r="M16" i="48" s="1"/>
  <c r="AN16" i="48" s="1"/>
  <c r="AO63" i="48" s="1"/>
  <c r="I34" i="48" a="1"/>
  <c r="I34" i="48" s="1"/>
  <c r="AJ34" i="48" s="1"/>
  <c r="AK69" i="48" s="1"/>
  <c r="I27" i="48" a="1"/>
  <c r="I27" i="48" s="1"/>
  <c r="AC28" i="48" s="1"/>
  <c r="AD67" i="48" s="1"/>
  <c r="L55" i="48" a="1"/>
  <c r="L55" i="48" s="1"/>
  <c r="AM55" i="48" s="1"/>
  <c r="AN76" i="48" s="1"/>
  <c r="J15" i="47" a="1"/>
  <c r="J15" i="47" s="1"/>
  <c r="AA16" i="47" s="1"/>
  <c r="AB63" i="47" s="1"/>
  <c r="L36" i="47" a="1"/>
  <c r="L36" i="47" s="1"/>
  <c r="AC37" i="47" s="1"/>
  <c r="AD70" i="47" s="1"/>
  <c r="L48" i="47" a="1"/>
  <c r="L48" i="47" s="1"/>
  <c r="AC49" i="47" s="1"/>
  <c r="AD74" i="47" s="1"/>
  <c r="J56" i="47" a="1"/>
  <c r="J56" i="47" s="1"/>
  <c r="N22" i="46" a="1"/>
  <c r="N22" i="46" s="1"/>
  <c r="AL22" i="46" s="1"/>
  <c r="AM65" i="46" s="1"/>
  <c r="L40" i="46" a="1"/>
  <c r="L40" i="46" s="1"/>
  <c r="AJ40" i="46" s="1"/>
  <c r="AK71" i="46" s="1"/>
  <c r="L24" i="48" a="1"/>
  <c r="L24" i="48" s="1"/>
  <c r="AF25" i="48" s="1"/>
  <c r="AG66" i="48" s="1"/>
  <c r="H31" i="48" a="1"/>
  <c r="H31" i="48" s="1"/>
  <c r="L50" i="48" a="1"/>
  <c r="L50" i="48" s="1"/>
  <c r="J27" i="47" a="1"/>
  <c r="J27" i="47" s="1"/>
  <c r="AA28" i="47" s="1"/>
  <c r="AB67" i="47" s="1"/>
  <c r="L30" i="47" a="1"/>
  <c r="L30" i="47" s="1"/>
  <c r="AC31" i="47" s="1"/>
  <c r="AD68" i="47" s="1"/>
  <c r="I20" i="47" a="1"/>
  <c r="I20" i="47" s="1"/>
  <c r="AN19" i="47" s="1"/>
  <c r="AO64" i="47" s="1"/>
  <c r="L49" i="47" a="1"/>
  <c r="L49" i="47" s="1"/>
  <c r="AJ49" i="47" s="1"/>
  <c r="AK74" i="47" s="1"/>
  <c r="N56" i="47" a="1"/>
  <c r="N56" i="47" s="1"/>
  <c r="L22" i="46" a="1"/>
  <c r="L22" i="46" s="1"/>
  <c r="AJ22" i="46" s="1"/>
  <c r="AK65" i="46" s="1"/>
  <c r="M11" i="48" a="1"/>
  <c r="M11" i="48" s="1"/>
  <c r="AU10" i="48" s="1"/>
  <c r="AV61" i="48" s="1"/>
  <c r="H34" i="48" a="1"/>
  <c r="H34" i="48" s="1"/>
  <c r="H48" i="44" a="1"/>
  <c r="H48" i="44" s="1"/>
  <c r="N19" i="43" a="1"/>
  <c r="N19" i="43" s="1"/>
  <c r="AL19" i="43" s="1"/>
  <c r="AM64" i="43" s="1"/>
  <c r="J23" i="43" a="1"/>
  <c r="J23" i="43" s="1"/>
  <c r="AO22" i="43" s="1"/>
  <c r="AP65" i="43" s="1"/>
  <c r="K21" i="43" a="1"/>
  <c r="K21" i="43" s="1"/>
  <c r="AB22" i="43" s="1"/>
  <c r="AC65" i="43" s="1"/>
  <c r="J40" i="43" a="1"/>
  <c r="J40" i="43" s="1"/>
  <c r="AH40" i="43" s="1"/>
  <c r="AI71" i="43" s="1"/>
  <c r="K53" i="43" a="1"/>
  <c r="K53" i="43" s="1"/>
  <c r="L41" i="43" a="1"/>
  <c r="L41" i="43" s="1"/>
  <c r="AQ40" i="43" s="1"/>
  <c r="AR71" i="43" s="1"/>
  <c r="I24" i="43" a="1"/>
  <c r="I24" i="43" s="1"/>
  <c r="Z25" i="43" s="1"/>
  <c r="AA66" i="43" s="1"/>
  <c r="J42" i="43" a="1"/>
  <c r="J42" i="43" s="1"/>
  <c r="AA43" i="43" s="1"/>
  <c r="AB72" i="43" s="1"/>
  <c r="J48" i="43" a="1"/>
  <c r="J48" i="43" s="1"/>
  <c r="AA49" i="43" s="1"/>
  <c r="AB74" i="43" s="1"/>
  <c r="H52" i="43" a="1"/>
  <c r="H52" i="43" s="1"/>
  <c r="M53" i="44" a="1"/>
  <c r="M53" i="44" s="1"/>
  <c r="L17" i="43" a="1"/>
  <c r="L17" i="43" s="1"/>
  <c r="AQ16" i="43" s="1"/>
  <c r="AR63" i="43" s="1"/>
  <c r="H12" i="43" a="1"/>
  <c r="H12" i="43" s="1"/>
  <c r="N45" i="43" a="1"/>
  <c r="N45" i="43" s="1"/>
  <c r="AE46" i="43" s="1"/>
  <c r="AF73" i="43" s="1"/>
  <c r="I52" i="43" a="1"/>
  <c r="I52" i="43" s="1"/>
  <c r="AG52" i="43" s="1"/>
  <c r="AH75" i="43" s="1"/>
  <c r="I51" i="44" a="1"/>
  <c r="I51" i="44" s="1"/>
  <c r="N9" i="43" a="1"/>
  <c r="N9" i="43" s="1"/>
  <c r="AE10" i="43" s="1"/>
  <c r="AF61" i="43" s="1"/>
  <c r="I11" i="43" a="1"/>
  <c r="I11" i="43" s="1"/>
  <c r="AN10" i="43" s="1"/>
  <c r="AO61" i="43" s="1"/>
  <c r="I36" i="43" a="1"/>
  <c r="I36" i="43" s="1"/>
  <c r="Z37" i="43" s="1"/>
  <c r="AA70" i="43" s="1"/>
  <c r="N41" i="43" a="1"/>
  <c r="N41" i="43" s="1"/>
  <c r="AS40" i="43" s="1"/>
  <c r="AT71" i="43" s="1"/>
  <c r="K34" i="44" a="1"/>
  <c r="K34" i="44" s="1"/>
  <c r="AI34" i="44" s="1"/>
  <c r="AJ69" i="44" s="1"/>
  <c r="K17" i="43" a="1"/>
  <c r="K17" i="43" s="1"/>
  <c r="AP16" i="43" s="1"/>
  <c r="AQ63" i="43" s="1"/>
  <c r="H30" i="43" a="1"/>
  <c r="H30" i="43" s="1"/>
  <c r="H39" i="43" a="1"/>
  <c r="H39" i="43" s="1"/>
  <c r="K54" i="43" a="1"/>
  <c r="K54" i="43" s="1"/>
  <c r="AB55" i="43" s="1"/>
  <c r="AC76" i="43" s="1"/>
  <c r="I55" i="43" a="1"/>
  <c r="I55" i="43" s="1"/>
  <c r="AG55" i="43" s="1"/>
  <c r="AH76" i="43" s="1"/>
  <c r="M13" i="43" a="1"/>
  <c r="M13" i="43" s="1"/>
  <c r="AK13" i="43" s="1"/>
  <c r="AL62" i="43" s="1"/>
  <c r="M21" i="43" a="1"/>
  <c r="M21" i="43" s="1"/>
  <c r="AD22" i="43" s="1"/>
  <c r="AE65" i="43" s="1"/>
  <c r="H33" i="43" a="1"/>
  <c r="H33" i="43" s="1"/>
  <c r="M37" i="43" a="1"/>
  <c r="M37" i="43" s="1"/>
  <c r="AK37" i="43" s="1"/>
  <c r="AL70" i="43" s="1"/>
  <c r="I34" i="43" a="1"/>
  <c r="I34" i="43" s="1"/>
  <c r="AG34" i="43" s="1"/>
  <c r="AH69" i="43" s="1"/>
  <c r="I50" i="44" a="1"/>
  <c r="I50" i="44" s="1"/>
  <c r="L22" i="43" a="1"/>
  <c r="L22" i="43" s="1"/>
  <c r="AJ22" i="43" s="1"/>
  <c r="AK65" i="43" s="1"/>
  <c r="N36" i="43" a="1"/>
  <c r="N36" i="43" s="1"/>
  <c r="AE37" i="43" s="1"/>
  <c r="AF70" i="43" s="1"/>
  <c r="I35" i="43" a="1"/>
  <c r="I35" i="43" s="1"/>
  <c r="AN34" i="43" s="1"/>
  <c r="AO69" i="43" s="1"/>
  <c r="J47" i="44" a="1"/>
  <c r="J47" i="44" s="1"/>
  <c r="AO46" i="44" s="1"/>
  <c r="AP73" i="44" s="1"/>
  <c r="J5" i="43" a="1"/>
  <c r="J5" i="43" s="1"/>
  <c r="AO4" i="43" s="1"/>
  <c r="AP59" i="43" s="1"/>
  <c r="L13" i="43" a="1"/>
  <c r="L13" i="43" s="1"/>
  <c r="AJ13" i="43" s="1"/>
  <c r="AK62" i="43" s="1"/>
  <c r="N40" i="43" a="1"/>
  <c r="N40" i="43" s="1"/>
  <c r="AL40" i="43" s="1"/>
  <c r="AM71" i="43" s="1"/>
  <c r="I37" i="43" a="1"/>
  <c r="I37" i="43" s="1"/>
  <c r="AG37" i="43" s="1"/>
  <c r="AH70" i="43" s="1"/>
  <c r="N6" i="48" a="1"/>
  <c r="N6" i="48" s="1"/>
  <c r="AH7" i="48" s="1"/>
  <c r="AI60" i="48" s="1"/>
  <c r="H29" i="48" a="1"/>
  <c r="H29" i="48" s="1"/>
  <c r="N44" i="48" a="1"/>
  <c r="N44" i="48" s="1"/>
  <c r="AV43" i="48" s="1"/>
  <c r="AW72" i="48" s="1"/>
  <c r="L53" i="48" a="1"/>
  <c r="L53" i="48" s="1"/>
  <c r="I17" i="47" a="1"/>
  <c r="I17" i="47" s="1"/>
  <c r="AN16" i="47" s="1"/>
  <c r="AO63" i="47" s="1"/>
  <c r="M24" i="47" a="1"/>
  <c r="M24" i="47" s="1"/>
  <c r="AD25" i="47" s="1"/>
  <c r="AE66" i="47" s="1"/>
  <c r="N51" i="47" a="1"/>
  <c r="N51" i="47" s="1"/>
  <c r="M15" i="46" a="1"/>
  <c r="M15" i="46" s="1"/>
  <c r="AD16" i="46" s="1"/>
  <c r="AE63" i="46" s="1"/>
  <c r="K20" i="46" a="1"/>
  <c r="K20" i="46" s="1"/>
  <c r="AP19" i="46" s="1"/>
  <c r="AQ64" i="46" s="1"/>
  <c r="J31" i="46" a="1"/>
  <c r="J31" i="46" s="1"/>
  <c r="AH31" i="46" s="1"/>
  <c r="AI68" i="46" s="1"/>
  <c r="I15" i="48" a="1"/>
  <c r="I15" i="48" s="1"/>
  <c r="AC16" i="48" s="1"/>
  <c r="AD63" i="48" s="1"/>
  <c r="M19" i="48" a="1"/>
  <c r="M19" i="48" s="1"/>
  <c r="AN19" i="48" s="1"/>
  <c r="AO64" i="48" s="1"/>
  <c r="H35" i="48" a="1"/>
  <c r="H35" i="48" s="1"/>
  <c r="H21" i="47" a="1"/>
  <c r="H21" i="47" s="1"/>
  <c r="N9" i="47" a="1"/>
  <c r="N9" i="47" s="1"/>
  <c r="L42" i="47" a="1"/>
  <c r="L42" i="47" s="1"/>
  <c r="AC43" i="47" s="1"/>
  <c r="AD72" i="47" s="1"/>
  <c r="I37" i="47" a="1"/>
  <c r="I37" i="47" s="1"/>
  <c r="AG37" i="47" s="1"/>
  <c r="AH70" i="47" s="1"/>
  <c r="J49" i="47" a="1"/>
  <c r="J49" i="47" s="1"/>
  <c r="AH49" i="47" s="1"/>
  <c r="AI74" i="47" s="1"/>
  <c r="H23" i="46" a="1"/>
  <c r="H23" i="46" s="1"/>
  <c r="K12" i="46" a="1"/>
  <c r="K12" i="46" s="1"/>
  <c r="AB13" i="46" s="1"/>
  <c r="AC62" i="46" s="1"/>
  <c r="N16" i="48" a="1"/>
  <c r="N16" i="48" s="1"/>
  <c r="AO16" i="48" s="1"/>
  <c r="AP63" i="48" s="1"/>
  <c r="H28" i="48" a="1"/>
  <c r="H28" i="48" s="1"/>
  <c r="L35" i="48" a="1"/>
  <c r="L35" i="48" s="1"/>
  <c r="AT34" i="48" s="1"/>
  <c r="AU69" i="48" s="1"/>
  <c r="M55" i="48" a="1"/>
  <c r="M55" i="48" s="1"/>
  <c r="AN55" i="48" s="1"/>
  <c r="AO76" i="48" s="1"/>
  <c r="N20" i="47" a="1"/>
  <c r="N20" i="47" s="1"/>
  <c r="AS19" i="47" s="1"/>
  <c r="AT64" i="47" s="1"/>
  <c r="H42" i="47" a="1"/>
  <c r="H42" i="47" s="1"/>
  <c r="I34" i="47" a="1"/>
  <c r="I34" i="47" s="1"/>
  <c r="AG34" i="47" s="1"/>
  <c r="AH69" i="47" s="1"/>
  <c r="J54" i="47" a="1"/>
  <c r="J54" i="47" s="1"/>
  <c r="AA55" i="47" s="1"/>
  <c r="AB76" i="47" s="1"/>
  <c r="M55" i="49" a="1"/>
  <c r="M55" i="49" s="1"/>
  <c r="AK55" i="49" s="1"/>
  <c r="AL76" i="49" s="1"/>
  <c r="L33" i="48" a="1"/>
  <c r="L33" i="48" s="1"/>
  <c r="AF34" i="48" s="1"/>
  <c r="AG69" i="48" s="1"/>
  <c r="K36" i="48" a="1"/>
  <c r="K36" i="48" s="1"/>
  <c r="AE37" i="48" s="1"/>
  <c r="AF70" i="48" s="1"/>
  <c r="M51" i="48" a="1"/>
  <c r="M51" i="48" s="1"/>
  <c r="H13" i="47" a="1"/>
  <c r="H13" i="47" s="1"/>
  <c r="L18" i="47" a="1"/>
  <c r="L18" i="47" s="1"/>
  <c r="AC19" i="47" s="1"/>
  <c r="AD64" i="47" s="1"/>
  <c r="J28" i="47" a="1"/>
  <c r="J28" i="47" s="1"/>
  <c r="AH28" i="47" s="1"/>
  <c r="AI67" i="47" s="1"/>
  <c r="I44" i="47" a="1"/>
  <c r="I44" i="47" s="1"/>
  <c r="AN43" i="47" s="1"/>
  <c r="AO72" i="47" s="1"/>
  <c r="L5" i="46" a="1"/>
  <c r="L5" i="46" s="1"/>
  <c r="AQ4" i="46" s="1"/>
  <c r="AR59" i="46" s="1"/>
  <c r="N14" i="46" a="1"/>
  <c r="N14" i="46" s="1"/>
  <c r="AS13" i="46" s="1"/>
  <c r="AT62" i="46" s="1"/>
  <c r="N18" i="48" a="1"/>
  <c r="N18" i="48" s="1"/>
  <c r="N29" i="48" a="1"/>
  <c r="N29" i="48" s="1"/>
  <c r="AV28" i="48" s="1"/>
  <c r="AW67" i="48" s="1"/>
  <c r="I38" i="48" a="1"/>
  <c r="I38" i="48" s="1"/>
  <c r="AQ37" i="48" s="1"/>
  <c r="AR70" i="48" s="1"/>
  <c r="N56" i="48" a="1"/>
  <c r="N56" i="48" s="1"/>
  <c r="K48" i="44" a="1"/>
  <c r="K48" i="44" s="1"/>
  <c r="AB49" i="44" s="1"/>
  <c r="AC74" i="44" s="1"/>
  <c r="N43" i="43" a="1"/>
  <c r="N43" i="43" s="1"/>
  <c r="AL43" i="43" s="1"/>
  <c r="AM72" i="43" s="1"/>
  <c r="H14" i="43" a="1"/>
  <c r="H14" i="43" s="1"/>
  <c r="M25" i="43" a="1"/>
  <c r="M25" i="43" s="1"/>
  <c r="AK25" i="43" s="1"/>
  <c r="AL66" i="43" s="1"/>
  <c r="I48" i="43" a="1"/>
  <c r="I48" i="43" s="1"/>
  <c r="Z49" i="43" s="1"/>
  <c r="AA74" i="43" s="1"/>
  <c r="H43" i="44" a="1"/>
  <c r="H43" i="44" s="1"/>
  <c r="J4" i="43" a="1"/>
  <c r="J4" i="43" s="1"/>
  <c r="AH4" i="43" s="1"/>
  <c r="AI59" i="43" s="1"/>
  <c r="J17" i="43" a="1"/>
  <c r="J17" i="43" s="1"/>
  <c r="AO16" i="43" s="1"/>
  <c r="AP63" i="43" s="1"/>
  <c r="N25" i="43" a="1"/>
  <c r="N25" i="43" s="1"/>
  <c r="AL25" i="43" s="1"/>
  <c r="AM66" i="43" s="1"/>
  <c r="J51" i="43" a="1"/>
  <c r="J51" i="43" s="1"/>
  <c r="M52" i="43" a="1"/>
  <c r="M52" i="43" s="1"/>
  <c r="AK52" i="43" s="1"/>
  <c r="AL75" i="43" s="1"/>
  <c r="N53" i="43" a="1"/>
  <c r="N53" i="43" s="1"/>
  <c r="I18" i="43" a="1"/>
  <c r="I18" i="43" s="1"/>
  <c r="Z19" i="43" s="1"/>
  <c r="AA64" i="43" s="1"/>
  <c r="I23" i="43" a="1"/>
  <c r="I23" i="43" s="1"/>
  <c r="AN22" i="43" s="1"/>
  <c r="AO65" i="43" s="1"/>
  <c r="N50" i="43" a="1"/>
  <c r="N50" i="43" s="1"/>
  <c r="H54" i="43" a="1"/>
  <c r="H54" i="43" s="1"/>
  <c r="N52" i="44" a="1"/>
  <c r="N52" i="44" s="1"/>
  <c r="AL52" i="44" s="1"/>
  <c r="AM75" i="44" s="1"/>
  <c r="H6" i="43" a="1"/>
  <c r="H6" i="43" s="1"/>
  <c r="M20" i="43" a="1"/>
  <c r="M20" i="43" s="1"/>
  <c r="AR19" i="43" s="1"/>
  <c r="AS64" i="43" s="1"/>
  <c r="L29" i="43" a="1"/>
  <c r="L29" i="43" s="1"/>
  <c r="AQ28" i="43" s="1"/>
  <c r="AR67" i="43" s="1"/>
  <c r="K52" i="43" a="1"/>
  <c r="K52" i="43" s="1"/>
  <c r="AI52" i="43" s="1"/>
  <c r="AJ75" i="43" s="1"/>
  <c r="I36" i="44" a="1"/>
  <c r="I36" i="44" s="1"/>
  <c r="Z37" i="44" s="1"/>
  <c r="AA70" i="44" s="1"/>
  <c r="J9" i="43" a="1"/>
  <c r="J9" i="43" s="1"/>
  <c r="AA10" i="43" s="1"/>
  <c r="AB61" i="43" s="1"/>
  <c r="L28" i="43" a="1"/>
  <c r="L28" i="43" s="1"/>
  <c r="AJ28" i="43" s="1"/>
  <c r="AK67" i="43" s="1"/>
  <c r="H38" i="43" a="1"/>
  <c r="H38" i="43" s="1"/>
  <c r="I56" i="43" a="1"/>
  <c r="I56" i="43" s="1"/>
  <c r="L51" i="44" a="1"/>
  <c r="L51" i="44" s="1"/>
  <c r="L9" i="43" a="1"/>
  <c r="L9" i="43" s="1"/>
  <c r="AC10" i="43" s="1"/>
  <c r="AD61" i="43" s="1"/>
  <c r="I21" i="43" a="1"/>
  <c r="I21" i="43" s="1"/>
  <c r="Z22" i="43" s="1"/>
  <c r="AA65" i="43" s="1"/>
  <c r="H42" i="43" a="1"/>
  <c r="H42" i="43" s="1"/>
  <c r="I31" i="43" a="1"/>
  <c r="I31" i="43" s="1"/>
  <c r="AG31" i="43" s="1"/>
  <c r="AH68" i="43" s="1"/>
  <c r="H48" i="43" a="1"/>
  <c r="H48" i="43" s="1"/>
  <c r="L55" i="44" a="1"/>
  <c r="L55" i="44" s="1"/>
  <c r="AJ55" i="44" s="1"/>
  <c r="AK76" i="44" s="1"/>
  <c r="H15" i="43" a="1"/>
  <c r="H15" i="43" s="1"/>
  <c r="L23" i="43" a="1"/>
  <c r="L23" i="43" s="1"/>
  <c r="AQ22" i="43" s="1"/>
  <c r="AR65" i="43" s="1"/>
  <c r="K42" i="43" a="1"/>
  <c r="K42" i="43" s="1"/>
  <c r="AB43" i="43" s="1"/>
  <c r="AC72" i="43" s="1"/>
  <c r="L51" i="43" a="1"/>
  <c r="L51" i="43" s="1"/>
  <c r="I54" i="44" a="1"/>
  <c r="I54" i="44" s="1"/>
  <c r="Z55" i="44" s="1"/>
  <c r="AA76" i="44" s="1"/>
  <c r="M3" i="43" a="1"/>
  <c r="M3" i="43" s="1"/>
  <c r="AD4" i="43" s="1"/>
  <c r="AE59" i="43" s="1"/>
  <c r="K24" i="43" a="1"/>
  <c r="K24" i="43" s="1"/>
  <c r="AB25" i="43" s="1"/>
  <c r="AC66" i="43" s="1"/>
  <c r="H31" i="43" a="1"/>
  <c r="H31" i="43" s="1"/>
  <c r="H46" i="43" a="1"/>
  <c r="H46" i="43" s="1"/>
  <c r="H17" i="48" a="1"/>
  <c r="H17" i="48" s="1"/>
  <c r="I19" i="48" a="1"/>
  <c r="I19" i="48" s="1"/>
  <c r="AJ19" i="48" s="1"/>
  <c r="AK64" i="48" s="1"/>
  <c r="N32" i="48" a="1"/>
  <c r="N32" i="48" s="1"/>
  <c r="AV31" i="48" s="1"/>
  <c r="AW68" i="48" s="1"/>
  <c r="M53" i="48" a="1"/>
  <c r="M53" i="48" s="1"/>
  <c r="L8" i="47" a="1"/>
  <c r="L8" i="47" s="1"/>
  <c r="AQ7" i="47" s="1"/>
  <c r="AR60" i="47" s="1"/>
  <c r="H40" i="47" a="1"/>
  <c r="H40" i="47" s="1"/>
  <c r="I38" i="47" a="1"/>
  <c r="I38" i="47" s="1"/>
  <c r="AN37" i="47" s="1"/>
  <c r="AO70" i="47" s="1"/>
  <c r="N5" i="46" a="1"/>
  <c r="N5" i="46" s="1"/>
  <c r="AS4" i="46" s="1"/>
  <c r="AT59" i="46" s="1"/>
  <c r="H6" i="46" a="1"/>
  <c r="H6" i="46" s="1"/>
  <c r="J30" i="46" a="1"/>
  <c r="J30" i="46" s="1"/>
  <c r="AA31" i="46" s="1"/>
  <c r="AB68" i="46" s="1"/>
  <c r="N21" i="48" a="1"/>
  <c r="N21" i="48" s="1"/>
  <c r="AH22" i="48" s="1"/>
  <c r="AI65" i="48" s="1"/>
  <c r="M31" i="48" a="1"/>
  <c r="M31" i="48" s="1"/>
  <c r="AN31" i="48" s="1"/>
  <c r="AO68" i="48" s="1"/>
  <c r="I41" i="48" a="1"/>
  <c r="I41" i="48" s="1"/>
  <c r="AQ40" i="48" s="1"/>
  <c r="AR71" i="48" s="1"/>
  <c r="L9" i="47" a="1"/>
  <c r="L9" i="47" s="1"/>
  <c r="AC10" i="47" s="1"/>
  <c r="AD61" i="47" s="1"/>
  <c r="I22" i="47" a="1"/>
  <c r="I22" i="47" s="1"/>
  <c r="AG22" i="47" s="1"/>
  <c r="AH65" i="47" s="1"/>
  <c r="N40" i="47" a="1"/>
  <c r="N40" i="47" s="1"/>
  <c r="AL40" i="47" s="1"/>
  <c r="AM71" i="47" s="1"/>
  <c r="L46" i="47" a="1"/>
  <c r="L46" i="47" s="1"/>
  <c r="AJ46" i="47" s="1"/>
  <c r="AK73" i="47" s="1"/>
  <c r="L56" i="47" a="1"/>
  <c r="L56" i="47" s="1"/>
  <c r="L13" i="46" a="1"/>
  <c r="L13" i="46" s="1"/>
  <c r="AJ13" i="46" s="1"/>
  <c r="AK62" i="46" s="1"/>
  <c r="I21" i="46" a="1"/>
  <c r="I21" i="46" s="1"/>
  <c r="Z22" i="46" s="1"/>
  <c r="AA65" i="46" s="1"/>
  <c r="L21" i="48" a="1"/>
  <c r="L21" i="48" s="1"/>
  <c r="AF22" i="48" s="1"/>
  <c r="AG65" i="48" s="1"/>
  <c r="I37" i="48" a="1"/>
  <c r="I37" i="48" s="1"/>
  <c r="AJ37" i="48" s="1"/>
  <c r="AK70" i="48" s="1"/>
  <c r="H25" i="47" a="1"/>
  <c r="H25" i="47" s="1"/>
  <c r="J9" i="47" a="1"/>
  <c r="J9" i="47" s="1"/>
  <c r="AA10" i="47" s="1"/>
  <c r="AB61" i="47" s="1"/>
  <c r="M26" i="47" a="1"/>
  <c r="M26" i="47" s="1"/>
  <c r="AR25" i="47" s="1"/>
  <c r="AS66" i="47" s="1"/>
  <c r="N45" i="47" a="1"/>
  <c r="N45" i="47" s="1"/>
  <c r="J5" i="46" a="1"/>
  <c r="J5" i="46" s="1"/>
  <c r="AO4" i="46" s="1"/>
  <c r="AP59" i="46" s="1"/>
  <c r="N17" i="46" a="1"/>
  <c r="N17" i="46" s="1"/>
  <c r="AS16" i="46" s="1"/>
  <c r="AT63" i="46" s="1"/>
  <c r="I3" i="48" a="1"/>
  <c r="I3" i="48" s="1"/>
  <c r="AC4" i="48" s="1"/>
  <c r="AD59" i="48" s="1"/>
  <c r="L40" i="48" a="1"/>
  <c r="L40" i="48" s="1"/>
  <c r="AM40" i="48" s="1"/>
  <c r="AN71" i="48" s="1"/>
  <c r="K27" i="48" a="1"/>
  <c r="K27" i="48" s="1"/>
  <c r="AE28" i="48" s="1"/>
  <c r="AF67" i="48" s="1"/>
  <c r="M52" i="48" a="1"/>
  <c r="M52" i="48" s="1"/>
  <c r="AN52" i="48" s="1"/>
  <c r="AO75" i="48" s="1"/>
  <c r="I15" i="47" a="1"/>
  <c r="I15" i="47" s="1"/>
  <c r="Z16" i="47" s="1"/>
  <c r="AA63" i="47" s="1"/>
  <c r="I7" i="47" a="1"/>
  <c r="I7" i="47" s="1"/>
  <c r="AG7" i="47" s="1"/>
  <c r="AH60" i="47" s="1"/>
  <c r="I47" i="47" a="1"/>
  <c r="I47" i="47" s="1"/>
  <c r="AN46" i="47" s="1"/>
  <c r="AO73" i="47" s="1"/>
  <c r="K36" i="47" a="1"/>
  <c r="K36" i="47" s="1"/>
  <c r="AB37" i="47" s="1"/>
  <c r="AC70" i="47" s="1"/>
  <c r="K10" i="46" a="1"/>
  <c r="K10" i="46" s="1"/>
  <c r="AI10" i="46" s="1"/>
  <c r="AJ61" i="46" s="1"/>
  <c r="H26" i="46" a="1"/>
  <c r="H26" i="46" s="1"/>
  <c r="M6" i="48" a="1"/>
  <c r="M6" i="48" s="1"/>
  <c r="AG7" i="48" s="1"/>
  <c r="AH60" i="48" s="1"/>
  <c r="K21" i="48" a="1"/>
  <c r="K21" i="48" s="1"/>
  <c r="AE22" i="48" s="1"/>
  <c r="AF65" i="48" s="1"/>
  <c r="L37" i="48" a="1"/>
  <c r="L37" i="48" s="1"/>
  <c r="AM37" i="48" s="1"/>
  <c r="AN70" i="48" s="1"/>
  <c r="M7" i="47" a="1"/>
  <c r="M7" i="47" s="1"/>
  <c r="AK7" i="47" s="1"/>
  <c r="AL60" i="47" s="1"/>
  <c r="L7" i="47" a="1"/>
  <c r="L7" i="47" s="1"/>
  <c r="AJ7" i="47" s="1"/>
  <c r="AK60" i="47" s="1"/>
  <c r="M47" i="44" a="1"/>
  <c r="M47" i="44" s="1"/>
  <c r="AR46" i="44" s="1"/>
  <c r="AS73" i="44" s="1"/>
  <c r="L4" i="43" a="1"/>
  <c r="L4" i="43" s="1"/>
  <c r="AJ4" i="43" s="1"/>
  <c r="AK59" i="43" s="1"/>
  <c r="K23" i="43" a="1"/>
  <c r="K23" i="43" s="1"/>
  <c r="AP22" i="43" s="1"/>
  <c r="AQ65" i="43" s="1"/>
  <c r="N42" i="43" a="1"/>
  <c r="N42" i="43" s="1"/>
  <c r="AE43" i="43" s="1"/>
  <c r="AF72" i="43" s="1"/>
  <c r="H40" i="43" a="1"/>
  <c r="H40" i="43" s="1"/>
  <c r="J46" i="44" a="1"/>
  <c r="J46" i="44" s="1"/>
  <c r="AH46" i="44" s="1"/>
  <c r="AI73" i="44" s="1"/>
  <c r="N15" i="43" a="1"/>
  <c r="N15" i="43" s="1"/>
  <c r="AE16" i="43" s="1"/>
  <c r="AF63" i="43" s="1"/>
  <c r="J24" i="43" a="1"/>
  <c r="J24" i="43" s="1"/>
  <c r="AA25" i="43" s="1"/>
  <c r="AB66" i="43" s="1"/>
  <c r="L35" i="43" a="1"/>
  <c r="L35" i="43" s="1"/>
  <c r="AQ34" i="43" s="1"/>
  <c r="AR69" i="43" s="1"/>
  <c r="J46" i="43" a="1"/>
  <c r="J46" i="43" s="1"/>
  <c r="AH46" i="43" s="1"/>
  <c r="AI73" i="43" s="1"/>
  <c r="J54" i="43" a="1"/>
  <c r="J54" i="43" s="1"/>
  <c r="AA55" i="43" s="1"/>
  <c r="AB76" i="43" s="1"/>
  <c r="L37" i="43" a="1"/>
  <c r="L37" i="43" s="1"/>
  <c r="AJ37" i="43" s="1"/>
  <c r="AK70" i="43" s="1"/>
  <c r="I26" i="43" a="1"/>
  <c r="I26" i="43" s="1"/>
  <c r="AN25" i="43" s="1"/>
  <c r="AO66" i="43" s="1"/>
  <c r="L31" i="43" a="1"/>
  <c r="L31" i="43" s="1"/>
  <c r="AJ31" i="43" s="1"/>
  <c r="AK68" i="43" s="1"/>
  <c r="J41" i="43" a="1"/>
  <c r="J41" i="43" s="1"/>
  <c r="AO40" i="43" s="1"/>
  <c r="AP71" i="43" s="1"/>
  <c r="M54" i="43" a="1"/>
  <c r="M54" i="43" s="1"/>
  <c r="AD55" i="43" s="1"/>
  <c r="AE76" i="43" s="1"/>
  <c r="K51" i="44" a="1"/>
  <c r="K51" i="44" s="1"/>
  <c r="J8" i="43" a="1"/>
  <c r="J8" i="43" s="1"/>
  <c r="AO7" i="43" s="1"/>
  <c r="AP60" i="43" s="1"/>
  <c r="M30" i="43" a="1"/>
  <c r="M30" i="43" s="1"/>
  <c r="AD31" i="43" s="1"/>
  <c r="AE68" i="43" s="1"/>
  <c r="K36" i="43" a="1"/>
  <c r="K36" i="43" s="1"/>
  <c r="AB37" i="43" s="1"/>
  <c r="AC70" i="43" s="1"/>
  <c r="M51" i="43" a="1"/>
  <c r="M51" i="43" s="1"/>
  <c r="J52" i="44" a="1"/>
  <c r="J52" i="44" s="1"/>
  <c r="AH52" i="44" s="1"/>
  <c r="AI75" i="44" s="1"/>
  <c r="J10" i="43" a="1"/>
  <c r="J10" i="43" s="1"/>
  <c r="AH10" i="43" s="1"/>
  <c r="AI61" i="43" s="1"/>
  <c r="L16" i="43" a="1"/>
  <c r="L16" i="43" s="1"/>
  <c r="AJ16" i="43" s="1"/>
  <c r="AK63" i="43" s="1"/>
  <c r="N39" i="43" a="1"/>
  <c r="N39" i="43" s="1"/>
  <c r="AE40" i="43" s="1"/>
  <c r="AF71" i="43" s="1"/>
  <c r="N56" i="43" a="1"/>
  <c r="N56" i="43" s="1"/>
  <c r="N43" i="44" a="1"/>
  <c r="N43" i="44" s="1"/>
  <c r="AL43" i="44" s="1"/>
  <c r="AM72" i="44" s="1"/>
  <c r="K8" i="43" a="1"/>
  <c r="K8" i="43" s="1"/>
  <c r="AP7" i="43" s="1"/>
  <c r="AQ60" i="43" s="1"/>
  <c r="H26" i="43" a="1"/>
  <c r="H26" i="43" s="1"/>
  <c r="J39" i="43" a="1"/>
  <c r="J39" i="43" s="1"/>
  <c r="AA40" i="43" s="1"/>
  <c r="AB71" i="43" s="1"/>
  <c r="L44" i="43" a="1"/>
  <c r="L44" i="43" s="1"/>
  <c r="AQ43" i="43" s="1"/>
  <c r="AR72" i="43" s="1"/>
  <c r="M53" i="43" a="1"/>
  <c r="M53" i="43" s="1"/>
  <c r="L21" i="43" a="1"/>
  <c r="L21" i="43" s="1"/>
  <c r="AC22" i="43" s="1"/>
  <c r="AD65" i="43" s="1"/>
  <c r="M4" i="43" a="1"/>
  <c r="M4" i="43" s="1"/>
  <c r="AK4" i="43" s="1"/>
  <c r="AL59" i="43" s="1"/>
  <c r="K26" i="43" a="1"/>
  <c r="K26" i="43" s="1"/>
  <c r="AP25" i="43" s="1"/>
  <c r="AQ66" i="43" s="1"/>
  <c r="J30" i="43" a="1"/>
  <c r="J30" i="43" s="1"/>
  <c r="AA31" i="43" s="1"/>
  <c r="AB68" i="43" s="1"/>
  <c r="K41" i="43" a="1"/>
  <c r="K41" i="43" s="1"/>
  <c r="AP40" i="43" s="1"/>
  <c r="AQ71" i="43" s="1"/>
  <c r="I38" i="44" a="1"/>
  <c r="I38" i="44" s="1"/>
  <c r="AN37" i="44" s="1"/>
  <c r="AO70" i="44" s="1"/>
  <c r="L15" i="43" a="1"/>
  <c r="L15" i="43" s="1"/>
  <c r="AC16" i="43" s="1"/>
  <c r="AD63" i="43" s="1"/>
  <c r="K27" i="43" a="1"/>
  <c r="K27" i="43" s="1"/>
  <c r="AB28" i="43" s="1"/>
  <c r="AC67" i="43" s="1"/>
  <c r="J37" i="43" a="1"/>
  <c r="J37" i="43" s="1"/>
  <c r="AH37" i="43" s="1"/>
  <c r="AI70" i="43" s="1"/>
  <c r="H51" i="43" a="1"/>
  <c r="H51" i="43" s="1"/>
  <c r="H18" i="48" a="1"/>
  <c r="H18" i="48" s="1"/>
  <c r="I30" i="48" a="1"/>
  <c r="I30" i="48" s="1"/>
  <c r="AC31" i="48" s="1"/>
  <c r="AD68" i="48" s="1"/>
  <c r="N39" i="48" a="1"/>
  <c r="N39" i="48" s="1"/>
  <c r="AH40" i="48" s="1"/>
  <c r="AI71" i="48" s="1"/>
  <c r="I5" i="47" a="1"/>
  <c r="I5" i="47" s="1"/>
  <c r="AN4" i="47" s="1"/>
  <c r="AO59" i="47" s="1"/>
  <c r="J22" i="47" a="1"/>
  <c r="J22" i="47" s="1"/>
  <c r="AH22" i="47" s="1"/>
  <c r="AI65" i="47" s="1"/>
  <c r="L47" i="47" a="1"/>
  <c r="L47" i="47" s="1"/>
  <c r="AQ46" i="47" s="1"/>
  <c r="AR73" i="47" s="1"/>
  <c r="K49" i="47" a="1"/>
  <c r="K49" i="47" s="1"/>
  <c r="AI49" i="47" s="1"/>
  <c r="AJ74" i="47" s="1"/>
  <c r="J6" i="46" a="1"/>
  <c r="J6" i="46" s="1"/>
  <c r="AA7" i="46" s="1"/>
  <c r="AB60" i="46" s="1"/>
  <c r="M14" i="46" a="1"/>
  <c r="M14" i="46" s="1"/>
  <c r="AR13" i="46" s="1"/>
  <c r="AS62" i="46" s="1"/>
  <c r="M39" i="46" a="1"/>
  <c r="M39" i="46" s="1"/>
  <c r="AD40" i="46" s="1"/>
  <c r="AE71" i="46" s="1"/>
  <c r="J30" i="48" a="1"/>
  <c r="J30" i="48" s="1"/>
  <c r="AD31" i="48" s="1"/>
  <c r="AE68" i="48" s="1"/>
  <c r="L36" i="48" a="1"/>
  <c r="L36" i="48" s="1"/>
  <c r="AF37" i="48" s="1"/>
  <c r="AG70" i="48" s="1"/>
  <c r="I35" i="48" a="1"/>
  <c r="I35" i="48" s="1"/>
  <c r="AQ34" i="48" s="1"/>
  <c r="AR69" i="48" s="1"/>
  <c r="J7" i="47" a="1"/>
  <c r="J7" i="47" s="1"/>
  <c r="AH7" i="47" s="1"/>
  <c r="AI60" i="47" s="1"/>
  <c r="L17" i="47" a="1"/>
  <c r="L17" i="47" s="1"/>
  <c r="AQ16" i="47" s="1"/>
  <c r="AR63" i="47" s="1"/>
  <c r="H26" i="47" a="1"/>
  <c r="H26" i="47" s="1"/>
  <c r="M45" i="47" a="1"/>
  <c r="M45" i="47" s="1"/>
  <c r="AD46" i="47" s="1"/>
  <c r="AE73" i="47" s="1"/>
  <c r="M56" i="47" a="1"/>
  <c r="M56" i="47" s="1"/>
  <c r="M13" i="46" a="1"/>
  <c r="M13" i="46" s="1"/>
  <c r="AK13" i="46" s="1"/>
  <c r="AL62" i="46" s="1"/>
  <c r="L33" i="46" a="1"/>
  <c r="L33" i="46" s="1"/>
  <c r="AC34" i="46" s="1"/>
  <c r="AD69" i="46" s="1"/>
  <c r="J17" i="48" a="1"/>
  <c r="J17" i="48" s="1"/>
  <c r="AR16" i="48" s="1"/>
  <c r="AS63" i="48" s="1"/>
  <c r="L31" i="48" a="1"/>
  <c r="L31" i="48" s="1"/>
  <c r="AM31" i="48" s="1"/>
  <c r="AN68" i="48" s="1"/>
  <c r="J50" i="48" a="1"/>
  <c r="J50" i="48" s="1"/>
  <c r="J3" i="47" a="1"/>
  <c r="J3" i="47" s="1"/>
  <c r="AA4" i="47" s="1"/>
  <c r="AB59" i="47" s="1"/>
  <c r="M47" i="47" a="1"/>
  <c r="M47" i="47" s="1"/>
  <c r="AR46" i="47" s="1"/>
  <c r="AS73" i="47" s="1"/>
  <c r="I43" i="47" a="1"/>
  <c r="I43" i="47" s="1"/>
  <c r="AG43" i="47" s="1"/>
  <c r="AH72" i="47" s="1"/>
  <c r="K21" i="46" a="1"/>
  <c r="K21" i="46" s="1"/>
  <c r="AB22" i="46" s="1"/>
  <c r="AC65" i="46" s="1"/>
  <c r="M3" i="46" a="1"/>
  <c r="M3" i="46" s="1"/>
  <c r="AD4" i="46" s="1"/>
  <c r="AE59" i="46" s="1"/>
  <c r="J15" i="48" a="1"/>
  <c r="J15" i="48" s="1"/>
  <c r="AD16" i="48" s="1"/>
  <c r="AE63" i="48" s="1"/>
  <c r="N24" i="48" a="1"/>
  <c r="N24" i="48" s="1"/>
  <c r="AH25" i="48" s="1"/>
  <c r="AI66" i="48" s="1"/>
  <c r="H41" i="48" a="1"/>
  <c r="H41" i="48" s="1"/>
  <c r="K55" i="48" a="1"/>
  <c r="K55" i="48" s="1"/>
  <c r="AL55" i="48" s="1"/>
  <c r="AM76" i="48" s="1"/>
  <c r="L20" i="47" a="1"/>
  <c r="L20" i="47" s="1"/>
  <c r="AQ19" i="47" s="1"/>
  <c r="AR64" i="47" s="1"/>
  <c r="I19" i="47" a="1"/>
  <c r="I19" i="47" s="1"/>
  <c r="AG19" i="47" s="1"/>
  <c r="AH64" i="47" s="1"/>
  <c r="I23" i="47" a="1"/>
  <c r="I23" i="47" s="1"/>
  <c r="AN22" i="47" s="1"/>
  <c r="AO65" i="47" s="1"/>
  <c r="M43" i="47" a="1"/>
  <c r="M43" i="47" s="1"/>
  <c r="AK43" i="47" s="1"/>
  <c r="AL72" i="47" s="1"/>
  <c r="L21" i="46" a="1"/>
  <c r="L21" i="46" s="1"/>
  <c r="AC22" i="46" s="1"/>
  <c r="AD65" i="46" s="1"/>
  <c r="N27" i="46" a="1"/>
  <c r="N27" i="46" s="1"/>
  <c r="I8" i="48" a="1"/>
  <c r="I8" i="48" s="1"/>
  <c r="AQ7" i="48" s="1"/>
  <c r="AR60" i="48" s="1"/>
  <c r="J23" i="48" a="1"/>
  <c r="J23" i="48" s="1"/>
  <c r="AR22" i="48" s="1"/>
  <c r="AS65" i="48" s="1"/>
  <c r="N42" i="48" a="1"/>
  <c r="N42" i="48" s="1"/>
  <c r="AH43" i="48" s="1"/>
  <c r="AI72" i="48" s="1"/>
  <c r="K21" i="47" a="1"/>
  <c r="K21" i="47" s="1"/>
  <c r="AB22" i="47" s="1"/>
  <c r="AC65" i="47" s="1"/>
  <c r="M12" i="47" a="1"/>
  <c r="M12" i="47" s="1"/>
  <c r="AD13" i="47" s="1"/>
  <c r="AE62" i="47" s="1"/>
  <c r="I47" i="44" a="1"/>
  <c r="I47" i="44" s="1"/>
  <c r="AN46" i="44" s="1"/>
  <c r="AO73" i="44" s="1"/>
  <c r="J15" i="43" a="1"/>
  <c r="J15" i="43" s="1"/>
  <c r="AA16" i="43" s="1"/>
  <c r="AB63" i="43" s="1"/>
  <c r="I25" i="43" a="1"/>
  <c r="I25" i="43" s="1"/>
  <c r="AG25" i="43" s="1"/>
  <c r="AH66" i="43" s="1"/>
  <c r="I20" i="43" a="1"/>
  <c r="I20" i="43" s="1"/>
  <c r="AN19" i="43" s="1"/>
  <c r="AO64" i="43" s="1"/>
  <c r="L46" i="43" a="1"/>
  <c r="L46" i="43" s="1"/>
  <c r="AJ46" i="43" s="1"/>
  <c r="AK73" i="43" s="1"/>
  <c r="L52" i="44" a="1"/>
  <c r="L52" i="44" s="1"/>
  <c r="AJ52" i="44" s="1"/>
  <c r="AK75" i="44" s="1"/>
  <c r="H4" i="43" a="1"/>
  <c r="H4" i="43" s="1"/>
  <c r="L26" i="43" a="1"/>
  <c r="L26" i="43" s="1"/>
  <c r="AQ25" i="43" s="1"/>
  <c r="AR66" i="43" s="1"/>
  <c r="J47" i="43" a="1"/>
  <c r="J47" i="43" s="1"/>
  <c r="AO46" i="43" s="1"/>
  <c r="AP73" i="43" s="1"/>
  <c r="I51" i="43" a="1"/>
  <c r="I51" i="43" s="1"/>
  <c r="J41" i="44" a="1"/>
  <c r="J41" i="44" s="1"/>
  <c r="AO40" i="44" s="1"/>
  <c r="AP71" i="44" s="1"/>
  <c r="N5" i="43" a="1"/>
  <c r="N5" i="43" s="1"/>
  <c r="AS4" i="43" s="1"/>
  <c r="AT59" i="43" s="1"/>
  <c r="L19" i="43" a="1"/>
  <c r="L19" i="43" s="1"/>
  <c r="AJ19" i="43" s="1"/>
  <c r="AK64" i="43" s="1"/>
  <c r="K35" i="43" a="1"/>
  <c r="K35" i="43" s="1"/>
  <c r="AP34" i="43" s="1"/>
  <c r="AQ69" i="43" s="1"/>
  <c r="N49" i="43" a="1"/>
  <c r="N49" i="43" s="1"/>
  <c r="AL49" i="43" s="1"/>
  <c r="AM74" i="43" s="1"/>
  <c r="L48" i="43" a="1"/>
  <c r="L48" i="43" s="1"/>
  <c r="AC49" i="43" s="1"/>
  <c r="AD74" i="43" s="1"/>
  <c r="M56" i="44" a="1"/>
  <c r="M56" i="44" s="1"/>
  <c r="L8" i="43" a="1"/>
  <c r="L8" i="43" s="1"/>
  <c r="AQ7" i="43" s="1"/>
  <c r="AR60" i="43" s="1"/>
  <c r="H28" i="43" a="1"/>
  <c r="H28" i="43" s="1"/>
  <c r="L39" i="43" a="1"/>
  <c r="L39" i="43" s="1"/>
  <c r="AC40" i="43" s="1"/>
  <c r="AD71" i="43" s="1"/>
  <c r="J49" i="43" a="1"/>
  <c r="J49" i="43" s="1"/>
  <c r="AH49" i="43" s="1"/>
  <c r="AI74" i="43" s="1"/>
  <c r="N55" i="44" a="1"/>
  <c r="N55" i="44" s="1"/>
  <c r="AL55" i="44" s="1"/>
  <c r="AM76" i="44" s="1"/>
  <c r="N18" i="43" a="1"/>
  <c r="N18" i="43" s="1"/>
  <c r="AE19" i="43" s="1"/>
  <c r="AF64" i="43" s="1"/>
  <c r="N28" i="43" a="1"/>
  <c r="N28" i="43" s="1"/>
  <c r="AL28" i="43" s="1"/>
  <c r="AM67" i="43" s="1"/>
  <c r="H44" i="43" a="1"/>
  <c r="H44" i="43" s="1"/>
  <c r="I43" i="43" a="1"/>
  <c r="I43" i="43" s="1"/>
  <c r="AG43" i="43" s="1"/>
  <c r="AH72" i="43" s="1"/>
  <c r="K52" i="44" a="1"/>
  <c r="K52" i="44" s="1"/>
  <c r="AI52" i="44" s="1"/>
  <c r="AJ75" i="44" s="1"/>
  <c r="M15" i="43" a="1"/>
  <c r="M15" i="43" s="1"/>
  <c r="AD16" i="43" s="1"/>
  <c r="AE63" i="43" s="1"/>
  <c r="J21" i="43" a="1"/>
  <c r="J21" i="43" s="1"/>
  <c r="AA22" i="43" s="1"/>
  <c r="AB65" i="43" s="1"/>
  <c r="L30" i="43" a="1"/>
  <c r="L30" i="43" s="1"/>
  <c r="AC31" i="43" s="1"/>
  <c r="AD68" i="43" s="1"/>
  <c r="M40" i="43" a="1"/>
  <c r="M40" i="43" s="1"/>
  <c r="AK40" i="43" s="1"/>
  <c r="AL71" i="43" s="1"/>
  <c r="M38" i="44" a="1"/>
  <c r="M38" i="44" s="1"/>
  <c r="AR37" i="44" s="1"/>
  <c r="AS70" i="44" s="1"/>
  <c r="K25" i="43" a="1"/>
  <c r="K25" i="43" s="1"/>
  <c r="AI25" i="43" s="1"/>
  <c r="AJ66" i="43" s="1"/>
  <c r="L7" i="43" a="1"/>
  <c r="L7" i="43" s="1"/>
  <c r="AJ7" i="43" s="1"/>
  <c r="AK60" i="43" s="1"/>
  <c r="M28" i="43" a="1"/>
  <c r="M28" i="43" s="1"/>
  <c r="AK28" i="43" s="1"/>
  <c r="AL67" i="43" s="1"/>
  <c r="N37" i="43" a="1"/>
  <c r="N37" i="43" s="1"/>
  <c r="AL37" i="43" s="1"/>
  <c r="AM70" i="43" s="1"/>
  <c r="M43" i="43" a="1"/>
  <c r="M43" i="43" s="1"/>
  <c r="AK43" i="43" s="1"/>
  <c r="AL72" i="43" s="1"/>
  <c r="M50" i="44" a="1"/>
  <c r="M50" i="44" s="1"/>
  <c r="L5" i="43" a="1"/>
  <c r="L5" i="43" s="1"/>
  <c r="AQ4" i="43" s="1"/>
  <c r="AR59" i="43" s="1"/>
  <c r="M23" i="43" a="1"/>
  <c r="M23" i="43" s="1"/>
  <c r="AR22" i="43" s="1"/>
  <c r="AS65" i="43" s="1"/>
  <c r="I47" i="43" a="1"/>
  <c r="I47" i="43" s="1"/>
  <c r="AN46" i="43" s="1"/>
  <c r="AO73" i="43" s="1"/>
  <c r="I44" i="43" a="1"/>
  <c r="I44" i="43" s="1"/>
  <c r="AN43" i="43" s="1"/>
  <c r="AO72" i="43" s="1"/>
  <c r="H16" i="48" a="1"/>
  <c r="H16" i="48" s="1"/>
  <c r="O16" i="48" s="1"/>
  <c r="I36" i="48" a="1"/>
  <c r="I36" i="48" s="1"/>
  <c r="AC37" i="48" s="1"/>
  <c r="AD70" i="48" s="1"/>
  <c r="J38" i="48" a="1"/>
  <c r="J38" i="48" s="1"/>
  <c r="AR37" i="48" s="1"/>
  <c r="AS70" i="48" s="1"/>
  <c r="M25" i="47" a="1"/>
  <c r="M25" i="47" s="1"/>
  <c r="AK25" i="47" s="1"/>
  <c r="AL66" i="47" s="1"/>
  <c r="H8" i="47" a="1"/>
  <c r="H8" i="47" s="1"/>
  <c r="J20" i="47" a="1"/>
  <c r="J20" i="47" s="1"/>
  <c r="AO19" i="47" s="1"/>
  <c r="AP64" i="47" s="1"/>
  <c r="H56" i="47" a="1"/>
  <c r="H56" i="47" s="1"/>
  <c r="J17" i="46" a="1"/>
  <c r="J17" i="46" s="1"/>
  <c r="AO16" i="46" s="1"/>
  <c r="AP63" i="46" s="1"/>
  <c r="I13" i="46" a="1"/>
  <c r="I13" i="46" s="1"/>
  <c r="AG13" i="46" s="1"/>
  <c r="AH62" i="46" s="1"/>
  <c r="N45" i="46" a="1"/>
  <c r="N45" i="46" s="1"/>
  <c r="L23" i="48" a="1"/>
  <c r="L23" i="48" s="1"/>
  <c r="AT22" i="48" s="1"/>
  <c r="AU65" i="48" s="1"/>
  <c r="J41" i="48" a="1"/>
  <c r="J41" i="48" s="1"/>
  <c r="AR40" i="48" s="1"/>
  <c r="AS71" i="48" s="1"/>
  <c r="N50" i="48" a="1"/>
  <c r="N50" i="48" s="1"/>
  <c r="N17" i="47" a="1"/>
  <c r="N17" i="47" s="1"/>
  <c r="AS16" i="47" s="1"/>
  <c r="AT63" i="47" s="1"/>
  <c r="K30" i="47" a="1"/>
  <c r="K30" i="47" s="1"/>
  <c r="AB31" i="47" s="1"/>
  <c r="AC68" i="47" s="1"/>
  <c r="H47" i="47" a="1"/>
  <c r="H47" i="47" s="1"/>
  <c r="J51" i="47" a="1"/>
  <c r="J51" i="47" s="1"/>
  <c r="M54" i="47" a="1"/>
  <c r="M54" i="47" s="1"/>
  <c r="AD55" i="47" s="1"/>
  <c r="AE76" i="47" s="1"/>
  <c r="M8" i="46" a="1"/>
  <c r="M8" i="46" s="1"/>
  <c r="AR7" i="46" s="1"/>
  <c r="AS60" i="46" s="1"/>
  <c r="J47" i="49" a="1"/>
  <c r="J47" i="49" s="1"/>
  <c r="AO46" i="49" s="1"/>
  <c r="AP73" i="49" s="1"/>
  <c r="K23" i="48" a="1"/>
  <c r="K23" i="48" s="1"/>
  <c r="AS22" i="48" s="1"/>
  <c r="AT65" i="48" s="1"/>
  <c r="H36" i="48" a="1"/>
  <c r="H36" i="48" s="1"/>
  <c r="J54" i="48" a="1"/>
  <c r="J54" i="48" s="1"/>
  <c r="AD55" i="48" s="1"/>
  <c r="AE76" i="48" s="1"/>
  <c r="L19" i="47" a="1"/>
  <c r="L19" i="47" s="1"/>
  <c r="AJ19" i="47" s="1"/>
  <c r="AK64" i="47" s="1"/>
  <c r="H17" i="47" a="1"/>
  <c r="H17" i="47" s="1"/>
  <c r="N21" i="47" a="1"/>
  <c r="N21" i="47" s="1"/>
  <c r="AE22" i="47" s="1"/>
  <c r="AF65" i="47" s="1"/>
  <c r="J38" i="47" a="1"/>
  <c r="J38" i="47" s="1"/>
  <c r="AO37" i="47" s="1"/>
  <c r="AP70" i="47" s="1"/>
  <c r="N6" i="46" a="1"/>
  <c r="N6" i="46" s="1"/>
  <c r="AE7" i="46" s="1"/>
  <c r="AF60" i="46" s="1"/>
  <c r="K26" i="46" a="1"/>
  <c r="K26" i="46" s="1"/>
  <c r="AP25" i="46" s="1"/>
  <c r="AQ66" i="46" s="1"/>
  <c r="H6" i="48" a="1"/>
  <c r="H6" i="48" s="1"/>
  <c r="L34" i="48" a="1"/>
  <c r="L34" i="48" s="1"/>
  <c r="AM34" i="48" s="1"/>
  <c r="AN69" i="48" s="1"/>
  <c r="M27" i="48" a="1"/>
  <c r="M27" i="48" s="1"/>
  <c r="AG28" i="48" s="1"/>
  <c r="AH67" i="48" s="1"/>
  <c r="J5" i="47" a="1"/>
  <c r="J5" i="47" s="1"/>
  <c r="AO4" i="47" s="1"/>
  <c r="AP59" i="47" s="1"/>
  <c r="H12" i="47" a="1"/>
  <c r="H12" i="47" s="1"/>
  <c r="L29" i="47" a="1"/>
  <c r="L29" i="47" s="1"/>
  <c r="AQ28" i="47" s="1"/>
  <c r="AR67" i="47" s="1"/>
  <c r="H37" i="47" a="1"/>
  <c r="H37" i="47" s="1"/>
  <c r="J43" i="47" a="1"/>
  <c r="J43" i="47" s="1"/>
  <c r="AH43" i="47" s="1"/>
  <c r="AI72" i="47" s="1"/>
  <c r="J24" i="46" a="1"/>
  <c r="J24" i="46" s="1"/>
  <c r="AA25" i="46" s="1"/>
  <c r="AB66" i="46" s="1"/>
  <c r="M25" i="46" a="1"/>
  <c r="M25" i="46" s="1"/>
  <c r="AK25" i="46" s="1"/>
  <c r="AL66" i="46" s="1"/>
  <c r="K13" i="48" a="1"/>
  <c r="K13" i="48" s="1"/>
  <c r="AL13" i="48" s="1"/>
  <c r="AM62" i="48" s="1"/>
  <c r="K31" i="48" a="1"/>
  <c r="K31" i="48" s="1"/>
  <c r="AL31" i="48" s="1"/>
  <c r="AM68" i="48" s="1"/>
  <c r="K53" i="44" a="1"/>
  <c r="K53" i="44" s="1"/>
  <c r="K7" i="43" a="1"/>
  <c r="K7" i="43" s="1"/>
  <c r="AI7" i="43" s="1"/>
  <c r="AJ60" i="43" s="1"/>
  <c r="J27" i="43" a="1"/>
  <c r="J27" i="43" s="1"/>
  <c r="AA28" i="43" s="1"/>
  <c r="AB67" i="43" s="1"/>
  <c r="L32" i="43" a="1"/>
  <c r="L32" i="43" s="1"/>
  <c r="AQ31" i="43" s="1"/>
  <c r="AR68" i="43" s="1"/>
  <c r="N51" i="43" a="1"/>
  <c r="N51" i="43" s="1"/>
  <c r="L48" i="44" a="1"/>
  <c r="L48" i="44" s="1"/>
  <c r="AC49" i="44" s="1"/>
  <c r="AD74" i="44" s="1"/>
  <c r="J7" i="43" a="1"/>
  <c r="J7" i="43" s="1"/>
  <c r="AH7" i="43" s="1"/>
  <c r="AI60" i="43" s="1"/>
  <c r="I30" i="43" a="1"/>
  <c r="I30" i="43" s="1"/>
  <c r="Z31" i="43" s="1"/>
  <c r="AA68" i="43" s="1"/>
  <c r="H35" i="43" a="1"/>
  <c r="H35" i="43" s="1"/>
  <c r="N55" i="43" a="1"/>
  <c r="N55" i="43" s="1"/>
  <c r="AL55" i="43" s="1"/>
  <c r="AM76" i="43" s="1"/>
  <c r="K49" i="44" a="1"/>
  <c r="K49" i="44" s="1"/>
  <c r="AI49" i="44" s="1"/>
  <c r="AJ74" i="44" s="1"/>
  <c r="I5" i="43" a="1"/>
  <c r="I5" i="43" s="1"/>
  <c r="AN4" i="43" s="1"/>
  <c r="AO59" i="43" s="1"/>
  <c r="N21" i="43" a="1"/>
  <c r="N21" i="43" s="1"/>
  <c r="AE22" i="43" s="1"/>
  <c r="AF65" i="43" s="1"/>
  <c r="J25" i="43" a="1"/>
  <c r="J25" i="43" s="1"/>
  <c r="AH25" i="43" s="1"/>
  <c r="AI66" i="43" s="1"/>
  <c r="K48" i="43" a="1"/>
  <c r="K48" i="43" s="1"/>
  <c r="AB49" i="43" s="1"/>
  <c r="AC74" i="43" s="1"/>
  <c r="L54" i="43" a="1"/>
  <c r="L54" i="43" s="1"/>
  <c r="AC55" i="43" s="1"/>
  <c r="AD76" i="43" s="1"/>
  <c r="I55" i="44" a="1"/>
  <c r="I55" i="44" s="1"/>
  <c r="AG55" i="44" s="1"/>
  <c r="AH76" i="44" s="1"/>
  <c r="I9" i="43" a="1"/>
  <c r="I9" i="43" s="1"/>
  <c r="Z10" i="43" s="1"/>
  <c r="AA61" i="43" s="1"/>
  <c r="N13" i="43" a="1"/>
  <c r="N13" i="43" s="1"/>
  <c r="AL13" i="43" s="1"/>
  <c r="AM62" i="43" s="1"/>
  <c r="L38" i="43" a="1"/>
  <c r="L38" i="43" s="1"/>
  <c r="AQ37" i="43" s="1"/>
  <c r="AR70" i="43" s="1"/>
  <c r="K50" i="43" a="1"/>
  <c r="K50" i="43" s="1"/>
  <c r="L53" i="44" a="1"/>
  <c r="L53" i="44" s="1"/>
  <c r="K13" i="43" a="1"/>
  <c r="K13" i="43" s="1"/>
  <c r="AI13" i="43" s="1"/>
  <c r="AJ62" i="43" s="1"/>
  <c r="L34" i="43" a="1"/>
  <c r="L34" i="43" s="1"/>
  <c r="AJ34" i="43" s="1"/>
  <c r="AK69" i="43" s="1"/>
  <c r="N52" i="43" a="1"/>
  <c r="N52" i="43" s="1"/>
  <c r="AL52" i="43" s="1"/>
  <c r="AM75" i="43" s="1"/>
  <c r="H56" i="43" a="1"/>
  <c r="H56" i="43" s="1"/>
  <c r="L56" i="44" a="1"/>
  <c r="L56" i="44" s="1"/>
  <c r="J14" i="43" a="1"/>
  <c r="J14" i="43" s="1"/>
  <c r="AO13" i="43" s="1"/>
  <c r="AP62" i="43" s="1"/>
  <c r="K28" i="43" a="1"/>
  <c r="K28" i="43" s="1"/>
  <c r="AI28" i="43" s="1"/>
  <c r="AJ67" i="43" s="1"/>
  <c r="J36" i="43" a="1"/>
  <c r="J36" i="43" s="1"/>
  <c r="AA37" i="43" s="1"/>
  <c r="AB70" i="43" s="1"/>
  <c r="I29" i="43" a="1"/>
  <c r="I29" i="43" s="1"/>
  <c r="AN28" i="43" s="1"/>
  <c r="AO67" i="43" s="1"/>
  <c r="H51" i="44" a="1"/>
  <c r="H51" i="44" s="1"/>
  <c r="P51" i="44" s="1"/>
  <c r="J11" i="43" a="1"/>
  <c r="J11" i="43" s="1"/>
  <c r="AO10" i="43" s="1"/>
  <c r="AP61" i="43" s="1"/>
  <c r="K10" i="43" a="1"/>
  <c r="K10" i="43" s="1"/>
  <c r="AI10" i="43" s="1"/>
  <c r="AJ61" i="43" s="1"/>
  <c r="L20" i="43" a="1"/>
  <c r="L20" i="43" s="1"/>
  <c r="AQ19" i="43" s="1"/>
  <c r="AR64" i="43" s="1"/>
  <c r="N47" i="43" a="1"/>
  <c r="N47" i="43" s="1"/>
  <c r="AS46" i="43" s="1"/>
  <c r="AT73" i="43" s="1"/>
  <c r="L55" i="43" a="1"/>
  <c r="L55" i="43" s="1"/>
  <c r="AJ55" i="43" s="1"/>
  <c r="AK76" i="43" s="1"/>
  <c r="H19" i="43" a="1"/>
  <c r="H19" i="43" s="1"/>
  <c r="H7" i="43" a="1"/>
  <c r="H7" i="43" s="1"/>
  <c r="J19" i="43" a="1"/>
  <c r="J19" i="43" s="1"/>
  <c r="AH19" i="43" s="1"/>
  <c r="AI64" i="43" s="1"/>
  <c r="N33" i="43" a="1"/>
  <c r="N33" i="43" s="1"/>
  <c r="AE34" i="43" s="1"/>
  <c r="AF69" i="43" s="1"/>
  <c r="H43" i="43" a="1"/>
  <c r="H43" i="43" s="1"/>
  <c r="M14" i="48" a="1"/>
  <c r="M14" i="48" s="1"/>
  <c r="AU13" i="48" s="1"/>
  <c r="AV62" i="48" s="1"/>
  <c r="N41" i="48" a="1"/>
  <c r="N41" i="48" s="1"/>
  <c r="AV40" i="48" s="1"/>
  <c r="AW71" i="48" s="1"/>
  <c r="K50" i="48" a="1"/>
  <c r="K50" i="48" s="1"/>
  <c r="H23" i="47" a="1"/>
  <c r="H23" i="47" s="1"/>
  <c r="M30" i="47" a="1"/>
  <c r="M30" i="47" s="1"/>
  <c r="AD31" i="47" s="1"/>
  <c r="AE68" i="47" s="1"/>
  <c r="H33" i="47" a="1"/>
  <c r="H33" i="47" s="1"/>
  <c r="O33" i="47" s="1"/>
  <c r="Q33" i="47" s="1"/>
  <c r="I56" i="47" a="1"/>
  <c r="I56" i="47" s="1"/>
  <c r="M23" i="46" a="1"/>
  <c r="M23" i="46" s="1"/>
  <c r="AR22" i="46" s="1"/>
  <c r="AS65" i="46" s="1"/>
  <c r="M11" i="46" a="1"/>
  <c r="M11" i="46" s="1"/>
  <c r="AR10" i="46" s="1"/>
  <c r="AS61" i="46" s="1"/>
  <c r="H33" i="46" a="1"/>
  <c r="H33" i="46" s="1"/>
  <c r="J21" i="48" a="1"/>
  <c r="J21" i="48" s="1"/>
  <c r="AD22" i="48" s="1"/>
  <c r="AE65" i="48" s="1"/>
  <c r="M21" i="48" a="1"/>
  <c r="M21" i="48" s="1"/>
  <c r="AG22" i="48" s="1"/>
  <c r="AH65" i="48" s="1"/>
  <c r="N54" i="48" a="1"/>
  <c r="N54" i="48" s="1"/>
  <c r="J12" i="47" a="1"/>
  <c r="J12" i="47" s="1"/>
  <c r="AA13" i="47" s="1"/>
  <c r="AB62" i="47" s="1"/>
  <c r="I6" i="47" a="1"/>
  <c r="I6" i="47" s="1"/>
  <c r="Z7" i="47" s="1"/>
  <c r="AA60" i="47" s="1"/>
  <c r="J21" i="47" a="1"/>
  <c r="J21" i="47" s="1"/>
  <c r="AA22" i="47" s="1"/>
  <c r="AB65" i="47" s="1"/>
  <c r="I29" i="47" a="1"/>
  <c r="I29" i="47" s="1"/>
  <c r="AN28" i="47" s="1"/>
  <c r="AO67" i="47" s="1"/>
  <c r="H52" i="47" a="1"/>
  <c r="H52" i="47" s="1"/>
  <c r="P52" i="47" s="1"/>
  <c r="N21" i="46" a="1"/>
  <c r="N21" i="46" s="1"/>
  <c r="AE22" i="46" s="1"/>
  <c r="AF65" i="46" s="1"/>
  <c r="I55" i="49" a="1"/>
  <c r="I55" i="49" s="1"/>
  <c r="AG55" i="49" s="1"/>
  <c r="AH76" i="49" s="1"/>
  <c r="K30" i="48" a="1"/>
  <c r="K30" i="48" s="1"/>
  <c r="AE31" i="48" s="1"/>
  <c r="AF68" i="48" s="1"/>
  <c r="L22" i="48" a="1"/>
  <c r="L22" i="48" s="1"/>
  <c r="AM22" i="48" s="1"/>
  <c r="AN65" i="48" s="1"/>
  <c r="I51" i="48" a="1"/>
  <c r="I51" i="48" s="1"/>
  <c r="N27" i="47" a="1"/>
  <c r="N27" i="47" s="1"/>
  <c r="M6" i="47" a="1"/>
  <c r="M6" i="47" s="1"/>
  <c r="AD7" i="47" s="1"/>
  <c r="AE60" i="47" s="1"/>
  <c r="I26" i="47" a="1"/>
  <c r="I26" i="47" s="1"/>
  <c r="AN25" i="47" s="1"/>
  <c r="AO66" i="47" s="1"/>
  <c r="K50" i="47" a="1"/>
  <c r="K50" i="47" s="1"/>
  <c r="I15" i="46" a="1"/>
  <c r="I15" i="46" s="1"/>
  <c r="Z16" i="46" s="1"/>
  <c r="AA63" i="46" s="1"/>
  <c r="L26" i="46" a="1"/>
  <c r="L26" i="46" s="1"/>
  <c r="AQ25" i="46" s="1"/>
  <c r="AR66" i="46" s="1"/>
  <c r="J4" i="48" a="1"/>
  <c r="J4" i="48" s="1"/>
  <c r="AK4" i="48" s="1"/>
  <c r="AL59" i="48" s="1"/>
  <c r="K29" i="48" a="1"/>
  <c r="K29" i="48" s="1"/>
  <c r="AS28" i="48" s="1"/>
  <c r="AT67" i="48" s="1"/>
  <c r="H37" i="48" a="1"/>
  <c r="H37" i="48" s="1"/>
  <c r="N3" i="47" a="1"/>
  <c r="N3" i="47" s="1"/>
  <c r="AE4" i="47" s="1"/>
  <c r="AF59" i="47" s="1"/>
  <c r="L3" i="47" a="1"/>
  <c r="L3" i="47" s="1"/>
  <c r="AC4" i="47" s="1"/>
  <c r="AD59" i="47" s="1"/>
  <c r="H36" i="47" a="1"/>
  <c r="H36" i="47" s="1"/>
  <c r="Y37" i="47" s="1"/>
  <c r="Z70" i="47" s="1"/>
  <c r="K28" i="47" a="1"/>
  <c r="K28" i="47" s="1"/>
  <c r="AI28" i="47" s="1"/>
  <c r="AJ67" i="47" s="1"/>
  <c r="J50" i="47" a="1"/>
  <c r="J50" i="47" s="1"/>
  <c r="N15" i="46" a="1"/>
  <c r="N15" i="46" s="1"/>
  <c r="AE16" i="46" s="1"/>
  <c r="AF63" i="46" s="1"/>
  <c r="N32" i="46" a="1"/>
  <c r="N32" i="46" s="1"/>
  <c r="AS31" i="46" s="1"/>
  <c r="AT68" i="46" s="1"/>
  <c r="J19" i="48" a="1"/>
  <c r="J19" i="48" s="1"/>
  <c r="AK19" i="48" s="1"/>
  <c r="AL64" i="48" s="1"/>
  <c r="N36" i="48" a="1"/>
  <c r="N36" i="48" s="1"/>
  <c r="N56" i="44" a="1"/>
  <c r="N56" i="44" s="1"/>
  <c r="N7" i="43" a="1"/>
  <c r="N7" i="43" s="1"/>
  <c r="AL7" i="43" s="1"/>
  <c r="AM60" i="43" s="1"/>
  <c r="L24" i="43" a="1"/>
  <c r="L24" i="43" s="1"/>
  <c r="AC25" i="43" s="1"/>
  <c r="AD66" i="43" s="1"/>
  <c r="M32" i="43" a="1"/>
  <c r="M32" i="43" s="1"/>
  <c r="AR31" i="43" s="1"/>
  <c r="AS68" i="43" s="1"/>
  <c r="I46" i="43" a="1"/>
  <c r="I46" i="43" s="1"/>
  <c r="AG46" i="43" s="1"/>
  <c r="AH73" i="43" s="1"/>
  <c r="K55" i="44" a="1"/>
  <c r="K55" i="44" s="1"/>
  <c r="AI55" i="44" s="1"/>
  <c r="AJ76" i="44" s="1"/>
  <c r="L6" i="43" a="1"/>
  <c r="L6" i="43" s="1"/>
  <c r="AC7" i="43" s="1"/>
  <c r="AD60" i="43" s="1"/>
  <c r="L12" i="43" a="1"/>
  <c r="L12" i="43" s="1"/>
  <c r="AC13" i="43" s="1"/>
  <c r="AD62" i="43" s="1"/>
  <c r="K45" i="43" a="1"/>
  <c r="K45" i="43" s="1"/>
  <c r="AB46" i="43" s="1"/>
  <c r="AC73" i="43" s="1"/>
  <c r="K55" i="43" a="1"/>
  <c r="K55" i="43" s="1"/>
  <c r="AI55" i="43" s="1"/>
  <c r="AJ76" i="43" s="1"/>
  <c r="H52" i="44" a="1"/>
  <c r="H52" i="44" s="1"/>
  <c r="N8" i="43" a="1"/>
  <c r="N8" i="43" s="1"/>
  <c r="AS7" i="43" s="1"/>
  <c r="AT60" i="43" s="1"/>
  <c r="N26" i="43" a="1"/>
  <c r="N26" i="43" s="1"/>
  <c r="AS25" i="43" s="1"/>
  <c r="AT66" i="43" s="1"/>
  <c r="N34" i="43" a="1"/>
  <c r="N34" i="43" s="1"/>
  <c r="AL34" i="43" s="1"/>
  <c r="AM69" i="43" s="1"/>
  <c r="K49" i="43" a="1"/>
  <c r="K49" i="43" s="1"/>
  <c r="AI49" i="43" s="1"/>
  <c r="AJ74" i="43" s="1"/>
  <c r="I24" i="44" a="1"/>
  <c r="I24" i="44" s="1"/>
  <c r="Z25" i="44" s="1"/>
  <c r="AA66" i="44" s="1"/>
  <c r="K3" i="43" a="1"/>
  <c r="K3" i="43" s="1"/>
  <c r="AB4" i="43" s="1"/>
  <c r="AC59" i="43" s="1"/>
  <c r="N10" i="43" a="1"/>
  <c r="N10" i="43" s="1"/>
  <c r="AL10" i="43" s="1"/>
  <c r="AM61" i="43" s="1"/>
  <c r="K14" i="43" a="1"/>
  <c r="K14" i="43" s="1"/>
  <c r="AP13" i="43" s="1"/>
  <c r="AQ62" i="43" s="1"/>
  <c r="J38" i="43" a="1"/>
  <c r="J38" i="43" s="1"/>
  <c r="AO37" i="43" s="1"/>
  <c r="AP70" i="43" s="1"/>
  <c r="L47" i="43" a="1"/>
  <c r="L47" i="43" s="1"/>
  <c r="AQ46" i="43" s="1"/>
  <c r="AR73" i="43" s="1"/>
  <c r="M55" i="44" a="1"/>
  <c r="M55" i="44" s="1"/>
  <c r="AK55" i="44" s="1"/>
  <c r="AL76" i="44" s="1"/>
  <c r="M11" i="43" a="1"/>
  <c r="M11" i="43" s="1"/>
  <c r="AR10" i="43" s="1"/>
  <c r="AS61" i="43" s="1"/>
  <c r="L33" i="43" a="1"/>
  <c r="L33" i="43" s="1"/>
  <c r="AC34" i="43" s="1"/>
  <c r="AD69" i="43" s="1"/>
  <c r="I40" i="43" a="1"/>
  <c r="I40" i="43" s="1"/>
  <c r="AG40" i="43" s="1"/>
  <c r="AH71" i="43" s="1"/>
  <c r="I53" i="43" a="1"/>
  <c r="I53" i="43" s="1"/>
  <c r="Y82" i="43" s="1"/>
  <c r="H55" i="44" a="1"/>
  <c r="H55" i="44" s="1"/>
  <c r="N4" i="43" a="1"/>
  <c r="N4" i="43" s="1"/>
  <c r="AL4" i="43" s="1"/>
  <c r="AM59" i="43" s="1"/>
  <c r="I19" i="43" a="1"/>
  <c r="I19" i="43" s="1"/>
  <c r="AG19" i="43" s="1"/>
  <c r="AH64" i="43" s="1"/>
  <c r="K39" i="43" a="1"/>
  <c r="K39" i="43" s="1"/>
  <c r="AB40" i="43" s="1"/>
  <c r="AC71" i="43" s="1"/>
  <c r="I50" i="43" a="1"/>
  <c r="I50" i="43" s="1"/>
  <c r="J53" i="44" a="1"/>
  <c r="J53" i="44" s="1"/>
  <c r="N17" i="43" a="1"/>
  <c r="N17" i="43" s="1"/>
  <c r="AS16" i="43" s="1"/>
  <c r="AT63" i="43" s="1"/>
  <c r="L18" i="43" a="1"/>
  <c r="L18" i="43" s="1"/>
  <c r="AC19" i="43" s="1"/>
  <c r="AD64" i="43" s="1"/>
  <c r="J16" i="43" a="1"/>
  <c r="J16" i="43" s="1"/>
  <c r="AH16" i="43" s="1"/>
  <c r="AI63" i="43" s="1"/>
  <c r="I32" i="43" a="1"/>
  <c r="I32" i="43" s="1"/>
  <c r="AN31" i="43" s="1"/>
  <c r="AO68" i="43" s="1"/>
  <c r="J44" i="44" a="1"/>
  <c r="J44" i="44" s="1"/>
  <c r="AO43" i="44" s="1"/>
  <c r="AP72" i="44" s="1"/>
  <c r="N35" i="43" a="1"/>
  <c r="N35" i="43" s="1"/>
  <c r="AS34" i="43" s="1"/>
  <c r="AT69" i="43" s="1"/>
  <c r="I4" i="43" a="1"/>
  <c r="I4" i="43" s="1"/>
  <c r="AG4" i="43" s="1"/>
  <c r="AH59" i="43" s="1"/>
  <c r="L25" i="43" a="1"/>
  <c r="L25" i="43" s="1"/>
  <c r="AJ25" i="43" s="1"/>
  <c r="AK66" i="43" s="1"/>
  <c r="H27" i="43" a="1"/>
  <c r="H27" i="43" s="1"/>
  <c r="M48" i="43" a="1"/>
  <c r="M48" i="43" s="1"/>
  <c r="AD49" i="43" s="1"/>
  <c r="AE74" i="43" s="1"/>
  <c r="N13" i="48" a="1"/>
  <c r="N13" i="48" s="1"/>
  <c r="AO13" i="48" s="1"/>
  <c r="AP62" i="48" s="1"/>
  <c r="I20" i="48" a="1"/>
  <c r="I20" i="48" s="1"/>
  <c r="AQ19" i="48" s="1"/>
  <c r="AR64" i="48" s="1"/>
  <c r="H54" i="48" a="1"/>
  <c r="H54" i="48" s="1"/>
  <c r="M27" i="47" a="1"/>
  <c r="M27" i="47" s="1"/>
  <c r="AD28" i="47" s="1"/>
  <c r="AE67" i="47" s="1"/>
  <c r="H5" i="47" a="1"/>
  <c r="H5" i="47" s="1"/>
  <c r="H35" i="47" a="1"/>
  <c r="H35" i="47" s="1"/>
  <c r="AM34" i="47" s="1"/>
  <c r="AN69" i="47" s="1"/>
  <c r="I54" i="47" a="1"/>
  <c r="I54" i="47" s="1"/>
  <c r="Z55" i="47" s="1"/>
  <c r="AA76" i="47" s="1"/>
  <c r="K24" i="46" a="1"/>
  <c r="K24" i="46" s="1"/>
  <c r="AB25" i="46" s="1"/>
  <c r="AC66" i="46" s="1"/>
  <c r="H20" i="46" a="1"/>
  <c r="H20" i="46" s="1"/>
  <c r="AM19" i="46" s="1"/>
  <c r="AN64" i="46" s="1"/>
  <c r="J6" i="48" a="1"/>
  <c r="J6" i="48" s="1"/>
  <c r="AD7" i="48" s="1"/>
  <c r="AE60" i="48" s="1"/>
  <c r="M34" i="48" a="1"/>
  <c r="M34" i="48" s="1"/>
  <c r="AN34" i="48" s="1"/>
  <c r="AO69" i="48" s="1"/>
  <c r="I25" i="48" a="1"/>
  <c r="I25" i="48" s="1"/>
  <c r="AJ25" i="48" s="1"/>
  <c r="AK66" i="48" s="1"/>
  <c r="K54" i="48" a="1"/>
  <c r="K54" i="48" s="1"/>
  <c r="AE55" i="48" s="1"/>
  <c r="AF76" i="48" s="1"/>
  <c r="J10" i="47" a="1"/>
  <c r="J10" i="47" s="1"/>
  <c r="AH10" i="47" s="1"/>
  <c r="AI61" i="47" s="1"/>
  <c r="H14" i="47" a="1"/>
  <c r="H14" i="47" s="1"/>
  <c r="P14" i="47" s="1"/>
  <c r="K25" i="47" a="1"/>
  <c r="K25" i="47" s="1"/>
  <c r="AI25" i="47" s="1"/>
  <c r="AJ66" i="47" s="1"/>
  <c r="J45" i="47" a="1"/>
  <c r="J45" i="47" s="1"/>
  <c r="AA46" i="47" s="1"/>
  <c r="AB73" i="47" s="1"/>
  <c r="J4" i="46" a="1"/>
  <c r="J4" i="46" s="1"/>
  <c r="AH4" i="46" s="1"/>
  <c r="AI59" i="46" s="1"/>
  <c r="N13" i="46" a="1"/>
  <c r="N13" i="46" s="1"/>
  <c r="AL13" i="46" s="1"/>
  <c r="AM62" i="46" s="1"/>
  <c r="L5" i="48" a="1"/>
  <c r="L5" i="48" s="1"/>
  <c r="AT4" i="48" s="1"/>
  <c r="AU59" i="48" s="1"/>
  <c r="L30" i="48" a="1"/>
  <c r="L30" i="48" s="1"/>
  <c r="AF31" i="48" s="1"/>
  <c r="AG68" i="48" s="1"/>
  <c r="M25" i="48" a="1"/>
  <c r="M25" i="48" s="1"/>
  <c r="AN25" i="48" s="1"/>
  <c r="AO66" i="48" s="1"/>
  <c r="I52" i="48" a="1"/>
  <c r="I52" i="48" s="1"/>
  <c r="AJ52" i="48" s="1"/>
  <c r="AK75" i="48" s="1"/>
  <c r="L13" i="47" a="1"/>
  <c r="L13" i="47" s="1"/>
  <c r="AJ13" i="47" s="1"/>
  <c r="AK62" i="47" s="1"/>
  <c r="M15" i="47" a="1"/>
  <c r="M15" i="47" s="1"/>
  <c r="AD16" i="47" s="1"/>
  <c r="AE63" i="47" s="1"/>
  <c r="I42" i="47" a="1"/>
  <c r="I42" i="47" s="1"/>
  <c r="Z43" i="47" s="1"/>
  <c r="AA72" i="47" s="1"/>
  <c r="I50" i="47" a="1"/>
  <c r="I50" i="47" s="1"/>
  <c r="O50" i="47" s="1"/>
  <c r="M10" i="46" a="1"/>
  <c r="M10" i="46" s="1"/>
  <c r="AK10" i="46" s="1"/>
  <c r="AL61" i="46" s="1"/>
  <c r="J20" i="46" a="1"/>
  <c r="J20" i="46" s="1"/>
  <c r="AO19" i="46" s="1"/>
  <c r="AP64" i="46" s="1"/>
  <c r="J12" i="48" a="1"/>
  <c r="J12" i="48" s="1"/>
  <c r="AD13" i="48" s="1"/>
  <c r="AE62" i="48" s="1"/>
  <c r="L19" i="48" a="1"/>
  <c r="L19" i="48" s="1"/>
  <c r="AM19" i="48" s="1"/>
  <c r="AN64" i="48" s="1"/>
  <c r="J42" i="48" a="1"/>
  <c r="J42" i="48" s="1"/>
  <c r="AD43" i="48" s="1"/>
  <c r="AE72" i="48" s="1"/>
  <c r="H9" i="47" a="1"/>
  <c r="H9" i="47" s="1"/>
  <c r="U9" i="47" s="1"/>
  <c r="L14" i="47" a="1"/>
  <c r="L14" i="47" s="1"/>
  <c r="AQ13" i="47" s="1"/>
  <c r="AR62" i="47" s="1"/>
  <c r="K42" i="47" a="1"/>
  <c r="K42" i="47" s="1"/>
  <c r="AB43" i="47" s="1"/>
  <c r="AC72" i="47" s="1"/>
  <c r="M42" i="47" a="1"/>
  <c r="M42" i="47" s="1"/>
  <c r="AD43" i="47" s="1"/>
  <c r="AE72" i="47" s="1"/>
  <c r="M50" i="47" a="1"/>
  <c r="M50" i="47" s="1"/>
  <c r="I12" i="46" a="1"/>
  <c r="I12" i="46" s="1"/>
  <c r="Z13" i="46" s="1"/>
  <c r="AA62" i="46" s="1"/>
  <c r="H40" i="46" a="1"/>
  <c r="H40" i="46" s="1"/>
  <c r="P40" i="46" s="1"/>
  <c r="H33" i="48" a="1"/>
  <c r="H33" i="48" s="1"/>
  <c r="K41" i="48" a="1"/>
  <c r="K41" i="48" s="1"/>
  <c r="AS40" i="48" s="1"/>
  <c r="AT71" i="48" s="1"/>
  <c r="J53" i="48" a="1"/>
  <c r="J53" i="48" s="1"/>
  <c r="K19" i="47" a="1"/>
  <c r="K19" i="47" s="1"/>
  <c r="AI19" i="47" s="1"/>
  <c r="AJ64" i="47" s="1"/>
  <c r="H41" i="43" a="1"/>
  <c r="H41" i="43" s="1"/>
  <c r="AM40" i="43" s="1"/>
  <c r="AN71" i="43" s="1"/>
  <c r="H5" i="43" a="1"/>
  <c r="H5" i="43" s="1"/>
  <c r="P5" i="43" s="1"/>
  <c r="I13" i="43" a="1"/>
  <c r="I13" i="43" s="1"/>
  <c r="AG13" i="43" s="1"/>
  <c r="AH62" i="43" s="1"/>
  <c r="K47" i="43" a="1"/>
  <c r="K47" i="43" s="1"/>
  <c r="AP46" i="43" s="1"/>
  <c r="AQ73" i="43" s="1"/>
  <c r="L43" i="43" a="1"/>
  <c r="L43" i="43" s="1"/>
  <c r="AJ43" i="43" s="1"/>
  <c r="AK72" i="43" s="1"/>
  <c r="I53" i="44" a="1"/>
  <c r="I53" i="44" s="1"/>
  <c r="H17" i="43" a="1"/>
  <c r="H17" i="43" s="1"/>
  <c r="O17" i="43" s="1"/>
  <c r="H25" i="43" a="1"/>
  <c r="H25" i="43" s="1"/>
  <c r="M49" i="43" a="1"/>
  <c r="M49" i="43" s="1"/>
  <c r="AK49" i="43" s="1"/>
  <c r="AL74" i="43" s="1"/>
  <c r="I54" i="43" a="1"/>
  <c r="I54" i="43" s="1"/>
  <c r="Z55" i="43" s="1"/>
  <c r="AA76" i="43" s="1"/>
  <c r="L49" i="44" a="1"/>
  <c r="L49" i="44" s="1"/>
  <c r="AJ49" i="44" s="1"/>
  <c r="AK74" i="44" s="1"/>
  <c r="N6" i="43" a="1"/>
  <c r="N6" i="43" s="1"/>
  <c r="AE7" i="43" s="1"/>
  <c r="AF60" i="43" s="1"/>
  <c r="N30" i="43" a="1"/>
  <c r="N30" i="43" s="1"/>
  <c r="AE31" i="43" s="1"/>
  <c r="AF68" i="43" s="1"/>
  <c r="M38" i="43" a="1"/>
  <c r="M38" i="43" s="1"/>
  <c r="AR37" i="43" s="1"/>
  <c r="AS70" i="43" s="1"/>
  <c r="N46" i="43" a="1"/>
  <c r="N46" i="43" s="1"/>
  <c r="AL46" i="43" s="1"/>
  <c r="AM73" i="43" s="1"/>
  <c r="H47" i="44" a="1"/>
  <c r="H47" i="44" s="1"/>
  <c r="O47" i="44" s="1"/>
  <c r="L3" i="43" a="1"/>
  <c r="L3" i="43" s="1"/>
  <c r="AC4" i="43" s="1"/>
  <c r="AD59" i="43" s="1"/>
  <c r="I17" i="43" a="1"/>
  <c r="I17" i="43" s="1"/>
  <c r="AN16" i="43" s="1"/>
  <c r="AO63" i="43" s="1"/>
  <c r="M24" i="43" a="1"/>
  <c r="M24" i="43" s="1"/>
  <c r="AD25" i="43" s="1"/>
  <c r="AE66" i="43" s="1"/>
  <c r="I33" i="43" a="1"/>
  <c r="I33" i="43" s="1"/>
  <c r="Z34" i="43" s="1"/>
  <c r="AA69" i="43" s="1"/>
  <c r="J56" i="43" a="1"/>
  <c r="J56" i="43" s="1"/>
  <c r="O56" i="43" s="1"/>
  <c r="N3" i="43" a="1"/>
  <c r="N3" i="43" s="1"/>
  <c r="AE4" i="43" s="1"/>
  <c r="AF59" i="43" s="1"/>
  <c r="H21" i="43" a="1"/>
  <c r="H21" i="43" s="1"/>
  <c r="U24" i="43" s="1"/>
  <c r="L42" i="43" a="1"/>
  <c r="L42" i="43" s="1"/>
  <c r="AC43" i="43" s="1"/>
  <c r="AD72" i="43" s="1"/>
  <c r="M50" i="43" a="1"/>
  <c r="M50" i="43" s="1"/>
  <c r="J50" i="43" a="1"/>
  <c r="J50" i="43" s="1"/>
  <c r="H11" i="43" a="1"/>
  <c r="H11" i="43" s="1"/>
  <c r="J18" i="43" a="1"/>
  <c r="J18" i="43" s="1"/>
  <c r="AA19" i="43" s="1"/>
  <c r="AB64" i="43" s="1"/>
  <c r="N16" i="43" a="1"/>
  <c r="N16" i="43" s="1"/>
  <c r="AL16" i="43" s="1"/>
  <c r="AM63" i="43" s="1"/>
  <c r="N29" i="43" a="1"/>
  <c r="N29" i="43" s="1"/>
  <c r="AS28" i="43" s="1"/>
  <c r="AT67" i="43" s="1"/>
  <c r="M47" i="43" a="1"/>
  <c r="M47" i="43" s="1"/>
  <c r="AR46" i="43" s="1"/>
  <c r="AS73" i="43" s="1"/>
  <c r="K54" i="44" a="1"/>
  <c r="K54" i="44" s="1"/>
  <c r="AB55" i="44" s="1"/>
  <c r="AC76" i="44" s="1"/>
  <c r="H9" i="43" a="1"/>
  <c r="H9" i="43" s="1"/>
  <c r="Y10" i="43" s="1"/>
  <c r="Z61" i="43" s="1"/>
  <c r="N20" i="43" a="1"/>
  <c r="N20" i="43" s="1"/>
  <c r="AS19" i="43" s="1"/>
  <c r="AT64" i="43" s="1"/>
  <c r="K30" i="43" a="1"/>
  <c r="K30" i="43" s="1"/>
  <c r="AB31" i="43" s="1"/>
  <c r="AC68" i="43" s="1"/>
  <c r="L27" i="43" a="1"/>
  <c r="L27" i="43" s="1"/>
  <c r="AC28" i="43" s="1"/>
  <c r="AD67" i="43" s="1"/>
  <c r="K41" i="44" a="1"/>
  <c r="K41" i="44" s="1"/>
  <c r="AP40" i="44" s="1"/>
  <c r="AQ71" i="44" s="1"/>
  <c r="H13" i="43" a="1"/>
  <c r="H13" i="43" s="1"/>
  <c r="I15" i="43" a="1"/>
  <c r="I15" i="43" s="1"/>
  <c r="Z16" i="43" s="1"/>
  <c r="AA63" i="43" s="1"/>
  <c r="I39" i="43" a="1"/>
  <c r="I39" i="43" s="1"/>
  <c r="Z40" i="43" s="1"/>
  <c r="AA71" i="43" s="1"/>
  <c r="K38" i="43" a="1"/>
  <c r="K38" i="43" s="1"/>
  <c r="AP37" i="43" s="1"/>
  <c r="AQ70" i="43" s="1"/>
  <c r="N48" i="43" a="1"/>
  <c r="N48" i="43" s="1"/>
  <c r="AE49" i="43" s="1"/>
  <c r="AF74" i="43" s="1"/>
  <c r="H21" i="48" a="1"/>
  <c r="H21" i="48" s="1"/>
  <c r="I44" i="48" a="1"/>
  <c r="I44" i="48" s="1"/>
  <c r="AQ43" i="48" s="1"/>
  <c r="AR72" i="48" s="1"/>
  <c r="I47" i="48" a="1"/>
  <c r="I47" i="48" s="1"/>
  <c r="AQ46" i="48" s="1"/>
  <c r="AR73" i="48" s="1"/>
  <c r="K8" i="47" a="1"/>
  <c r="K8" i="47" s="1"/>
  <c r="AP7" i="47" s="1"/>
  <c r="AQ60" i="47" s="1"/>
  <c r="J29" i="47" a="1"/>
  <c r="J29" i="47" s="1"/>
  <c r="AO28" i="47" s="1"/>
  <c r="AP67" i="47" s="1"/>
  <c r="H46" i="47" a="1"/>
  <c r="H46" i="47" s="1"/>
  <c r="P46" i="47" s="1"/>
  <c r="M55" i="47" a="1"/>
  <c r="M55" i="47" s="1"/>
  <c r="AK55" i="47" s="1"/>
  <c r="AL76" i="47" s="1"/>
  <c r="L10" i="46" a="1"/>
  <c r="L10" i="46" s="1"/>
  <c r="AJ10" i="46" s="1"/>
  <c r="AK61" i="46" s="1"/>
  <c r="I20" i="46" a="1"/>
  <c r="I20" i="46" s="1"/>
  <c r="AN19" i="46" s="1"/>
  <c r="AO64" i="46" s="1"/>
  <c r="K17" i="48" a="1"/>
  <c r="K17" i="48" s="1"/>
  <c r="AS16" i="48" s="1"/>
  <c r="AT63" i="48" s="1"/>
  <c r="L28" i="48" a="1"/>
  <c r="L28" i="48" s="1"/>
  <c r="AM28" i="48" s="1"/>
  <c r="AN67" i="48" s="1"/>
  <c r="M44" i="48" a="1"/>
  <c r="M44" i="48" s="1"/>
  <c r="AU43" i="48" s="1"/>
  <c r="AV72" i="48" s="1"/>
  <c r="H55" i="48" a="1"/>
  <c r="H55" i="48" s="1"/>
  <c r="O55" i="48" s="1"/>
  <c r="N15" i="47" a="1"/>
  <c r="N15" i="47" s="1"/>
  <c r="AE16" i="47" s="1"/>
  <c r="AF63" i="47" s="1"/>
  <c r="N29" i="47" a="1"/>
  <c r="N29" i="47" s="1"/>
  <c r="AS28" i="47" s="1"/>
  <c r="AT67" i="47" s="1"/>
  <c r="H39" i="47" a="1"/>
  <c r="H39" i="47" s="1"/>
  <c r="P39" i="47" s="1"/>
  <c r="M38" i="47" a="1"/>
  <c r="M38" i="47" s="1"/>
  <c r="AR37" i="47" s="1"/>
  <c r="AS70" i="47" s="1"/>
  <c r="K8" i="46" a="1"/>
  <c r="K8" i="46" s="1"/>
  <c r="AP7" i="46" s="1"/>
  <c r="AQ60" i="46" s="1"/>
  <c r="L15" i="46" a="1"/>
  <c r="L15" i="46" s="1"/>
  <c r="AC16" i="46" s="1"/>
  <c r="AD63" i="46" s="1"/>
  <c r="K15" i="48" a="1"/>
  <c r="K15" i="48" s="1"/>
  <c r="AE16" i="48" s="1"/>
  <c r="AF63" i="48" s="1"/>
  <c r="M23" i="48" a="1"/>
  <c r="M23" i="48" s="1"/>
  <c r="AU22" i="48" s="1"/>
  <c r="AV65" i="48" s="1"/>
  <c r="M39" i="48" a="1"/>
  <c r="M39" i="48" s="1"/>
  <c r="AG40" i="48" s="1"/>
  <c r="AH71" i="48" s="1"/>
  <c r="K53" i="48" a="1"/>
  <c r="K53" i="48" s="1"/>
  <c r="L12" i="47" a="1"/>
  <c r="L12" i="47" s="1"/>
  <c r="AC13" i="47" s="1"/>
  <c r="AD62" i="47" s="1"/>
  <c r="H29" i="47" a="1"/>
  <c r="H29" i="47" s="1"/>
  <c r="AM28" i="47" s="1"/>
  <c r="AN67" i="47" s="1"/>
  <c r="M37" i="47" a="1"/>
  <c r="M37" i="47" s="1"/>
  <c r="AK37" i="47" s="1"/>
  <c r="AL70" i="47" s="1"/>
  <c r="H53" i="47" a="1"/>
  <c r="H53" i="47" s="1"/>
  <c r="K11" i="46" a="1"/>
  <c r="K11" i="46" s="1"/>
  <c r="AP10" i="46" s="1"/>
  <c r="AQ61" i="46" s="1"/>
  <c r="K31" i="46" a="1"/>
  <c r="K31" i="46" s="1"/>
  <c r="AI31" i="46" s="1"/>
  <c r="AJ68" i="46" s="1"/>
  <c r="N17" i="48" a="1"/>
  <c r="N17" i="48" s="1"/>
  <c r="AV16" i="48" s="1"/>
  <c r="AW63" i="48" s="1"/>
  <c r="I40" i="48" a="1"/>
  <c r="I40" i="48" s="1"/>
  <c r="AJ40" i="48" s="1"/>
  <c r="AK71" i="48" s="1"/>
  <c r="H44" i="48" a="1"/>
  <c r="H44" i="48" s="1"/>
  <c r="H19" i="47" a="1"/>
  <c r="H19" i="47" s="1"/>
  <c r="AF19" i="47" s="1"/>
  <c r="AG64" i="47" s="1"/>
  <c r="K17" i="47" a="1"/>
  <c r="K17" i="47" s="1"/>
  <c r="AP16" i="47" s="1"/>
  <c r="AQ63" i="47" s="1"/>
  <c r="I28" i="47" a="1"/>
  <c r="I28" i="47" s="1"/>
  <c r="AG28" i="47" s="1"/>
  <c r="AH67" i="47" s="1"/>
  <c r="J41" i="47" a="1"/>
  <c r="J41" i="47" s="1"/>
  <c r="AO40" i="47" s="1"/>
  <c r="AP71" i="47" s="1"/>
  <c r="L53" i="47" a="1"/>
  <c r="L53" i="47" s="1"/>
  <c r="N11" i="46" a="1"/>
  <c r="N11" i="46" s="1"/>
  <c r="AS10" i="46" s="1"/>
  <c r="AT61" i="46" s="1"/>
  <c r="M4" i="48" a="1"/>
  <c r="M4" i="48" s="1"/>
  <c r="AN4" i="48" s="1"/>
  <c r="AO59" i="48" s="1"/>
  <c r="H40" i="48" a="1"/>
  <c r="H40" i="48" s="1"/>
  <c r="AI40" i="48" s="1"/>
  <c r="AJ71" i="48" s="1"/>
  <c r="L25" i="48" a="1"/>
  <c r="L25" i="48" s="1"/>
  <c r="AM25" i="48" s="1"/>
  <c r="AN66" i="48" s="1"/>
  <c r="H56" i="48" a="1"/>
  <c r="H56" i="48" s="1"/>
  <c r="AF25" i="44"/>
  <c r="AG66" i="44" s="1"/>
  <c r="P25" i="44"/>
  <c r="O25" i="44"/>
  <c r="AF22" i="43"/>
  <c r="AG65" i="43" s="1"/>
  <c r="P22" i="43"/>
  <c r="O22" i="43"/>
  <c r="AB7" i="53"/>
  <c r="AC60" i="53" s="1"/>
  <c r="Y40" i="44"/>
  <c r="Z71" i="44" s="1"/>
  <c r="P39" i="44"/>
  <c r="O39" i="44"/>
  <c r="AM31" i="50"/>
  <c r="AN68" i="50" s="1"/>
  <c r="P32" i="50"/>
  <c r="O32" i="50"/>
  <c r="AF16" i="51"/>
  <c r="AG63" i="51" s="1"/>
  <c r="P16" i="51"/>
  <c r="O16" i="51"/>
  <c r="Y25" i="47"/>
  <c r="Z66" i="47" s="1"/>
  <c r="P24" i="47"/>
  <c r="O24" i="47"/>
  <c r="AM19" i="45"/>
  <c r="AN64" i="45" s="1"/>
  <c r="P20" i="45"/>
  <c r="O20" i="45"/>
  <c r="AF16" i="47"/>
  <c r="AG63" i="47" s="1"/>
  <c r="P16" i="47"/>
  <c r="O16" i="47"/>
  <c r="AM19" i="52"/>
  <c r="AN64" i="52" s="1"/>
  <c r="P20" i="52"/>
  <c r="O20" i="52"/>
  <c r="AF49" i="43"/>
  <c r="AG74" i="43" s="1"/>
  <c r="P49" i="43"/>
  <c r="P9" i="46"/>
  <c r="Y10" i="46"/>
  <c r="Z61" i="46" s="1"/>
  <c r="O9" i="46"/>
  <c r="AP40" i="53"/>
  <c r="AQ71" i="53" s="1"/>
  <c r="Y40" i="51"/>
  <c r="Z71" i="51" s="1"/>
  <c r="P39" i="51"/>
  <c r="O39" i="51"/>
  <c r="Q39" i="51" s="1"/>
  <c r="AP4" i="48"/>
  <c r="AQ59" i="48" s="1"/>
  <c r="O5" i="48"/>
  <c r="AE52" i="53"/>
  <c r="AF75" i="53" s="1"/>
  <c r="AB84" i="53"/>
  <c r="AF7" i="50"/>
  <c r="AG60" i="50" s="1"/>
  <c r="P7" i="50"/>
  <c r="O7" i="50"/>
  <c r="AP55" i="53"/>
  <c r="AQ76" i="53" s="1"/>
  <c r="AI55" i="53"/>
  <c r="AJ76" i="53" s="1"/>
  <c r="AP13" i="53"/>
  <c r="AQ62" i="53" s="1"/>
  <c r="AB25" i="53"/>
  <c r="AC66" i="53" s="1"/>
  <c r="AM52" i="43"/>
  <c r="AN75" i="43" s="1"/>
  <c r="AM13" i="44"/>
  <c r="AN62" i="44" s="1"/>
  <c r="P14" i="44"/>
  <c r="O14" i="44"/>
  <c r="AM13" i="52"/>
  <c r="AN62" i="52" s="1"/>
  <c r="P14" i="52"/>
  <c r="O14" i="52"/>
  <c r="AP37" i="48"/>
  <c r="AQ70" i="48" s="1"/>
  <c r="P38" i="48"/>
  <c r="O38" i="48"/>
  <c r="AM49" i="43"/>
  <c r="AN74" i="43" s="1"/>
  <c r="AP49" i="48"/>
  <c r="AQ74" i="48" s="1"/>
  <c r="Y10" i="51"/>
  <c r="Z61" i="51" s="1"/>
  <c r="P9" i="51"/>
  <c r="U9" i="51"/>
  <c r="O9" i="51"/>
  <c r="AM40" i="47"/>
  <c r="AN71" i="47" s="1"/>
  <c r="Y22" i="45"/>
  <c r="Z65" i="45" s="1"/>
  <c r="P21" i="45"/>
  <c r="O21" i="45"/>
  <c r="AF28" i="47"/>
  <c r="AG67" i="47" s="1"/>
  <c r="AM49" i="44"/>
  <c r="AN74" i="44" s="1"/>
  <c r="P50" i="44"/>
  <c r="O50" i="44"/>
  <c r="O32" i="47"/>
  <c r="AM31" i="47"/>
  <c r="AN68" i="47" s="1"/>
  <c r="P32" i="47"/>
  <c r="Y49" i="45"/>
  <c r="Z74" i="45" s="1"/>
  <c r="P48" i="45"/>
  <c r="O48" i="45"/>
  <c r="Y4" i="43"/>
  <c r="Z59" i="43" s="1"/>
  <c r="AP19" i="53"/>
  <c r="AQ64" i="53" s="1"/>
  <c r="Y19" i="44"/>
  <c r="Z64" i="44" s="1"/>
  <c r="U18" i="44"/>
  <c r="P18" i="44"/>
  <c r="O18" i="44"/>
  <c r="Y22" i="51"/>
  <c r="Z65" i="51" s="1"/>
  <c r="P21" i="51"/>
  <c r="O21" i="51"/>
  <c r="Q21" i="51" s="1"/>
  <c r="AB4" i="48"/>
  <c r="AC59" i="48" s="1"/>
  <c r="P3" i="48"/>
  <c r="AM31" i="45"/>
  <c r="AN68" i="45" s="1"/>
  <c r="P32" i="45"/>
  <c r="O32" i="45"/>
  <c r="Y55" i="51"/>
  <c r="Z76" i="51" s="1"/>
  <c r="P54" i="51"/>
  <c r="U54" i="51"/>
  <c r="O54" i="51"/>
  <c r="AF40" i="52"/>
  <c r="AG71" i="52" s="1"/>
  <c r="P40" i="52"/>
  <c r="O40" i="52"/>
  <c r="Y22" i="46"/>
  <c r="Z65" i="46" s="1"/>
  <c r="P21" i="46"/>
  <c r="Y43" i="44"/>
  <c r="Z72" i="44" s="1"/>
  <c r="P42" i="44"/>
  <c r="O42" i="44"/>
  <c r="AF22" i="44"/>
  <c r="AG65" i="44" s="1"/>
  <c r="P22" i="44"/>
  <c r="O22" i="44"/>
  <c r="AB43" i="48"/>
  <c r="AC72" i="48" s="1"/>
  <c r="AF19" i="52"/>
  <c r="AG64" i="52" s="1"/>
  <c r="P19" i="52"/>
  <c r="O19" i="52"/>
  <c r="AF49" i="47"/>
  <c r="AG74" i="47" s="1"/>
  <c r="P49" i="47"/>
  <c r="O49" i="47"/>
  <c r="AF16" i="46"/>
  <c r="AG63" i="46" s="1"/>
  <c r="P16" i="46"/>
  <c r="O16" i="46"/>
  <c r="AM37" i="51"/>
  <c r="AN70" i="51" s="1"/>
  <c r="P38" i="51"/>
  <c r="O38" i="51"/>
  <c r="P38" i="52"/>
  <c r="O38" i="52"/>
  <c r="AM31" i="43"/>
  <c r="AN68" i="43" s="1"/>
  <c r="O32" i="43"/>
  <c r="AM49" i="47"/>
  <c r="AN74" i="47" s="1"/>
  <c r="P50" i="47"/>
  <c r="AM52" i="52"/>
  <c r="AN75" i="52" s="1"/>
  <c r="P53" i="52"/>
  <c r="O53" i="52"/>
  <c r="AP37" i="53"/>
  <c r="AQ70" i="53" s="1"/>
  <c r="Y22" i="44"/>
  <c r="Z65" i="44" s="1"/>
  <c r="P21" i="44"/>
  <c r="O21" i="44"/>
  <c r="AB52" i="52"/>
  <c r="AC75" i="52" s="1"/>
  <c r="Y84" i="52"/>
  <c r="AM7" i="52"/>
  <c r="AN60" i="52" s="1"/>
  <c r="P8" i="52"/>
  <c r="O8" i="52"/>
  <c r="AF10" i="52"/>
  <c r="AG61" i="52" s="1"/>
  <c r="P10" i="52"/>
  <c r="O10" i="52"/>
  <c r="AF31" i="47"/>
  <c r="AG68" i="47" s="1"/>
  <c r="P31" i="47"/>
  <c r="O31" i="47"/>
  <c r="AF37" i="45"/>
  <c r="AG70" i="45" s="1"/>
  <c r="P37" i="45"/>
  <c r="O37" i="45"/>
  <c r="AP52" i="53"/>
  <c r="AQ75" i="53" s="1"/>
  <c r="AM34" i="52"/>
  <c r="AN69" i="52" s="1"/>
  <c r="P35" i="52"/>
  <c r="O35" i="52"/>
  <c r="Y40" i="52"/>
  <c r="Z71" i="52" s="1"/>
  <c r="P39" i="52"/>
  <c r="O39" i="52"/>
  <c r="Q39" i="52" s="1"/>
  <c r="AF34" i="43"/>
  <c r="AG69" i="43" s="1"/>
  <c r="P34" i="43"/>
  <c r="O34" i="43"/>
  <c r="AB52" i="43"/>
  <c r="AC75" i="43" s="1"/>
  <c r="Y84" i="43"/>
  <c r="AF7" i="44"/>
  <c r="AG60" i="44" s="1"/>
  <c r="P7" i="44"/>
  <c r="O7" i="44"/>
  <c r="AP25" i="53"/>
  <c r="AQ66" i="53" s="1"/>
  <c r="AF16" i="43"/>
  <c r="AG63" i="43" s="1"/>
  <c r="AB25" i="48"/>
  <c r="AC66" i="48" s="1"/>
  <c r="P24" i="48"/>
  <c r="O24" i="48"/>
  <c r="AI10" i="48"/>
  <c r="AJ61" i="48" s="1"/>
  <c r="P10" i="48"/>
  <c r="O10" i="48"/>
  <c r="AM37" i="44"/>
  <c r="AN70" i="44" s="1"/>
  <c r="P38" i="44"/>
  <c r="O38" i="44"/>
  <c r="AI10" i="53"/>
  <c r="AJ61" i="53" s="1"/>
  <c r="AF49" i="44"/>
  <c r="AG74" i="44" s="1"/>
  <c r="P49" i="44"/>
  <c r="O49" i="44"/>
  <c r="AF55" i="51"/>
  <c r="AG76" i="51" s="1"/>
  <c r="P55" i="51"/>
  <c r="O55" i="51"/>
  <c r="AF55" i="43"/>
  <c r="AG76" i="43" s="1"/>
  <c r="P55" i="43"/>
  <c r="AG52" i="53"/>
  <c r="AH75" i="53" s="1"/>
  <c r="AB86" i="53"/>
  <c r="Y7" i="49"/>
  <c r="Z60" i="49" s="1"/>
  <c r="U6" i="49"/>
  <c r="V3" i="49" s="1"/>
  <c r="P6" i="49"/>
  <c r="O6" i="49"/>
  <c r="Q6" i="49" s="1"/>
  <c r="AF7" i="52"/>
  <c r="AG60" i="52" s="1"/>
  <c r="AD52" i="47"/>
  <c r="AE75" i="47" s="1"/>
  <c r="Y86" i="47"/>
  <c r="AM49" i="45"/>
  <c r="AN74" i="45" s="1"/>
  <c r="P50" i="45"/>
  <c r="O50" i="45"/>
  <c r="AB52" i="49"/>
  <c r="AC75" i="49" s="1"/>
  <c r="Y84" i="49"/>
  <c r="Y19" i="49"/>
  <c r="Z64" i="49" s="1"/>
  <c r="U18" i="49"/>
  <c r="P18" i="49"/>
  <c r="O18" i="49"/>
  <c r="P45" i="48"/>
  <c r="Y25" i="52"/>
  <c r="Z66" i="52" s="1"/>
  <c r="U24" i="52"/>
  <c r="O24" i="52"/>
  <c r="AI28" i="53"/>
  <c r="AJ67" i="53" s="1"/>
  <c r="AM55" i="52"/>
  <c r="AN76" i="52" s="1"/>
  <c r="P56" i="52"/>
  <c r="O56" i="52"/>
  <c r="AM28" i="44"/>
  <c r="AN67" i="44" s="1"/>
  <c r="P29" i="44"/>
  <c r="O29" i="44"/>
  <c r="Y83" i="51"/>
  <c r="AA52" i="51"/>
  <c r="AB75" i="51" s="1"/>
  <c r="P30" i="51"/>
  <c r="Y31" i="51"/>
  <c r="Z68" i="51" s="1"/>
  <c r="O30" i="51"/>
  <c r="P31" i="51"/>
  <c r="AF31" i="51"/>
  <c r="AG68" i="51" s="1"/>
  <c r="O31" i="51"/>
  <c r="P32" i="51"/>
  <c r="O32" i="51"/>
  <c r="AM31" i="51"/>
  <c r="AN68" i="51" s="1"/>
  <c r="P13" i="51"/>
  <c r="O13" i="51"/>
  <c r="AF13" i="51"/>
  <c r="AG62" i="51" s="1"/>
  <c r="AF49" i="52"/>
  <c r="AG74" i="52" s="1"/>
  <c r="O51" i="52"/>
  <c r="P51" i="52"/>
  <c r="Y52" i="52"/>
  <c r="Z75" i="52" s="1"/>
  <c r="P30" i="52"/>
  <c r="Y31" i="52"/>
  <c r="Z68" i="52" s="1"/>
  <c r="P15" i="52"/>
  <c r="O15" i="52"/>
  <c r="Y16" i="52"/>
  <c r="Z63" i="52" s="1"/>
  <c r="AP34" i="53"/>
  <c r="AQ69" i="53" s="1"/>
  <c r="AP7" i="53"/>
  <c r="AQ60" i="53" s="1"/>
  <c r="Y87" i="51"/>
  <c r="AE52" i="51"/>
  <c r="AF75" i="51" s="1"/>
  <c r="P43" i="51"/>
  <c r="AF43" i="51"/>
  <c r="AG72" i="51" s="1"/>
  <c r="O43" i="51"/>
  <c r="AM4" i="51"/>
  <c r="AN59" i="51" s="1"/>
  <c r="P5" i="51"/>
  <c r="O5" i="51"/>
  <c r="Y55" i="52"/>
  <c r="Z76" i="52" s="1"/>
  <c r="O54" i="52"/>
  <c r="P52" i="52"/>
  <c r="Y81" i="52"/>
  <c r="AF52" i="52"/>
  <c r="AG75" i="52" s="1"/>
  <c r="O52" i="52"/>
  <c r="P48" i="52"/>
  <c r="Y49" i="52"/>
  <c r="Z74" i="52" s="1"/>
  <c r="O48" i="52"/>
  <c r="Y85" i="52"/>
  <c r="AC52" i="52"/>
  <c r="AD75" i="52" s="1"/>
  <c r="P42" i="52"/>
  <c r="U42" i="52"/>
  <c r="O42" i="52"/>
  <c r="AF4" i="52"/>
  <c r="AG59" i="52" s="1"/>
  <c r="P13" i="52"/>
  <c r="O13" i="52"/>
  <c r="AF13" i="52"/>
  <c r="AG62" i="52" s="1"/>
  <c r="AD52" i="53"/>
  <c r="AE75" i="53" s="1"/>
  <c r="AB83" i="53"/>
  <c r="AI34" i="53"/>
  <c r="AJ69" i="53" s="1"/>
  <c r="U51" i="51"/>
  <c r="P51" i="51"/>
  <c r="O51" i="51"/>
  <c r="Q51" i="51" s="1"/>
  <c r="Y52" i="51"/>
  <c r="Z75" i="51" s="1"/>
  <c r="P36" i="51"/>
  <c r="U36" i="51"/>
  <c r="Y37" i="51"/>
  <c r="Z70" i="51" s="1"/>
  <c r="O36" i="51"/>
  <c r="P10" i="51"/>
  <c r="AF10" i="51"/>
  <c r="AG61" i="51" s="1"/>
  <c r="O10" i="51"/>
  <c r="P29" i="51"/>
  <c r="AM28" i="51"/>
  <c r="AN67" i="51" s="1"/>
  <c r="O29" i="51"/>
  <c r="Y46" i="52"/>
  <c r="Z73" i="52" s="1"/>
  <c r="P45" i="52"/>
  <c r="O45" i="52"/>
  <c r="P26" i="52"/>
  <c r="AM25" i="52"/>
  <c r="AN66" i="52" s="1"/>
  <c r="O26" i="52"/>
  <c r="P21" i="52"/>
  <c r="Y22" i="52"/>
  <c r="Z65" i="52" s="1"/>
  <c r="O21" i="52"/>
  <c r="AF31" i="52"/>
  <c r="AG68" i="52" s="1"/>
  <c r="O31" i="52"/>
  <c r="AH52" i="53"/>
  <c r="AI75" i="53" s="1"/>
  <c r="AB82" i="53"/>
  <c r="AC52" i="53"/>
  <c r="AD75" i="53" s="1"/>
  <c r="Y85" i="51"/>
  <c r="AC52" i="51"/>
  <c r="AD75" i="51" s="1"/>
  <c r="O42" i="51"/>
  <c r="P42" i="51"/>
  <c r="U42" i="51"/>
  <c r="Y43" i="51"/>
  <c r="Z72" i="51" s="1"/>
  <c r="P40" i="51"/>
  <c r="AF40" i="51"/>
  <c r="AG71" i="51" s="1"/>
  <c r="O40" i="51"/>
  <c r="P34" i="51"/>
  <c r="O34" i="51"/>
  <c r="AF34" i="51"/>
  <c r="AG69" i="51" s="1"/>
  <c r="P8" i="51"/>
  <c r="AM7" i="51"/>
  <c r="AN60" i="51" s="1"/>
  <c r="O8" i="51"/>
  <c r="U33" i="51"/>
  <c r="P33" i="51"/>
  <c r="O33" i="51"/>
  <c r="Y34" i="51"/>
  <c r="Z69" i="51" s="1"/>
  <c r="AM52" i="51"/>
  <c r="AN75" i="51" s="1"/>
  <c r="P53" i="51"/>
  <c r="O53" i="51"/>
  <c r="Z52" i="51"/>
  <c r="AA75" i="51" s="1"/>
  <c r="Y82" i="51"/>
  <c r="AM49" i="52"/>
  <c r="AN74" i="52" s="1"/>
  <c r="P37" i="52"/>
  <c r="O37" i="52"/>
  <c r="AF37" i="52"/>
  <c r="AG70" i="52" s="1"/>
  <c r="P23" i="52"/>
  <c r="O23" i="52"/>
  <c r="AM22" i="52"/>
  <c r="AN65" i="52" s="1"/>
  <c r="P25" i="52"/>
  <c r="AF25" i="52"/>
  <c r="AG66" i="52" s="1"/>
  <c r="O25" i="52"/>
  <c r="AB37" i="53"/>
  <c r="AC70" i="53" s="1"/>
  <c r="AP28" i="53"/>
  <c r="AQ67" i="53" s="1"/>
  <c r="AI49" i="53"/>
  <c r="AJ74" i="53" s="1"/>
  <c r="AB49" i="53"/>
  <c r="AC74" i="53" s="1"/>
  <c r="P52" i="51"/>
  <c r="AF52" i="51"/>
  <c r="AG75" i="51" s="1"/>
  <c r="O52" i="51"/>
  <c r="Y81" i="51"/>
  <c r="P45" i="51"/>
  <c r="U45" i="51"/>
  <c r="O45" i="51"/>
  <c r="Y46" i="51"/>
  <c r="Z73" i="51" s="1"/>
  <c r="P6" i="51"/>
  <c r="U6" i="51"/>
  <c r="Y7" i="51"/>
  <c r="Z60" i="51" s="1"/>
  <c r="O6" i="51"/>
  <c r="Q6" i="51" s="1"/>
  <c r="P14" i="51"/>
  <c r="AM13" i="51"/>
  <c r="AN62" i="51" s="1"/>
  <c r="O14" i="51"/>
  <c r="P18" i="51"/>
  <c r="U18" i="51"/>
  <c r="O18" i="51"/>
  <c r="Y19" i="51"/>
  <c r="Z64" i="51" s="1"/>
  <c r="P47" i="52"/>
  <c r="AM46" i="52"/>
  <c r="AN73" i="52" s="1"/>
  <c r="O47" i="52"/>
  <c r="P6" i="52"/>
  <c r="O6" i="52"/>
  <c r="Y7" i="52"/>
  <c r="Z60" i="52" s="1"/>
  <c r="AB85" i="53"/>
  <c r="AF52" i="53"/>
  <c r="AG75" i="53" s="1"/>
  <c r="AI40" i="53"/>
  <c r="AJ71" i="53" s="1"/>
  <c r="P46" i="51"/>
  <c r="AF46" i="51"/>
  <c r="AG73" i="51" s="1"/>
  <c r="O46" i="51"/>
  <c r="Y25" i="51"/>
  <c r="Z66" i="51" s="1"/>
  <c r="O24" i="51"/>
  <c r="U24" i="51"/>
  <c r="P24" i="51"/>
  <c r="P7" i="51"/>
  <c r="O7" i="51"/>
  <c r="AF7" i="51"/>
  <c r="AG60" i="51" s="1"/>
  <c r="P17" i="51"/>
  <c r="AM16" i="51"/>
  <c r="AN63" i="51" s="1"/>
  <c r="O17" i="51"/>
  <c r="Y4" i="51"/>
  <c r="Z59" i="51" s="1"/>
  <c r="P3" i="51"/>
  <c r="O3" i="51"/>
  <c r="Q3" i="51" s="1"/>
  <c r="Y28" i="51"/>
  <c r="Z67" i="51" s="1"/>
  <c r="P27" i="51"/>
  <c r="U27" i="51"/>
  <c r="O27" i="51"/>
  <c r="AM40" i="52"/>
  <c r="AN71" i="52" s="1"/>
  <c r="O41" i="52"/>
  <c r="P32" i="52"/>
  <c r="AM31" i="52"/>
  <c r="AN68" i="52" s="1"/>
  <c r="O32" i="52"/>
  <c r="AP46" i="53"/>
  <c r="AQ73" i="53" s="1"/>
  <c r="AB34" i="53"/>
  <c r="AC69" i="53" s="1"/>
  <c r="P20" i="51"/>
  <c r="AM19" i="51"/>
  <c r="AN64" i="51" s="1"/>
  <c r="O20" i="51"/>
  <c r="AM22" i="51"/>
  <c r="AN65" i="51" s="1"/>
  <c r="P23" i="51"/>
  <c r="O23" i="51"/>
  <c r="Y82" i="52"/>
  <c r="Z52" i="52"/>
  <c r="AA75" i="52" s="1"/>
  <c r="Y83" i="52"/>
  <c r="AA52" i="52"/>
  <c r="AB75" i="52" s="1"/>
  <c r="Y37" i="52"/>
  <c r="Z70" i="52" s="1"/>
  <c r="P27" i="52"/>
  <c r="O27" i="52"/>
  <c r="Y28" i="52"/>
  <c r="Z67" i="52" s="1"/>
  <c r="U27" i="52"/>
  <c r="P28" i="52"/>
  <c r="O28" i="52"/>
  <c r="AF28" i="52"/>
  <c r="AG67" i="52" s="1"/>
  <c r="P29" i="52"/>
  <c r="O29" i="52"/>
  <c r="AM28" i="52"/>
  <c r="AN67" i="52" s="1"/>
  <c r="AP49" i="53"/>
  <c r="AQ74" i="53" s="1"/>
  <c r="AB43" i="53"/>
  <c r="AC72" i="53" s="1"/>
  <c r="AI46" i="53"/>
  <c r="AJ73" i="53" s="1"/>
  <c r="AB46" i="53"/>
  <c r="AC73" i="53" s="1"/>
  <c r="P41" i="51"/>
  <c r="O41" i="51"/>
  <c r="AM40" i="51"/>
  <c r="AN71" i="51" s="1"/>
  <c r="P22" i="51"/>
  <c r="O22" i="51"/>
  <c r="AF22" i="51"/>
  <c r="AG65" i="51" s="1"/>
  <c r="P4" i="51"/>
  <c r="AF4" i="51"/>
  <c r="AG59" i="51" s="1"/>
  <c r="O4" i="51"/>
  <c r="P11" i="51"/>
  <c r="O11" i="51"/>
  <c r="AM10" i="51"/>
  <c r="AN61" i="51" s="1"/>
  <c r="AE52" i="52"/>
  <c r="AF75" i="52" s="1"/>
  <c r="Y87" i="52"/>
  <c r="P22" i="52"/>
  <c r="AF22" i="52"/>
  <c r="AG65" i="52" s="1"/>
  <c r="O22" i="52"/>
  <c r="P16" i="52"/>
  <c r="O16" i="52"/>
  <c r="AF16" i="52"/>
  <c r="AG63" i="52" s="1"/>
  <c r="P12" i="52"/>
  <c r="Y13" i="52"/>
  <c r="Z62" i="52" s="1"/>
  <c r="O12" i="52"/>
  <c r="P5" i="52"/>
  <c r="O5" i="52"/>
  <c r="AM4" i="52"/>
  <c r="AN59" i="52" s="1"/>
  <c r="AB55" i="53"/>
  <c r="AC76" i="53" s="1"/>
  <c r="AI52" i="53"/>
  <c r="AJ75" i="53" s="1"/>
  <c r="AB81" i="53"/>
  <c r="AI22" i="53"/>
  <c r="AJ65" i="53" s="1"/>
  <c r="AP10" i="53"/>
  <c r="AQ61" i="53" s="1"/>
  <c r="AI19" i="53"/>
  <c r="AJ64" i="53" s="1"/>
  <c r="AI4" i="53"/>
  <c r="AJ59" i="53" s="1"/>
  <c r="Y19" i="52"/>
  <c r="Z64" i="52" s="1"/>
  <c r="O18" i="52"/>
  <c r="P18" i="52"/>
  <c r="U18" i="52"/>
  <c r="AF46" i="52"/>
  <c r="AG73" i="52" s="1"/>
  <c r="P46" i="52"/>
  <c r="O46" i="52"/>
  <c r="AF25" i="51"/>
  <c r="AG66" i="51" s="1"/>
  <c r="P25" i="51"/>
  <c r="O25" i="51"/>
  <c r="AM19" i="50"/>
  <c r="AN64" i="50" s="1"/>
  <c r="P20" i="50"/>
  <c r="O20" i="50"/>
  <c r="AM52" i="46"/>
  <c r="AN75" i="46" s="1"/>
  <c r="P53" i="46"/>
  <c r="O53" i="46"/>
  <c r="AM13" i="45"/>
  <c r="AN62" i="45" s="1"/>
  <c r="P14" i="45"/>
  <c r="O14" i="45"/>
  <c r="P26" i="50"/>
  <c r="AM25" i="50"/>
  <c r="AN66" i="50" s="1"/>
  <c r="O26" i="50"/>
  <c r="AF22" i="47"/>
  <c r="AG65" i="47" s="1"/>
  <c r="P22" i="47"/>
  <c r="O22" i="47"/>
  <c r="Y4" i="52"/>
  <c r="Z59" i="52" s="1"/>
  <c r="Y13" i="50"/>
  <c r="Z62" i="50" s="1"/>
  <c r="P12" i="50"/>
  <c r="O12" i="50"/>
  <c r="Q12" i="50" s="1"/>
  <c r="AF34" i="52"/>
  <c r="AG69" i="52" s="1"/>
  <c r="P34" i="52"/>
  <c r="O34" i="52"/>
  <c r="AM34" i="51"/>
  <c r="AN69" i="51" s="1"/>
  <c r="P35" i="51"/>
  <c r="O35" i="51"/>
  <c r="AM16" i="52"/>
  <c r="AN63" i="52" s="1"/>
  <c r="O17" i="52"/>
  <c r="AM4" i="49"/>
  <c r="AN59" i="49" s="1"/>
  <c r="P5" i="49"/>
  <c r="O5" i="49"/>
  <c r="AP46" i="48"/>
  <c r="AQ73" i="48" s="1"/>
  <c r="AM19" i="47"/>
  <c r="AN64" i="47" s="1"/>
  <c r="P20" i="47"/>
  <c r="O20" i="47"/>
  <c r="Y31" i="46"/>
  <c r="Z68" i="46" s="1"/>
  <c r="P30" i="46"/>
  <c r="O30" i="46"/>
  <c r="AM28" i="43"/>
  <c r="AN67" i="43" s="1"/>
  <c r="O29" i="43"/>
  <c r="Y28" i="46"/>
  <c r="Z67" i="46" s="1"/>
  <c r="O27" i="46"/>
  <c r="U27" i="46"/>
  <c r="P27" i="46"/>
  <c r="AF7" i="45"/>
  <c r="AG60" i="45" s="1"/>
  <c r="P7" i="45"/>
  <c r="O7" i="45"/>
  <c r="Y52" i="45"/>
  <c r="Z75" i="45" s="1"/>
  <c r="U51" i="45"/>
  <c r="P51" i="45"/>
  <c r="O51" i="45"/>
  <c r="Q51" i="45" s="1"/>
  <c r="AM19" i="43"/>
  <c r="AN64" i="43" s="1"/>
  <c r="AF4" i="50"/>
  <c r="AG59" i="50" s="1"/>
  <c r="P4" i="50"/>
  <c r="O4" i="50"/>
  <c r="AM43" i="52"/>
  <c r="AN72" i="52" s="1"/>
  <c r="P44" i="52"/>
  <c r="O44" i="52"/>
  <c r="AM49" i="51"/>
  <c r="AN74" i="51" s="1"/>
  <c r="P50" i="51"/>
  <c r="O50" i="51"/>
  <c r="AM31" i="49"/>
  <c r="AN68" i="49" s="1"/>
  <c r="P32" i="49"/>
  <c r="O32" i="49"/>
  <c r="AP7" i="48"/>
  <c r="AQ60" i="48" s="1"/>
  <c r="P8" i="48"/>
  <c r="O8" i="48"/>
  <c r="AF37" i="46"/>
  <c r="AG70" i="46" s="1"/>
  <c r="P37" i="46"/>
  <c r="O37" i="46"/>
  <c r="Y55" i="46"/>
  <c r="Z76" i="46" s="1"/>
  <c r="U54" i="46"/>
  <c r="O54" i="46"/>
  <c r="P54" i="46"/>
  <c r="Y55" i="47"/>
  <c r="Z76" i="47" s="1"/>
  <c r="P54" i="47"/>
  <c r="Y10" i="45"/>
  <c r="Z61" i="45" s="1"/>
  <c r="U9" i="45"/>
  <c r="P9" i="45"/>
  <c r="O9" i="45"/>
  <c r="AF40" i="44"/>
  <c r="AG71" i="44" s="1"/>
  <c r="P40" i="44"/>
  <c r="O40" i="44"/>
  <c r="Y10" i="44"/>
  <c r="Z61" i="44" s="1"/>
  <c r="U9" i="44"/>
  <c r="P9" i="44"/>
  <c r="O9" i="44"/>
  <c r="AM55" i="44"/>
  <c r="AN76" i="44" s="1"/>
  <c r="P56" i="44"/>
  <c r="O56" i="44"/>
  <c r="AI16" i="53"/>
  <c r="AJ63" i="53" s="1"/>
  <c r="AB4" i="53"/>
  <c r="AC59" i="53" s="1"/>
  <c r="AB22" i="53"/>
  <c r="AC65" i="53" s="1"/>
  <c r="Y13" i="51"/>
  <c r="Z62" i="51" s="1"/>
  <c r="P12" i="51"/>
  <c r="O12" i="51"/>
  <c r="Q12" i="51" s="1"/>
  <c r="AM46" i="51"/>
  <c r="AN73" i="51" s="1"/>
  <c r="P47" i="51"/>
  <c r="O47" i="51"/>
  <c r="AM52" i="50"/>
  <c r="AN75" i="50" s="1"/>
  <c r="P53" i="50"/>
  <c r="O53" i="50"/>
  <c r="Y4" i="50"/>
  <c r="Z59" i="50" s="1"/>
  <c r="P3" i="50"/>
  <c r="O3" i="50"/>
  <c r="Y37" i="46"/>
  <c r="Z70" i="46" s="1"/>
  <c r="U36" i="46"/>
  <c r="P36" i="46"/>
  <c r="O36" i="46"/>
  <c r="P26" i="51"/>
  <c r="AM25" i="51"/>
  <c r="AN66" i="51" s="1"/>
  <c r="O26" i="51"/>
  <c r="AB28" i="48"/>
  <c r="AC67" i="48" s="1"/>
  <c r="P27" i="48"/>
  <c r="O27" i="48"/>
  <c r="Z52" i="46"/>
  <c r="AA75" i="46" s="1"/>
  <c r="Y82" i="46"/>
  <c r="O46" i="48"/>
  <c r="P46" i="48"/>
  <c r="AI46" i="48"/>
  <c r="AJ73" i="48" s="1"/>
  <c r="AF10" i="46"/>
  <c r="AG61" i="46" s="1"/>
  <c r="P10" i="46"/>
  <c r="O10" i="46"/>
  <c r="Y7" i="50"/>
  <c r="Z60" i="50" s="1"/>
  <c r="U6" i="50"/>
  <c r="P6" i="50"/>
  <c r="O6" i="50"/>
  <c r="P24" i="49"/>
  <c r="Y25" i="49"/>
  <c r="Z66" i="49" s="1"/>
  <c r="U24" i="49"/>
  <c r="O24" i="49"/>
  <c r="Q24" i="49" s="1"/>
  <c r="AM49" i="46"/>
  <c r="AN74" i="46" s="1"/>
  <c r="P50" i="46"/>
  <c r="O50" i="46"/>
  <c r="Y13" i="46"/>
  <c r="Z62" i="46" s="1"/>
  <c r="P12" i="46"/>
  <c r="O12" i="46"/>
  <c r="Q12" i="46" s="1"/>
  <c r="AF10" i="43"/>
  <c r="AG61" i="43" s="1"/>
  <c r="O10" i="43"/>
  <c r="Y55" i="45"/>
  <c r="Z76" i="45" s="1"/>
  <c r="P54" i="45"/>
  <c r="U54" i="45"/>
  <c r="O54" i="45"/>
  <c r="AB40" i="53"/>
  <c r="AC71" i="53" s="1"/>
  <c r="AB13" i="53"/>
  <c r="AC62" i="53" s="1"/>
  <c r="AI37" i="53"/>
  <c r="AJ70" i="53" s="1"/>
  <c r="AM43" i="51"/>
  <c r="AN72" i="51" s="1"/>
  <c r="P44" i="51"/>
  <c r="O44" i="51"/>
  <c r="AM55" i="50"/>
  <c r="AN76" i="50" s="1"/>
  <c r="P56" i="50"/>
  <c r="O56" i="50"/>
  <c r="AI22" i="48"/>
  <c r="AJ65" i="48" s="1"/>
  <c r="AI7" i="48"/>
  <c r="AJ60" i="48" s="1"/>
  <c r="P7" i="48"/>
  <c r="O7" i="48"/>
  <c r="Y43" i="49"/>
  <c r="Z72" i="49" s="1"/>
  <c r="U42" i="49"/>
  <c r="V39" i="49" s="1"/>
  <c r="O42" i="49"/>
  <c r="P42" i="49"/>
  <c r="AF49" i="50"/>
  <c r="AG74" i="50" s="1"/>
  <c r="P49" i="50"/>
  <c r="O49" i="50"/>
  <c r="AI49" i="48"/>
  <c r="AJ74" i="48" s="1"/>
  <c r="P49" i="48"/>
  <c r="O49" i="48"/>
  <c r="Z52" i="47"/>
  <c r="AA75" i="47" s="1"/>
  <c r="Y82" i="47"/>
  <c r="AF28" i="45"/>
  <c r="AG67" i="45" s="1"/>
  <c r="P28" i="45"/>
  <c r="O28" i="45"/>
  <c r="AF34" i="47"/>
  <c r="AG69" i="47" s="1"/>
  <c r="P34" i="47"/>
  <c r="O34" i="47"/>
  <c r="AI31" i="53"/>
  <c r="AJ68" i="53" s="1"/>
  <c r="AI13" i="53"/>
  <c r="AJ62" i="53" s="1"/>
  <c r="AF37" i="51"/>
  <c r="AG70" i="51" s="1"/>
  <c r="P37" i="51"/>
  <c r="O37" i="51"/>
  <c r="P43" i="52"/>
  <c r="AF43" i="52"/>
  <c r="AG72" i="52" s="1"/>
  <c r="O43" i="52"/>
  <c r="AB40" i="48"/>
  <c r="AC71" i="48" s="1"/>
  <c r="AF7" i="46"/>
  <c r="AG60" i="46" s="1"/>
  <c r="P7" i="46"/>
  <c r="O7" i="46"/>
  <c r="AF19" i="45"/>
  <c r="AG64" i="45" s="1"/>
  <c r="P19" i="45"/>
  <c r="O19" i="45"/>
  <c r="AF19" i="46"/>
  <c r="AG64" i="46" s="1"/>
  <c r="P19" i="46"/>
  <c r="O19" i="46"/>
  <c r="AI43" i="53"/>
  <c r="AJ72" i="53" s="1"/>
  <c r="AP43" i="53"/>
  <c r="AQ72" i="53" s="1"/>
  <c r="AP31" i="53"/>
  <c r="AQ68" i="53" s="1"/>
  <c r="AP4" i="53"/>
  <c r="AQ59" i="53" s="1"/>
  <c r="AI25" i="53"/>
  <c r="AJ66" i="53" s="1"/>
  <c r="Y34" i="52"/>
  <c r="Z69" i="52" s="1"/>
  <c r="P33" i="52"/>
  <c r="O33" i="52"/>
  <c r="AM10" i="52"/>
  <c r="AN61" i="52" s="1"/>
  <c r="P11" i="52"/>
  <c r="O11" i="52"/>
  <c r="AP31" i="48"/>
  <c r="AQ68" i="48" s="1"/>
  <c r="P32" i="48"/>
  <c r="O32" i="48"/>
  <c r="AF19" i="51"/>
  <c r="AG64" i="51" s="1"/>
  <c r="P19" i="51"/>
  <c r="O19" i="51"/>
  <c r="AB19" i="53"/>
  <c r="AC64" i="53" s="1"/>
  <c r="AB31" i="53"/>
  <c r="AC68" i="53" s="1"/>
  <c r="AI7" i="53"/>
  <c r="AJ60" i="53" s="1"/>
  <c r="AP22" i="53"/>
  <c r="AQ65" i="53" s="1"/>
  <c r="Y16" i="51"/>
  <c r="Z63" i="51" s="1"/>
  <c r="P15" i="51"/>
  <c r="U15" i="51"/>
  <c r="O15" i="51"/>
  <c r="Q15" i="51" s="1"/>
  <c r="AF28" i="51"/>
  <c r="AG67" i="51" s="1"/>
  <c r="P28" i="51"/>
  <c r="O28" i="51"/>
  <c r="Y10" i="52"/>
  <c r="Z61" i="52" s="1"/>
  <c r="AD52" i="52"/>
  <c r="AE75" i="52" s="1"/>
  <c r="Y86" i="52"/>
  <c r="P48" i="49"/>
  <c r="O48" i="49"/>
  <c r="Y49" i="49"/>
  <c r="Z74" i="49" s="1"/>
  <c r="Y16" i="47"/>
  <c r="Z63" i="47" s="1"/>
  <c r="AB49" i="48"/>
  <c r="AC74" i="48" s="1"/>
  <c r="P48" i="48"/>
  <c r="O48" i="48"/>
  <c r="AF4" i="46"/>
  <c r="AG59" i="46" s="1"/>
  <c r="O4" i="46"/>
  <c r="P4" i="46"/>
  <c r="AF10" i="45"/>
  <c r="AG61" i="45" s="1"/>
  <c r="P10" i="45"/>
  <c r="O10" i="45"/>
  <c r="AF13" i="44"/>
  <c r="AG62" i="44" s="1"/>
  <c r="P13" i="44"/>
  <c r="O13" i="44"/>
  <c r="AM37" i="45"/>
  <c r="AN70" i="45" s="1"/>
  <c r="P38" i="45"/>
  <c r="O38" i="45"/>
  <c r="Y25" i="43"/>
  <c r="Z66" i="43" s="1"/>
  <c r="P24" i="43"/>
  <c r="O24" i="43"/>
  <c r="P19" i="48"/>
  <c r="AI19" i="48"/>
  <c r="AJ64" i="48" s="1"/>
  <c r="P12" i="48"/>
  <c r="AB13" i="48"/>
  <c r="AC62" i="48" s="1"/>
  <c r="AI4" i="48"/>
  <c r="AJ59" i="48" s="1"/>
  <c r="P38" i="49"/>
  <c r="O38" i="49"/>
  <c r="R38" i="49" s="1"/>
  <c r="AM37" i="49"/>
  <c r="AN70" i="49" s="1"/>
  <c r="P34" i="49"/>
  <c r="AF34" i="49"/>
  <c r="AG69" i="49" s="1"/>
  <c r="O34" i="49"/>
  <c r="P3" i="49"/>
  <c r="Y4" i="49"/>
  <c r="Z59" i="49" s="1"/>
  <c r="O3" i="49"/>
  <c r="P27" i="49"/>
  <c r="U27" i="49"/>
  <c r="Y28" i="49"/>
  <c r="Z67" i="49" s="1"/>
  <c r="O27" i="49"/>
  <c r="P25" i="49"/>
  <c r="AF25" i="49"/>
  <c r="AG66" i="49" s="1"/>
  <c r="O25" i="49"/>
  <c r="P20" i="49"/>
  <c r="AM19" i="49"/>
  <c r="AN64" i="49" s="1"/>
  <c r="O20" i="49"/>
  <c r="P8" i="49"/>
  <c r="O8" i="49"/>
  <c r="AM7" i="49"/>
  <c r="AN60" i="49" s="1"/>
  <c r="AF49" i="49"/>
  <c r="AG74" i="49" s="1"/>
  <c r="P49" i="49"/>
  <c r="O49" i="49"/>
  <c r="Y40" i="49"/>
  <c r="Z71" i="49" s="1"/>
  <c r="P39" i="49"/>
  <c r="O39" i="49"/>
  <c r="P37" i="50"/>
  <c r="O37" i="50"/>
  <c r="AF37" i="50"/>
  <c r="AG70" i="50" s="1"/>
  <c r="P8" i="50"/>
  <c r="O8" i="50"/>
  <c r="AM7" i="50"/>
  <c r="AN60" i="50" s="1"/>
  <c r="P10" i="50"/>
  <c r="AF10" i="50"/>
  <c r="AG61" i="50" s="1"/>
  <c r="O10" i="50"/>
  <c r="P35" i="50"/>
  <c r="O35" i="50"/>
  <c r="AM34" i="50"/>
  <c r="AN69" i="50" s="1"/>
  <c r="O18" i="50"/>
  <c r="P18" i="50"/>
  <c r="U18" i="50"/>
  <c r="Y19" i="50"/>
  <c r="Z64" i="50" s="1"/>
  <c r="AM22" i="50"/>
  <c r="AN65" i="50" s="1"/>
  <c r="P23" i="50"/>
  <c r="O23" i="50"/>
  <c r="Z52" i="49"/>
  <c r="AA75" i="49" s="1"/>
  <c r="Y82" i="49"/>
  <c r="P50" i="49"/>
  <c r="O50" i="49"/>
  <c r="AM49" i="49"/>
  <c r="AN74" i="49" s="1"/>
  <c r="U45" i="49"/>
  <c r="P45" i="49"/>
  <c r="O45" i="49"/>
  <c r="Y46" i="49"/>
  <c r="Z73" i="49" s="1"/>
  <c r="P40" i="49"/>
  <c r="AF40" i="49"/>
  <c r="AG71" i="49" s="1"/>
  <c r="O40" i="49"/>
  <c r="P7" i="49"/>
  <c r="AF7" i="49"/>
  <c r="AG60" i="49" s="1"/>
  <c r="O7" i="49"/>
  <c r="AM40" i="49"/>
  <c r="AN71" i="49" s="1"/>
  <c r="P41" i="49"/>
  <c r="O41" i="49"/>
  <c r="O54" i="50"/>
  <c r="P54" i="50"/>
  <c r="U54" i="50"/>
  <c r="Y55" i="50"/>
  <c r="Z76" i="50" s="1"/>
  <c r="P47" i="50"/>
  <c r="O47" i="50"/>
  <c r="AM46" i="50"/>
  <c r="AN73" i="50" s="1"/>
  <c r="U36" i="50"/>
  <c r="P36" i="50"/>
  <c r="Y37" i="50"/>
  <c r="Z70" i="50" s="1"/>
  <c r="O36" i="50"/>
  <c r="P24" i="50"/>
  <c r="U24" i="50"/>
  <c r="O24" i="50"/>
  <c r="Y25" i="50"/>
  <c r="Z66" i="50" s="1"/>
  <c r="P17" i="50"/>
  <c r="AM16" i="50"/>
  <c r="AN63" i="50" s="1"/>
  <c r="O17" i="50"/>
  <c r="P15" i="48"/>
  <c r="AB16" i="48"/>
  <c r="AC63" i="48" s="1"/>
  <c r="P14" i="48"/>
  <c r="O14" i="48"/>
  <c r="AP13" i="48"/>
  <c r="AQ62" i="48" s="1"/>
  <c r="Y86" i="49"/>
  <c r="AD52" i="49"/>
  <c r="AE75" i="49" s="1"/>
  <c r="P47" i="49"/>
  <c r="O47" i="49"/>
  <c r="AM46" i="49"/>
  <c r="AN73" i="49" s="1"/>
  <c r="P15" i="49"/>
  <c r="U15" i="49"/>
  <c r="V12" i="49" s="1"/>
  <c r="O15" i="49"/>
  <c r="Y16" i="49"/>
  <c r="Z63" i="49" s="1"/>
  <c r="P10" i="49"/>
  <c r="AF10" i="49"/>
  <c r="AG61" i="49" s="1"/>
  <c r="O10" i="49"/>
  <c r="P31" i="49"/>
  <c r="AF31" i="49"/>
  <c r="AG68" i="49" s="1"/>
  <c r="O31" i="49"/>
  <c r="P16" i="49"/>
  <c r="O16" i="49"/>
  <c r="AF16" i="49"/>
  <c r="AG63" i="49" s="1"/>
  <c r="P23" i="49"/>
  <c r="AM22" i="49"/>
  <c r="AN65" i="49" s="1"/>
  <c r="O23" i="49"/>
  <c r="AB52" i="50"/>
  <c r="AC75" i="50" s="1"/>
  <c r="Y84" i="50"/>
  <c r="P41" i="50"/>
  <c r="AM40" i="50"/>
  <c r="AN71" i="50" s="1"/>
  <c r="O41" i="50"/>
  <c r="P9" i="50"/>
  <c r="U9" i="50"/>
  <c r="O9" i="50"/>
  <c r="Y10" i="50"/>
  <c r="Z61" i="50" s="1"/>
  <c r="P22" i="50"/>
  <c r="AF22" i="50"/>
  <c r="AG65" i="50" s="1"/>
  <c r="O22" i="50"/>
  <c r="P5" i="50"/>
  <c r="O5" i="50"/>
  <c r="AM4" i="50"/>
  <c r="AN59" i="50" s="1"/>
  <c r="P49" i="51"/>
  <c r="O49" i="51"/>
  <c r="AF49" i="51"/>
  <c r="AG74" i="51" s="1"/>
  <c r="Y86" i="51"/>
  <c r="AD52" i="51"/>
  <c r="AE75" i="51" s="1"/>
  <c r="U33" i="49"/>
  <c r="P33" i="49"/>
  <c r="O33" i="49"/>
  <c r="Y34" i="49"/>
  <c r="Z69" i="49" s="1"/>
  <c r="P19" i="49"/>
  <c r="AF19" i="49"/>
  <c r="AG64" i="49" s="1"/>
  <c r="O19" i="49"/>
  <c r="P55" i="50"/>
  <c r="AF55" i="50"/>
  <c r="AG76" i="50" s="1"/>
  <c r="O55" i="50"/>
  <c r="P43" i="50"/>
  <c r="O43" i="50"/>
  <c r="AF43" i="50"/>
  <c r="AG72" i="50" s="1"/>
  <c r="P51" i="50"/>
  <c r="U51" i="50"/>
  <c r="O51" i="50"/>
  <c r="Y52" i="50"/>
  <c r="Z75" i="50" s="1"/>
  <c r="P46" i="50"/>
  <c r="AF46" i="50"/>
  <c r="AG73" i="50" s="1"/>
  <c r="O46" i="50"/>
  <c r="P52" i="50"/>
  <c r="AF52" i="50"/>
  <c r="AG75" i="50" s="1"/>
  <c r="Y81" i="50"/>
  <c r="O52" i="50"/>
  <c r="P50" i="50"/>
  <c r="O50" i="50"/>
  <c r="AM49" i="50"/>
  <c r="AN74" i="50" s="1"/>
  <c r="P19" i="50"/>
  <c r="AF19" i="50"/>
  <c r="AG64" i="50" s="1"/>
  <c r="O19" i="50"/>
  <c r="P16" i="50"/>
  <c r="AF16" i="50"/>
  <c r="AG63" i="50" s="1"/>
  <c r="O16" i="50"/>
  <c r="P27" i="50"/>
  <c r="U27" i="50"/>
  <c r="O27" i="50"/>
  <c r="Y28" i="50"/>
  <c r="Z67" i="50" s="1"/>
  <c r="AF13" i="50"/>
  <c r="AG62" i="50" s="1"/>
  <c r="P13" i="50"/>
  <c r="O13" i="50"/>
  <c r="P26" i="48"/>
  <c r="AP25" i="48"/>
  <c r="AQ66" i="48" s="1"/>
  <c r="O26" i="48"/>
  <c r="P20" i="48"/>
  <c r="AP19" i="48"/>
  <c r="AQ64" i="48" s="1"/>
  <c r="P13" i="48"/>
  <c r="O13" i="48"/>
  <c r="AI13" i="48"/>
  <c r="AJ62" i="48" s="1"/>
  <c r="P56" i="49"/>
  <c r="O56" i="49"/>
  <c r="R56" i="49" s="1"/>
  <c r="AM55" i="49"/>
  <c r="AN76" i="49" s="1"/>
  <c r="AA52" i="49"/>
  <c r="AB75" i="49" s="1"/>
  <c r="Y83" i="49"/>
  <c r="P37" i="49"/>
  <c r="AF37" i="49"/>
  <c r="AG70" i="49" s="1"/>
  <c r="O37" i="49"/>
  <c r="P13" i="49"/>
  <c r="AF13" i="49"/>
  <c r="AG62" i="49" s="1"/>
  <c r="O13" i="49"/>
  <c r="P9" i="49"/>
  <c r="U9" i="49"/>
  <c r="Y10" i="49"/>
  <c r="Z61" i="49" s="1"/>
  <c r="O9" i="49"/>
  <c r="AF55" i="49"/>
  <c r="AG76" i="49" s="1"/>
  <c r="P55" i="49"/>
  <c r="O55" i="49"/>
  <c r="AM10" i="49"/>
  <c r="AN61" i="49" s="1"/>
  <c r="P11" i="49"/>
  <c r="O11" i="49"/>
  <c r="Y85" i="50"/>
  <c r="AC52" i="50"/>
  <c r="AD75" i="50" s="1"/>
  <c r="Y87" i="50"/>
  <c r="AE52" i="50"/>
  <c r="AF75" i="50" s="1"/>
  <c r="P38" i="50"/>
  <c r="O38" i="50"/>
  <c r="AM37" i="50"/>
  <c r="AN70" i="50" s="1"/>
  <c r="P34" i="50"/>
  <c r="AF34" i="50"/>
  <c r="AG69" i="50" s="1"/>
  <c r="O34" i="50"/>
  <c r="P28" i="50"/>
  <c r="O28" i="50"/>
  <c r="AF28" i="50"/>
  <c r="AG67" i="50" s="1"/>
  <c r="Y46" i="50"/>
  <c r="Z73" i="50" s="1"/>
  <c r="U45" i="50"/>
  <c r="P45" i="50"/>
  <c r="O45" i="50"/>
  <c r="P11" i="48"/>
  <c r="O11" i="48"/>
  <c r="AP10" i="48"/>
  <c r="AQ61" i="48" s="1"/>
  <c r="Y87" i="49"/>
  <c r="AE52" i="49"/>
  <c r="AF75" i="49" s="1"/>
  <c r="P52" i="49"/>
  <c r="Y81" i="49"/>
  <c r="O52" i="49"/>
  <c r="AF52" i="49"/>
  <c r="AG75" i="49" s="1"/>
  <c r="P54" i="49"/>
  <c r="Y55" i="49"/>
  <c r="Z76" i="49" s="1"/>
  <c r="O54" i="49"/>
  <c r="U54" i="49"/>
  <c r="P43" i="49"/>
  <c r="AF43" i="49"/>
  <c r="AG72" i="49" s="1"/>
  <c r="O43" i="49"/>
  <c r="P44" i="49"/>
  <c r="AM43" i="49"/>
  <c r="AN72" i="49" s="1"/>
  <c r="O44" i="49"/>
  <c r="P26" i="49"/>
  <c r="AM25" i="49"/>
  <c r="AN66" i="49" s="1"/>
  <c r="O26" i="49"/>
  <c r="P22" i="49"/>
  <c r="AF22" i="49"/>
  <c r="AG65" i="49" s="1"/>
  <c r="O22" i="49"/>
  <c r="P21" i="49"/>
  <c r="Y22" i="49"/>
  <c r="Z65" i="49" s="1"/>
  <c r="Y83" i="50"/>
  <c r="AA52" i="50"/>
  <c r="AB75" i="50" s="1"/>
  <c r="P33" i="50"/>
  <c r="U33" i="50"/>
  <c r="O33" i="50"/>
  <c r="Q33" i="50" s="1"/>
  <c r="Y34" i="50"/>
  <c r="Z69" i="50" s="1"/>
  <c r="P11" i="50"/>
  <c r="O11" i="50"/>
  <c r="AM10" i="50"/>
  <c r="AN61" i="50" s="1"/>
  <c r="U15" i="50"/>
  <c r="P15" i="50"/>
  <c r="O15" i="50"/>
  <c r="Y16" i="50"/>
  <c r="Z63" i="50" s="1"/>
  <c r="P48" i="51"/>
  <c r="O48" i="51"/>
  <c r="Y49" i="51"/>
  <c r="Z74" i="51" s="1"/>
  <c r="P51" i="49"/>
  <c r="U51" i="49"/>
  <c r="V48" i="49" s="1"/>
  <c r="Y52" i="49"/>
  <c r="Z75" i="49" s="1"/>
  <c r="O51" i="49"/>
  <c r="P29" i="49"/>
  <c r="O29" i="49"/>
  <c r="AM28" i="49"/>
  <c r="AN67" i="49" s="1"/>
  <c r="P35" i="49"/>
  <c r="AM34" i="49"/>
  <c r="AN69" i="49" s="1"/>
  <c r="O35" i="49"/>
  <c r="P14" i="49"/>
  <c r="O14" i="49"/>
  <c r="AM13" i="49"/>
  <c r="AN62" i="49" s="1"/>
  <c r="P4" i="49"/>
  <c r="AF4" i="49"/>
  <c r="AG59" i="49" s="1"/>
  <c r="O4" i="49"/>
  <c r="P36" i="49"/>
  <c r="U36" i="49"/>
  <c r="Y37" i="49"/>
  <c r="Z70" i="49" s="1"/>
  <c r="O36" i="49"/>
  <c r="Y86" i="50"/>
  <c r="AD52" i="50"/>
  <c r="AE75" i="50" s="1"/>
  <c r="P29" i="50"/>
  <c r="AM28" i="50"/>
  <c r="AN67" i="50" s="1"/>
  <c r="O29" i="50"/>
  <c r="P44" i="50"/>
  <c r="O44" i="50"/>
  <c r="AM43" i="50"/>
  <c r="AN72" i="50" s="1"/>
  <c r="P48" i="50"/>
  <c r="Y49" i="50"/>
  <c r="Z74" i="50" s="1"/>
  <c r="O48" i="50"/>
  <c r="P42" i="50"/>
  <c r="U42" i="50"/>
  <c r="Y43" i="50"/>
  <c r="Z72" i="50" s="1"/>
  <c r="O42" i="50"/>
  <c r="Q42" i="50" s="1"/>
  <c r="P39" i="50"/>
  <c r="Y40" i="50"/>
  <c r="Z71" i="50" s="1"/>
  <c r="O39" i="50"/>
  <c r="P40" i="50"/>
  <c r="O40" i="50"/>
  <c r="AF40" i="50"/>
  <c r="AG71" i="50" s="1"/>
  <c r="P30" i="50"/>
  <c r="Y31" i="50"/>
  <c r="Z68" i="50" s="1"/>
  <c r="O30" i="50"/>
  <c r="O56" i="51"/>
  <c r="AM55" i="51"/>
  <c r="AN76" i="51" s="1"/>
  <c r="P56" i="51"/>
  <c r="Y85" i="49"/>
  <c r="AC52" i="49"/>
  <c r="AD75" i="49" s="1"/>
  <c r="P46" i="49"/>
  <c r="AF46" i="49"/>
  <c r="AG73" i="49" s="1"/>
  <c r="O46" i="49"/>
  <c r="P28" i="49"/>
  <c r="O28" i="49"/>
  <c r="AF28" i="49"/>
  <c r="AG67" i="49" s="1"/>
  <c r="P17" i="49"/>
  <c r="AM16" i="49"/>
  <c r="AN63" i="49" s="1"/>
  <c r="O17" i="49"/>
  <c r="P12" i="49"/>
  <c r="O12" i="49"/>
  <c r="Q12" i="49" s="1"/>
  <c r="Y13" i="49"/>
  <c r="Z62" i="49" s="1"/>
  <c r="P30" i="49"/>
  <c r="Y31" i="49"/>
  <c r="Z68" i="49" s="1"/>
  <c r="O30" i="49"/>
  <c r="AM52" i="49"/>
  <c r="AN75" i="49" s="1"/>
  <c r="P53" i="49"/>
  <c r="O53" i="49"/>
  <c r="Y82" i="50"/>
  <c r="Z52" i="50"/>
  <c r="AA75" i="50" s="1"/>
  <c r="P25" i="50"/>
  <c r="AF25" i="50"/>
  <c r="AG66" i="50" s="1"/>
  <c r="O25" i="50"/>
  <c r="P14" i="50"/>
  <c r="AM13" i="50"/>
  <c r="AN62" i="50" s="1"/>
  <c r="O14" i="50"/>
  <c r="P31" i="50"/>
  <c r="AF31" i="50"/>
  <c r="AG68" i="50" s="1"/>
  <c r="O31" i="50"/>
  <c r="Y22" i="50"/>
  <c r="Z65" i="50" s="1"/>
  <c r="P21" i="50"/>
  <c r="O21" i="50"/>
  <c r="Q21" i="50" s="1"/>
  <c r="Y84" i="51"/>
  <c r="AB52" i="51"/>
  <c r="AC75" i="51" s="1"/>
  <c r="P36" i="44"/>
  <c r="U36" i="44"/>
  <c r="Y37" i="44"/>
  <c r="Z70" i="44" s="1"/>
  <c r="O36" i="44"/>
  <c r="P30" i="44"/>
  <c r="Y31" i="44"/>
  <c r="Z68" i="44" s="1"/>
  <c r="O30" i="44"/>
  <c r="Q30" i="44" s="1"/>
  <c r="P28" i="44"/>
  <c r="AF28" i="44"/>
  <c r="AG67" i="44" s="1"/>
  <c r="O28" i="44"/>
  <c r="P55" i="45"/>
  <c r="AF55" i="45"/>
  <c r="AG76" i="45" s="1"/>
  <c r="O55" i="45"/>
  <c r="Y86" i="45"/>
  <c r="AD52" i="45"/>
  <c r="AE75" i="45" s="1"/>
  <c r="U33" i="45"/>
  <c r="P33" i="45"/>
  <c r="O33" i="45"/>
  <c r="Q33" i="45" s="1"/>
  <c r="Y34" i="45"/>
  <c r="Z69" i="45" s="1"/>
  <c r="P29" i="45"/>
  <c r="O29" i="45"/>
  <c r="AM28" i="45"/>
  <c r="AN67" i="45" s="1"/>
  <c r="P30" i="45"/>
  <c r="O30" i="45"/>
  <c r="Y31" i="45"/>
  <c r="Z68" i="45" s="1"/>
  <c r="P8" i="45"/>
  <c r="AM7" i="45"/>
  <c r="AN60" i="45" s="1"/>
  <c r="O8" i="45"/>
  <c r="Y83" i="46"/>
  <c r="AA52" i="46"/>
  <c r="AB75" i="46" s="1"/>
  <c r="Y87" i="44"/>
  <c r="AE52" i="44"/>
  <c r="AF75" i="44" s="1"/>
  <c r="P45" i="44"/>
  <c r="Y46" i="44"/>
  <c r="Z73" i="44" s="1"/>
  <c r="O45" i="44"/>
  <c r="P17" i="44"/>
  <c r="O17" i="44"/>
  <c r="AM16" i="44"/>
  <c r="AN63" i="44" s="1"/>
  <c r="P5" i="44"/>
  <c r="O5" i="44"/>
  <c r="AM4" i="44"/>
  <c r="AN59" i="44" s="1"/>
  <c r="P52" i="45"/>
  <c r="AF52" i="45"/>
  <c r="AG75" i="45" s="1"/>
  <c r="O52" i="45"/>
  <c r="Y81" i="45"/>
  <c r="Y82" i="45"/>
  <c r="Z52" i="45"/>
  <c r="AA75" i="45" s="1"/>
  <c r="P47" i="45"/>
  <c r="O47" i="45"/>
  <c r="AM46" i="45"/>
  <c r="AN73" i="45" s="1"/>
  <c r="P16" i="45"/>
  <c r="AF16" i="45"/>
  <c r="AG63" i="45" s="1"/>
  <c r="O16" i="45"/>
  <c r="P13" i="45"/>
  <c r="O13" i="45"/>
  <c r="AF13" i="45"/>
  <c r="AG62" i="45" s="1"/>
  <c r="U18" i="45"/>
  <c r="P18" i="45"/>
  <c r="Y19" i="45"/>
  <c r="Z64" i="45" s="1"/>
  <c r="O18" i="45"/>
  <c r="U27" i="45"/>
  <c r="Y28" i="45"/>
  <c r="Z67" i="45" s="1"/>
  <c r="P27" i="45"/>
  <c r="O27" i="45"/>
  <c r="P55" i="46"/>
  <c r="AF55" i="46"/>
  <c r="AG76" i="46" s="1"/>
  <c r="O55" i="46"/>
  <c r="Y87" i="46"/>
  <c r="AE52" i="46"/>
  <c r="AF75" i="46" s="1"/>
  <c r="P32" i="46"/>
  <c r="O32" i="46"/>
  <c r="AM31" i="46"/>
  <c r="AN68" i="46" s="1"/>
  <c r="P34" i="46"/>
  <c r="O34" i="46"/>
  <c r="AF34" i="46"/>
  <c r="AG69" i="46" s="1"/>
  <c r="P29" i="46"/>
  <c r="O29" i="46"/>
  <c r="AM28" i="46"/>
  <c r="AN67" i="46" s="1"/>
  <c r="P37" i="44"/>
  <c r="O37" i="44"/>
  <c r="AF37" i="44"/>
  <c r="AG70" i="44" s="1"/>
  <c r="P46" i="44"/>
  <c r="O46" i="44"/>
  <c r="AF46" i="44"/>
  <c r="AG73" i="44" s="1"/>
  <c r="P34" i="44"/>
  <c r="O34" i="44"/>
  <c r="AF34" i="44"/>
  <c r="AG69" i="44" s="1"/>
  <c r="P26" i="44"/>
  <c r="O26" i="44"/>
  <c r="AM25" i="44"/>
  <c r="AN66" i="44" s="1"/>
  <c r="P15" i="44"/>
  <c r="U15" i="44"/>
  <c r="O15" i="44"/>
  <c r="Q15" i="44" s="1"/>
  <c r="Y16" i="44"/>
  <c r="Z63" i="44" s="1"/>
  <c r="P44" i="45"/>
  <c r="O44" i="45"/>
  <c r="AM43" i="45"/>
  <c r="AN72" i="45" s="1"/>
  <c r="P6" i="45"/>
  <c r="U6" i="45"/>
  <c r="Y7" i="45"/>
  <c r="Z60" i="45" s="1"/>
  <c r="O6" i="45"/>
  <c r="Q6" i="45" s="1"/>
  <c r="Y4" i="45"/>
  <c r="Z59" i="45" s="1"/>
  <c r="P3" i="45"/>
  <c r="O3" i="45"/>
  <c r="AM22" i="45"/>
  <c r="AN65" i="45" s="1"/>
  <c r="P23" i="45"/>
  <c r="O23" i="45"/>
  <c r="AB52" i="46"/>
  <c r="AC75" i="46" s="1"/>
  <c r="Y84" i="46"/>
  <c r="P38" i="46"/>
  <c r="O38" i="46"/>
  <c r="R38" i="46" s="1"/>
  <c r="AM37" i="46"/>
  <c r="AN70" i="46" s="1"/>
  <c r="P23" i="44"/>
  <c r="AM22" i="44"/>
  <c r="AN65" i="44" s="1"/>
  <c r="O23" i="44"/>
  <c r="P8" i="44"/>
  <c r="AM7" i="44"/>
  <c r="AN60" i="44" s="1"/>
  <c r="O8" i="44"/>
  <c r="P12" i="44"/>
  <c r="Y13" i="44"/>
  <c r="Z62" i="44" s="1"/>
  <c r="O12" i="44"/>
  <c r="P53" i="45"/>
  <c r="O53" i="45"/>
  <c r="AM52" i="45"/>
  <c r="AN75" i="45" s="1"/>
  <c r="Y87" i="45"/>
  <c r="AE52" i="45"/>
  <c r="AF75" i="45" s="1"/>
  <c r="P46" i="45"/>
  <c r="O46" i="45"/>
  <c r="AF46" i="45"/>
  <c r="AG73" i="45" s="1"/>
  <c r="P42" i="45"/>
  <c r="U42" i="45"/>
  <c r="Y43" i="45"/>
  <c r="Z72" i="45" s="1"/>
  <c r="O42" i="45"/>
  <c r="Q42" i="45" s="1"/>
  <c r="P41" i="45"/>
  <c r="O41" i="45"/>
  <c r="AM40" i="45"/>
  <c r="AN71" i="45" s="1"/>
  <c r="P31" i="45"/>
  <c r="AF31" i="45"/>
  <c r="AG68" i="45" s="1"/>
  <c r="O31" i="45"/>
  <c r="P39" i="45"/>
  <c r="Y40" i="45"/>
  <c r="Z71" i="45" s="1"/>
  <c r="O39" i="45"/>
  <c r="Q39" i="45" s="1"/>
  <c r="P17" i="45"/>
  <c r="O17" i="45"/>
  <c r="AM16" i="45"/>
  <c r="AN63" i="45" s="1"/>
  <c r="P5" i="45"/>
  <c r="O5" i="45"/>
  <c r="AM4" i="45"/>
  <c r="AN59" i="45" s="1"/>
  <c r="P15" i="45"/>
  <c r="U15" i="45"/>
  <c r="O15" i="45"/>
  <c r="Y16" i="45"/>
  <c r="Z63" i="45" s="1"/>
  <c r="P52" i="46"/>
  <c r="Y81" i="46"/>
  <c r="AF52" i="46"/>
  <c r="AG75" i="46" s="1"/>
  <c r="O52" i="46"/>
  <c r="P46" i="46"/>
  <c r="AF46" i="46"/>
  <c r="AG73" i="46" s="1"/>
  <c r="O46" i="46"/>
  <c r="P49" i="46"/>
  <c r="O49" i="46"/>
  <c r="AF49" i="46"/>
  <c r="AG74" i="46" s="1"/>
  <c r="P51" i="46"/>
  <c r="U51" i="46"/>
  <c r="O51" i="46"/>
  <c r="Q51" i="46" s="1"/>
  <c r="Y52" i="46"/>
  <c r="Z75" i="46" s="1"/>
  <c r="P41" i="46"/>
  <c r="AM40" i="46"/>
  <c r="AN71" i="46" s="1"/>
  <c r="O41" i="46"/>
  <c r="P32" i="44"/>
  <c r="O32" i="44"/>
  <c r="AM31" i="44"/>
  <c r="AN68" i="44" s="1"/>
  <c r="U27" i="44"/>
  <c r="P27" i="44"/>
  <c r="Y28" i="44"/>
  <c r="Z67" i="44" s="1"/>
  <c r="O27" i="44"/>
  <c r="P6" i="44"/>
  <c r="U6" i="44"/>
  <c r="O6" i="44"/>
  <c r="Y7" i="44"/>
  <c r="Z60" i="44" s="1"/>
  <c r="Y4" i="44"/>
  <c r="Z59" i="44" s="1"/>
  <c r="P3" i="44"/>
  <c r="O3" i="44"/>
  <c r="Q3" i="44" s="1"/>
  <c r="AB52" i="45"/>
  <c r="AC75" i="45" s="1"/>
  <c r="Y84" i="45"/>
  <c r="AA52" i="45"/>
  <c r="AB75" i="45" s="1"/>
  <c r="Y83" i="45"/>
  <c r="P22" i="45"/>
  <c r="AF22" i="45"/>
  <c r="AG65" i="45" s="1"/>
  <c r="O22" i="45"/>
  <c r="P11" i="45"/>
  <c r="AM10" i="45"/>
  <c r="AN61" i="45" s="1"/>
  <c r="O11" i="45"/>
  <c r="P4" i="45"/>
  <c r="AF4" i="45"/>
  <c r="AG59" i="45" s="1"/>
  <c r="O4" i="45"/>
  <c r="AF43" i="45"/>
  <c r="AG72" i="45" s="1"/>
  <c r="P43" i="45"/>
  <c r="O43" i="45"/>
  <c r="P56" i="46"/>
  <c r="O56" i="46"/>
  <c r="AM55" i="46"/>
  <c r="AN76" i="46" s="1"/>
  <c r="AC52" i="46"/>
  <c r="AD75" i="46" s="1"/>
  <c r="Y85" i="46"/>
  <c r="P42" i="46"/>
  <c r="U42" i="46"/>
  <c r="Y43" i="46"/>
  <c r="Z72" i="46" s="1"/>
  <c r="O42" i="46"/>
  <c r="P44" i="46"/>
  <c r="O44" i="46"/>
  <c r="AM43" i="46"/>
  <c r="AN72" i="46" s="1"/>
  <c r="P31" i="46"/>
  <c r="AF31" i="46"/>
  <c r="AG68" i="46" s="1"/>
  <c r="AM40" i="44"/>
  <c r="AN71" i="44" s="1"/>
  <c r="P4" i="44"/>
  <c r="AF4" i="44"/>
  <c r="AG59" i="44" s="1"/>
  <c r="O4" i="44"/>
  <c r="U45" i="45"/>
  <c r="P45" i="45"/>
  <c r="O45" i="45"/>
  <c r="Y46" i="45"/>
  <c r="Z73" i="45" s="1"/>
  <c r="Y86" i="46"/>
  <c r="AD52" i="46"/>
  <c r="AE75" i="46" s="1"/>
  <c r="AD52" i="44"/>
  <c r="AE75" i="44" s="1"/>
  <c r="Y86" i="44"/>
  <c r="P24" i="44"/>
  <c r="Y25" i="44"/>
  <c r="Z66" i="44" s="1"/>
  <c r="O24" i="44"/>
  <c r="Q24" i="44" s="1"/>
  <c r="P35" i="44"/>
  <c r="AM34" i="44"/>
  <c r="AN69" i="44" s="1"/>
  <c r="O35" i="44"/>
  <c r="U33" i="44"/>
  <c r="P33" i="44"/>
  <c r="O33" i="44"/>
  <c r="Y34" i="44"/>
  <c r="Z69" i="44" s="1"/>
  <c r="P11" i="44"/>
  <c r="O11" i="44"/>
  <c r="AM10" i="44"/>
  <c r="AN61" i="44" s="1"/>
  <c r="P16" i="44"/>
  <c r="O16" i="44"/>
  <c r="AF16" i="44"/>
  <c r="AG63" i="44" s="1"/>
  <c r="U36" i="45"/>
  <c r="P36" i="45"/>
  <c r="Y37" i="45"/>
  <c r="Z70" i="45" s="1"/>
  <c r="O36" i="45"/>
  <c r="P49" i="45"/>
  <c r="O49" i="45"/>
  <c r="AF49" i="45"/>
  <c r="AG74" i="45" s="1"/>
  <c r="P40" i="45"/>
  <c r="AF40" i="45"/>
  <c r="AG71" i="45" s="1"/>
  <c r="O40" i="45"/>
  <c r="P35" i="45"/>
  <c r="AM34" i="45"/>
  <c r="AN69" i="45" s="1"/>
  <c r="O35" i="45"/>
  <c r="P26" i="45"/>
  <c r="AM25" i="45"/>
  <c r="AN66" i="45" s="1"/>
  <c r="O26" i="45"/>
  <c r="P47" i="46"/>
  <c r="AM46" i="46"/>
  <c r="AN73" i="46" s="1"/>
  <c r="O47" i="46"/>
  <c r="P31" i="44"/>
  <c r="AF31" i="44"/>
  <c r="AG68" i="44" s="1"/>
  <c r="O31" i="44"/>
  <c r="P19" i="44"/>
  <c r="O19" i="44"/>
  <c r="AF19" i="44"/>
  <c r="AG64" i="44" s="1"/>
  <c r="P10" i="44"/>
  <c r="AF10" i="44"/>
  <c r="AG61" i="44" s="1"/>
  <c r="O10" i="44"/>
  <c r="P20" i="44"/>
  <c r="AM19" i="44"/>
  <c r="AN64" i="44" s="1"/>
  <c r="O20" i="44"/>
  <c r="AC52" i="45"/>
  <c r="AD75" i="45" s="1"/>
  <c r="Y85" i="45"/>
  <c r="P56" i="45"/>
  <c r="O56" i="45"/>
  <c r="AM55" i="45"/>
  <c r="AN76" i="45" s="1"/>
  <c r="P25" i="45"/>
  <c r="O25" i="45"/>
  <c r="AF25" i="45"/>
  <c r="AG66" i="45" s="1"/>
  <c r="P34" i="45"/>
  <c r="AF34" i="45"/>
  <c r="AG69" i="45" s="1"/>
  <c r="O34" i="45"/>
  <c r="P24" i="45"/>
  <c r="U24" i="45"/>
  <c r="O24" i="45"/>
  <c r="Y25" i="45"/>
  <c r="Z66" i="45" s="1"/>
  <c r="P12" i="45"/>
  <c r="O12" i="45"/>
  <c r="Q12" i="45" s="1"/>
  <c r="Y13" i="45"/>
  <c r="Z62" i="45" s="1"/>
  <c r="P48" i="46"/>
  <c r="Y49" i="46"/>
  <c r="Z74" i="46" s="1"/>
  <c r="O48" i="46"/>
  <c r="Q48" i="46" s="1"/>
  <c r="P35" i="46"/>
  <c r="O35" i="46"/>
  <c r="AM34" i="46"/>
  <c r="AN69" i="46" s="1"/>
  <c r="P45" i="46"/>
  <c r="O45" i="46"/>
  <c r="Y46" i="46"/>
  <c r="Z73" i="46" s="1"/>
  <c r="P39" i="46"/>
  <c r="Y40" i="46"/>
  <c r="Z71" i="46" s="1"/>
  <c r="O39" i="46"/>
  <c r="P17" i="46"/>
  <c r="AM16" i="46"/>
  <c r="AN63" i="46" s="1"/>
  <c r="O17" i="46"/>
  <c r="AM10" i="46"/>
  <c r="AN61" i="46" s="1"/>
  <c r="P14" i="46"/>
  <c r="AM13" i="46"/>
  <c r="AN62" i="46" s="1"/>
  <c r="O14" i="46"/>
  <c r="Y16" i="46"/>
  <c r="Z63" i="46" s="1"/>
  <c r="AB52" i="47"/>
  <c r="AC75" i="47" s="1"/>
  <c r="Y84" i="47"/>
  <c r="P11" i="47"/>
  <c r="O11" i="47"/>
  <c r="AM10" i="47"/>
  <c r="AN61" i="47" s="1"/>
  <c r="AP52" i="48"/>
  <c r="AQ75" i="48" s="1"/>
  <c r="AD52" i="48"/>
  <c r="AE75" i="48" s="1"/>
  <c r="P25" i="46"/>
  <c r="AF25" i="46"/>
  <c r="AG66" i="46" s="1"/>
  <c r="O25" i="46"/>
  <c r="P43" i="46"/>
  <c r="O43" i="46"/>
  <c r="AF43" i="46"/>
  <c r="AG72" i="46" s="1"/>
  <c r="P18" i="46"/>
  <c r="U18" i="46"/>
  <c r="Y19" i="46"/>
  <c r="Z64" i="46" s="1"/>
  <c r="O18" i="46"/>
  <c r="AM7" i="46"/>
  <c r="AN60" i="46" s="1"/>
  <c r="Y25" i="46"/>
  <c r="Z66" i="46" s="1"/>
  <c r="O24" i="46"/>
  <c r="Q24" i="46" s="1"/>
  <c r="P5" i="46"/>
  <c r="O5" i="46"/>
  <c r="AM4" i="46"/>
  <c r="AN59" i="46" s="1"/>
  <c r="P43" i="47"/>
  <c r="AF43" i="47"/>
  <c r="AG72" i="47" s="1"/>
  <c r="O43" i="47"/>
  <c r="P51" i="47"/>
  <c r="O51" i="47"/>
  <c r="Y52" i="47"/>
  <c r="Z75" i="47" s="1"/>
  <c r="AF10" i="47"/>
  <c r="AG61" i="47" s="1"/>
  <c r="O10" i="47"/>
  <c r="R10" i="47" s="1"/>
  <c r="P6" i="47"/>
  <c r="Y7" i="47"/>
  <c r="Z60" i="47" s="1"/>
  <c r="O6" i="47"/>
  <c r="P4" i="47"/>
  <c r="AF4" i="47"/>
  <c r="AG59" i="47" s="1"/>
  <c r="O4" i="47"/>
  <c r="AB85" i="48"/>
  <c r="AF52" i="48"/>
  <c r="AG75" i="48" s="1"/>
  <c r="AE52" i="48"/>
  <c r="AF75" i="48" s="1"/>
  <c r="AI25" i="48"/>
  <c r="AJ66" i="48" s="1"/>
  <c r="AP22" i="48"/>
  <c r="AQ65" i="48" s="1"/>
  <c r="P13" i="46"/>
  <c r="AF13" i="46"/>
  <c r="AG62" i="46" s="1"/>
  <c r="O13" i="46"/>
  <c r="AC52" i="47"/>
  <c r="AD75" i="47" s="1"/>
  <c r="P44" i="47"/>
  <c r="O44" i="47"/>
  <c r="AM43" i="47"/>
  <c r="AN72" i="47" s="1"/>
  <c r="P7" i="47"/>
  <c r="AF7" i="47"/>
  <c r="AG60" i="47" s="1"/>
  <c r="O7" i="47"/>
  <c r="P27" i="47"/>
  <c r="Y28" i="47"/>
  <c r="Z67" i="47" s="1"/>
  <c r="P51" i="48"/>
  <c r="O51" i="48"/>
  <c r="AB52" i="48"/>
  <c r="AC75" i="48" s="1"/>
  <c r="AI52" i="48"/>
  <c r="AJ75" i="48" s="1"/>
  <c r="O52" i="48"/>
  <c r="AB81" i="48"/>
  <c r="P28" i="46"/>
  <c r="AF28" i="46"/>
  <c r="AG67" i="46" s="1"/>
  <c r="O28" i="46"/>
  <c r="P22" i="46"/>
  <c r="AF22" i="46"/>
  <c r="AG65" i="46" s="1"/>
  <c r="O22" i="46"/>
  <c r="AF55" i="47"/>
  <c r="AG76" i="47" s="1"/>
  <c r="P45" i="47"/>
  <c r="O45" i="47"/>
  <c r="Y46" i="47"/>
  <c r="Z73" i="47" s="1"/>
  <c r="P48" i="47"/>
  <c r="Y49" i="47"/>
  <c r="Z74" i="47" s="1"/>
  <c r="O48" i="47"/>
  <c r="AM37" i="47"/>
  <c r="AN70" i="47" s="1"/>
  <c r="P18" i="47"/>
  <c r="O18" i="47"/>
  <c r="Y19" i="47"/>
  <c r="Z64" i="47" s="1"/>
  <c r="P30" i="47"/>
  <c r="Y31" i="47"/>
  <c r="Z68" i="47" s="1"/>
  <c r="O30" i="47"/>
  <c r="Q30" i="47" s="1"/>
  <c r="AI34" i="48"/>
  <c r="AJ69" i="48" s="1"/>
  <c r="AF40" i="46"/>
  <c r="AG71" i="46" s="1"/>
  <c r="O40" i="46"/>
  <c r="O26" i="46"/>
  <c r="AM25" i="46"/>
  <c r="AN66" i="46" s="1"/>
  <c r="AF37" i="47"/>
  <c r="AG70" i="47" s="1"/>
  <c r="P36" i="47"/>
  <c r="O36" i="47"/>
  <c r="P12" i="47"/>
  <c r="Y13" i="47"/>
  <c r="Z62" i="47" s="1"/>
  <c r="AF13" i="47"/>
  <c r="AG62" i="47" s="1"/>
  <c r="O13" i="47"/>
  <c r="P9" i="47"/>
  <c r="Y10" i="47"/>
  <c r="Z61" i="47" s="1"/>
  <c r="O9" i="47"/>
  <c r="AB86" i="48"/>
  <c r="AG52" i="48"/>
  <c r="AH75" i="48" s="1"/>
  <c r="P37" i="48"/>
  <c r="AI37" i="48"/>
  <c r="AJ70" i="48" s="1"/>
  <c r="O37" i="48"/>
  <c r="O41" i="48"/>
  <c r="AP40" i="48"/>
  <c r="AQ71" i="48" s="1"/>
  <c r="AI31" i="48"/>
  <c r="AJ68" i="48" s="1"/>
  <c r="O6" i="48"/>
  <c r="P3" i="46"/>
  <c r="Y4" i="46"/>
  <c r="Z59" i="46" s="1"/>
  <c r="O3" i="46"/>
  <c r="Q3" i="46" s="1"/>
  <c r="Y43" i="47"/>
  <c r="Z72" i="47" s="1"/>
  <c r="O42" i="47"/>
  <c r="Q42" i="47" s="1"/>
  <c r="AM16" i="47"/>
  <c r="AN63" i="47" s="1"/>
  <c r="O3" i="47"/>
  <c r="Y4" i="47"/>
  <c r="Z59" i="47" s="1"/>
  <c r="AF25" i="47"/>
  <c r="AG66" i="47" s="1"/>
  <c r="AB82" i="48"/>
  <c r="AC52" i="48"/>
  <c r="AD75" i="48" s="1"/>
  <c r="AI28" i="48"/>
  <c r="AJ67" i="48" s="1"/>
  <c r="P23" i="46"/>
  <c r="AM22" i="46"/>
  <c r="AN65" i="46" s="1"/>
  <c r="O23" i="46"/>
  <c r="AF52" i="47"/>
  <c r="AG75" i="47" s="1"/>
  <c r="O52" i="47"/>
  <c r="AA52" i="47"/>
  <c r="AB75" i="47" s="1"/>
  <c r="Y83" i="47"/>
  <c r="Y40" i="47"/>
  <c r="Z71" i="47" s="1"/>
  <c r="P47" i="47"/>
  <c r="AM46" i="47"/>
  <c r="AN73" i="47" s="1"/>
  <c r="O47" i="47"/>
  <c r="P26" i="47"/>
  <c r="O26" i="47"/>
  <c r="AM25" i="47"/>
  <c r="AN66" i="47" s="1"/>
  <c r="AM13" i="47"/>
  <c r="AN62" i="47" s="1"/>
  <c r="O14" i="47"/>
  <c r="Y22" i="47"/>
  <c r="Z65" i="47" s="1"/>
  <c r="P21" i="47"/>
  <c r="O21" i="47"/>
  <c r="P35" i="48"/>
  <c r="O35" i="48"/>
  <c r="AP34" i="48"/>
  <c r="AQ69" i="48" s="1"/>
  <c r="P30" i="48"/>
  <c r="AB31" i="48"/>
  <c r="AC68" i="48" s="1"/>
  <c r="O30" i="48"/>
  <c r="P9" i="48"/>
  <c r="U9" i="48"/>
  <c r="O9" i="48"/>
  <c r="AB10" i="48"/>
  <c r="AC61" i="48" s="1"/>
  <c r="P33" i="46"/>
  <c r="U33" i="46"/>
  <c r="Y34" i="46"/>
  <c r="Z69" i="46" s="1"/>
  <c r="O33" i="46"/>
  <c r="P6" i="46"/>
  <c r="O6" i="46"/>
  <c r="Y7" i="46"/>
  <c r="Z60" i="46" s="1"/>
  <c r="P56" i="47"/>
  <c r="O56" i="47"/>
  <c r="AM55" i="47"/>
  <c r="AN76" i="47" s="1"/>
  <c r="Y87" i="47"/>
  <c r="AE52" i="47"/>
  <c r="AF75" i="47" s="1"/>
  <c r="O46" i="47"/>
  <c r="P35" i="47"/>
  <c r="O35" i="47"/>
  <c r="U33" i="47"/>
  <c r="P33" i="47"/>
  <c r="Y34" i="47"/>
  <c r="Z69" i="47" s="1"/>
  <c r="P40" i="47"/>
  <c r="AF40" i="47"/>
  <c r="AG71" i="47" s="1"/>
  <c r="O40" i="47"/>
  <c r="P5" i="47"/>
  <c r="O5" i="47"/>
  <c r="AM4" i="47"/>
  <c r="AN59" i="47" s="1"/>
  <c r="AM7" i="47"/>
  <c r="AN60" i="47" s="1"/>
  <c r="P23" i="47"/>
  <c r="AM22" i="47"/>
  <c r="AN65" i="47" s="1"/>
  <c r="O23" i="47"/>
  <c r="AB87" i="48"/>
  <c r="AH52" i="48"/>
  <c r="AI75" i="48" s="1"/>
  <c r="P29" i="48"/>
  <c r="AP28" i="48"/>
  <c r="AQ67" i="48" s="1"/>
  <c r="O29" i="48"/>
  <c r="P16" i="48"/>
  <c r="P18" i="48"/>
  <c r="AB19" i="48"/>
  <c r="AC64" i="48" s="1"/>
  <c r="O18" i="48"/>
  <c r="AP16" i="48"/>
  <c r="AQ63" i="48" s="1"/>
  <c r="AF43" i="43"/>
  <c r="AG72" i="43" s="1"/>
  <c r="P51" i="43"/>
  <c r="Y52" i="43"/>
  <c r="Z75" i="43" s="1"/>
  <c r="O51" i="43"/>
  <c r="AF46" i="43"/>
  <c r="AG73" i="43" s="1"/>
  <c r="P45" i="43"/>
  <c r="O45" i="43"/>
  <c r="Y46" i="43"/>
  <c r="Z73" i="43" s="1"/>
  <c r="Y28" i="43"/>
  <c r="Z67" i="43" s="1"/>
  <c r="O27" i="43"/>
  <c r="P31" i="43"/>
  <c r="O31" i="43"/>
  <c r="AF31" i="43"/>
  <c r="AG68" i="43" s="1"/>
  <c r="Y19" i="43"/>
  <c r="Z64" i="43" s="1"/>
  <c r="P7" i="43"/>
  <c r="AF7" i="43"/>
  <c r="AG60" i="43" s="1"/>
  <c r="O7" i="43"/>
  <c r="AF13" i="43"/>
  <c r="AG62" i="43" s="1"/>
  <c r="P13" i="43"/>
  <c r="AF19" i="43"/>
  <c r="AG64" i="43" s="1"/>
  <c r="P19" i="43"/>
  <c r="O19" i="43"/>
  <c r="AA52" i="44"/>
  <c r="AB75" i="44" s="1"/>
  <c r="Y83" i="44"/>
  <c r="Y85" i="43"/>
  <c r="AC52" i="43"/>
  <c r="AD75" i="43" s="1"/>
  <c r="P36" i="43"/>
  <c r="O36" i="43"/>
  <c r="Y37" i="43"/>
  <c r="Z70" i="43" s="1"/>
  <c r="Y16" i="43"/>
  <c r="Z63" i="43" s="1"/>
  <c r="U51" i="44"/>
  <c r="O51" i="44"/>
  <c r="Q51" i="44" s="1"/>
  <c r="Y52" i="44"/>
  <c r="Z75" i="44" s="1"/>
  <c r="Y49" i="43"/>
  <c r="Z74" i="43" s="1"/>
  <c r="O42" i="43"/>
  <c r="Y43" i="43"/>
  <c r="Z72" i="43" s="1"/>
  <c r="Y34" i="43"/>
  <c r="Z69" i="43" s="1"/>
  <c r="P26" i="43"/>
  <c r="AM25" i="43"/>
  <c r="AN66" i="43" s="1"/>
  <c r="O26" i="43"/>
  <c r="AM10" i="43"/>
  <c r="AN61" i="43" s="1"/>
  <c r="P11" i="43"/>
  <c r="O11" i="43"/>
  <c r="P55" i="44"/>
  <c r="AF55" i="44"/>
  <c r="AG76" i="44" s="1"/>
  <c r="Y85" i="44"/>
  <c r="AC52" i="44"/>
  <c r="AD75" i="44" s="1"/>
  <c r="AM55" i="43"/>
  <c r="AN76" i="43" s="1"/>
  <c r="AM46" i="43"/>
  <c r="AN73" i="43" s="1"/>
  <c r="P44" i="43"/>
  <c r="O44" i="43"/>
  <c r="AM43" i="43"/>
  <c r="AN72" i="43" s="1"/>
  <c r="AM37" i="43"/>
  <c r="AN70" i="43" s="1"/>
  <c r="P39" i="43"/>
  <c r="Y40" i="43"/>
  <c r="Z71" i="43" s="1"/>
  <c r="Y31" i="43"/>
  <c r="Z68" i="43" s="1"/>
  <c r="P44" i="44"/>
  <c r="AM43" i="44"/>
  <c r="AN72" i="44" s="1"/>
  <c r="Y86" i="43"/>
  <c r="AD52" i="43"/>
  <c r="AE75" i="43" s="1"/>
  <c r="P28" i="43"/>
  <c r="AF28" i="43"/>
  <c r="AG67" i="43" s="1"/>
  <c r="O28" i="43"/>
  <c r="P6" i="43"/>
  <c r="Y7" i="43"/>
  <c r="Z60" i="43" s="1"/>
  <c r="O6" i="43"/>
  <c r="Y84" i="44"/>
  <c r="AB52" i="44"/>
  <c r="AC75" i="44" s="1"/>
  <c r="Y82" i="44"/>
  <c r="Z52" i="44"/>
  <c r="AA75" i="44" s="1"/>
  <c r="P54" i="44"/>
  <c r="Y55" i="44"/>
  <c r="Z76" i="44" s="1"/>
  <c r="P54" i="43"/>
  <c r="Y55" i="43"/>
  <c r="Z76" i="43" s="1"/>
  <c r="P12" i="43"/>
  <c r="Y13" i="43"/>
  <c r="Z62" i="43" s="1"/>
  <c r="O12" i="43"/>
  <c r="P8" i="43"/>
  <c r="O8" i="43"/>
  <c r="AM7" i="43"/>
  <c r="AN60" i="43" s="1"/>
  <c r="P52" i="44"/>
  <c r="Y81" i="44"/>
  <c r="O52" i="44"/>
  <c r="AF52" i="44"/>
  <c r="AG75" i="44" s="1"/>
  <c r="P52" i="43"/>
  <c r="Y81" i="43"/>
  <c r="AF52" i="43"/>
  <c r="AG75" i="43" s="1"/>
  <c r="O52" i="43"/>
  <c r="Z52" i="43"/>
  <c r="AA75" i="43" s="1"/>
  <c r="Y83" i="43"/>
  <c r="AA52" i="43"/>
  <c r="AB75" i="43" s="1"/>
  <c r="P35" i="43"/>
  <c r="AM34" i="43"/>
  <c r="AN69" i="43" s="1"/>
  <c r="O35" i="43"/>
  <c r="P25" i="43"/>
  <c r="AF25" i="43"/>
  <c r="AG66" i="43" s="1"/>
  <c r="O25" i="43"/>
  <c r="P17" i="43"/>
  <c r="P4" i="43"/>
  <c r="AF4" i="43"/>
  <c r="AG59" i="43" s="1"/>
  <c r="O4" i="43"/>
  <c r="P43" i="44"/>
  <c r="AF43" i="44"/>
  <c r="AG72" i="44" s="1"/>
  <c r="O43" i="44"/>
  <c r="AE52" i="43"/>
  <c r="AF75" i="43" s="1"/>
  <c r="Y87" i="43"/>
  <c r="P40" i="43"/>
  <c r="O40" i="43"/>
  <c r="AF40" i="43"/>
  <c r="AG71" i="43" s="1"/>
  <c r="P23" i="43"/>
  <c r="AM22" i="43"/>
  <c r="AN65" i="43" s="1"/>
  <c r="O23" i="43"/>
  <c r="P14" i="43"/>
  <c r="O14" i="43"/>
  <c r="AM13" i="43"/>
  <c r="AN62" i="43" s="1"/>
  <c r="O5" i="43"/>
  <c r="AF37" i="43"/>
  <c r="AG70" i="43" s="1"/>
  <c r="P37" i="43"/>
  <c r="O37" i="43"/>
  <c r="P41" i="43"/>
  <c r="O41" i="43"/>
  <c r="P48" i="44"/>
  <c r="Y49" i="44"/>
  <c r="Z74" i="44" s="1"/>
  <c r="O48" i="44"/>
  <c r="P53" i="44"/>
  <c r="AM52" i="44"/>
  <c r="AN75" i="44" s="1"/>
  <c r="O53" i="44"/>
  <c r="O43" i="48"/>
  <c r="AI43" i="48"/>
  <c r="AJ72" i="48" s="1"/>
  <c r="AB46" i="48"/>
  <c r="AC73" i="48" s="1"/>
  <c r="O45" i="48"/>
  <c r="AB16" i="53"/>
  <c r="AC63" i="53" s="1"/>
  <c r="E3" i="38"/>
  <c r="F3" i="38"/>
  <c r="E21" i="38"/>
  <c r="F21" i="38"/>
  <c r="D21" i="38"/>
  <c r="D3" i="38"/>
  <c r="D33" i="38"/>
  <c r="F33" i="38"/>
  <c r="E33" i="38"/>
  <c r="D18" i="38"/>
  <c r="F18" i="38"/>
  <c r="E18" i="38"/>
  <c r="F30" i="38"/>
  <c r="D30" i="38"/>
  <c r="E30" i="38"/>
  <c r="F12" i="38"/>
  <c r="E12" i="38"/>
  <c r="D12" i="38"/>
  <c r="F24" i="38"/>
  <c r="D24" i="38"/>
  <c r="E24" i="38"/>
  <c r="F9" i="38"/>
  <c r="E9" i="38"/>
  <c r="D9" i="38"/>
  <c r="D26" i="38"/>
  <c r="E26" i="38"/>
  <c r="F26" i="38"/>
  <c r="F11" i="38"/>
  <c r="E11" i="38"/>
  <c r="D11" i="38"/>
  <c r="F29" i="38"/>
  <c r="D29" i="38"/>
  <c r="E29" i="38"/>
  <c r="F38" i="38"/>
  <c r="D38" i="38"/>
  <c r="E38" i="38"/>
  <c r="F31" i="38"/>
  <c r="E31" i="38"/>
  <c r="D31" i="38"/>
  <c r="F8" i="38"/>
  <c r="E8" i="38"/>
  <c r="D8" i="38"/>
  <c r="D4" i="38"/>
  <c r="F4" i="38"/>
  <c r="E4" i="38"/>
  <c r="D34" i="38"/>
  <c r="F34" i="38"/>
  <c r="E34" i="38"/>
  <c r="E17" i="38"/>
  <c r="D17" i="38"/>
  <c r="F17" i="38"/>
  <c r="E36" i="38"/>
  <c r="F36" i="38"/>
  <c r="D36" i="38"/>
  <c r="F22" i="38"/>
  <c r="D22" i="38"/>
  <c r="E22" i="38"/>
  <c r="E19" i="38"/>
  <c r="D19" i="38"/>
  <c r="F19" i="38"/>
  <c r="E13" i="38"/>
  <c r="D13" i="38"/>
  <c r="F13" i="38"/>
  <c r="E6" i="38"/>
  <c r="F6" i="38"/>
  <c r="D6" i="38"/>
  <c r="E15" i="38"/>
  <c r="D15" i="38"/>
  <c r="F15" i="38"/>
  <c r="D27" i="38"/>
  <c r="E27" i="38"/>
  <c r="F27" i="38"/>
  <c r="F343" i="62" a="1"/>
  <c r="T233" i="62" a="1"/>
  <c r="J233" i="62" a="1"/>
  <c r="J163" i="62" a="1"/>
  <c r="D233" i="62" a="1"/>
  <c r="U234" i="62" a="1"/>
  <c r="G199" i="62" a="1"/>
  <c r="H341" i="62" a="1"/>
  <c r="S234" i="62" a="1"/>
  <c r="H269" i="62" a="1"/>
  <c r="J162" i="62" a="1"/>
  <c r="W307" i="62" a="1"/>
  <c r="U306" i="62" a="1"/>
  <c r="E198" i="62" a="1"/>
  <c r="J307" i="62" a="1"/>
  <c r="R199" i="62" a="1"/>
  <c r="J270" i="62" a="1"/>
  <c r="R164" i="62" a="1"/>
  <c r="J341" i="62" a="1"/>
  <c r="S198" i="62" a="1"/>
  <c r="U270" i="62" a="1"/>
  <c r="F162" i="62" a="1"/>
  <c r="U269" i="62" a="1"/>
  <c r="W306" i="62" a="1"/>
  <c r="E197" i="62" a="1"/>
  <c r="F305" i="62" a="1"/>
  <c r="V233" i="62" a="1"/>
  <c r="S269" i="62" a="1"/>
  <c r="U163" i="62" a="1"/>
  <c r="G271" i="62" a="1"/>
  <c r="E271" i="62" a="1"/>
  <c r="J306" i="62" a="1"/>
  <c r="D343" i="62" a="1"/>
  <c r="R305" i="62" a="1"/>
  <c r="R233" i="62" a="1"/>
  <c r="H198" i="62" a="1"/>
  <c r="R198" i="62" a="1"/>
  <c r="R235" i="62" a="1"/>
  <c r="T235" i="62" a="1"/>
  <c r="U271" i="62" a="1"/>
  <c r="G306" i="62" a="1"/>
  <c r="V306" i="62" a="1"/>
  <c r="F271" i="62" a="1"/>
  <c r="G233" i="62" a="1"/>
  <c r="D305" i="62" a="1"/>
  <c r="U198" i="62" a="1"/>
  <c r="J342" i="62" a="1"/>
  <c r="J199" i="62" a="1"/>
  <c r="V199" i="62" a="1"/>
  <c r="W235" i="62" a="1"/>
  <c r="H342" i="62" a="1"/>
  <c r="E235" i="62" a="1"/>
  <c r="W305" i="62" a="1"/>
  <c r="D164" i="62" a="1"/>
  <c r="R271" i="62" a="1"/>
  <c r="R197" i="62" a="1"/>
  <c r="X163" i="62" a="1"/>
  <c r="I343" i="62" a="1"/>
  <c r="W199" i="62" a="1"/>
  <c r="S307" i="62" a="1"/>
  <c r="E164" i="62" a="1"/>
  <c r="D235" i="62" a="1"/>
  <c r="W270" i="62" a="1"/>
  <c r="J197" i="62" a="1"/>
  <c r="H307" i="62" a="1"/>
  <c r="I235" i="62" a="1"/>
  <c r="R270" i="62" a="1"/>
  <c r="V163" i="62" a="1"/>
  <c r="T305" i="62" a="1"/>
  <c r="X271" i="62" a="1"/>
  <c r="F198" i="62" a="1"/>
  <c r="H306" i="62" a="1"/>
  <c r="R234" i="62" a="1"/>
  <c r="E233" i="62" a="1"/>
  <c r="T164" i="62" a="1"/>
  <c r="D342" i="62" a="1"/>
  <c r="X270" i="62" a="1"/>
  <c r="S197" i="62" a="1"/>
  <c r="H162" i="62" a="1"/>
  <c r="D234" i="62" a="1"/>
  <c r="H234" i="62" a="1"/>
  <c r="T197" i="62" a="1"/>
  <c r="D307" i="62" a="1"/>
  <c r="H163" i="62" a="1"/>
  <c r="E342" i="62" a="1"/>
  <c r="V235" i="62" a="1"/>
  <c r="E305" i="62" a="1"/>
  <c r="X197" i="62" a="1"/>
  <c r="T162" i="62" a="1"/>
  <c r="X235" i="62" a="1"/>
  <c r="S271" i="62" a="1"/>
  <c r="E341" i="62" a="1"/>
  <c r="E162" i="62" a="1"/>
  <c r="G305" i="62" a="1"/>
  <c r="W163" i="62" a="1"/>
  <c r="G163" i="62" a="1"/>
  <c r="H199" i="62" a="1"/>
  <c r="W233" i="62" a="1"/>
  <c r="I341" i="62" a="1"/>
  <c r="F199" i="62" a="1"/>
  <c r="U164" i="62" a="1"/>
  <c r="D271" i="62" a="1"/>
  <c r="U199" i="62" a="1"/>
  <c r="F306" i="62" a="1"/>
  <c r="S235" i="62" a="1"/>
  <c r="D197" i="62" a="1"/>
  <c r="T163" i="62" a="1"/>
  <c r="X269" i="62" a="1"/>
  <c r="V271" i="62" a="1"/>
  <c r="I307" i="62" a="1"/>
  <c r="R269" i="62" a="1"/>
  <c r="S270" i="62" a="1"/>
  <c r="E270" i="62" a="1"/>
  <c r="F341" i="62" a="1"/>
  <c r="I164" i="62" a="1"/>
  <c r="I306" i="62" a="1"/>
  <c r="G234" i="62" a="1"/>
  <c r="H271" i="62" a="1"/>
  <c r="I199" i="62" a="1"/>
  <c r="E306" i="62" a="1"/>
  <c r="U235" i="62" a="1"/>
  <c r="G270" i="62" a="1"/>
  <c r="R163" i="62" a="1"/>
  <c r="E343" i="62" a="1"/>
  <c r="R307" i="62" a="1"/>
  <c r="I269" i="62" a="1"/>
  <c r="I197" i="62" a="1"/>
  <c r="F270" i="62" a="1"/>
  <c r="U197" i="62" a="1"/>
  <c r="U162" i="62" a="1"/>
  <c r="J305" i="62" a="1"/>
  <c r="D269" i="62" a="1"/>
  <c r="R306" i="62" a="1"/>
  <c r="J164" i="62" a="1"/>
  <c r="W197" i="62" a="1"/>
  <c r="H233" i="62" a="1"/>
  <c r="J198" i="62" a="1"/>
  <c r="G307" i="62" a="1"/>
  <c r="W269" i="62" a="1"/>
  <c r="S305" i="62" a="1"/>
  <c r="S164" i="62" a="1"/>
  <c r="D341" i="62" a="1"/>
  <c r="V307" i="62" a="1"/>
  <c r="W234" i="62" a="1"/>
  <c r="I163" i="62" a="1"/>
  <c r="H343" i="62" a="1"/>
  <c r="H164" i="62" a="1"/>
  <c r="F197" i="62" a="1"/>
  <c r="R162" i="62" a="1"/>
  <c r="T307" i="62" a="1"/>
  <c r="S162" i="62" a="1"/>
  <c r="I270" i="62" a="1"/>
  <c r="T306" i="62" a="1"/>
  <c r="I271" i="62" a="1"/>
  <c r="I342" i="62" a="1"/>
  <c r="F233" i="62" a="1"/>
  <c r="W162" i="62" a="1"/>
  <c r="S306" i="62" a="1"/>
  <c r="X234" i="62" a="1"/>
  <c r="H197" i="62" a="1"/>
  <c r="T270" i="62" a="1"/>
  <c r="X306" i="62" a="1"/>
  <c r="J235" i="62" a="1"/>
  <c r="T234" i="62" a="1"/>
  <c r="V164" i="62" a="1"/>
  <c r="V305" i="62" a="1"/>
  <c r="U305" i="62" a="1"/>
  <c r="G343" i="62" a="1"/>
  <c r="W271" i="62" a="1"/>
  <c r="G198" i="62" a="1"/>
  <c r="J234" i="62" a="1"/>
  <c r="V270" i="62" a="1"/>
  <c r="E307" i="62" a="1"/>
  <c r="G342" i="62" a="1"/>
  <c r="D163" i="62" a="1"/>
  <c r="E199" i="62" a="1"/>
  <c r="J271" i="62" a="1"/>
  <c r="X164" i="62" a="1"/>
  <c r="H270" i="62" a="1"/>
  <c r="V197" i="62" a="1"/>
  <c r="H235" i="62" a="1"/>
  <c r="V234" i="62" a="1"/>
  <c r="W198" i="62" a="1"/>
  <c r="D270" i="62" a="1"/>
  <c r="X307" i="62" a="1"/>
  <c r="I198" i="62" a="1"/>
  <c r="F307" i="62" a="1"/>
  <c r="U307" i="62" a="1"/>
  <c r="D306" i="62" a="1"/>
  <c r="S163" i="62" a="1"/>
  <c r="V269" i="62" a="1"/>
  <c r="E269" i="62" a="1"/>
  <c r="G197" i="62" a="1"/>
  <c r="I305" i="62" a="1"/>
  <c r="E234" i="62" a="1"/>
  <c r="F235" i="62" a="1"/>
  <c r="V162" i="62" a="1"/>
  <c r="J343" i="62" a="1"/>
  <c r="G235" i="62" a="1"/>
  <c r="X198" i="62" a="1"/>
  <c r="F163" i="62" a="1"/>
  <c r="I234" i="62" a="1"/>
  <c r="T199" i="62" a="1"/>
  <c r="D199" i="62" a="1"/>
  <c r="H305" i="62" a="1"/>
  <c r="F234" i="62" a="1"/>
  <c r="S199" i="62" a="1"/>
  <c r="F164" i="62" a="1"/>
  <c r="F342" i="62" a="1"/>
  <c r="X305" i="62" a="1"/>
  <c r="I233" i="62" a="1"/>
  <c r="G162" i="62" a="1"/>
  <c r="W164" i="62" a="1"/>
  <c r="T271" i="62" a="1"/>
  <c r="G269" i="62" a="1"/>
  <c r="V198" i="62" a="1"/>
  <c r="U233" i="62" a="1"/>
  <c r="G164" i="62" a="1"/>
  <c r="E163" i="62" a="1"/>
  <c r="J269" i="62" a="1"/>
  <c r="G341" i="62" a="1"/>
  <c r="T198" i="62" a="1"/>
  <c r="S233" i="62" a="1"/>
  <c r="D162" i="62" a="1"/>
  <c r="I162" i="62" a="1"/>
  <c r="X233" i="62" a="1"/>
  <c r="F269" i="62" a="1"/>
  <c r="X199" i="62" a="1"/>
  <c r="T269" i="62" a="1"/>
  <c r="D198" i="62" a="1"/>
  <c r="X162" i="62" a="1"/>
  <c r="J342" i="62" l="1"/>
  <c r="E343" i="62"/>
  <c r="I341" i="62"/>
  <c r="H342" i="62"/>
  <c r="F342" i="62"/>
  <c r="G341" i="62"/>
  <c r="J341" i="62"/>
  <c r="D343" i="62"/>
  <c r="G343" i="62"/>
  <c r="I343" i="62"/>
  <c r="I342" i="62"/>
  <c r="F343" i="62"/>
  <c r="D341" i="62"/>
  <c r="E342" i="62"/>
  <c r="F341" i="62"/>
  <c r="J343" i="62"/>
  <c r="E341" i="62"/>
  <c r="H341" i="62"/>
  <c r="H343" i="62"/>
  <c r="G342" i="62"/>
  <c r="D342" i="62"/>
  <c r="O36" i="52"/>
  <c r="U51" i="52"/>
  <c r="U9" i="52"/>
  <c r="U33" i="52"/>
  <c r="P31" i="52"/>
  <c r="O4" i="52"/>
  <c r="U54" i="52"/>
  <c r="U15" i="52"/>
  <c r="O49" i="52"/>
  <c r="Q48" i="52" s="1"/>
  <c r="Q24" i="52"/>
  <c r="O7" i="52"/>
  <c r="P55" i="52"/>
  <c r="O9" i="52"/>
  <c r="Q33" i="52"/>
  <c r="P41" i="52"/>
  <c r="O50" i="52"/>
  <c r="Q21" i="52"/>
  <c r="P4" i="52"/>
  <c r="O30" i="52"/>
  <c r="Q30" i="52" s="1"/>
  <c r="P7" i="52"/>
  <c r="AF55" i="52"/>
  <c r="AG76" i="52" s="1"/>
  <c r="O3" i="52"/>
  <c r="Q3" i="52" s="1"/>
  <c r="Q6" i="52"/>
  <c r="U45" i="52"/>
  <c r="P49" i="52"/>
  <c r="P24" i="52"/>
  <c r="U36" i="52"/>
  <c r="Q15" i="52"/>
  <c r="P17" i="52"/>
  <c r="Q12" i="52"/>
  <c r="P36" i="52"/>
  <c r="Q51" i="52"/>
  <c r="P3" i="52"/>
  <c r="U6" i="52"/>
  <c r="Q42" i="52"/>
  <c r="AH55" i="53"/>
  <c r="AI76" i="53" s="1"/>
  <c r="Q54" i="53"/>
  <c r="AH37" i="53"/>
  <c r="AI70" i="53" s="1"/>
  <c r="Q36" i="53"/>
  <c r="AH46" i="53"/>
  <c r="AI73" i="53" s="1"/>
  <c r="Q45" i="53"/>
  <c r="AH10" i="53"/>
  <c r="AI61" i="53" s="1"/>
  <c r="Q9" i="53"/>
  <c r="AH19" i="53"/>
  <c r="AI64" i="53" s="1"/>
  <c r="Q18" i="53"/>
  <c r="AH28" i="53"/>
  <c r="AI67" i="53" s="1"/>
  <c r="Q27" i="53"/>
  <c r="AE37" i="52"/>
  <c r="AF70" i="52" s="1"/>
  <c r="Q36" i="52"/>
  <c r="AE10" i="52"/>
  <c r="AF61" i="52" s="1"/>
  <c r="Q9" i="52"/>
  <c r="AE55" i="52"/>
  <c r="AF76" i="52" s="1"/>
  <c r="Q54" i="52"/>
  <c r="AE28" i="52"/>
  <c r="AF67" i="52" s="1"/>
  <c r="Q27" i="52"/>
  <c r="AE19" i="52"/>
  <c r="AF64" i="52" s="1"/>
  <c r="Q18" i="52"/>
  <c r="AE46" i="52"/>
  <c r="AF73" i="52" s="1"/>
  <c r="Q45" i="52"/>
  <c r="H305" i="62"/>
  <c r="J305" i="62"/>
  <c r="H307" i="62"/>
  <c r="J306" i="62"/>
  <c r="F305" i="62"/>
  <c r="F307" i="62"/>
  <c r="G306" i="62"/>
  <c r="I306" i="62"/>
  <c r="G307" i="62"/>
  <c r="F306" i="62"/>
  <c r="J307" i="62"/>
  <c r="I305" i="62"/>
  <c r="I307" i="62"/>
  <c r="E306" i="62"/>
  <c r="E305" i="62"/>
  <c r="E307" i="62"/>
  <c r="H306" i="62"/>
  <c r="G305" i="62"/>
  <c r="H270" i="62"/>
  <c r="X199" i="62"/>
  <c r="I269" i="62"/>
  <c r="V305" i="62"/>
  <c r="W305" i="62"/>
  <c r="I233" i="62"/>
  <c r="U271" i="62"/>
  <c r="U270" i="62"/>
  <c r="T307" i="62"/>
  <c r="W271" i="62"/>
  <c r="S307" i="62"/>
  <c r="X235" i="62"/>
  <c r="J233" i="62"/>
  <c r="W234" i="62"/>
  <c r="I270" i="62"/>
  <c r="H235" i="62"/>
  <c r="X198" i="62"/>
  <c r="R235" i="62"/>
  <c r="H269" i="62"/>
  <c r="E271" i="62"/>
  <c r="U198" i="62"/>
  <c r="S197" i="62"/>
  <c r="S199" i="62"/>
  <c r="G233" i="62"/>
  <c r="R306" i="62"/>
  <c r="D307" i="62"/>
  <c r="R269" i="62"/>
  <c r="D306" i="62"/>
  <c r="W233" i="62"/>
  <c r="S269" i="62"/>
  <c r="S305" i="62"/>
  <c r="T270" i="62"/>
  <c r="R270" i="62"/>
  <c r="F235" i="62"/>
  <c r="U305" i="62"/>
  <c r="G270" i="62"/>
  <c r="X197" i="62"/>
  <c r="W235" i="62"/>
  <c r="E233" i="62"/>
  <c r="U233" i="62"/>
  <c r="J270" i="62"/>
  <c r="U197" i="62"/>
  <c r="S271" i="62"/>
  <c r="R197" i="62"/>
  <c r="G271" i="62"/>
  <c r="X233" i="62"/>
  <c r="W306" i="62"/>
  <c r="T199" i="62"/>
  <c r="V197" i="62"/>
  <c r="W270" i="62"/>
  <c r="T197" i="62"/>
  <c r="U234" i="62"/>
  <c r="X307" i="62"/>
  <c r="J235" i="62"/>
  <c r="V234" i="62"/>
  <c r="H233" i="62"/>
  <c r="U199" i="62"/>
  <c r="U306" i="62"/>
  <c r="E269" i="62"/>
  <c r="F269" i="62"/>
  <c r="H271" i="62"/>
  <c r="T306" i="62"/>
  <c r="V270" i="62"/>
  <c r="X271" i="62"/>
  <c r="J269" i="62"/>
  <c r="S270" i="62"/>
  <c r="R307" i="62"/>
  <c r="S233" i="62"/>
  <c r="E235" i="62"/>
  <c r="X305" i="62"/>
  <c r="X306" i="62"/>
  <c r="S198" i="62"/>
  <c r="V198" i="62"/>
  <c r="D271" i="62"/>
  <c r="W199" i="62"/>
  <c r="R198" i="62"/>
  <c r="T233" i="62"/>
  <c r="V307" i="62"/>
  <c r="R233" i="62"/>
  <c r="T269" i="62"/>
  <c r="G235" i="62"/>
  <c r="S306" i="62"/>
  <c r="S234" i="62"/>
  <c r="H234" i="62"/>
  <c r="X269" i="62"/>
  <c r="X270" i="62"/>
  <c r="F234" i="62"/>
  <c r="J234" i="62"/>
  <c r="D269" i="62"/>
  <c r="G269" i="62"/>
  <c r="J271" i="62"/>
  <c r="U307" i="62"/>
  <c r="T234" i="62"/>
  <c r="V233" i="62"/>
  <c r="W269" i="62"/>
  <c r="T235" i="62"/>
  <c r="I235" i="62"/>
  <c r="E234" i="62"/>
  <c r="V306" i="62"/>
  <c r="U235" i="62"/>
  <c r="I271" i="62"/>
  <c r="W198" i="62"/>
  <c r="R234" i="62"/>
  <c r="R305" i="62"/>
  <c r="R199" i="62"/>
  <c r="F270" i="62"/>
  <c r="F233" i="62"/>
  <c r="R271" i="62"/>
  <c r="D234" i="62"/>
  <c r="D305" i="62"/>
  <c r="U269" i="62"/>
  <c r="I234" i="62"/>
  <c r="E270" i="62"/>
  <c r="D235" i="62"/>
  <c r="T271" i="62"/>
  <c r="D233" i="62"/>
  <c r="D270" i="62"/>
  <c r="T198" i="62"/>
  <c r="V199" i="62"/>
  <c r="W197" i="62"/>
  <c r="F271" i="62"/>
  <c r="W307" i="62"/>
  <c r="V269" i="62"/>
  <c r="V271" i="62"/>
  <c r="G234" i="62"/>
  <c r="V235" i="62"/>
  <c r="S235" i="62"/>
  <c r="T305" i="62"/>
  <c r="X234" i="62"/>
  <c r="Q48" i="44"/>
  <c r="P3" i="47"/>
  <c r="Q6" i="48"/>
  <c r="P13" i="47"/>
  <c r="U6" i="47"/>
  <c r="U24" i="46"/>
  <c r="R52" i="46"/>
  <c r="Q48" i="50"/>
  <c r="Q48" i="51"/>
  <c r="Q51" i="50"/>
  <c r="Q3" i="49"/>
  <c r="V21" i="51"/>
  <c r="Q42" i="51"/>
  <c r="O55" i="44"/>
  <c r="P26" i="46"/>
  <c r="O27" i="47"/>
  <c r="P24" i="46"/>
  <c r="U45" i="46"/>
  <c r="Q33" i="44"/>
  <c r="U24" i="44"/>
  <c r="Q6" i="44"/>
  <c r="Q39" i="50"/>
  <c r="Q15" i="49"/>
  <c r="Q42" i="49"/>
  <c r="Q6" i="50"/>
  <c r="Q24" i="51"/>
  <c r="Q33" i="51"/>
  <c r="Q42" i="44"/>
  <c r="AE55" i="51"/>
  <c r="AF76" i="51" s="1"/>
  <c r="Q54" i="51"/>
  <c r="Q3" i="47"/>
  <c r="Q3" i="50"/>
  <c r="Q24" i="50"/>
  <c r="Q21" i="44"/>
  <c r="Q21" i="47"/>
  <c r="O25" i="47"/>
  <c r="Q12" i="44"/>
  <c r="Q30" i="50"/>
  <c r="Q51" i="49"/>
  <c r="Q15" i="50"/>
  <c r="R11" i="49"/>
  <c r="Q48" i="49"/>
  <c r="Q24" i="47"/>
  <c r="Q21" i="45"/>
  <c r="AM46" i="44"/>
  <c r="AN73" i="44" s="1"/>
  <c r="O44" i="44"/>
  <c r="P25" i="47"/>
  <c r="P42" i="47"/>
  <c r="P41" i="48"/>
  <c r="R7" i="47"/>
  <c r="P10" i="47"/>
  <c r="Q39" i="46"/>
  <c r="Q42" i="46"/>
  <c r="Q3" i="45"/>
  <c r="Q30" i="45"/>
  <c r="O19" i="48"/>
  <c r="O54" i="47"/>
  <c r="Q30" i="51"/>
  <c r="O21" i="46"/>
  <c r="Q21" i="46" s="1"/>
  <c r="Q48" i="45"/>
  <c r="P5" i="48"/>
  <c r="U24" i="47"/>
  <c r="AE37" i="51"/>
  <c r="AF70" i="51" s="1"/>
  <c r="Q36" i="51"/>
  <c r="AE10" i="51"/>
  <c r="AF61" i="51" s="1"/>
  <c r="Q9" i="51"/>
  <c r="AE19" i="51"/>
  <c r="AF64" i="51" s="1"/>
  <c r="Q18" i="51"/>
  <c r="Q33" i="46"/>
  <c r="Q48" i="47"/>
  <c r="P52" i="48"/>
  <c r="Q24" i="45"/>
  <c r="Q15" i="45"/>
  <c r="Q33" i="49"/>
  <c r="Q39" i="49"/>
  <c r="AE28" i="51"/>
  <c r="AF67" i="51" s="1"/>
  <c r="Q27" i="51"/>
  <c r="AE46" i="51"/>
  <c r="AF73" i="51" s="1"/>
  <c r="Q45" i="51"/>
  <c r="AQ13" i="50"/>
  <c r="AR62" i="50" s="1"/>
  <c r="AS13" i="50"/>
  <c r="AT62" i="50" s="1"/>
  <c r="AQ19" i="50"/>
  <c r="AR64" i="50" s="1"/>
  <c r="AS16" i="50"/>
  <c r="AT63" i="50" s="1"/>
  <c r="AO13" i="50"/>
  <c r="AP62" i="50" s="1"/>
  <c r="AE55" i="50"/>
  <c r="AF76" i="50" s="1"/>
  <c r="Q54" i="50"/>
  <c r="AO19" i="50"/>
  <c r="AP64" i="50" s="1"/>
  <c r="AP16" i="50"/>
  <c r="AQ63" i="50" s="1"/>
  <c r="AE28" i="50"/>
  <c r="AF67" i="50" s="1"/>
  <c r="Q27" i="50"/>
  <c r="AR16" i="50"/>
  <c r="AS63" i="50" s="1"/>
  <c r="AP19" i="50"/>
  <c r="AQ64" i="50" s="1"/>
  <c r="AO16" i="50"/>
  <c r="AP63" i="50" s="1"/>
  <c r="AS19" i="50"/>
  <c r="AT64" i="50" s="1"/>
  <c r="AR13" i="50"/>
  <c r="AS62" i="50" s="1"/>
  <c r="AE37" i="50"/>
  <c r="AF70" i="50" s="1"/>
  <c r="Q36" i="50"/>
  <c r="AR19" i="50"/>
  <c r="AS64" i="50" s="1"/>
  <c r="AN16" i="50"/>
  <c r="AO63" i="50" s="1"/>
  <c r="AE19" i="50"/>
  <c r="AF64" i="50" s="1"/>
  <c r="Q18" i="50"/>
  <c r="AN13" i="50"/>
  <c r="AO62" i="50" s="1"/>
  <c r="AN19" i="50"/>
  <c r="AO64" i="50" s="1"/>
  <c r="AQ16" i="50"/>
  <c r="AR63" i="50" s="1"/>
  <c r="AP13" i="50"/>
  <c r="AQ62" i="50" s="1"/>
  <c r="AE10" i="50"/>
  <c r="AF61" i="50" s="1"/>
  <c r="Q9" i="50"/>
  <c r="AE46" i="50"/>
  <c r="AF73" i="50" s="1"/>
  <c r="Q45" i="50"/>
  <c r="S30" i="49"/>
  <c r="Q30" i="49"/>
  <c r="AE46" i="49"/>
  <c r="AF73" i="49" s="1"/>
  <c r="Q45" i="49"/>
  <c r="AE37" i="49"/>
  <c r="AF70" i="49" s="1"/>
  <c r="Q36" i="49"/>
  <c r="AE19" i="49"/>
  <c r="AF64" i="49" s="1"/>
  <c r="Q18" i="49"/>
  <c r="AE10" i="49"/>
  <c r="AF61" i="49" s="1"/>
  <c r="Q9" i="49"/>
  <c r="AE28" i="49"/>
  <c r="AF67" i="49" s="1"/>
  <c r="Q27" i="49"/>
  <c r="AE55" i="49"/>
  <c r="AF76" i="49" s="1"/>
  <c r="Q54" i="49"/>
  <c r="Y85" i="47"/>
  <c r="AE28" i="47"/>
  <c r="AF67" i="47" s="1"/>
  <c r="Q27" i="47"/>
  <c r="AE46" i="47"/>
  <c r="AF73" i="47" s="1"/>
  <c r="Q45" i="47"/>
  <c r="AE10" i="47"/>
  <c r="AF61" i="47" s="1"/>
  <c r="Q9" i="47"/>
  <c r="AE55" i="47"/>
  <c r="AF76" i="47" s="1"/>
  <c r="Q54" i="47"/>
  <c r="AE37" i="47"/>
  <c r="AF70" i="47" s="1"/>
  <c r="Q36" i="47"/>
  <c r="AE19" i="47"/>
  <c r="AF64" i="47" s="1"/>
  <c r="Q18" i="47"/>
  <c r="R6" i="46"/>
  <c r="AE46" i="46"/>
  <c r="AF73" i="46" s="1"/>
  <c r="Q45" i="46"/>
  <c r="AE28" i="46"/>
  <c r="AF67" i="46" s="1"/>
  <c r="Q27" i="46"/>
  <c r="AE10" i="46"/>
  <c r="AF61" i="46" s="1"/>
  <c r="Q9" i="46"/>
  <c r="AE37" i="46"/>
  <c r="AF70" i="46" s="1"/>
  <c r="Q36" i="46"/>
  <c r="AE19" i="46"/>
  <c r="AF64" i="46" s="1"/>
  <c r="Q18" i="46"/>
  <c r="AE55" i="46"/>
  <c r="AF76" i="46" s="1"/>
  <c r="Q54" i="46"/>
  <c r="AH37" i="48"/>
  <c r="AI70" i="48" s="1"/>
  <c r="Q36" i="48"/>
  <c r="AH55" i="48"/>
  <c r="AI76" i="48" s="1"/>
  <c r="Q54" i="48"/>
  <c r="AH19" i="48"/>
  <c r="AI64" i="48" s="1"/>
  <c r="Q18" i="48"/>
  <c r="AH28" i="48"/>
  <c r="AI67" i="48" s="1"/>
  <c r="Q27" i="48"/>
  <c r="AO46" i="48"/>
  <c r="AP73" i="48" s="1"/>
  <c r="Q45" i="48"/>
  <c r="AH10" i="48"/>
  <c r="AI61" i="48" s="1"/>
  <c r="Q9" i="48"/>
  <c r="AE55" i="45"/>
  <c r="AF76" i="45" s="1"/>
  <c r="Q54" i="45"/>
  <c r="AL28" i="45"/>
  <c r="AM67" i="45" s="1"/>
  <c r="Q27" i="45"/>
  <c r="AE46" i="45"/>
  <c r="AF73" i="45" s="1"/>
  <c r="Q45" i="45"/>
  <c r="AS10" i="45"/>
  <c r="AT61" i="45" s="1"/>
  <c r="Q9" i="45"/>
  <c r="AE37" i="45"/>
  <c r="AF70" i="45" s="1"/>
  <c r="Q36" i="45"/>
  <c r="AE19" i="45"/>
  <c r="AF64" i="45" s="1"/>
  <c r="Q18" i="45"/>
  <c r="AE37" i="44"/>
  <c r="AF70" i="44" s="1"/>
  <c r="Q36" i="44"/>
  <c r="AE55" i="44"/>
  <c r="AF76" i="44" s="1"/>
  <c r="Q54" i="44"/>
  <c r="AE10" i="44"/>
  <c r="AF61" i="44" s="1"/>
  <c r="Q9" i="44"/>
  <c r="AE28" i="44"/>
  <c r="AF67" i="44" s="1"/>
  <c r="Q27" i="44"/>
  <c r="AE46" i="44"/>
  <c r="AF73" i="44" s="1"/>
  <c r="Q45" i="44"/>
  <c r="AE19" i="44"/>
  <c r="AF64" i="44" s="1"/>
  <c r="Q18" i="44"/>
  <c r="I197" i="62"/>
  <c r="F199" i="62"/>
  <c r="E197" i="62"/>
  <c r="D199" i="62"/>
  <c r="J199" i="62"/>
  <c r="J197" i="62"/>
  <c r="F197" i="62"/>
  <c r="G199" i="62"/>
  <c r="I198" i="62"/>
  <c r="H199" i="62"/>
  <c r="D198" i="62"/>
  <c r="J198" i="62"/>
  <c r="G198" i="62"/>
  <c r="E198" i="62"/>
  <c r="G197" i="62"/>
  <c r="E199" i="62"/>
  <c r="I199" i="62"/>
  <c r="H198" i="62"/>
  <c r="D197" i="62"/>
  <c r="F198" i="62"/>
  <c r="H197" i="62"/>
  <c r="O15" i="43"/>
  <c r="P21" i="43"/>
  <c r="T21" i="43" s="1"/>
  <c r="O46" i="43"/>
  <c r="O54" i="43"/>
  <c r="O30" i="43"/>
  <c r="P46" i="43"/>
  <c r="P32" i="43"/>
  <c r="AM4" i="43"/>
  <c r="AN59" i="43" s="1"/>
  <c r="O47" i="43"/>
  <c r="U33" i="43"/>
  <c r="O55" i="43"/>
  <c r="P47" i="43"/>
  <c r="AM16" i="43"/>
  <c r="AN63" i="43" s="1"/>
  <c r="O21" i="43"/>
  <c r="O48" i="43"/>
  <c r="P15" i="43"/>
  <c r="P43" i="43"/>
  <c r="P10" i="43"/>
  <c r="O20" i="43"/>
  <c r="O53" i="43"/>
  <c r="Y22" i="43"/>
  <c r="Z65" i="43" s="1"/>
  <c r="P48" i="43"/>
  <c r="P20" i="43"/>
  <c r="P53" i="43"/>
  <c r="O50" i="43"/>
  <c r="U54" i="43"/>
  <c r="P3" i="53"/>
  <c r="O3" i="53"/>
  <c r="P9" i="53"/>
  <c r="U9" i="53"/>
  <c r="O9" i="53"/>
  <c r="P27" i="53"/>
  <c r="O27" i="53"/>
  <c r="U27" i="53"/>
  <c r="O17" i="53"/>
  <c r="P17" i="53"/>
  <c r="O55" i="53"/>
  <c r="P55" i="53"/>
  <c r="P28" i="53"/>
  <c r="O28" i="53"/>
  <c r="O51" i="53"/>
  <c r="U51" i="53"/>
  <c r="P51" i="53"/>
  <c r="P49" i="53"/>
  <c r="O49" i="53"/>
  <c r="O47" i="53"/>
  <c r="P47" i="53"/>
  <c r="O11" i="53"/>
  <c r="P11" i="53"/>
  <c r="U36" i="53"/>
  <c r="O36" i="53"/>
  <c r="P36" i="53"/>
  <c r="P48" i="53"/>
  <c r="O48" i="53"/>
  <c r="O33" i="53"/>
  <c r="P33" i="53"/>
  <c r="U33" i="53"/>
  <c r="P46" i="53"/>
  <c r="O46" i="53"/>
  <c r="O19" i="53"/>
  <c r="P19" i="53"/>
  <c r="O34" i="53"/>
  <c r="P34" i="53"/>
  <c r="O50" i="53"/>
  <c r="P50" i="53"/>
  <c r="U45" i="53"/>
  <c r="O45" i="53"/>
  <c r="P45" i="53"/>
  <c r="P52" i="53"/>
  <c r="O52" i="53"/>
  <c r="P40" i="53"/>
  <c r="O40" i="53"/>
  <c r="P4" i="53"/>
  <c r="O4" i="53"/>
  <c r="O29" i="53"/>
  <c r="P29" i="53"/>
  <c r="O42" i="53"/>
  <c r="P42" i="53"/>
  <c r="U42" i="53"/>
  <c r="W39" i="53" s="1"/>
  <c r="G52" i="55" s="1"/>
  <c r="AJ49" i="55" s="1"/>
  <c r="O54" i="53"/>
  <c r="R54" i="53" s="1"/>
  <c r="U54" i="53"/>
  <c r="P54" i="53"/>
  <c r="P22" i="53"/>
  <c r="O22" i="53"/>
  <c r="O13" i="53"/>
  <c r="P13" i="53"/>
  <c r="O7" i="53"/>
  <c r="X10" i="53" s="1"/>
  <c r="P7" i="53"/>
  <c r="P39" i="53"/>
  <c r="O39" i="53"/>
  <c r="O37" i="53"/>
  <c r="P37" i="53"/>
  <c r="O5" i="53"/>
  <c r="P5" i="53"/>
  <c r="P18" i="53"/>
  <c r="U18" i="53"/>
  <c r="O18" i="53"/>
  <c r="R18" i="53" s="1"/>
  <c r="O21" i="53"/>
  <c r="P21" i="53"/>
  <c r="O31" i="53"/>
  <c r="P31" i="53"/>
  <c r="P43" i="53"/>
  <c r="O43" i="53"/>
  <c r="O30" i="53"/>
  <c r="P30" i="53"/>
  <c r="P12" i="53"/>
  <c r="O12" i="53"/>
  <c r="O32" i="53"/>
  <c r="P32" i="53"/>
  <c r="P25" i="53"/>
  <c r="O25" i="53"/>
  <c r="X28" i="53" s="1"/>
  <c r="P23" i="53"/>
  <c r="O23" i="53"/>
  <c r="O16" i="53"/>
  <c r="P16" i="53"/>
  <c r="O44" i="53"/>
  <c r="P44" i="53"/>
  <c r="O56" i="53"/>
  <c r="R56" i="53" s="1"/>
  <c r="P56" i="53"/>
  <c r="P35" i="53"/>
  <c r="O35" i="53"/>
  <c r="O10" i="53"/>
  <c r="P10" i="53"/>
  <c r="P20" i="53"/>
  <c r="O20" i="53"/>
  <c r="U15" i="53"/>
  <c r="O15" i="53"/>
  <c r="Q15" i="53" s="1"/>
  <c r="P15" i="53"/>
  <c r="O6" i="53"/>
  <c r="P6" i="53"/>
  <c r="U6" i="53"/>
  <c r="W3" i="53" s="1"/>
  <c r="G48" i="55" s="1"/>
  <c r="P38" i="53"/>
  <c r="O38" i="53"/>
  <c r="O24" i="53"/>
  <c r="P24" i="53"/>
  <c r="U24" i="53"/>
  <c r="W21" i="53" s="1"/>
  <c r="G50" i="55" s="1"/>
  <c r="P41" i="53"/>
  <c r="O41" i="53"/>
  <c r="O8" i="53"/>
  <c r="P8" i="53"/>
  <c r="O26" i="53"/>
  <c r="P26" i="53"/>
  <c r="O53" i="53"/>
  <c r="P53" i="53"/>
  <c r="O14" i="53"/>
  <c r="P14" i="53"/>
  <c r="AB10" i="53"/>
  <c r="AC61" i="53" s="1"/>
  <c r="AB52" i="53"/>
  <c r="AC75" i="53" s="1"/>
  <c r="AB87" i="53"/>
  <c r="AB28" i="53"/>
  <c r="AC67" i="53" s="1"/>
  <c r="AP16" i="53"/>
  <c r="AQ63" i="53" s="1"/>
  <c r="R162" i="62"/>
  <c r="X164" i="62"/>
  <c r="S163" i="62"/>
  <c r="V164" i="62"/>
  <c r="U163" i="62"/>
  <c r="S164" i="62"/>
  <c r="W163" i="62"/>
  <c r="V163" i="62"/>
  <c r="V162" i="62"/>
  <c r="U164" i="62"/>
  <c r="R163" i="62"/>
  <c r="T162" i="62"/>
  <c r="X162" i="62"/>
  <c r="T164" i="62"/>
  <c r="S162" i="62"/>
  <c r="R164" i="62"/>
  <c r="U162" i="62"/>
  <c r="W162" i="62"/>
  <c r="X163" i="62"/>
  <c r="W164" i="62"/>
  <c r="T163" i="62"/>
  <c r="D164" i="62"/>
  <c r="G162" i="62"/>
  <c r="G163" i="62"/>
  <c r="F162" i="62"/>
  <c r="H163" i="62"/>
  <c r="D162" i="62"/>
  <c r="E164" i="62"/>
  <c r="E163" i="62"/>
  <c r="J163" i="62"/>
  <c r="I163" i="62"/>
  <c r="G164" i="62"/>
  <c r="I164" i="62"/>
  <c r="F163" i="62"/>
  <c r="E162" i="62"/>
  <c r="J162" i="62"/>
  <c r="H164" i="62"/>
  <c r="D163" i="62"/>
  <c r="H162" i="62"/>
  <c r="F164" i="62"/>
  <c r="I162" i="62"/>
  <c r="J164" i="62"/>
  <c r="O56" i="48"/>
  <c r="P50" i="48"/>
  <c r="T48" i="48" s="1"/>
  <c r="P56" i="43"/>
  <c r="R9" i="49"/>
  <c r="U42" i="43"/>
  <c r="P9" i="43"/>
  <c r="U45" i="44"/>
  <c r="O49" i="43"/>
  <c r="O44" i="48"/>
  <c r="X44" i="48" s="1"/>
  <c r="U6" i="46"/>
  <c r="O41" i="44"/>
  <c r="Q39" i="44" s="1"/>
  <c r="P47" i="44"/>
  <c r="P30" i="43"/>
  <c r="O33" i="43"/>
  <c r="U15" i="43"/>
  <c r="P41" i="44"/>
  <c r="T39" i="44" s="1"/>
  <c r="T48" i="49"/>
  <c r="O16" i="43"/>
  <c r="O18" i="43"/>
  <c r="O43" i="43"/>
  <c r="O20" i="46"/>
  <c r="O55" i="47"/>
  <c r="R54" i="49"/>
  <c r="S54" i="49" s="1"/>
  <c r="R55" i="49"/>
  <c r="T39" i="49"/>
  <c r="P16" i="43"/>
  <c r="U18" i="43"/>
  <c r="S48" i="49"/>
  <c r="R19" i="49"/>
  <c r="O13" i="43"/>
  <c r="R19" i="43" s="1"/>
  <c r="O8" i="47"/>
  <c r="R8" i="47" s="1"/>
  <c r="P15" i="47"/>
  <c r="P29" i="43"/>
  <c r="V39" i="51"/>
  <c r="P8" i="47"/>
  <c r="R6" i="47"/>
  <c r="T6" i="47" s="1"/>
  <c r="S12" i="49"/>
  <c r="R24" i="47"/>
  <c r="U42" i="47"/>
  <c r="V12" i="44"/>
  <c r="T30" i="44"/>
  <c r="T21" i="50"/>
  <c r="O39" i="47"/>
  <c r="T12" i="45"/>
  <c r="V30" i="44"/>
  <c r="O3" i="43"/>
  <c r="X10" i="48"/>
  <c r="O19" i="47"/>
  <c r="R19" i="47" s="1"/>
  <c r="R36" i="47"/>
  <c r="U18" i="47"/>
  <c r="R51" i="47"/>
  <c r="P19" i="47"/>
  <c r="O38" i="47"/>
  <c r="R38" i="47" s="1"/>
  <c r="R27" i="47"/>
  <c r="O15" i="48"/>
  <c r="P41" i="47"/>
  <c r="T39" i="47" s="1"/>
  <c r="O53" i="47"/>
  <c r="R53" i="47" s="1"/>
  <c r="S3" i="47"/>
  <c r="V48" i="45"/>
  <c r="V3" i="51"/>
  <c r="U9" i="43"/>
  <c r="P50" i="43"/>
  <c r="T48" i="43" s="1"/>
  <c r="P38" i="47"/>
  <c r="T39" i="45"/>
  <c r="R33" i="47"/>
  <c r="R20" i="47"/>
  <c r="P20" i="46"/>
  <c r="AP43" i="48"/>
  <c r="AQ72" i="48" s="1"/>
  <c r="V30" i="45"/>
  <c r="O41" i="47"/>
  <c r="R44" i="47" s="1"/>
  <c r="X38" i="48"/>
  <c r="R27" i="46"/>
  <c r="P38" i="43"/>
  <c r="R35" i="47"/>
  <c r="R56" i="47"/>
  <c r="Y81" i="47"/>
  <c r="R45" i="46"/>
  <c r="R46" i="46"/>
  <c r="T3" i="45"/>
  <c r="T12" i="49"/>
  <c r="R45" i="49"/>
  <c r="T3" i="49"/>
  <c r="R42" i="49"/>
  <c r="V3" i="52"/>
  <c r="V21" i="52"/>
  <c r="U45" i="47"/>
  <c r="U54" i="48"/>
  <c r="X19" i="48"/>
  <c r="T3" i="47"/>
  <c r="AM52" i="47"/>
  <c r="AN75" i="47" s="1"/>
  <c r="R43" i="46"/>
  <c r="R11" i="47"/>
  <c r="R47" i="46"/>
  <c r="R42" i="46"/>
  <c r="R46" i="49"/>
  <c r="T39" i="50"/>
  <c r="R51" i="49"/>
  <c r="T51" i="49" s="1"/>
  <c r="V30" i="50"/>
  <c r="R43" i="49"/>
  <c r="R52" i="49"/>
  <c r="T12" i="51"/>
  <c r="R16" i="47"/>
  <c r="U51" i="48"/>
  <c r="O21" i="49"/>
  <c r="O3" i="48"/>
  <c r="Q3" i="48" s="1"/>
  <c r="T30" i="43"/>
  <c r="P44" i="48"/>
  <c r="P15" i="46"/>
  <c r="V21" i="49"/>
  <c r="T30" i="52"/>
  <c r="T12" i="43"/>
  <c r="T39" i="43"/>
  <c r="V21" i="46"/>
  <c r="T48" i="50"/>
  <c r="V48" i="50"/>
  <c r="T12" i="46"/>
  <c r="T3" i="50"/>
  <c r="R52" i="47"/>
  <c r="S51" i="47" s="1"/>
  <c r="O12" i="47"/>
  <c r="R26" i="46"/>
  <c r="T30" i="47"/>
  <c r="S48" i="47"/>
  <c r="P8" i="46"/>
  <c r="R25" i="46"/>
  <c r="R34" i="49"/>
  <c r="R34" i="47"/>
  <c r="T33" i="47" s="1"/>
  <c r="V39" i="52"/>
  <c r="O9" i="43"/>
  <c r="R9" i="43" s="1"/>
  <c r="U51" i="43"/>
  <c r="R42" i="47"/>
  <c r="T3" i="46"/>
  <c r="R18" i="46"/>
  <c r="O31" i="46"/>
  <c r="S30" i="46" s="1"/>
  <c r="R51" i="46"/>
  <c r="V39" i="50"/>
  <c r="R47" i="49"/>
  <c r="T3" i="52"/>
  <c r="R6" i="49"/>
  <c r="R10" i="46"/>
  <c r="P6" i="48"/>
  <c r="P36" i="48"/>
  <c r="AQ52" i="47"/>
  <c r="AR75" i="47" s="1"/>
  <c r="U51" i="47"/>
  <c r="AO49" i="43"/>
  <c r="AP74" i="43" s="1"/>
  <c r="AR49" i="43"/>
  <c r="AS74" i="43" s="1"/>
  <c r="AO55" i="43"/>
  <c r="AP76" i="43" s="1"/>
  <c r="AN52" i="44"/>
  <c r="AO75" i="44" s="1"/>
  <c r="AR49" i="47"/>
  <c r="AS74" i="47" s="1"/>
  <c r="AN49" i="47"/>
  <c r="AO74" i="47" s="1"/>
  <c r="AO52" i="44"/>
  <c r="AP75" i="44" s="1"/>
  <c r="AN49" i="43"/>
  <c r="AO74" i="43" s="1"/>
  <c r="AN52" i="43"/>
  <c r="AO75" i="43" s="1"/>
  <c r="AS55" i="44"/>
  <c r="AT76" i="44" s="1"/>
  <c r="AO49" i="47"/>
  <c r="AP74" i="47" s="1"/>
  <c r="AP49" i="47"/>
  <c r="AQ74" i="47" s="1"/>
  <c r="AN55" i="47"/>
  <c r="AO76" i="47" s="1"/>
  <c r="AQ55" i="44"/>
  <c r="AR76" i="44" s="1"/>
  <c r="AQ52" i="44"/>
  <c r="AR75" i="44" s="1"/>
  <c r="AP49" i="43"/>
  <c r="AQ74" i="43" s="1"/>
  <c r="AP52" i="44"/>
  <c r="AQ75" i="44" s="1"/>
  <c r="AR49" i="44"/>
  <c r="AS74" i="44" s="1"/>
  <c r="AR55" i="44"/>
  <c r="AS76" i="44" s="1"/>
  <c r="AR55" i="47"/>
  <c r="AS76" i="47" s="1"/>
  <c r="AR52" i="43"/>
  <c r="AS75" i="43" s="1"/>
  <c r="AS55" i="43"/>
  <c r="AT76" i="43" s="1"/>
  <c r="AQ55" i="47"/>
  <c r="AR76" i="47" s="1"/>
  <c r="AN55" i="43"/>
  <c r="AO76" i="43" s="1"/>
  <c r="AS49" i="43"/>
  <c r="AT74" i="43" s="1"/>
  <c r="AS52" i="43"/>
  <c r="AT75" i="43" s="1"/>
  <c r="AN49" i="44"/>
  <c r="AO74" i="44" s="1"/>
  <c r="AR52" i="44"/>
  <c r="AS75" i="44" s="1"/>
  <c r="AP52" i="43"/>
  <c r="AQ75" i="43" s="1"/>
  <c r="AS55" i="47"/>
  <c r="AT76" i="47" s="1"/>
  <c r="AO55" i="47"/>
  <c r="AP76" i="47" s="1"/>
  <c r="AN55" i="49"/>
  <c r="AO76" i="49" s="1"/>
  <c r="AR55" i="43"/>
  <c r="AS76" i="43" s="1"/>
  <c r="AQ55" i="43"/>
  <c r="AR76" i="43" s="1"/>
  <c r="AN55" i="44"/>
  <c r="AO76" i="44" s="1"/>
  <c r="AQ52" i="43"/>
  <c r="AR75" i="43" s="1"/>
  <c r="AV52" i="53"/>
  <c r="AW75" i="53" s="1"/>
  <c r="AP49" i="45"/>
  <c r="AQ74" i="45" s="1"/>
  <c r="AV49" i="53"/>
  <c r="AW74" i="53" s="1"/>
  <c r="AP55" i="51"/>
  <c r="AQ76" i="51" s="1"/>
  <c r="AP55" i="52"/>
  <c r="AQ76" i="52" s="1"/>
  <c r="AO52" i="46"/>
  <c r="AP75" i="46" s="1"/>
  <c r="AP55" i="47"/>
  <c r="AQ76" i="47" s="1"/>
  <c r="AO49" i="52"/>
  <c r="AP74" i="52" s="1"/>
  <c r="AO49" i="46"/>
  <c r="AP74" i="46" s="1"/>
  <c r="AO52" i="51"/>
  <c r="AP75" i="51" s="1"/>
  <c r="AN49" i="52"/>
  <c r="AO74" i="52" s="1"/>
  <c r="AR55" i="52"/>
  <c r="AS76" i="52" s="1"/>
  <c r="AU49" i="53"/>
  <c r="AV74" i="53" s="1"/>
  <c r="AQ55" i="52"/>
  <c r="AR76" i="52" s="1"/>
  <c r="AP49" i="52"/>
  <c r="AQ74" i="52" s="1"/>
  <c r="AP52" i="52"/>
  <c r="AQ75" i="52" s="1"/>
  <c r="AQ49" i="52"/>
  <c r="AR74" i="52" s="1"/>
  <c r="AQ49" i="51"/>
  <c r="AR74" i="51" s="1"/>
  <c r="AS49" i="52"/>
  <c r="AT74" i="52" s="1"/>
  <c r="AQ52" i="49"/>
  <c r="AR75" i="49" s="1"/>
  <c r="AS52" i="53"/>
  <c r="AT75" i="53" s="1"/>
  <c r="AQ52" i="53"/>
  <c r="AR75" i="53" s="1"/>
  <c r="AR49" i="51"/>
  <c r="AS74" i="51" s="1"/>
  <c r="AS52" i="52"/>
  <c r="AT75" i="52" s="1"/>
  <c r="AU55" i="53"/>
  <c r="AV76" i="53" s="1"/>
  <c r="AV55" i="53"/>
  <c r="AW76" i="53" s="1"/>
  <c r="AO49" i="50"/>
  <c r="AP74" i="50" s="1"/>
  <c r="AT55" i="53"/>
  <c r="AU76" i="53" s="1"/>
  <c r="AQ55" i="53"/>
  <c r="AR76" i="53" s="1"/>
  <c r="AS55" i="52"/>
  <c r="AT76" i="52" s="1"/>
  <c r="AU52" i="53"/>
  <c r="AV75" i="53" s="1"/>
  <c r="AN55" i="52"/>
  <c r="AO76" i="52" s="1"/>
  <c r="AQ49" i="53"/>
  <c r="AR74" i="53" s="1"/>
  <c r="AQ55" i="51"/>
  <c r="AR76" i="51" s="1"/>
  <c r="AR49" i="52"/>
  <c r="AS74" i="52" s="1"/>
  <c r="AR52" i="52"/>
  <c r="AS75" i="52" s="1"/>
  <c r="AN52" i="52"/>
  <c r="AO75" i="52" s="1"/>
  <c r="AQ49" i="46"/>
  <c r="AR74" i="46" s="1"/>
  <c r="AQ55" i="50"/>
  <c r="AR76" i="50" s="1"/>
  <c r="AR55" i="51"/>
  <c r="AS76" i="51" s="1"/>
  <c r="AQ49" i="50"/>
  <c r="AR74" i="50" s="1"/>
  <c r="AR49" i="45"/>
  <c r="AS74" i="45" s="1"/>
  <c r="AO52" i="47"/>
  <c r="AP75" i="47" s="1"/>
  <c r="AS49" i="46"/>
  <c r="AT74" i="46" s="1"/>
  <c r="AS55" i="49"/>
  <c r="AT76" i="49" s="1"/>
  <c r="AR52" i="51"/>
  <c r="AS75" i="51" s="1"/>
  <c r="AP55" i="49"/>
  <c r="AQ76" i="49" s="1"/>
  <c r="AR49" i="46"/>
  <c r="AS74" i="46" s="1"/>
  <c r="AN49" i="49"/>
  <c r="AO74" i="49" s="1"/>
  <c r="AO49" i="45"/>
  <c r="AP74" i="45" s="1"/>
  <c r="AQ49" i="49"/>
  <c r="AR74" i="49" s="1"/>
  <c r="AO55" i="44"/>
  <c r="AP76" i="44" s="1"/>
  <c r="AS49" i="53"/>
  <c r="AT74" i="53" s="1"/>
  <c r="AO49" i="49"/>
  <c r="AP74" i="49" s="1"/>
  <c r="AR52" i="50"/>
  <c r="AS75" i="50" s="1"/>
  <c r="AO52" i="43"/>
  <c r="AP75" i="43" s="1"/>
  <c r="AQ49" i="44"/>
  <c r="AR74" i="44" s="1"/>
  <c r="AP55" i="50"/>
  <c r="AQ76" i="50" s="1"/>
  <c r="AS49" i="47"/>
  <c r="AT74" i="47" s="1"/>
  <c r="AP55" i="45"/>
  <c r="AQ76" i="45" s="1"/>
  <c r="AR52" i="49"/>
  <c r="AS75" i="49" s="1"/>
  <c r="AN52" i="49"/>
  <c r="AO75" i="49" s="1"/>
  <c r="AR49" i="49"/>
  <c r="AS74" i="49" s="1"/>
  <c r="AO49" i="44"/>
  <c r="AP74" i="44" s="1"/>
  <c r="AP52" i="49"/>
  <c r="AQ75" i="49" s="1"/>
  <c r="AS49" i="50"/>
  <c r="AT74" i="50" s="1"/>
  <c r="AN52" i="51"/>
  <c r="AO75" i="51" s="1"/>
  <c r="AO52" i="50"/>
  <c r="AP75" i="50" s="1"/>
  <c r="AO55" i="51"/>
  <c r="AP76" i="51" s="1"/>
  <c r="AN52" i="46"/>
  <c r="AO75" i="46" s="1"/>
  <c r="AR55" i="49"/>
  <c r="AS76" i="49" s="1"/>
  <c r="AN49" i="51"/>
  <c r="AO74" i="51" s="1"/>
  <c r="AQ52" i="45"/>
  <c r="AR75" i="45" s="1"/>
  <c r="AN55" i="51"/>
  <c r="AO76" i="51" s="1"/>
  <c r="AO52" i="49"/>
  <c r="AP75" i="49" s="1"/>
  <c r="AN55" i="50"/>
  <c r="AO76" i="50" s="1"/>
  <c r="AP52" i="46"/>
  <c r="AQ75" i="46" s="1"/>
  <c r="AO55" i="46"/>
  <c r="AP76" i="46" s="1"/>
  <c r="AQ55" i="49"/>
  <c r="AR76" i="49" s="1"/>
  <c r="AS52" i="50"/>
  <c r="AT75" i="50" s="1"/>
  <c r="AS55" i="51"/>
  <c r="AT76" i="51" s="1"/>
  <c r="AP49" i="50"/>
  <c r="AQ74" i="50" s="1"/>
  <c r="AR55" i="50"/>
  <c r="AS76" i="50" s="1"/>
  <c r="AN49" i="50"/>
  <c r="AO74" i="50" s="1"/>
  <c r="AN49" i="46"/>
  <c r="AO74" i="46" s="1"/>
  <c r="AN52" i="50"/>
  <c r="AO75" i="50" s="1"/>
  <c r="AR49" i="50"/>
  <c r="AS74" i="50" s="1"/>
  <c r="AS55" i="50"/>
  <c r="AT76" i="50" s="1"/>
  <c r="AS55" i="45"/>
  <c r="AT76" i="45" s="1"/>
  <c r="AS55" i="46"/>
  <c r="AT76" i="46" s="1"/>
  <c r="AS49" i="49"/>
  <c r="AT74" i="49" s="1"/>
  <c r="AP52" i="50"/>
  <c r="AQ75" i="50" s="1"/>
  <c r="AQ52" i="50"/>
  <c r="AR75" i="50" s="1"/>
  <c r="AO55" i="45"/>
  <c r="AP76" i="45" s="1"/>
  <c r="AP49" i="49"/>
  <c r="AQ74" i="49" s="1"/>
  <c r="AS52" i="49"/>
  <c r="AT75" i="49" s="1"/>
  <c r="AP49" i="51"/>
  <c r="AQ74" i="51" s="1"/>
  <c r="AP52" i="45"/>
  <c r="AQ75" i="45" s="1"/>
  <c r="AS49" i="45"/>
  <c r="AT74" i="45" s="1"/>
  <c r="AN55" i="45"/>
  <c r="AO76" i="45" s="1"/>
  <c r="AO52" i="45"/>
  <c r="AP75" i="45" s="1"/>
  <c r="AR52" i="46"/>
  <c r="AS75" i="46" s="1"/>
  <c r="AR52" i="47"/>
  <c r="AS75" i="47" s="1"/>
  <c r="AQ55" i="45"/>
  <c r="AR76" i="45" s="1"/>
  <c r="AQ52" i="46"/>
  <c r="AR75" i="46" s="1"/>
  <c r="AS52" i="44"/>
  <c r="AT75" i="44" s="1"/>
  <c r="AS52" i="45"/>
  <c r="AT75" i="45" s="1"/>
  <c r="AP52" i="47"/>
  <c r="AQ75" i="47" s="1"/>
  <c r="AQ55" i="46"/>
  <c r="AR76" i="46" s="1"/>
  <c r="AS49" i="44"/>
  <c r="AT74" i="44" s="1"/>
  <c r="AR55" i="46"/>
  <c r="AS76" i="46" s="1"/>
  <c r="AR52" i="45"/>
  <c r="AS75" i="45" s="1"/>
  <c r="AR55" i="45"/>
  <c r="AS76" i="45" s="1"/>
  <c r="AN52" i="47"/>
  <c r="AO75" i="47" s="1"/>
  <c r="AN49" i="45"/>
  <c r="AO74" i="45" s="1"/>
  <c r="AP49" i="46"/>
  <c r="AQ74" i="46" s="1"/>
  <c r="AQ49" i="45"/>
  <c r="AR74" i="45" s="1"/>
  <c r="AN55" i="46"/>
  <c r="AO76" i="46" s="1"/>
  <c r="AN52" i="45"/>
  <c r="AO75" i="45" s="1"/>
  <c r="AP55" i="44"/>
  <c r="AQ76" i="44" s="1"/>
  <c r="AQ52" i="51"/>
  <c r="AR75" i="51" s="1"/>
  <c r="AO55" i="49"/>
  <c r="AP76" i="49" s="1"/>
  <c r="AP52" i="51"/>
  <c r="AQ75" i="51" s="1"/>
  <c r="AQ52" i="52"/>
  <c r="AR75" i="52" s="1"/>
  <c r="AP55" i="46"/>
  <c r="AQ76" i="46" s="1"/>
  <c r="AQ49" i="47"/>
  <c r="AR74" i="47" s="1"/>
  <c r="AO49" i="51"/>
  <c r="AP74" i="51" s="1"/>
  <c r="AR55" i="53"/>
  <c r="AS76" i="53" s="1"/>
  <c r="AR52" i="53"/>
  <c r="AS75" i="53" s="1"/>
  <c r="AS52" i="47"/>
  <c r="AT75" i="47" s="1"/>
  <c r="AQ49" i="43"/>
  <c r="AR74" i="43" s="1"/>
  <c r="AR49" i="53"/>
  <c r="AS74" i="53" s="1"/>
  <c r="AS52" i="46"/>
  <c r="AT75" i="46" s="1"/>
  <c r="AO52" i="52"/>
  <c r="AP75" i="52" s="1"/>
  <c r="AO55" i="52"/>
  <c r="AP76" i="52" s="1"/>
  <c r="AS49" i="51"/>
  <c r="AT74" i="51" s="1"/>
  <c r="AT52" i="53"/>
  <c r="AU75" i="53" s="1"/>
  <c r="AP55" i="43"/>
  <c r="AQ76" i="43" s="1"/>
  <c r="AS52" i="51"/>
  <c r="AT75" i="51" s="1"/>
  <c r="AS55" i="53"/>
  <c r="AT76" i="53" s="1"/>
  <c r="AP49" i="44"/>
  <c r="AQ74" i="44" s="1"/>
  <c r="AT49" i="53"/>
  <c r="AU74" i="53" s="1"/>
  <c r="AO55" i="50"/>
  <c r="AP76" i="50" s="1"/>
  <c r="U18" i="48"/>
  <c r="O31" i="48"/>
  <c r="Y37" i="48" s="1"/>
  <c r="X29" i="48"/>
  <c r="AI16" i="48"/>
  <c r="AJ63" i="48" s="1"/>
  <c r="AB37" i="48"/>
  <c r="AC70" i="48" s="1"/>
  <c r="AB83" i="48"/>
  <c r="O21" i="48"/>
  <c r="U36" i="48"/>
  <c r="X11" i="48"/>
  <c r="X27" i="48"/>
  <c r="P31" i="48"/>
  <c r="T30" i="48" s="1"/>
  <c r="P23" i="48"/>
  <c r="U33" i="48"/>
  <c r="W30" i="48" s="1"/>
  <c r="E51" i="55" s="1"/>
  <c r="Y49" i="55" s="1"/>
  <c r="AI55" i="48"/>
  <c r="AJ76" i="48" s="1"/>
  <c r="X9" i="48"/>
  <c r="X55" i="48"/>
  <c r="X46" i="48"/>
  <c r="P55" i="48"/>
  <c r="Y36" i="48"/>
  <c r="Y33" i="48"/>
  <c r="Y47" i="48"/>
  <c r="Y44" i="48"/>
  <c r="Y16" i="48"/>
  <c r="Y19" i="48"/>
  <c r="X16" i="48"/>
  <c r="Y20" i="48"/>
  <c r="Y17" i="48"/>
  <c r="Y54" i="48"/>
  <c r="X51" i="48"/>
  <c r="Y51" i="48"/>
  <c r="X35" i="48"/>
  <c r="Y38" i="48"/>
  <c r="Y35" i="48"/>
  <c r="Y52" i="48"/>
  <c r="X52" i="48"/>
  <c r="Y55" i="48"/>
  <c r="Y8" i="48"/>
  <c r="Y11" i="48"/>
  <c r="X8" i="48"/>
  <c r="P21" i="48"/>
  <c r="O50" i="48"/>
  <c r="Q48" i="48" s="1"/>
  <c r="P40" i="48"/>
  <c r="P42" i="48"/>
  <c r="U6" i="48"/>
  <c r="AV55" i="48"/>
  <c r="AW76" i="48" s="1"/>
  <c r="O54" i="48"/>
  <c r="O34" i="48"/>
  <c r="U45" i="48"/>
  <c r="P33" i="48"/>
  <c r="P25" i="48"/>
  <c r="P22" i="48"/>
  <c r="O42" i="48"/>
  <c r="Q42" i="48" s="1"/>
  <c r="AS52" i="48"/>
  <c r="AT75" i="48" s="1"/>
  <c r="AR49" i="48"/>
  <c r="AS74" i="48" s="1"/>
  <c r="AU52" i="48"/>
  <c r="AV75" i="48" s="1"/>
  <c r="AT55" i="48"/>
  <c r="AU76" i="48" s="1"/>
  <c r="AT49" i="48"/>
  <c r="AU74" i="48" s="1"/>
  <c r="AS55" i="48"/>
  <c r="AT76" i="48" s="1"/>
  <c r="AR55" i="48"/>
  <c r="AS76" i="48" s="1"/>
  <c r="AU55" i="48"/>
  <c r="AV76" i="48" s="1"/>
  <c r="AR52" i="48"/>
  <c r="AS75" i="48" s="1"/>
  <c r="AU49" i="48"/>
  <c r="AV74" i="48" s="1"/>
  <c r="AQ49" i="48"/>
  <c r="AR74" i="48" s="1"/>
  <c r="AB55" i="48"/>
  <c r="AC76" i="48" s="1"/>
  <c r="P28" i="48"/>
  <c r="P34" i="48"/>
  <c r="O23" i="48"/>
  <c r="O39" i="48"/>
  <c r="P47" i="48"/>
  <c r="AB22" i="48"/>
  <c r="AC65" i="48" s="1"/>
  <c r="P54" i="48"/>
  <c r="O36" i="48"/>
  <c r="AB7" i="48"/>
  <c r="AC60" i="48" s="1"/>
  <c r="AB34" i="48"/>
  <c r="AC69" i="48" s="1"/>
  <c r="O20" i="48"/>
  <c r="O4" i="48"/>
  <c r="O33" i="48"/>
  <c r="Q33" i="48" s="1"/>
  <c r="P4" i="48"/>
  <c r="T3" i="48" s="1"/>
  <c r="AS49" i="48"/>
  <c r="AT74" i="48" s="1"/>
  <c r="AT52" i="48"/>
  <c r="AU75" i="48" s="1"/>
  <c r="AQ55" i="48"/>
  <c r="AR76" i="48" s="1"/>
  <c r="AQ52" i="48"/>
  <c r="AR75" i="48" s="1"/>
  <c r="AV52" i="48"/>
  <c r="AW75" i="48" s="1"/>
  <c r="O12" i="48"/>
  <c r="Q12" i="48" s="1"/>
  <c r="O22" i="48"/>
  <c r="U27" i="48"/>
  <c r="P56" i="48"/>
  <c r="AV49" i="48"/>
  <c r="AW74" i="48" s="1"/>
  <c r="R47" i="44"/>
  <c r="T54" i="49"/>
  <c r="R37" i="43"/>
  <c r="R17" i="43"/>
  <c r="S30" i="43"/>
  <c r="R56" i="43"/>
  <c r="P17" i="48"/>
  <c r="R46" i="47"/>
  <c r="V30" i="46"/>
  <c r="T21" i="47"/>
  <c r="R25" i="47"/>
  <c r="P17" i="47"/>
  <c r="R9" i="47"/>
  <c r="U36" i="47"/>
  <c r="V30" i="47" s="1"/>
  <c r="R55" i="47"/>
  <c r="R43" i="47"/>
  <c r="T39" i="46"/>
  <c r="S48" i="46"/>
  <c r="V21" i="45"/>
  <c r="R10" i="44"/>
  <c r="R36" i="45"/>
  <c r="R11" i="44"/>
  <c r="R56" i="46"/>
  <c r="R11" i="45"/>
  <c r="S12" i="44"/>
  <c r="R26" i="44"/>
  <c r="R47" i="45"/>
  <c r="R33" i="45"/>
  <c r="R28" i="44"/>
  <c r="R56" i="51"/>
  <c r="R33" i="50"/>
  <c r="R34" i="50"/>
  <c r="R52" i="50"/>
  <c r="R51" i="50"/>
  <c r="R16" i="49"/>
  <c r="R17" i="50"/>
  <c r="R20" i="49"/>
  <c r="T12" i="48"/>
  <c r="R38" i="45"/>
  <c r="U15" i="47"/>
  <c r="V12" i="47" s="1"/>
  <c r="R19" i="51"/>
  <c r="R43" i="52"/>
  <c r="R56" i="44"/>
  <c r="R20" i="43"/>
  <c r="R35" i="51"/>
  <c r="R20" i="50"/>
  <c r="R16" i="52"/>
  <c r="R11" i="51"/>
  <c r="R6" i="52"/>
  <c r="V12" i="51"/>
  <c r="R53" i="51"/>
  <c r="R26" i="52"/>
  <c r="T48" i="52"/>
  <c r="R15" i="52"/>
  <c r="T30" i="51"/>
  <c r="R24" i="52"/>
  <c r="R8" i="52"/>
  <c r="R38" i="52"/>
  <c r="U42" i="48"/>
  <c r="R54" i="51"/>
  <c r="S21" i="45"/>
  <c r="R38" i="48"/>
  <c r="R43" i="44"/>
  <c r="R52" i="44"/>
  <c r="R6" i="43"/>
  <c r="R51" i="44"/>
  <c r="R15" i="43"/>
  <c r="O11" i="46"/>
  <c r="R11" i="46" s="1"/>
  <c r="R56" i="45"/>
  <c r="R24" i="44"/>
  <c r="R27" i="44"/>
  <c r="R17" i="45"/>
  <c r="R46" i="45"/>
  <c r="S3" i="45"/>
  <c r="R44" i="45"/>
  <c r="R37" i="44"/>
  <c r="R27" i="45"/>
  <c r="S30" i="50"/>
  <c r="R36" i="49"/>
  <c r="R15" i="50"/>
  <c r="R45" i="50"/>
  <c r="R15" i="49"/>
  <c r="R54" i="50"/>
  <c r="R19" i="48"/>
  <c r="R9" i="52"/>
  <c r="V30" i="52"/>
  <c r="R47" i="51"/>
  <c r="R8" i="48"/>
  <c r="R27" i="52"/>
  <c r="R7" i="51"/>
  <c r="R37" i="52"/>
  <c r="R42" i="52"/>
  <c r="R52" i="52"/>
  <c r="R51" i="52"/>
  <c r="R7" i="52"/>
  <c r="R35" i="52"/>
  <c r="S48" i="45"/>
  <c r="T21" i="45"/>
  <c r="R53" i="43"/>
  <c r="R7" i="50"/>
  <c r="S39" i="51"/>
  <c r="R55" i="52"/>
  <c r="P43" i="48"/>
  <c r="S48" i="44"/>
  <c r="R25" i="43"/>
  <c r="R54" i="43"/>
  <c r="O54" i="44"/>
  <c r="R44" i="43"/>
  <c r="R26" i="43"/>
  <c r="V12" i="43"/>
  <c r="R7" i="43"/>
  <c r="U45" i="43"/>
  <c r="V39" i="43" s="1"/>
  <c r="R35" i="48"/>
  <c r="O29" i="47"/>
  <c r="R29" i="47" s="1"/>
  <c r="P53" i="47"/>
  <c r="O37" i="47"/>
  <c r="R37" i="47" s="1"/>
  <c r="P55" i="47"/>
  <c r="R52" i="48"/>
  <c r="O8" i="46"/>
  <c r="R8" i="46" s="1"/>
  <c r="O53" i="48"/>
  <c r="Q51" i="48" s="1"/>
  <c r="O15" i="46"/>
  <c r="P11" i="46"/>
  <c r="T48" i="46"/>
  <c r="R34" i="45"/>
  <c r="R45" i="45"/>
  <c r="R43" i="45"/>
  <c r="S3" i="44"/>
  <c r="R15" i="45"/>
  <c r="T12" i="44"/>
  <c r="S30" i="45"/>
  <c r="R53" i="49"/>
  <c r="R42" i="50"/>
  <c r="R44" i="50"/>
  <c r="R19" i="50"/>
  <c r="R18" i="50"/>
  <c r="R8" i="50"/>
  <c r="S3" i="49"/>
  <c r="R33" i="52"/>
  <c r="R7" i="46"/>
  <c r="S12" i="46"/>
  <c r="R9" i="45"/>
  <c r="R44" i="52"/>
  <c r="T30" i="46"/>
  <c r="S3" i="52"/>
  <c r="R29" i="52"/>
  <c r="S3" i="51"/>
  <c r="R45" i="51"/>
  <c r="R25" i="52"/>
  <c r="R10" i="51"/>
  <c r="R51" i="51"/>
  <c r="V12" i="52"/>
  <c r="R56" i="52"/>
  <c r="R55" i="43"/>
  <c r="S21" i="46"/>
  <c r="S21" i="51"/>
  <c r="T48" i="45"/>
  <c r="O28" i="47"/>
  <c r="R28" i="47" s="1"/>
  <c r="T39" i="51"/>
  <c r="U9" i="46"/>
  <c r="U54" i="44"/>
  <c r="V48" i="44" s="1"/>
  <c r="R44" i="44"/>
  <c r="O39" i="43"/>
  <c r="P42" i="43"/>
  <c r="R43" i="43"/>
  <c r="R20" i="46"/>
  <c r="P29" i="47"/>
  <c r="S3" i="46"/>
  <c r="P37" i="47"/>
  <c r="T48" i="47"/>
  <c r="U27" i="47"/>
  <c r="V21" i="47" s="1"/>
  <c r="O25" i="48"/>
  <c r="Q24" i="48" s="1"/>
  <c r="P53" i="48"/>
  <c r="U15" i="46"/>
  <c r="V12" i="46" s="1"/>
  <c r="R17" i="46"/>
  <c r="R33" i="44"/>
  <c r="V21" i="44"/>
  <c r="V39" i="46"/>
  <c r="T3" i="44"/>
  <c r="V12" i="45"/>
  <c r="S39" i="45"/>
  <c r="R8" i="44"/>
  <c r="R34" i="44"/>
  <c r="T30" i="45"/>
  <c r="S30" i="44"/>
  <c r="R17" i="49"/>
  <c r="T30" i="50"/>
  <c r="R35" i="49"/>
  <c r="V12" i="50"/>
  <c r="R26" i="49"/>
  <c r="R25" i="49"/>
  <c r="R37" i="51"/>
  <c r="R54" i="45"/>
  <c r="S3" i="50"/>
  <c r="R9" i="44"/>
  <c r="R54" i="46"/>
  <c r="R51" i="45"/>
  <c r="R34" i="52"/>
  <c r="R25" i="51"/>
  <c r="R18" i="52"/>
  <c r="R36" i="52"/>
  <c r="T3" i="51"/>
  <c r="R47" i="52"/>
  <c r="R34" i="51"/>
  <c r="R42" i="51"/>
  <c r="R45" i="52"/>
  <c r="S30" i="52"/>
  <c r="R34" i="43"/>
  <c r="R53" i="52"/>
  <c r="R38" i="51"/>
  <c r="T21" i="46"/>
  <c r="T21" i="51"/>
  <c r="P28" i="47"/>
  <c r="T48" i="44"/>
  <c r="R52" i="43"/>
  <c r="R55" i="44"/>
  <c r="R27" i="43"/>
  <c r="R55" i="48"/>
  <c r="T12" i="47"/>
  <c r="AP55" i="48"/>
  <c r="AQ76" i="48" s="1"/>
  <c r="S12" i="45"/>
  <c r="R19" i="44"/>
  <c r="R26" i="45"/>
  <c r="R42" i="45"/>
  <c r="R6" i="45"/>
  <c r="R15" i="44"/>
  <c r="R29" i="46"/>
  <c r="R16" i="45"/>
  <c r="R17" i="44"/>
  <c r="S21" i="50"/>
  <c r="R29" i="50"/>
  <c r="R38" i="50"/>
  <c r="R27" i="50"/>
  <c r="R46" i="50"/>
  <c r="R43" i="50"/>
  <c r="R9" i="50"/>
  <c r="R24" i="50"/>
  <c r="R47" i="50"/>
  <c r="R35" i="50"/>
  <c r="R24" i="43"/>
  <c r="R28" i="51"/>
  <c r="R19" i="46"/>
  <c r="R56" i="50"/>
  <c r="R6" i="50"/>
  <c r="R26" i="51"/>
  <c r="S12" i="51"/>
  <c r="V48" i="46"/>
  <c r="S12" i="52"/>
  <c r="R33" i="51"/>
  <c r="V48" i="51"/>
  <c r="R43" i="51"/>
  <c r="R19" i="52"/>
  <c r="S39" i="44"/>
  <c r="R35" i="43"/>
  <c r="R8" i="43"/>
  <c r="R28" i="43"/>
  <c r="S21" i="43"/>
  <c r="R47" i="43"/>
  <c r="R33" i="43"/>
  <c r="R36" i="43"/>
  <c r="R18" i="43"/>
  <c r="R46" i="43"/>
  <c r="R20" i="44"/>
  <c r="R16" i="44"/>
  <c r="R18" i="45"/>
  <c r="R52" i="45"/>
  <c r="R29" i="45"/>
  <c r="R55" i="45"/>
  <c r="R25" i="50"/>
  <c r="R11" i="50"/>
  <c r="R33" i="49"/>
  <c r="R10" i="49"/>
  <c r="V21" i="50"/>
  <c r="R7" i="49"/>
  <c r="R37" i="50"/>
  <c r="R17" i="52"/>
  <c r="R53" i="46"/>
  <c r="R28" i="52"/>
  <c r="R17" i="51"/>
  <c r="R24" i="51"/>
  <c r="R6" i="51"/>
  <c r="S21" i="52"/>
  <c r="R36" i="51"/>
  <c r="R54" i="52"/>
  <c r="R55" i="51"/>
  <c r="R10" i="52"/>
  <c r="S21" i="44"/>
  <c r="R18" i="44"/>
  <c r="U36" i="43"/>
  <c r="U27" i="43"/>
  <c r="V21" i="43" s="1"/>
  <c r="O17" i="48"/>
  <c r="R16" i="48"/>
  <c r="R33" i="46"/>
  <c r="R26" i="47"/>
  <c r="O40" i="48"/>
  <c r="R28" i="46"/>
  <c r="R24" i="46"/>
  <c r="S39" i="46"/>
  <c r="R35" i="46"/>
  <c r="R25" i="45"/>
  <c r="R35" i="44"/>
  <c r="R6" i="44"/>
  <c r="V39" i="45"/>
  <c r="R53" i="45"/>
  <c r="V3" i="45"/>
  <c r="R46" i="44"/>
  <c r="R55" i="46"/>
  <c r="R45" i="44"/>
  <c r="R8" i="45"/>
  <c r="R36" i="44"/>
  <c r="S48" i="50"/>
  <c r="S48" i="51"/>
  <c r="R44" i="49"/>
  <c r="R28" i="50"/>
  <c r="R55" i="50"/>
  <c r="R10" i="50"/>
  <c r="R8" i="49"/>
  <c r="R10" i="45"/>
  <c r="R11" i="52"/>
  <c r="P39" i="48"/>
  <c r="V3" i="50"/>
  <c r="R53" i="50"/>
  <c r="R54" i="47"/>
  <c r="R29" i="43"/>
  <c r="S12" i="50"/>
  <c r="R46" i="52"/>
  <c r="T12" i="52"/>
  <c r="R20" i="51"/>
  <c r="R27" i="51"/>
  <c r="R52" i="51"/>
  <c r="S48" i="52"/>
  <c r="S30" i="51"/>
  <c r="R18" i="49"/>
  <c r="R38" i="44"/>
  <c r="U24" i="48"/>
  <c r="W21" i="48" s="1"/>
  <c r="E50" i="55" s="1"/>
  <c r="R7" i="44"/>
  <c r="S39" i="52"/>
  <c r="T21" i="44"/>
  <c r="R16" i="46"/>
  <c r="R42" i="44"/>
  <c r="R9" i="51"/>
  <c r="R20" i="52"/>
  <c r="R16" i="51"/>
  <c r="R25" i="44"/>
  <c r="R53" i="44"/>
  <c r="O38" i="43"/>
  <c r="R11" i="43"/>
  <c r="P33" i="43"/>
  <c r="P18" i="43"/>
  <c r="P27" i="43"/>
  <c r="R51" i="43"/>
  <c r="AF46" i="47"/>
  <c r="AG73" i="47" s="1"/>
  <c r="S21" i="47"/>
  <c r="O28" i="48"/>
  <c r="O17" i="47"/>
  <c r="R17" i="47" s="1"/>
  <c r="S30" i="47"/>
  <c r="R51" i="48"/>
  <c r="AB84" i="48"/>
  <c r="V3" i="47"/>
  <c r="R24" i="45"/>
  <c r="R35" i="45"/>
  <c r="R44" i="46"/>
  <c r="V3" i="44"/>
  <c r="R34" i="46"/>
  <c r="T30" i="49"/>
  <c r="R28" i="49"/>
  <c r="S39" i="50"/>
  <c r="R29" i="49"/>
  <c r="T48" i="51"/>
  <c r="T21" i="49"/>
  <c r="R11" i="48"/>
  <c r="R37" i="49"/>
  <c r="R16" i="50"/>
  <c r="V30" i="49"/>
  <c r="U15" i="48"/>
  <c r="R36" i="50"/>
  <c r="S39" i="49"/>
  <c r="O15" i="47"/>
  <c r="R15" i="51"/>
  <c r="R19" i="45"/>
  <c r="R28" i="45"/>
  <c r="R44" i="51"/>
  <c r="R10" i="43"/>
  <c r="R36" i="46"/>
  <c r="U54" i="47"/>
  <c r="R7" i="45"/>
  <c r="O47" i="48"/>
  <c r="T12" i="50"/>
  <c r="R26" i="50"/>
  <c r="R46" i="51"/>
  <c r="R18" i="51"/>
  <c r="R8" i="51"/>
  <c r="T21" i="52"/>
  <c r="R29" i="51"/>
  <c r="V30" i="51"/>
  <c r="V48" i="52"/>
  <c r="R29" i="44"/>
  <c r="T39" i="52"/>
  <c r="R37" i="45"/>
  <c r="U42" i="44"/>
  <c r="V39" i="44" s="1"/>
  <c r="R9" i="46"/>
  <c r="R20" i="45"/>
  <c r="B7" i="55" a="1"/>
  <c r="Q24" i="53" l="1"/>
  <c r="X55" i="53"/>
  <c r="Q48" i="53"/>
  <c r="Q42" i="53"/>
  <c r="R19" i="53"/>
  <c r="S48" i="55" a="1"/>
  <c r="S48" i="55" s="1"/>
  <c r="Q12" i="53"/>
  <c r="R45" i="53"/>
  <c r="Q21" i="53"/>
  <c r="Q39" i="53"/>
  <c r="X38" i="53"/>
  <c r="T30" i="53"/>
  <c r="T3" i="53"/>
  <c r="R27" i="53"/>
  <c r="S27" i="53" s="1"/>
  <c r="Q30" i="53"/>
  <c r="R11" i="53"/>
  <c r="R9" i="53"/>
  <c r="T9" i="53" s="1"/>
  <c r="AA48" i="55"/>
  <c r="AJ48" i="55"/>
  <c r="X6" i="53"/>
  <c r="Q6" i="53"/>
  <c r="X36" i="53"/>
  <c r="Q33" i="53"/>
  <c r="X54" i="53"/>
  <c r="Q51" i="53"/>
  <c r="Y9" i="53"/>
  <c r="Q3" i="53"/>
  <c r="Q15" i="47"/>
  <c r="Q30" i="46"/>
  <c r="Q30" i="48"/>
  <c r="Q21" i="48"/>
  <c r="Q6" i="46"/>
  <c r="Q15" i="48"/>
  <c r="Q51" i="47"/>
  <c r="Q39" i="48"/>
  <c r="Q6" i="47"/>
  <c r="S21" i="49"/>
  <c r="Q21" i="49"/>
  <c r="R18" i="47"/>
  <c r="Q12" i="47"/>
  <c r="R45" i="47"/>
  <c r="Q39" i="47"/>
  <c r="R15" i="46"/>
  <c r="Q15" i="46"/>
  <c r="Y48" i="55"/>
  <c r="AH48" i="55"/>
  <c r="B7" i="55"/>
  <c r="V30" i="43"/>
  <c r="V48" i="43"/>
  <c r="S3" i="43"/>
  <c r="T12" i="53"/>
  <c r="V39" i="53"/>
  <c r="F52" i="55" s="1"/>
  <c r="AI49" i="55" s="1"/>
  <c r="V21" i="53"/>
  <c r="F50" i="55" s="1"/>
  <c r="T39" i="53"/>
  <c r="R28" i="53"/>
  <c r="R47" i="53"/>
  <c r="V3" i="53"/>
  <c r="F48" i="55" s="1"/>
  <c r="Y6" i="53"/>
  <c r="R38" i="53"/>
  <c r="R20" i="53"/>
  <c r="S18" i="53" s="1"/>
  <c r="R55" i="53"/>
  <c r="T48" i="53"/>
  <c r="R37" i="53"/>
  <c r="T21" i="53"/>
  <c r="R29" i="53"/>
  <c r="R46" i="53"/>
  <c r="R36" i="53"/>
  <c r="X20" i="53"/>
  <c r="R17" i="53"/>
  <c r="Y20" i="53"/>
  <c r="Y17" i="53"/>
  <c r="X17" i="53"/>
  <c r="R53" i="53"/>
  <c r="X56" i="53"/>
  <c r="R26" i="53"/>
  <c r="X29" i="53"/>
  <c r="X11" i="53"/>
  <c r="R8" i="53"/>
  <c r="S6" i="53" s="1"/>
  <c r="Y47" i="53"/>
  <c r="Y44" i="53"/>
  <c r="X44" i="53"/>
  <c r="X27" i="53"/>
  <c r="R24" i="53"/>
  <c r="X9" i="53"/>
  <c r="R6" i="53"/>
  <c r="R15" i="53"/>
  <c r="X18" i="53"/>
  <c r="W12" i="53"/>
  <c r="G49" i="55" s="1"/>
  <c r="V12" i="53"/>
  <c r="F49" i="55" s="1"/>
  <c r="R44" i="53"/>
  <c r="X47" i="53"/>
  <c r="X19" i="53"/>
  <c r="R16" i="53"/>
  <c r="Y26" i="53"/>
  <c r="Y29" i="53"/>
  <c r="X26" i="53"/>
  <c r="R35" i="53"/>
  <c r="Y38" i="53"/>
  <c r="Y35" i="53"/>
  <c r="X35" i="53"/>
  <c r="Y18" i="53"/>
  <c r="Y15" i="53"/>
  <c r="X15" i="53"/>
  <c r="S12" i="53"/>
  <c r="R33" i="53"/>
  <c r="S30" i="53"/>
  <c r="Y33" i="53"/>
  <c r="Y36" i="53"/>
  <c r="X33" i="53"/>
  <c r="R43" i="53"/>
  <c r="X46" i="53"/>
  <c r="Y34" i="53"/>
  <c r="X34" i="53"/>
  <c r="Y37" i="53"/>
  <c r="Y27" i="53"/>
  <c r="Y24" i="53"/>
  <c r="X24" i="53"/>
  <c r="S21" i="53"/>
  <c r="Y8" i="53"/>
  <c r="Y11" i="53"/>
  <c r="X8" i="53"/>
  <c r="Y45" i="53"/>
  <c r="S39" i="53"/>
  <c r="Y42" i="53"/>
  <c r="X42" i="53"/>
  <c r="Y16" i="53"/>
  <c r="X16" i="53"/>
  <c r="Y19" i="53"/>
  <c r="R25" i="53"/>
  <c r="X25" i="53"/>
  <c r="Y25" i="53"/>
  <c r="Y28" i="53"/>
  <c r="T54" i="53"/>
  <c r="S54" i="53"/>
  <c r="X45" i="53"/>
  <c r="R42" i="53"/>
  <c r="S3" i="53"/>
  <c r="Y7" i="53"/>
  <c r="X7" i="53"/>
  <c r="Y10" i="53"/>
  <c r="Y43" i="53"/>
  <c r="X43" i="53"/>
  <c r="Y46" i="53"/>
  <c r="Y56" i="53"/>
  <c r="Y53" i="53"/>
  <c r="X53" i="53"/>
  <c r="R34" i="53"/>
  <c r="X37" i="53"/>
  <c r="W30" i="53"/>
  <c r="G51" i="55" s="1"/>
  <c r="AA49" i="55" s="1"/>
  <c r="V30" i="53"/>
  <c r="F51" i="55" s="1"/>
  <c r="Z49" i="55" s="1"/>
  <c r="R51" i="53"/>
  <c r="Y51" i="53"/>
  <c r="X51" i="53"/>
  <c r="Y54" i="53"/>
  <c r="S48" i="53"/>
  <c r="S36" i="53"/>
  <c r="T36" i="53"/>
  <c r="R52" i="53"/>
  <c r="Y52" i="53"/>
  <c r="X52" i="53"/>
  <c r="Y55" i="53"/>
  <c r="V48" i="53"/>
  <c r="W48" i="53"/>
  <c r="T27" i="53"/>
  <c r="S9" i="53"/>
  <c r="S30" i="48"/>
  <c r="R34" i="48"/>
  <c r="W12" i="48"/>
  <c r="E49" i="55" s="1"/>
  <c r="W39" i="48"/>
  <c r="E52" i="55" s="1"/>
  <c r="AH49" i="55" s="1"/>
  <c r="V3" i="48"/>
  <c r="D48" i="55" s="1"/>
  <c r="W3" i="48"/>
  <c r="E48" i="55" s="1"/>
  <c r="V48" i="48"/>
  <c r="D53" i="55" s="1"/>
  <c r="W48" i="48"/>
  <c r="E53" i="55" s="1"/>
  <c r="S39" i="47"/>
  <c r="S51" i="49"/>
  <c r="S12" i="43"/>
  <c r="V39" i="47"/>
  <c r="V12" i="48"/>
  <c r="D49" i="55" s="1"/>
  <c r="S6" i="47"/>
  <c r="R16" i="43"/>
  <c r="R24" i="49"/>
  <c r="T24" i="49" s="1"/>
  <c r="S45" i="46"/>
  <c r="T51" i="47"/>
  <c r="V39" i="48"/>
  <c r="D52" i="55" s="1"/>
  <c r="AG49" i="55" s="1"/>
  <c r="S48" i="43"/>
  <c r="V3" i="46"/>
  <c r="S33" i="47"/>
  <c r="R44" i="48"/>
  <c r="S12" i="47"/>
  <c r="R37" i="46"/>
  <c r="S36" i="46" s="1"/>
  <c r="R27" i="49"/>
  <c r="S51" i="46"/>
  <c r="T9" i="49"/>
  <c r="S9" i="49"/>
  <c r="V48" i="47"/>
  <c r="R47" i="47"/>
  <c r="X47" i="48"/>
  <c r="Y10" i="48"/>
  <c r="X45" i="48"/>
  <c r="X54" i="48"/>
  <c r="S48" i="48"/>
  <c r="R37" i="48"/>
  <c r="R45" i="43"/>
  <c r="T45" i="43" s="1"/>
  <c r="R6" i="48"/>
  <c r="R20" i="48"/>
  <c r="X37" i="48"/>
  <c r="R36" i="48"/>
  <c r="Y24" i="48"/>
  <c r="X18" i="48"/>
  <c r="R26" i="48"/>
  <c r="X56" i="48"/>
  <c r="T42" i="47"/>
  <c r="S45" i="47"/>
  <c r="R15" i="47"/>
  <c r="S15" i="47" s="1"/>
  <c r="T27" i="47"/>
  <c r="T6" i="46"/>
  <c r="T36" i="47"/>
  <c r="Y6" i="48"/>
  <c r="T39" i="48"/>
  <c r="X20" i="48"/>
  <c r="R56" i="48"/>
  <c r="Y34" i="48"/>
  <c r="S42" i="46"/>
  <c r="S45" i="49"/>
  <c r="T45" i="49"/>
  <c r="T6" i="49"/>
  <c r="S6" i="49"/>
  <c r="T45" i="47"/>
  <c r="T18" i="46"/>
  <c r="T45" i="46"/>
  <c r="T42" i="46"/>
  <c r="S24" i="47"/>
  <c r="S42" i="49"/>
  <c r="T42" i="49"/>
  <c r="S27" i="46"/>
  <c r="T21" i="48"/>
  <c r="V30" i="48"/>
  <c r="D51" i="55" s="1"/>
  <c r="X49" i="55" s="1"/>
  <c r="X24" i="48"/>
  <c r="X36" i="48"/>
  <c r="R27" i="48"/>
  <c r="Y27" i="48"/>
  <c r="V21" i="48"/>
  <c r="D50" i="55" s="1"/>
  <c r="R24" i="48"/>
  <c r="X28" i="48"/>
  <c r="X17" i="48"/>
  <c r="X34" i="48"/>
  <c r="X33" i="48"/>
  <c r="Y43" i="48"/>
  <c r="Y46" i="48"/>
  <c r="X43" i="48"/>
  <c r="Y25" i="48"/>
  <c r="Y28" i="48"/>
  <c r="X25" i="48"/>
  <c r="X15" i="48"/>
  <c r="Y15" i="48"/>
  <c r="Y18" i="48"/>
  <c r="X42" i="48"/>
  <c r="Y42" i="48"/>
  <c r="Y45" i="48"/>
  <c r="S21" i="48"/>
  <c r="X26" i="48"/>
  <c r="Y26" i="48"/>
  <c r="Y29" i="48"/>
  <c r="Y56" i="48"/>
  <c r="X53" i="48"/>
  <c r="Y53" i="48"/>
  <c r="R9" i="48"/>
  <c r="R46" i="48"/>
  <c r="R15" i="48"/>
  <c r="Y7" i="48"/>
  <c r="Y9" i="48"/>
  <c r="X6" i="48"/>
  <c r="X7" i="48"/>
  <c r="R18" i="48"/>
  <c r="S12" i="48"/>
  <c r="R42" i="48"/>
  <c r="R54" i="48"/>
  <c r="R45" i="48"/>
  <c r="S3" i="48"/>
  <c r="R33" i="48"/>
  <c r="R29" i="48"/>
  <c r="S45" i="43"/>
  <c r="S9" i="50"/>
  <c r="T9" i="50"/>
  <c r="T45" i="50"/>
  <c r="S45" i="50"/>
  <c r="S9" i="46"/>
  <c r="T9" i="46"/>
  <c r="S42" i="51"/>
  <c r="T42" i="51"/>
  <c r="S15" i="45"/>
  <c r="T15" i="45"/>
  <c r="R53" i="48"/>
  <c r="R42" i="43"/>
  <c r="S42" i="52"/>
  <c r="T42" i="52"/>
  <c r="T15" i="50"/>
  <c r="S15" i="50"/>
  <c r="S36" i="47"/>
  <c r="S33" i="50"/>
  <c r="T33" i="50"/>
  <c r="S15" i="51"/>
  <c r="T15" i="51"/>
  <c r="S54" i="47"/>
  <c r="T54" i="47"/>
  <c r="S33" i="43"/>
  <c r="T33" i="43"/>
  <c r="R28" i="48"/>
  <c r="S27" i="51"/>
  <c r="T27" i="51"/>
  <c r="T27" i="49"/>
  <c r="S27" i="49"/>
  <c r="T36" i="44"/>
  <c r="S36" i="44"/>
  <c r="T6" i="44"/>
  <c r="S6" i="44"/>
  <c r="S39" i="48"/>
  <c r="T18" i="45"/>
  <c r="S18" i="45"/>
  <c r="T15" i="44"/>
  <c r="S15" i="44"/>
  <c r="S18" i="47"/>
  <c r="T18" i="47"/>
  <c r="T45" i="51"/>
  <c r="S45" i="51"/>
  <c r="S9" i="45"/>
  <c r="T9" i="45"/>
  <c r="T18" i="50"/>
  <c r="S18" i="50"/>
  <c r="S42" i="47"/>
  <c r="R17" i="48"/>
  <c r="S45" i="52"/>
  <c r="T45" i="52"/>
  <c r="T15" i="46"/>
  <c r="S15" i="46"/>
  <c r="T36" i="50"/>
  <c r="S36" i="50"/>
  <c r="T24" i="45"/>
  <c r="S24" i="45"/>
  <c r="R38" i="43"/>
  <c r="T33" i="49"/>
  <c r="S33" i="49"/>
  <c r="T27" i="50"/>
  <c r="S27" i="50"/>
  <c r="S6" i="45"/>
  <c r="T6" i="45"/>
  <c r="S51" i="45"/>
  <c r="T51" i="45"/>
  <c r="S33" i="44"/>
  <c r="T33" i="44"/>
  <c r="S18" i="46"/>
  <c r="S6" i="52"/>
  <c r="T6" i="52"/>
  <c r="T36" i="45"/>
  <c r="S36" i="45"/>
  <c r="T9" i="47"/>
  <c r="S9" i="47"/>
  <c r="T9" i="51"/>
  <c r="S9" i="51"/>
  <c r="S45" i="44"/>
  <c r="T45" i="44"/>
  <c r="R43" i="48"/>
  <c r="S54" i="52"/>
  <c r="T54" i="52"/>
  <c r="T24" i="43"/>
  <c r="S24" i="43"/>
  <c r="T42" i="45"/>
  <c r="S42" i="45"/>
  <c r="T54" i="46"/>
  <c r="S54" i="46"/>
  <c r="T45" i="45"/>
  <c r="S45" i="45"/>
  <c r="R54" i="44"/>
  <c r="S9" i="52"/>
  <c r="T9" i="52"/>
  <c r="T36" i="49"/>
  <c r="S36" i="49"/>
  <c r="S27" i="44"/>
  <c r="T27" i="44"/>
  <c r="S15" i="43"/>
  <c r="T15" i="43"/>
  <c r="S24" i="52"/>
  <c r="T24" i="52"/>
  <c r="T33" i="45"/>
  <c r="S33" i="45"/>
  <c r="T27" i="46"/>
  <c r="T18" i="52"/>
  <c r="S18" i="52"/>
  <c r="R47" i="48"/>
  <c r="S51" i="43"/>
  <c r="T51" i="43"/>
  <c r="T18" i="49"/>
  <c r="S18" i="49"/>
  <c r="S33" i="46"/>
  <c r="T33" i="46"/>
  <c r="S36" i="51"/>
  <c r="T36" i="51"/>
  <c r="T27" i="43"/>
  <c r="S27" i="43"/>
  <c r="S9" i="44"/>
  <c r="T9" i="44"/>
  <c r="T42" i="50"/>
  <c r="S42" i="50"/>
  <c r="T54" i="43"/>
  <c r="S54" i="43"/>
  <c r="T27" i="52"/>
  <c r="S27" i="52"/>
  <c r="S24" i="44"/>
  <c r="T24" i="44"/>
  <c r="T51" i="44"/>
  <c r="S51" i="44"/>
  <c r="T18" i="51"/>
  <c r="S18" i="51"/>
  <c r="T24" i="51"/>
  <c r="S24" i="51"/>
  <c r="T54" i="45"/>
  <c r="S54" i="45"/>
  <c r="S42" i="44"/>
  <c r="T42" i="44"/>
  <c r="T18" i="44"/>
  <c r="S18" i="44"/>
  <c r="S39" i="43"/>
  <c r="S51" i="51"/>
  <c r="T51" i="51"/>
  <c r="S54" i="50"/>
  <c r="T54" i="50"/>
  <c r="S27" i="45"/>
  <c r="T27" i="45"/>
  <c r="T6" i="43"/>
  <c r="S6" i="43"/>
  <c r="S15" i="52"/>
  <c r="T15" i="52"/>
  <c r="T51" i="50"/>
  <c r="S51" i="50"/>
  <c r="T24" i="47"/>
  <c r="S6" i="46"/>
  <c r="T51" i="46"/>
  <c r="S24" i="46"/>
  <c r="T24" i="46"/>
  <c r="S6" i="51"/>
  <c r="T6" i="51"/>
  <c r="T18" i="43"/>
  <c r="S18" i="43"/>
  <c r="T33" i="51"/>
  <c r="S33" i="51"/>
  <c r="T6" i="50"/>
  <c r="S6" i="50"/>
  <c r="T24" i="50"/>
  <c r="S24" i="50"/>
  <c r="S9" i="43"/>
  <c r="T9" i="43"/>
  <c r="S36" i="52"/>
  <c r="T36" i="52"/>
  <c r="R25" i="48"/>
  <c r="S33" i="52"/>
  <c r="T33" i="52"/>
  <c r="T51" i="52"/>
  <c r="S51" i="52"/>
  <c r="T15" i="49"/>
  <c r="S15" i="49"/>
  <c r="S54" i="51"/>
  <c r="T54" i="51"/>
  <c r="S27" i="47"/>
  <c r="R48" i="55" l="1" a="1"/>
  <c r="R48" i="55" s="1"/>
  <c r="S45" i="53"/>
  <c r="T6" i="53"/>
  <c r="F53" i="55"/>
  <c r="G53" i="55"/>
  <c r="AI48" i="55"/>
  <c r="Z48" i="55"/>
  <c r="Q48" i="55" a="1"/>
  <c r="Q48" i="55" s="1"/>
  <c r="P48" i="55" a="1"/>
  <c r="P48" i="55" s="1"/>
  <c r="X48" i="55"/>
  <c r="AG48" i="55"/>
  <c r="T18" i="53"/>
  <c r="T45" i="53"/>
  <c r="S51" i="53"/>
  <c r="T51" i="53"/>
  <c r="S42" i="53"/>
  <c r="T42" i="53"/>
  <c r="S33" i="53"/>
  <c r="T33" i="53"/>
  <c r="T15" i="53"/>
  <c r="S15" i="53"/>
  <c r="T24" i="53"/>
  <c r="S24" i="53"/>
  <c r="S36" i="48"/>
  <c r="BB31" i="55"/>
  <c r="BG32" i="55"/>
  <c r="BB29" i="55"/>
  <c r="BE31" i="55"/>
  <c r="T36" i="46"/>
  <c r="S24" i="49"/>
  <c r="T36" i="48"/>
  <c r="S36" i="43"/>
  <c r="S33" i="48"/>
  <c r="S6" i="48"/>
  <c r="T18" i="48"/>
  <c r="T51" i="48"/>
  <c r="BA30" i="55"/>
  <c r="BC33" i="55"/>
  <c r="BC32" i="55"/>
  <c r="BG31" i="55"/>
  <c r="BE33" i="55"/>
  <c r="BG28" i="55"/>
  <c r="BE29" i="55"/>
  <c r="BH29" i="55"/>
  <c r="BB28" i="55"/>
  <c r="BD28" i="55"/>
  <c r="BF33" i="55"/>
  <c r="BA33" i="55"/>
  <c r="BH31" i="55"/>
  <c r="BF29" i="55"/>
  <c r="BA31" i="55"/>
  <c r="BH32" i="55"/>
  <c r="BE28" i="55"/>
  <c r="BD32" i="55"/>
  <c r="BB32" i="55"/>
  <c r="BC29" i="55"/>
  <c r="BA29" i="55"/>
  <c r="BF28" i="55"/>
  <c r="BH33" i="55"/>
  <c r="BF31" i="55"/>
  <c r="BG29" i="55"/>
  <c r="BG33" i="55"/>
  <c r="BB33" i="55"/>
  <c r="BD29" i="55"/>
  <c r="BC31" i="55"/>
  <c r="BH28" i="55"/>
  <c r="BA32" i="55"/>
  <c r="BF32" i="55"/>
  <c r="BE32" i="55"/>
  <c r="BD33" i="55"/>
  <c r="BC28" i="55"/>
  <c r="BD31" i="55"/>
  <c r="T33" i="48"/>
  <c r="T15" i="47"/>
  <c r="S54" i="48"/>
  <c r="S18" i="48"/>
  <c r="S9" i="48"/>
  <c r="S27" i="48"/>
  <c r="T54" i="48"/>
  <c r="T45" i="48"/>
  <c r="T9" i="48"/>
  <c r="T6" i="48"/>
  <c r="G87" i="55"/>
  <c r="G89" i="55"/>
  <c r="G84" i="55"/>
  <c r="G88" i="55"/>
  <c r="G90" i="55"/>
  <c r="G85" i="55"/>
  <c r="T24" i="48"/>
  <c r="S24" i="48"/>
  <c r="S51" i="48"/>
  <c r="T27" i="48"/>
  <c r="T15" i="48"/>
  <c r="S42" i="48"/>
  <c r="T42" i="43"/>
  <c r="S42" i="43"/>
  <c r="S15" i="48"/>
  <c r="T42" i="48"/>
  <c r="S54" i="44"/>
  <c r="T54" i="44"/>
  <c r="S45" i="48"/>
  <c r="T36" i="43"/>
  <c r="R23" i="55" a="1"/>
  <c r="E14" i="55" a="1"/>
  <c r="AL16" i="55" a="1"/>
  <c r="U162" i="54" a="1"/>
  <c r="S199" i="54" a="1"/>
  <c r="F269" i="54" a="1"/>
  <c r="AL24" i="55" a="1"/>
  <c r="AJ15" i="55" a="1"/>
  <c r="G7" i="55" a="1"/>
  <c r="S7" i="55" a="1"/>
  <c r="F14" i="55" a="1"/>
  <c r="AG11" i="55" a="1"/>
  <c r="W13" i="55" a="1"/>
  <c r="T198" i="54" a="1"/>
  <c r="X233" i="54" a="1"/>
  <c r="AG16" i="55" a="1"/>
  <c r="T8" i="55" a="1"/>
  <c r="AJ24" i="55" a="1"/>
  <c r="Q11" i="55" a="1"/>
  <c r="F271" i="54" a="1"/>
  <c r="S23" i="55" a="1"/>
  <c r="X10" i="55" a="1"/>
  <c r="F342" i="54" a="1"/>
  <c r="E343" i="54" a="1"/>
  <c r="G14" i="55" a="1"/>
  <c r="H343" i="54" a="1"/>
  <c r="F21" i="55" a="1"/>
  <c r="X9" i="55" a="1"/>
  <c r="G234" i="54" a="1"/>
  <c r="AM21" i="55" a="1"/>
  <c r="AH22" i="55" a="1"/>
  <c r="G270" i="54" a="1"/>
  <c r="F18" i="55" a="1"/>
  <c r="R305" i="54" a="1"/>
  <c r="AM14" i="55" a="1"/>
  <c r="AL20" i="55" a="1"/>
  <c r="G15" i="55" a="1"/>
  <c r="E199" i="54" a="1"/>
  <c r="D199" i="54" a="1"/>
  <c r="R11" i="55" a="1"/>
  <c r="E19" i="55" a="1"/>
  <c r="R9" i="55" a="1"/>
  <c r="U234" i="54" a="1"/>
  <c r="G12" i="55" a="1"/>
  <c r="V14" i="55" a="1"/>
  <c r="AJ7" i="55" a="1"/>
  <c r="AJ10" i="55" a="1"/>
  <c r="R18" i="55" a="1"/>
  <c r="AL7" i="55" a="1"/>
  <c r="AK7" i="55" a="1"/>
  <c r="V13" i="55" a="1"/>
  <c r="AK13" i="55" a="1"/>
  <c r="S305" i="54" a="1"/>
  <c r="X307" i="54" a="1"/>
  <c r="H19" i="55" a="1"/>
  <c r="AG15" i="55" a="1"/>
  <c r="I305" i="54" a="1"/>
  <c r="X199" i="54" a="1"/>
  <c r="AM10" i="55" a="1"/>
  <c r="AJ17" i="55" a="1"/>
  <c r="E7" i="55" a="1"/>
  <c r="S162" i="54" a="1"/>
  <c r="F235" i="54" a="1"/>
  <c r="T15" i="55" a="1"/>
  <c r="E20" i="55" a="1"/>
  <c r="Q13" i="55" a="1"/>
  <c r="Q18" i="55" a="1"/>
  <c r="AH14" i="55" a="1"/>
  <c r="U9" i="55" a="1"/>
  <c r="D235" i="54" a="1"/>
  <c r="V22" i="55" a="1"/>
  <c r="Q8" i="55" a="1"/>
  <c r="D20" i="55" a="1"/>
  <c r="D13" i="55" a="1"/>
  <c r="B9" i="55" a="1"/>
  <c r="F341" i="54" a="1"/>
  <c r="AJ8" i="55" a="1"/>
  <c r="AM8" i="55" a="1"/>
  <c r="AH7" i="55" a="1"/>
  <c r="R19" i="55" a="1"/>
  <c r="T20" i="55" a="1"/>
  <c r="D341" i="54" a="1"/>
  <c r="T270" i="54" a="1"/>
  <c r="AL19" i="55" a="1"/>
  <c r="S18" i="55" a="1"/>
  <c r="H233" i="54" a="1"/>
  <c r="U14" i="55" a="1"/>
  <c r="C9" i="55" a="1"/>
  <c r="AI7" i="55" a="1"/>
  <c r="R234" i="54" a="1"/>
  <c r="R8" i="55" a="1"/>
  <c r="E22" i="55" a="1"/>
  <c r="U15" i="55" a="1"/>
  <c r="AM16" i="55" a="1"/>
  <c r="D271" i="54" a="1"/>
  <c r="G16" i="55" a="1"/>
  <c r="C14" i="55" a="1"/>
  <c r="H271" i="54" a="1"/>
  <c r="D24" i="55" a="1"/>
  <c r="W162" i="54" a="1"/>
  <c r="H13" i="55" a="1"/>
  <c r="G19" i="55" a="1"/>
  <c r="AM17" i="55" a="1"/>
  <c r="F343" i="54" a="1"/>
  <c r="X16" i="55" a="1"/>
  <c r="B10" i="55" a="1"/>
  <c r="AF15" i="55" a="1"/>
  <c r="C21" i="55" a="1"/>
  <c r="H23" i="55" a="1"/>
  <c r="AH9" i="55" a="1"/>
  <c r="AG13" i="55" a="1"/>
  <c r="AK22" i="55" a="1"/>
  <c r="X305" i="54" a="1"/>
  <c r="H197" i="54" a="1"/>
  <c r="Q23" i="55" a="1"/>
  <c r="F13" i="55" a="1"/>
  <c r="C20" i="55" a="1"/>
  <c r="AK10" i="55" a="1"/>
  <c r="T163" i="54" a="1"/>
  <c r="R233" i="54" a="1"/>
  <c r="AI17" i="55" a="1"/>
  <c r="AH23" i="55" a="1"/>
  <c r="C11" i="55" a="1"/>
  <c r="D306" i="54" a="1"/>
  <c r="AH15" i="55" a="1"/>
  <c r="E235" i="54" a="1"/>
  <c r="G164" i="54" a="1"/>
  <c r="I9" i="55" a="1"/>
  <c r="G24" i="55" a="1"/>
  <c r="W19" i="55" a="1"/>
  <c r="T12" i="55" a="1"/>
  <c r="AM22" i="55" a="1"/>
  <c r="D15" i="55" a="1"/>
  <c r="F305" i="54" a="1"/>
  <c r="I8" i="55" a="1"/>
  <c r="AI24" i="55" a="1"/>
  <c r="R16" i="55" a="1"/>
  <c r="AF21" i="55" a="1"/>
  <c r="X7" i="55" a="1"/>
  <c r="W197" i="54" a="1"/>
  <c r="AL11" i="55" a="1"/>
  <c r="AH16" i="55" a="1"/>
  <c r="G22" i="55" a="1"/>
  <c r="J164" i="54" a="1"/>
  <c r="S8" i="55" a="1"/>
  <c r="R306" i="54" a="1"/>
  <c r="G306" i="54" a="1"/>
  <c r="AI22" i="55" a="1"/>
  <c r="J305" i="54" a="1"/>
  <c r="X235" i="54" a="1"/>
  <c r="D269" i="54" a="1"/>
  <c r="AM9" i="55" a="1"/>
  <c r="R10" i="55" a="1"/>
  <c r="D10" i="55" a="1"/>
  <c r="H21" i="55" a="1"/>
  <c r="U197" i="54" a="1"/>
  <c r="AK11" i="55" a="1"/>
  <c r="V15" i="55" a="1"/>
  <c r="R235" i="54" a="1"/>
  <c r="C23" i="55" a="1"/>
  <c r="Q14" i="55" a="1"/>
  <c r="AI18" i="55" a="1"/>
  <c r="G8" i="55" a="1"/>
  <c r="B16" i="55" a="1"/>
  <c r="I10" i="55" a="1"/>
  <c r="AG22" i="55" a="1"/>
  <c r="D11" i="55" a="1"/>
  <c r="F20" i="55" a="1"/>
  <c r="G198" i="54" a="1"/>
  <c r="X13" i="55" a="1"/>
  <c r="F8" i="55" a="1"/>
  <c r="AG14" i="55" a="1"/>
  <c r="S9" i="55" a="1"/>
  <c r="R24" i="55" a="1"/>
  <c r="AI8" i="55" a="1"/>
  <c r="D8" i="55" a="1"/>
  <c r="H269" i="54" a="1"/>
  <c r="Q9" i="55" a="1"/>
  <c r="V235" i="54" a="1"/>
  <c r="W22" i="55" a="1"/>
  <c r="AM15" i="55" a="1"/>
  <c r="AF17" i="55" a="1"/>
  <c r="U13" i="55" a="1"/>
  <c r="E11" i="55" a="1"/>
  <c r="AM20" i="55" a="1"/>
  <c r="T22" i="55" a="1"/>
  <c r="R307" i="54" a="1"/>
  <c r="V305" i="54" a="1"/>
  <c r="S233" i="54" a="1"/>
  <c r="W14" i="55" a="1"/>
  <c r="X162" i="54" a="1"/>
  <c r="U305" i="54" a="1"/>
  <c r="AJ18" i="55" a="1"/>
  <c r="X15" i="55" a="1"/>
  <c r="R21" i="55" a="1"/>
  <c r="AH10" i="55" a="1"/>
  <c r="V20" i="55" a="1"/>
  <c r="I342" i="54" a="1"/>
  <c r="AK21" i="55" a="1"/>
  <c r="G20" i="55" a="1"/>
  <c r="F306" i="54" a="1"/>
  <c r="U269" i="54" a="1"/>
  <c r="C19" i="55" a="1"/>
  <c r="W18" i="55" a="1"/>
  <c r="S198" i="54" a="1"/>
  <c r="C24" i="55" a="1"/>
  <c r="T162" i="54" a="1"/>
  <c r="AF24" i="55" a="1"/>
  <c r="E342" i="54" a="1"/>
  <c r="S21" i="55" a="1"/>
  <c r="V16" i="55" a="1"/>
  <c r="AJ16" i="55" a="1"/>
  <c r="AI9" i="55" a="1"/>
  <c r="H14" i="55" a="1"/>
  <c r="F270" i="54" a="1"/>
  <c r="S10" i="55" a="1"/>
  <c r="R12" i="55" a="1"/>
  <c r="F198" i="54" a="1"/>
  <c r="E23" i="55" a="1"/>
  <c r="S306" i="54" a="1"/>
  <c r="T16" i="55" a="1"/>
  <c r="E197" i="54" a="1"/>
  <c r="S17" i="55" a="1"/>
  <c r="T164" i="54" a="1"/>
  <c r="D342" i="54" a="1"/>
  <c r="AG8" i="55" a="1"/>
  <c r="D16" i="55" a="1"/>
  <c r="X164" i="54" a="1"/>
  <c r="Q15" i="55" a="1"/>
  <c r="X198" i="54" a="1"/>
  <c r="R17" i="55" a="1"/>
  <c r="F233" i="54" a="1"/>
  <c r="F163" i="54" a="1"/>
  <c r="H163" i="54" a="1"/>
  <c r="E16" i="55" a="1"/>
  <c r="X18" i="55" a="1"/>
  <c r="R14" i="55" a="1"/>
  <c r="T269" i="54" a="1"/>
  <c r="V23" i="55" a="1"/>
  <c r="G18" i="55" a="1"/>
  <c r="F15" i="55" a="1"/>
  <c r="E15" i="55" a="1"/>
  <c r="H234" i="54" a="1"/>
  <c r="I164" i="54" a="1"/>
  <c r="R269" i="54" a="1"/>
  <c r="E17" i="55" a="1"/>
  <c r="AL8" i="55" a="1"/>
  <c r="X20" i="55" a="1"/>
  <c r="AI12" i="55" a="1"/>
  <c r="T305" i="54" a="1"/>
  <c r="V199" i="54" a="1"/>
  <c r="AG19" i="55" a="1"/>
  <c r="F23" i="55" a="1"/>
  <c r="I13" i="55" a="1"/>
  <c r="W305" i="54" a="1"/>
  <c r="AK15" i="55" a="1"/>
  <c r="AF19" i="55" a="1"/>
  <c r="R20" i="55" a="1"/>
  <c r="E305" i="54" a="1"/>
  <c r="Q22" i="55" a="1"/>
  <c r="W306" i="54" a="1"/>
  <c r="I12" i="55" a="1"/>
  <c r="AL12" i="55" a="1"/>
  <c r="V306" i="54" a="1"/>
  <c r="U22" i="55" a="1"/>
  <c r="D21" i="55" a="1"/>
  <c r="D343" i="54" a="1"/>
  <c r="W163" i="54" a="1"/>
  <c r="V307" i="54" a="1"/>
  <c r="AH18" i="55" a="1"/>
  <c r="E307" i="54" a="1"/>
  <c r="J162" i="54" a="1"/>
  <c r="H198" i="54" a="1"/>
  <c r="I24" i="55" a="1"/>
  <c r="H9" i="55" a="1"/>
  <c r="G11" i="55" a="1"/>
  <c r="H17" i="55" a="1"/>
  <c r="Q12" i="55" a="1"/>
  <c r="G163" i="54" a="1"/>
  <c r="I162" i="54" a="1"/>
  <c r="X17" i="55" a="1"/>
  <c r="B11" i="55" a="1"/>
  <c r="S164" i="54" a="1"/>
  <c r="I22" i="55" a="1"/>
  <c r="AG7" i="55" a="1"/>
  <c r="V12" i="55" a="1"/>
  <c r="AK14" i="55" a="1"/>
  <c r="S11" i="55" a="1"/>
  <c r="AI16" i="55" a="1"/>
  <c r="AH12" i="55" a="1"/>
  <c r="X269" i="54" a="1"/>
  <c r="G21" i="55" a="1"/>
  <c r="AG12" i="55" a="1"/>
  <c r="V11" i="55" a="1"/>
  <c r="G305" i="54" a="1"/>
  <c r="T233" i="54" a="1"/>
  <c r="C8" i="55" a="1"/>
  <c r="AH21" i="55" a="1"/>
  <c r="W11" i="55" a="1"/>
  <c r="AF7" i="55" a="1"/>
  <c r="U199" i="54" a="1"/>
  <c r="U24" i="55" a="1"/>
  <c r="Q16" i="55" a="1"/>
  <c r="AL13" i="55" a="1"/>
  <c r="F10" i="55" a="1"/>
  <c r="U11" i="55" a="1"/>
  <c r="I19" i="55" a="1"/>
  <c r="U10" i="55" a="1"/>
  <c r="E271" i="54" a="1"/>
  <c r="V164" i="54" a="1"/>
  <c r="S197" i="54" a="1"/>
  <c r="X24" i="55" a="1"/>
  <c r="S15" i="55" a="1"/>
  <c r="W8" i="55" a="1"/>
  <c r="G233" i="54" a="1"/>
  <c r="R7" i="55" a="1"/>
  <c r="W233" i="54" a="1"/>
  <c r="D17" i="55" a="1"/>
  <c r="H12" i="55" a="1"/>
  <c r="E306" i="54" a="1"/>
  <c r="T197" i="54" a="1"/>
  <c r="T13" i="55" a="1"/>
  <c r="T10" i="55" a="1"/>
  <c r="J343" i="54" a="1"/>
  <c r="J197" i="54" a="1"/>
  <c r="B22" i="55" a="1"/>
  <c r="D18" i="55" a="1"/>
  <c r="AF10" i="55" a="1"/>
  <c r="H15" i="55" a="1"/>
  <c r="R198" i="54" a="1"/>
  <c r="AF22" i="55" a="1"/>
  <c r="T235" i="54" a="1"/>
  <c r="F164" i="54" a="1"/>
  <c r="AH24" i="55" a="1"/>
  <c r="T19" i="55" a="1"/>
  <c r="I17" i="55" a="1"/>
  <c r="U7" i="55" a="1"/>
  <c r="I16" i="55" a="1"/>
  <c r="F234" i="54" a="1"/>
  <c r="D7" i="55" a="1"/>
  <c r="U21" i="55" a="1"/>
  <c r="I21" i="55" a="1"/>
  <c r="S20" i="55" a="1"/>
  <c r="T199" i="54" a="1"/>
  <c r="AF16" i="55" a="1"/>
  <c r="U307" i="54" a="1"/>
  <c r="AJ11" i="55" a="1"/>
  <c r="X234" i="54" a="1"/>
  <c r="B8" i="55" a="1"/>
  <c r="T24" i="55" a="1"/>
  <c r="E8" i="55" a="1"/>
  <c r="W235" i="54" a="1"/>
  <c r="Q10" i="55" a="1"/>
  <c r="X270" i="54" a="1"/>
  <c r="AH20" i="55" a="1"/>
  <c r="E341" i="54" a="1"/>
  <c r="X8" i="55" a="1"/>
  <c r="V271" i="54" a="1"/>
  <c r="V198" i="54" a="1"/>
  <c r="D164" i="54" a="1"/>
  <c r="AG17" i="55" a="1"/>
  <c r="C22" i="55" a="1"/>
  <c r="X22" i="55" a="1"/>
  <c r="AF12" i="55" a="1"/>
  <c r="I15" i="55" a="1"/>
  <c r="D305" i="54" a="1"/>
  <c r="S270" i="54" a="1"/>
  <c r="H18" i="55" a="1"/>
  <c r="X21" i="55" a="1"/>
  <c r="G10" i="55" a="1"/>
  <c r="U8" i="55" a="1"/>
  <c r="AK16" i="55" a="1"/>
  <c r="B21" i="55" a="1"/>
  <c r="AF13" i="55" a="1"/>
  <c r="W307" i="54" a="1"/>
  <c r="H341" i="54" a="1"/>
  <c r="S13" i="55" a="1"/>
  <c r="S24" i="55" a="1"/>
  <c r="H306" i="54" a="1"/>
  <c r="I343" i="54" a="1"/>
  <c r="S271" i="54" a="1"/>
  <c r="AI11" i="55" a="1"/>
  <c r="AK12" i="55" a="1"/>
  <c r="T14" i="55" a="1"/>
  <c r="S234" i="54" a="1"/>
  <c r="J306" i="54" a="1"/>
  <c r="X12" i="55" a="1"/>
  <c r="J269" i="54" a="1"/>
  <c r="V234" i="54" a="1"/>
  <c r="F17" i="55" a="1"/>
  <c r="AJ22" i="55" a="1"/>
  <c r="S235" i="54" a="1"/>
  <c r="H16" i="55" a="1"/>
  <c r="B17" i="55" a="1"/>
  <c r="H164" i="54" a="1"/>
  <c r="U17" i="55" a="1"/>
  <c r="H342" i="54" a="1"/>
  <c r="AJ20" i="55" a="1"/>
  <c r="R270" i="54" a="1"/>
  <c r="G235" i="54" a="1"/>
  <c r="V18" i="55" a="1"/>
  <c r="AL10" i="55" a="1"/>
  <c r="J163" i="54" a="1"/>
  <c r="I234" i="54" a="1"/>
  <c r="H8" i="55" a="1"/>
  <c r="U16" i="55" a="1"/>
  <c r="T9" i="55" a="1"/>
  <c r="B13" i="55" a="1"/>
  <c r="T307" i="54" a="1"/>
  <c r="H305" i="54" a="1"/>
  <c r="AF23" i="55" a="1"/>
  <c r="R197" i="54" a="1"/>
  <c r="D12" i="55" a="1"/>
  <c r="B15" i="55" a="1"/>
  <c r="AG18" i="55" a="1"/>
  <c r="E233" i="54" a="1"/>
  <c r="U198" i="54" a="1"/>
  <c r="H10" i="55" a="1"/>
  <c r="AH17" i="55" a="1"/>
  <c r="E9" i="55" a="1"/>
  <c r="D234" i="54" a="1"/>
  <c r="E24" i="55" a="1"/>
  <c r="C12" i="55" a="1"/>
  <c r="I306" i="54" a="1"/>
  <c r="F16" i="55" a="1"/>
  <c r="T18" i="55" a="1"/>
  <c r="E164" i="54" a="1"/>
  <c r="U20" i="55" a="1"/>
  <c r="AJ13" i="55" a="1"/>
  <c r="D9" i="55" a="1"/>
  <c r="J235" i="54" a="1"/>
  <c r="W15" i="55" a="1"/>
  <c r="X23" i="55" a="1"/>
  <c r="AK20" i="55" a="1"/>
  <c r="I7" i="55" a="1"/>
  <c r="AH11" i="55" a="1"/>
  <c r="AM19" i="55" a="1"/>
  <c r="B18" i="55" a="1"/>
  <c r="D270" i="54" a="1"/>
  <c r="E198" i="54" a="1"/>
  <c r="I307" i="54" a="1"/>
  <c r="AK19" i="55" a="1"/>
  <c r="X14" i="55" a="1"/>
  <c r="AJ23" i="55" a="1"/>
  <c r="W9" i="55" a="1"/>
  <c r="D22" i="55" a="1"/>
  <c r="V163" i="54" a="1"/>
  <c r="U19" i="55" a="1"/>
  <c r="F24" i="55" a="1"/>
  <c r="I198" i="54" a="1"/>
  <c r="U270" i="54" a="1"/>
  <c r="I270" i="54" a="1"/>
  <c r="E18" i="55" a="1"/>
  <c r="I235" i="54" a="1"/>
  <c r="R13" i="55" a="1"/>
  <c r="AM24" i="55" a="1"/>
  <c r="W23" i="55" a="1"/>
  <c r="V19" i="55" a="1"/>
  <c r="T234" i="54" a="1"/>
  <c r="I11" i="55" a="1"/>
  <c r="V8" i="55" a="1"/>
  <c r="AL21" i="55" a="1"/>
  <c r="I269" i="54" a="1"/>
  <c r="AM18" i="55" a="1"/>
  <c r="F162" i="54" a="1"/>
  <c r="H20" i="55" a="1"/>
  <c r="I233" i="54" a="1"/>
  <c r="F12" i="55" a="1"/>
  <c r="W10" i="55" a="1"/>
  <c r="G23" i="55" a="1"/>
  <c r="G271" i="54" a="1"/>
  <c r="E10" i="55" a="1"/>
  <c r="B24" i="55" a="1"/>
  <c r="AK8" i="55" a="1"/>
  <c r="S269" i="54" a="1"/>
  <c r="W234" i="54" a="1"/>
  <c r="AL9" i="55" a="1"/>
  <c r="AF11" i="55" a="1"/>
  <c r="D162" i="54" a="1"/>
  <c r="H7" i="55" a="1"/>
  <c r="W269" i="54" a="1"/>
  <c r="V17" i="55" a="1"/>
  <c r="AG10" i="55" a="1"/>
  <c r="AG9" i="55" a="1"/>
  <c r="AG24" i="55" a="1"/>
  <c r="X163" i="54" a="1"/>
  <c r="AJ9" i="55" a="1"/>
  <c r="V10" i="55" a="1"/>
  <c r="G307" i="54" a="1"/>
  <c r="C17" i="55" a="1"/>
  <c r="V24" i="55" a="1"/>
  <c r="AL18" i="55" a="1"/>
  <c r="AI20" i="55" a="1"/>
  <c r="I14" i="55" a="1"/>
  <c r="G343" i="54" a="1"/>
  <c r="AM12" i="55" a="1"/>
  <c r="AL17" i="55" a="1"/>
  <c r="S12" i="55" a="1"/>
  <c r="U18" i="55" a="1"/>
  <c r="E234" i="54" a="1"/>
  <c r="H199" i="54" a="1"/>
  <c r="J199" i="54" a="1"/>
  <c r="W198" i="54" a="1"/>
  <c r="T23" i="55" a="1"/>
  <c r="R164" i="54" a="1"/>
  <c r="AI23" i="55" a="1"/>
  <c r="AM11" i="55" a="1"/>
  <c r="T11" i="55" a="1"/>
  <c r="AM7" i="55" a="1"/>
  <c r="J271" i="54" a="1"/>
  <c r="H162" i="54" a="1"/>
  <c r="U235" i="54" a="1"/>
  <c r="G341" i="54" a="1"/>
  <c r="W12" i="55" a="1"/>
  <c r="V162" i="54" a="1"/>
  <c r="U271" i="54" a="1"/>
  <c r="S22" i="55" a="1"/>
  <c r="AG20" i="55" a="1"/>
  <c r="AG21" i="55" a="1"/>
  <c r="T17" i="55" a="1"/>
  <c r="F197" i="54" a="1"/>
  <c r="E269" i="54" a="1"/>
  <c r="AI21" i="55" a="1"/>
  <c r="F22" i="55" a="1"/>
  <c r="C16" i="55" a="1"/>
  <c r="I271" i="54" a="1"/>
  <c r="D307" i="54" a="1"/>
  <c r="H270" i="54" a="1"/>
  <c r="S14" i="55" a="1"/>
  <c r="AI13" i="55" a="1"/>
  <c r="AF8" i="55" a="1"/>
  <c r="F7" i="55" a="1"/>
  <c r="V270" i="54" a="1"/>
  <c r="E12" i="55" a="1"/>
  <c r="AH13" i="55" a="1"/>
  <c r="D14" i="55" a="1"/>
  <c r="AK9" i="55" a="1"/>
  <c r="Q19" i="55" a="1"/>
  <c r="G199" i="54" a="1"/>
  <c r="W7" i="55" a="1"/>
  <c r="AH19" i="55" a="1"/>
  <c r="H24" i="55" a="1"/>
  <c r="I163" i="54" a="1"/>
  <c r="X19" i="55" a="1"/>
  <c r="V269" i="54" a="1"/>
  <c r="I23" i="55" a="1"/>
  <c r="S163" i="54" a="1"/>
  <c r="H11" i="55" a="1"/>
  <c r="Q17" i="55" a="1"/>
  <c r="E162" i="54" a="1"/>
  <c r="I197" i="54" a="1"/>
  <c r="AI10" i="55" a="1"/>
  <c r="J307" i="54" a="1"/>
  <c r="B14" i="55" a="1"/>
  <c r="V9" i="55" a="1"/>
  <c r="B20" i="55" a="1"/>
  <c r="F11" i="55" a="1"/>
  <c r="F9" i="55" a="1"/>
  <c r="W21" i="55" a="1"/>
  <c r="AK24" i="55" a="1"/>
  <c r="X197" i="54" a="1"/>
  <c r="D198" i="54" a="1"/>
  <c r="AM13" i="55" a="1"/>
  <c r="B12" i="55" a="1"/>
  <c r="V7" i="55" a="1"/>
  <c r="U306" i="54" a="1"/>
  <c r="R15" i="55" a="1"/>
  <c r="U163" i="54" a="1"/>
  <c r="V197" i="54" a="1"/>
  <c r="AJ19" i="55" a="1"/>
  <c r="AF20" i="55" a="1"/>
  <c r="D233" i="54" a="1"/>
  <c r="W16" i="55" a="1"/>
  <c r="X306" i="54" a="1"/>
  <c r="G162" i="54" a="1"/>
  <c r="W271" i="54" a="1"/>
  <c r="D163" i="54" a="1"/>
  <c r="T306" i="54" a="1"/>
  <c r="V21" i="55" a="1"/>
  <c r="B23" i="55" a="1"/>
  <c r="G197" i="54" a="1"/>
  <c r="J234" i="54" a="1"/>
  <c r="W164" i="54" a="1"/>
  <c r="S16" i="55" a="1"/>
  <c r="X11" i="55" a="1"/>
  <c r="W24" i="55" a="1"/>
  <c r="C10" i="55" a="1"/>
  <c r="S307" i="54" a="1"/>
  <c r="U233" i="54" a="1"/>
  <c r="C7" i="55" a="1"/>
  <c r="Q7" i="55" a="1"/>
  <c r="T7" i="55" a="1"/>
  <c r="E13" i="55" a="1"/>
  <c r="J342" i="54" a="1"/>
  <c r="AH8" i="55" a="1"/>
  <c r="F19" i="55" a="1"/>
  <c r="Q24" i="55" a="1"/>
  <c r="W17" i="55" a="1"/>
  <c r="C13" i="55" a="1"/>
  <c r="AL15" i="55" a="1"/>
  <c r="AL14" i="55" a="1"/>
  <c r="R271" i="54" a="1"/>
  <c r="F307" i="54" a="1"/>
  <c r="D197" i="54" a="1"/>
  <c r="W270" i="54" a="1"/>
  <c r="R163" i="54" a="1"/>
  <c r="S19" i="55" a="1"/>
  <c r="V233" i="54" a="1"/>
  <c r="AJ12" i="55" a="1"/>
  <c r="T21" i="55" a="1"/>
  <c r="G13" i="55" a="1"/>
  <c r="AK17" i="55" a="1"/>
  <c r="D23" i="55" a="1"/>
  <c r="X271" i="54" a="1"/>
  <c r="J233" i="54" a="1"/>
  <c r="U12" i="55" a="1"/>
  <c r="H235" i="54" a="1"/>
  <c r="AI19" i="55" a="1"/>
  <c r="W199" i="54" a="1"/>
  <c r="AF18" i="55" a="1"/>
  <c r="G17" i="55" a="1"/>
  <c r="E163" i="54" a="1"/>
  <c r="AI15" i="55" a="1"/>
  <c r="C15" i="55" a="1"/>
  <c r="AK18" i="55" a="1"/>
  <c r="J341" i="54" a="1"/>
  <c r="I199" i="54" a="1"/>
  <c r="R162" i="54" a="1"/>
  <c r="AL22" i="55" a="1"/>
  <c r="R199" i="54" a="1"/>
  <c r="AL23" i="55" a="1"/>
  <c r="AF14" i="55" a="1"/>
  <c r="I18" i="55" a="1"/>
  <c r="AJ21" i="55" a="1"/>
  <c r="E270" i="54" a="1"/>
  <c r="F199" i="54" a="1"/>
  <c r="I20" i="55" a="1"/>
  <c r="AG23" i="55" a="1"/>
  <c r="R22" i="55" a="1"/>
  <c r="I341" i="54" a="1"/>
  <c r="E21" i="55" a="1"/>
  <c r="J270" i="54" a="1"/>
  <c r="G342" i="54" a="1"/>
  <c r="AF9" i="55" a="1"/>
  <c r="G269" i="54" a="1"/>
  <c r="H22" i="55" a="1"/>
  <c r="C18" i="55" a="1"/>
  <c r="U23" i="55" a="1"/>
  <c r="Q21" i="55" a="1"/>
  <c r="T271" i="54" a="1"/>
  <c r="D19" i="55" a="1"/>
  <c r="AK23" i="55" a="1"/>
  <c r="W20" i="55" a="1"/>
  <c r="Q20" i="55" a="1"/>
  <c r="U164" i="54" a="1"/>
  <c r="AJ14" i="55" a="1"/>
  <c r="B19" i="55" a="1"/>
  <c r="H307" i="54" a="1"/>
  <c r="J198" i="54" a="1"/>
  <c r="AM23" i="55" a="1"/>
  <c r="AI14" i="55" a="1"/>
  <c r="AM20" i="55" l="1"/>
  <c r="F20" i="55"/>
  <c r="T270" i="54"/>
  <c r="B23" i="55"/>
  <c r="AL18" i="55"/>
  <c r="AI14" i="55"/>
  <c r="AM23" i="55"/>
  <c r="T14" i="55"/>
  <c r="Q12" i="55"/>
  <c r="D11" i="55"/>
  <c r="D341" i="54"/>
  <c r="X19" i="55"/>
  <c r="E21" i="55"/>
  <c r="M21" i="55" s="1"/>
  <c r="N21" i="55" s="1"/>
  <c r="U235" i="54"/>
  <c r="G343" i="54"/>
  <c r="AK12" i="55"/>
  <c r="E11" i="55"/>
  <c r="K11" i="55" s="1"/>
  <c r="L11" i="55" s="1"/>
  <c r="AG22" i="55"/>
  <c r="T20" i="55"/>
  <c r="V21" i="55"/>
  <c r="V24" i="55"/>
  <c r="AJ13" i="55"/>
  <c r="J198" i="54"/>
  <c r="AI11" i="55"/>
  <c r="U13" i="55"/>
  <c r="I10" i="55"/>
  <c r="R19" i="55"/>
  <c r="AJ14" i="55"/>
  <c r="D307" i="54"/>
  <c r="C15" i="55"/>
  <c r="I14" i="55"/>
  <c r="S271" i="54"/>
  <c r="H17" i="55"/>
  <c r="B16" i="55"/>
  <c r="AH7" i="55"/>
  <c r="T306" i="54"/>
  <c r="C17" i="55"/>
  <c r="T234" i="54"/>
  <c r="I23" i="55"/>
  <c r="I343" i="54"/>
  <c r="AF17" i="55"/>
  <c r="G8" i="55"/>
  <c r="AM8" i="55"/>
  <c r="I163" i="54"/>
  <c r="I271" i="54"/>
  <c r="H162" i="54"/>
  <c r="AJ12" i="55"/>
  <c r="H306" i="54"/>
  <c r="AM15" i="55"/>
  <c r="AI18" i="55"/>
  <c r="AJ8" i="55"/>
  <c r="D163" i="54"/>
  <c r="G307" i="54"/>
  <c r="V19" i="55"/>
  <c r="U20" i="55"/>
  <c r="S24" i="55"/>
  <c r="G11" i="55"/>
  <c r="Q14" i="55"/>
  <c r="F341" i="54"/>
  <c r="H24" i="55"/>
  <c r="I341" i="54"/>
  <c r="AI15" i="55"/>
  <c r="AI20" i="55"/>
  <c r="S13" i="55"/>
  <c r="W22" i="55"/>
  <c r="C23" i="55"/>
  <c r="B9" i="55"/>
  <c r="W271" i="54"/>
  <c r="V10" i="55"/>
  <c r="S163" i="54"/>
  <c r="H307" i="54"/>
  <c r="H341" i="54"/>
  <c r="H9" i="55"/>
  <c r="R235" i="54"/>
  <c r="D13" i="55"/>
  <c r="U164" i="54"/>
  <c r="C16" i="55"/>
  <c r="J271" i="54"/>
  <c r="V233" i="54"/>
  <c r="W307" i="54"/>
  <c r="V235" i="54"/>
  <c r="V15" i="55"/>
  <c r="D20" i="55"/>
  <c r="G162" i="54"/>
  <c r="AJ9" i="55"/>
  <c r="W23" i="55"/>
  <c r="U24" i="55"/>
  <c r="AF13" i="55"/>
  <c r="Q9" i="55"/>
  <c r="AK11" i="55"/>
  <c r="Q8" i="55"/>
  <c r="V269" i="54"/>
  <c r="Q20" i="55"/>
  <c r="R22" i="55"/>
  <c r="E163" i="54"/>
  <c r="B21" i="55"/>
  <c r="I24" i="55"/>
  <c r="U197" i="54"/>
  <c r="V22" i="55"/>
  <c r="S19" i="55"/>
  <c r="X306" i="54"/>
  <c r="X163" i="54"/>
  <c r="AL10" i="55"/>
  <c r="AK16" i="55"/>
  <c r="H269" i="54"/>
  <c r="H21" i="55"/>
  <c r="D235" i="54"/>
  <c r="AM24" i="55"/>
  <c r="B19" i="55"/>
  <c r="AH19" i="55"/>
  <c r="AJ16" i="55"/>
  <c r="U8" i="55"/>
  <c r="D8" i="55"/>
  <c r="D10" i="55"/>
  <c r="U9" i="55"/>
  <c r="F22" i="55"/>
  <c r="AM7" i="55"/>
  <c r="R163" i="54"/>
  <c r="S18" i="55"/>
  <c r="G10" i="55"/>
  <c r="H198" i="54"/>
  <c r="R10" i="55"/>
  <c r="AH14" i="55"/>
  <c r="W16" i="55"/>
  <c r="AG24" i="55"/>
  <c r="R13" i="55"/>
  <c r="U199" i="54"/>
  <c r="X21" i="55"/>
  <c r="AI8" i="55"/>
  <c r="AM9" i="55"/>
  <c r="Q18" i="55"/>
  <c r="E164" i="54"/>
  <c r="W20" i="55"/>
  <c r="AG23" i="55"/>
  <c r="V16" i="55"/>
  <c r="H18" i="55"/>
  <c r="R24" i="55"/>
  <c r="D269" i="54"/>
  <c r="Q13" i="55"/>
  <c r="G17" i="55"/>
  <c r="W270" i="54"/>
  <c r="D233" i="54"/>
  <c r="AF7" i="55"/>
  <c r="S270" i="54"/>
  <c r="J162" i="54"/>
  <c r="X235" i="54"/>
  <c r="E20" i="55"/>
  <c r="Z20" i="55" s="1"/>
  <c r="AA20" i="55" s="1"/>
  <c r="AG9" i="55"/>
  <c r="I235" i="54"/>
  <c r="T18" i="55"/>
  <c r="W11" i="55"/>
  <c r="D305" i="54"/>
  <c r="S9" i="55"/>
  <c r="J305" i="54"/>
  <c r="T15" i="55"/>
  <c r="AK23" i="55"/>
  <c r="I20" i="55"/>
  <c r="T11" i="55"/>
  <c r="S21" i="55"/>
  <c r="I15" i="55"/>
  <c r="AG14" i="55"/>
  <c r="AI22" i="55"/>
  <c r="F235" i="54"/>
  <c r="D197" i="54"/>
  <c r="AF20" i="55"/>
  <c r="AG10" i="55"/>
  <c r="AH21" i="55"/>
  <c r="AF12" i="55"/>
  <c r="F8" i="55"/>
  <c r="G306" i="54"/>
  <c r="S162" i="54"/>
  <c r="E18" i="55"/>
  <c r="M18" i="55" s="1"/>
  <c r="N18" i="55" s="1"/>
  <c r="F16" i="55"/>
  <c r="W7" i="55"/>
  <c r="V18" i="55"/>
  <c r="X22" i="55"/>
  <c r="E307" i="54"/>
  <c r="R306" i="54"/>
  <c r="E7" i="55"/>
  <c r="F199" i="54"/>
  <c r="AM11" i="55"/>
  <c r="F307" i="54"/>
  <c r="G235" i="54"/>
  <c r="C22" i="55"/>
  <c r="X13" i="55"/>
  <c r="S8" i="55"/>
  <c r="AJ17" i="55"/>
  <c r="AJ19" i="55"/>
  <c r="V17" i="55"/>
  <c r="I270" i="54"/>
  <c r="AL19" i="55"/>
  <c r="AG17" i="55"/>
  <c r="AH18" i="55"/>
  <c r="J164" i="54"/>
  <c r="AM10" i="55"/>
  <c r="I306" i="54"/>
  <c r="D19" i="55"/>
  <c r="E270" i="54"/>
  <c r="E342" i="54"/>
  <c r="D164" i="54"/>
  <c r="V307" i="54"/>
  <c r="G22" i="55"/>
  <c r="X199" i="54"/>
  <c r="AF18" i="55"/>
  <c r="R271" i="54"/>
  <c r="V197" i="54"/>
  <c r="C8" i="55"/>
  <c r="V198" i="54"/>
  <c r="G198" i="54"/>
  <c r="AH16" i="55"/>
  <c r="I305" i="54"/>
  <c r="W269" i="54"/>
  <c r="U270" i="54"/>
  <c r="C12" i="55"/>
  <c r="AF24" i="55"/>
  <c r="V271" i="54"/>
  <c r="W163" i="54"/>
  <c r="AL11" i="55"/>
  <c r="AG15" i="55"/>
  <c r="G199" i="54"/>
  <c r="AI21" i="55"/>
  <c r="AO21" i="55" s="1"/>
  <c r="AP21" i="55" s="1"/>
  <c r="AI23" i="55"/>
  <c r="T233" i="54"/>
  <c r="X8" i="55"/>
  <c r="D343" i="54"/>
  <c r="W197" i="54"/>
  <c r="H19" i="55"/>
  <c r="AL14" i="55"/>
  <c r="U163" i="54"/>
  <c r="H7" i="55"/>
  <c r="T162" i="54"/>
  <c r="E341" i="54"/>
  <c r="D21" i="55"/>
  <c r="X7" i="55"/>
  <c r="X307" i="54"/>
  <c r="I198" i="54"/>
  <c r="E24" i="55"/>
  <c r="Q19" i="55"/>
  <c r="G305" i="54"/>
  <c r="AH20" i="55"/>
  <c r="U22" i="55"/>
  <c r="AF21" i="55"/>
  <c r="S305" i="54"/>
  <c r="AJ21" i="55"/>
  <c r="W199" i="54"/>
  <c r="AL15" i="55"/>
  <c r="R270" i="54"/>
  <c r="X270" i="54"/>
  <c r="V306" i="54"/>
  <c r="R16" i="55"/>
  <c r="AK13" i="55"/>
  <c r="R15" i="55"/>
  <c r="D162" i="54"/>
  <c r="F24" i="55"/>
  <c r="C24" i="55"/>
  <c r="Q10" i="55"/>
  <c r="AL12" i="55"/>
  <c r="AI24" i="55"/>
  <c r="V13" i="55"/>
  <c r="D234" i="54"/>
  <c r="T271" i="54"/>
  <c r="E269" i="54"/>
  <c r="V11" i="55"/>
  <c r="W235" i="54"/>
  <c r="I12" i="55"/>
  <c r="I8" i="55"/>
  <c r="AK7" i="55"/>
  <c r="R164" i="54"/>
  <c r="C13" i="55"/>
  <c r="U306" i="54"/>
  <c r="AJ20" i="55"/>
  <c r="E8" i="55"/>
  <c r="M8" i="55" s="1"/>
  <c r="N8" i="55" s="1"/>
  <c r="W306" i="54"/>
  <c r="F305" i="54"/>
  <c r="AL7" i="55"/>
  <c r="AF11" i="55"/>
  <c r="U19" i="55"/>
  <c r="E9" i="55"/>
  <c r="K9" i="55" s="1"/>
  <c r="L9" i="55" s="1"/>
  <c r="S198" i="54"/>
  <c r="T24" i="55"/>
  <c r="Q22" i="55"/>
  <c r="D15" i="55"/>
  <c r="R18" i="55"/>
  <c r="AK9" i="55"/>
  <c r="I18" i="55"/>
  <c r="AI19" i="55"/>
  <c r="AG12" i="55"/>
  <c r="B8" i="55"/>
  <c r="E305" i="54"/>
  <c r="AM22" i="55"/>
  <c r="AJ10" i="55"/>
  <c r="W17" i="55"/>
  <c r="V7" i="55"/>
  <c r="AL9" i="55"/>
  <c r="W18" i="55"/>
  <c r="X234" i="54"/>
  <c r="R20" i="55"/>
  <c r="T12" i="55"/>
  <c r="AJ7" i="55"/>
  <c r="V163" i="54"/>
  <c r="AH17" i="55"/>
  <c r="Q21" i="55"/>
  <c r="H342" i="54"/>
  <c r="AJ11" i="55"/>
  <c r="AF19" i="55"/>
  <c r="W19" i="55"/>
  <c r="V14" i="55"/>
  <c r="F197" i="54"/>
  <c r="T23" i="55"/>
  <c r="Q24" i="55"/>
  <c r="G21" i="55"/>
  <c r="U307" i="54"/>
  <c r="AK15" i="55"/>
  <c r="G24" i="55"/>
  <c r="G12" i="55"/>
  <c r="B12" i="55"/>
  <c r="W234" i="54"/>
  <c r="D22" i="55"/>
  <c r="C19" i="55"/>
  <c r="AF16" i="55"/>
  <c r="W305" i="54"/>
  <c r="I9" i="55"/>
  <c r="U234" i="54"/>
  <c r="H10" i="55"/>
  <c r="D14" i="55"/>
  <c r="AF14" i="55"/>
  <c r="U17" i="55"/>
  <c r="T199" i="54"/>
  <c r="I13" i="55"/>
  <c r="G164" i="54"/>
  <c r="R9" i="55"/>
  <c r="W198" i="54"/>
  <c r="F19" i="55"/>
  <c r="AM13" i="55"/>
  <c r="U269" i="54"/>
  <c r="S20" i="55"/>
  <c r="F23" i="55"/>
  <c r="E235" i="54"/>
  <c r="E19" i="55"/>
  <c r="M19" i="55" s="1"/>
  <c r="N19" i="55" s="1"/>
  <c r="S269" i="54"/>
  <c r="W9" i="55"/>
  <c r="U198" i="54"/>
  <c r="X269" i="54"/>
  <c r="I21" i="55"/>
  <c r="AG19" i="55"/>
  <c r="AH15" i="55"/>
  <c r="R11" i="55"/>
  <c r="U23" i="55"/>
  <c r="T17" i="55"/>
  <c r="H235" i="54"/>
  <c r="AH12" i="55"/>
  <c r="U21" i="55"/>
  <c r="V199" i="54"/>
  <c r="D306" i="54"/>
  <c r="D199" i="54"/>
  <c r="AH8" i="55"/>
  <c r="D198" i="54"/>
  <c r="AK8" i="55"/>
  <c r="H164" i="54"/>
  <c r="D7" i="55"/>
  <c r="T305" i="54"/>
  <c r="C11" i="55"/>
  <c r="E199" i="54"/>
  <c r="AJ23" i="55"/>
  <c r="E233" i="54"/>
  <c r="AH13" i="55"/>
  <c r="F306" i="54"/>
  <c r="F234" i="54"/>
  <c r="AI12" i="55"/>
  <c r="AH23" i="55"/>
  <c r="G15" i="55"/>
  <c r="AG21" i="55"/>
  <c r="J199" i="54"/>
  <c r="J342" i="54"/>
  <c r="AI16" i="55"/>
  <c r="I16" i="55"/>
  <c r="X20" i="55"/>
  <c r="AI17" i="55"/>
  <c r="AL20" i="55"/>
  <c r="X197" i="54"/>
  <c r="B24" i="55"/>
  <c r="X14" i="55"/>
  <c r="B17" i="55"/>
  <c r="U7" i="55"/>
  <c r="AL8" i="55"/>
  <c r="R233" i="54"/>
  <c r="AM14" i="55"/>
  <c r="AG18" i="55"/>
  <c r="C18" i="55"/>
  <c r="AL23" i="55"/>
  <c r="S11" i="55"/>
  <c r="I17" i="55"/>
  <c r="E17" i="55"/>
  <c r="M17" i="55" s="1"/>
  <c r="N17" i="55" s="1"/>
  <c r="T163" i="54"/>
  <c r="R305" i="54"/>
  <c r="U12" i="55"/>
  <c r="E13" i="55"/>
  <c r="M13" i="55" s="1"/>
  <c r="N13" i="55" s="1"/>
  <c r="AK24" i="55"/>
  <c r="G20" i="55"/>
  <c r="T19" i="55"/>
  <c r="R269" i="54"/>
  <c r="AK10" i="55"/>
  <c r="F18" i="55"/>
  <c r="E10" i="55"/>
  <c r="K10" i="55" s="1"/>
  <c r="L10" i="55" s="1"/>
  <c r="AK19" i="55"/>
  <c r="B15" i="55"/>
  <c r="AK14" i="55"/>
  <c r="AH24" i="55"/>
  <c r="I164" i="54"/>
  <c r="C20" i="55"/>
  <c r="G270" i="54"/>
  <c r="E12" i="55"/>
  <c r="M12" i="55" s="1"/>
  <c r="N12" i="55" s="1"/>
  <c r="AG20" i="55"/>
  <c r="H199" i="54"/>
  <c r="H16" i="55"/>
  <c r="F164" i="54"/>
  <c r="H234" i="54"/>
  <c r="F13" i="55"/>
  <c r="AH22" i="55"/>
  <c r="T7" i="55"/>
  <c r="W21" i="55"/>
  <c r="G271" i="54"/>
  <c r="AK21" i="55"/>
  <c r="T235" i="54"/>
  <c r="E15" i="55"/>
  <c r="K15" i="55" s="1"/>
  <c r="L15" i="55" s="1"/>
  <c r="Q23" i="55"/>
  <c r="AM21" i="55"/>
  <c r="I307" i="54"/>
  <c r="D12" i="55"/>
  <c r="H22" i="55"/>
  <c r="V12" i="55"/>
  <c r="AF22" i="55"/>
  <c r="F15" i="55"/>
  <c r="H197" i="54"/>
  <c r="G234" i="54"/>
  <c r="R199" i="54"/>
  <c r="J233" i="54"/>
  <c r="Q7" i="55"/>
  <c r="S235" i="54"/>
  <c r="R198" i="54"/>
  <c r="G18" i="55"/>
  <c r="X305" i="54"/>
  <c r="X9" i="55"/>
  <c r="F9" i="55"/>
  <c r="G23" i="55"/>
  <c r="E198" i="54"/>
  <c r="AG7" i="55"/>
  <c r="H15" i="55"/>
  <c r="V23" i="55"/>
  <c r="AK22" i="55"/>
  <c r="F21" i="55"/>
  <c r="R197" i="54"/>
  <c r="V270" i="54"/>
  <c r="S22" i="55"/>
  <c r="I342" i="54"/>
  <c r="AF10" i="55"/>
  <c r="T269" i="54"/>
  <c r="AG13" i="55"/>
  <c r="H343" i="54"/>
  <c r="E234" i="54"/>
  <c r="C7" i="55"/>
  <c r="F11" i="55"/>
  <c r="V20" i="55"/>
  <c r="D18" i="55"/>
  <c r="R14" i="55"/>
  <c r="AH9" i="55"/>
  <c r="G14" i="55"/>
  <c r="W10" i="55"/>
  <c r="D270" i="54"/>
  <c r="AF23" i="55"/>
  <c r="AJ22" i="55"/>
  <c r="B22" i="55"/>
  <c r="X18" i="55"/>
  <c r="H23" i="55"/>
  <c r="E343" i="54"/>
  <c r="G269" i="54"/>
  <c r="AL22" i="55"/>
  <c r="X271" i="54"/>
  <c r="I22" i="55"/>
  <c r="J197" i="54"/>
  <c r="E16" i="55"/>
  <c r="K16" i="55" s="1"/>
  <c r="L16" i="55" s="1"/>
  <c r="C21" i="55"/>
  <c r="F342" i="54"/>
  <c r="U233" i="54"/>
  <c r="B20" i="55"/>
  <c r="F12" i="55"/>
  <c r="AH10" i="55"/>
  <c r="J343" i="54"/>
  <c r="H163" i="54"/>
  <c r="AF15" i="55"/>
  <c r="X10" i="55"/>
  <c r="B18" i="55"/>
  <c r="H305" i="54"/>
  <c r="F7" i="55"/>
  <c r="R21" i="55"/>
  <c r="T10" i="55"/>
  <c r="F163" i="54"/>
  <c r="B10" i="55"/>
  <c r="S23" i="55"/>
  <c r="U271" i="54"/>
  <c r="U18" i="55"/>
  <c r="S307" i="54"/>
  <c r="S164" i="54"/>
  <c r="T13" i="55"/>
  <c r="F233" i="54"/>
  <c r="X16" i="55"/>
  <c r="F271" i="54"/>
  <c r="V9" i="55"/>
  <c r="I233" i="54"/>
  <c r="AM19" i="55"/>
  <c r="X15" i="55"/>
  <c r="T197" i="54"/>
  <c r="R17" i="55"/>
  <c r="F343" i="54"/>
  <c r="Q11" i="55"/>
  <c r="T307" i="54"/>
  <c r="AF8" i="55"/>
  <c r="R162" i="54"/>
  <c r="B11" i="55"/>
  <c r="E306" i="54"/>
  <c r="X198" i="54"/>
  <c r="AM17" i="55"/>
  <c r="AJ24" i="55"/>
  <c r="D23" i="55"/>
  <c r="C10" i="55"/>
  <c r="B14" i="55"/>
  <c r="AJ18" i="55"/>
  <c r="H12" i="55"/>
  <c r="Q15" i="55"/>
  <c r="G19" i="55"/>
  <c r="T8" i="55"/>
  <c r="H20" i="55"/>
  <c r="AH11" i="55"/>
  <c r="B13" i="55"/>
  <c r="U305" i="54"/>
  <c r="D17" i="55"/>
  <c r="X164" i="54"/>
  <c r="H13" i="55"/>
  <c r="AG16" i="55"/>
  <c r="AF9" i="55"/>
  <c r="V162" i="54"/>
  <c r="S12" i="55"/>
  <c r="X17" i="55"/>
  <c r="W233" i="54"/>
  <c r="D16" i="55"/>
  <c r="W162" i="54"/>
  <c r="X233" i="54"/>
  <c r="W24" i="55"/>
  <c r="J307" i="54"/>
  <c r="F162" i="54"/>
  <c r="X162" i="54"/>
  <c r="R7" i="55"/>
  <c r="AG8" i="55"/>
  <c r="D24" i="55"/>
  <c r="T198" i="54"/>
  <c r="I7" i="55"/>
  <c r="T9" i="55"/>
  <c r="AI13" i="55"/>
  <c r="I162" i="54"/>
  <c r="G233" i="54"/>
  <c r="D342" i="54"/>
  <c r="H271" i="54"/>
  <c r="W13" i="55"/>
  <c r="I199" i="54"/>
  <c r="AK17" i="55"/>
  <c r="X11" i="55"/>
  <c r="W14" i="55"/>
  <c r="W8" i="55"/>
  <c r="T164" i="54"/>
  <c r="C14" i="55"/>
  <c r="AG11" i="55"/>
  <c r="AI10" i="55"/>
  <c r="AM18" i="55"/>
  <c r="AK20" i="55"/>
  <c r="S233" i="54"/>
  <c r="S15" i="55"/>
  <c r="S17" i="55"/>
  <c r="G16" i="55"/>
  <c r="F14" i="55"/>
  <c r="U16" i="55"/>
  <c r="G342" i="54"/>
  <c r="W12" i="55"/>
  <c r="V305" i="54"/>
  <c r="X24" i="55"/>
  <c r="E197" i="54"/>
  <c r="D271" i="54"/>
  <c r="S7" i="55"/>
  <c r="AL17" i="55"/>
  <c r="S16" i="55"/>
  <c r="I197" i="54"/>
  <c r="R307" i="54"/>
  <c r="S197" i="54"/>
  <c r="T16" i="55"/>
  <c r="AM16" i="55"/>
  <c r="G7" i="55"/>
  <c r="I269" i="54"/>
  <c r="X23" i="55"/>
  <c r="H8" i="55"/>
  <c r="F17" i="55"/>
  <c r="V164" i="54"/>
  <c r="S306" i="54"/>
  <c r="U15" i="55"/>
  <c r="AJ15" i="55"/>
  <c r="S14" i="55"/>
  <c r="J341" i="54"/>
  <c r="G13" i="55"/>
  <c r="V234" i="54"/>
  <c r="E271" i="54"/>
  <c r="E23" i="55"/>
  <c r="M23" i="55" s="1"/>
  <c r="N23" i="55" s="1"/>
  <c r="E22" i="55"/>
  <c r="M22" i="55" s="1"/>
  <c r="N22" i="55" s="1"/>
  <c r="AL24" i="55"/>
  <c r="W164" i="54"/>
  <c r="E162" i="54"/>
  <c r="AL21" i="55"/>
  <c r="G163" i="54"/>
  <c r="U10" i="55"/>
  <c r="F198" i="54"/>
  <c r="R8" i="55"/>
  <c r="F269" i="54"/>
  <c r="W15" i="55"/>
  <c r="I234" i="54"/>
  <c r="H270" i="54"/>
  <c r="J269" i="54"/>
  <c r="I19" i="55"/>
  <c r="R12" i="55"/>
  <c r="R234" i="54"/>
  <c r="S199" i="54"/>
  <c r="G341" i="54"/>
  <c r="AM12" i="55"/>
  <c r="J234" i="54"/>
  <c r="T22" i="55"/>
  <c r="U11" i="55"/>
  <c r="S10" i="55"/>
  <c r="AI7" i="55"/>
  <c r="U162" i="54"/>
  <c r="Q17" i="55"/>
  <c r="V8" i="55"/>
  <c r="J235" i="54"/>
  <c r="X12" i="55"/>
  <c r="F10" i="55"/>
  <c r="F270" i="54"/>
  <c r="C9" i="55"/>
  <c r="AL16" i="55"/>
  <c r="J163" i="54"/>
  <c r="J270" i="54"/>
  <c r="AK18" i="55"/>
  <c r="J306" i="54"/>
  <c r="AL13" i="55"/>
  <c r="H14" i="55"/>
  <c r="U14" i="55"/>
  <c r="E14" i="55"/>
  <c r="K14" i="55" s="1"/>
  <c r="L14" i="55" s="1"/>
  <c r="T21" i="55"/>
  <c r="G197" i="54"/>
  <c r="H11" i="55"/>
  <c r="S234" i="54"/>
  <c r="Q16" i="55"/>
  <c r="AI9" i="55"/>
  <c r="H233" i="54"/>
  <c r="R23" i="55"/>
  <c r="I11" i="55"/>
  <c r="D9" i="55"/>
  <c r="E90" i="55"/>
  <c r="I90" i="55" s="1"/>
  <c r="E89" i="55"/>
  <c r="I89" i="55" s="1"/>
  <c r="E88" i="55"/>
  <c r="I88" i="55" s="1"/>
  <c r="E87" i="55"/>
  <c r="I87" i="55" s="1"/>
  <c r="E85" i="55"/>
  <c r="I85" i="55" s="1"/>
  <c r="E84" i="55"/>
  <c r="I84" i="55" s="1"/>
  <c r="G83" i="55"/>
  <c r="I83" i="55" s="1"/>
  <c r="K19" i="55"/>
  <c r="L19" i="55" s="1"/>
  <c r="G86" i="55"/>
  <c r="AO7" i="55" l="1"/>
  <c r="Z16" i="55"/>
  <c r="AA16" i="55" s="1"/>
  <c r="K7" i="55"/>
  <c r="L7" i="55" s="1"/>
  <c r="Z7" i="55"/>
  <c r="AA7" i="55" s="1"/>
  <c r="M7" i="55"/>
  <c r="N7" i="55" s="1"/>
  <c r="AO8" i="55"/>
  <c r="AP8" i="55" s="1"/>
  <c r="M15" i="55"/>
  <c r="N15" i="55" s="1"/>
  <c r="K8" i="55"/>
  <c r="L8" i="55" s="1"/>
  <c r="AO12" i="55"/>
  <c r="AP12" i="55" s="1"/>
  <c r="AO11" i="55"/>
  <c r="AP11" i="55" s="1"/>
  <c r="Z11" i="55"/>
  <c r="AA11" i="55" s="1"/>
  <c r="K21" i="55"/>
  <c r="L21" i="55" s="1"/>
  <c r="AO19" i="55"/>
  <c r="AP19" i="55" s="1"/>
  <c r="Z19" i="55"/>
  <c r="AA19" i="55" s="1"/>
  <c r="AO24" i="55"/>
  <c r="AP24" i="55" s="1"/>
  <c r="AO14" i="55"/>
  <c r="AP14" i="55" s="1"/>
  <c r="AO22" i="55"/>
  <c r="AP22" i="55" s="1"/>
  <c r="Z10" i="55"/>
  <c r="AA10" i="55" s="1"/>
  <c r="K24" i="55"/>
  <c r="L24" i="55" s="1"/>
  <c r="M14" i="55"/>
  <c r="N14" i="55" s="1"/>
  <c r="Z14" i="55"/>
  <c r="AA14" i="55" s="1"/>
  <c r="K18" i="55"/>
  <c r="L18" i="55" s="1"/>
  <c r="Z18" i="55"/>
  <c r="AA18" i="55" s="1"/>
  <c r="M10" i="55"/>
  <c r="N10" i="55" s="1"/>
  <c r="AO10" i="55"/>
  <c r="AP10" i="55" s="1"/>
  <c r="K12" i="55"/>
  <c r="L12" i="55" s="1"/>
  <c r="AO18" i="55"/>
  <c r="AP18" i="55" s="1"/>
  <c r="K17" i="55"/>
  <c r="L17" i="55" s="1"/>
  <c r="Z15" i="55"/>
  <c r="AA15" i="55" s="1"/>
  <c r="M11" i="55"/>
  <c r="N11" i="55" s="1"/>
  <c r="K22" i="55"/>
  <c r="L22" i="55" s="1"/>
  <c r="K13" i="55"/>
  <c r="L13" i="55" s="1"/>
  <c r="Z24" i="55"/>
  <c r="AA24" i="55" s="1"/>
  <c r="AO15" i="55"/>
  <c r="AP15" i="55" s="1"/>
  <c r="AO23" i="55"/>
  <c r="AP23" i="55" s="1"/>
  <c r="Z8" i="55"/>
  <c r="AA8" i="55" s="1"/>
  <c r="M24" i="55"/>
  <c r="N24" i="55" s="1"/>
  <c r="AO17" i="55"/>
  <c r="AP17" i="55" s="1"/>
  <c r="Z12" i="55"/>
  <c r="AA12" i="55" s="1"/>
  <c r="K23" i="55"/>
  <c r="L23" i="55" s="1"/>
  <c r="M20" i="55"/>
  <c r="N20" i="55" s="1"/>
  <c r="M9" i="55"/>
  <c r="N9" i="55" s="1"/>
  <c r="AO13" i="55"/>
  <c r="AP13" i="55" s="1"/>
  <c r="Z13" i="55"/>
  <c r="AA13" i="55" s="1"/>
  <c r="AO16" i="55"/>
  <c r="AP16" i="55" s="1"/>
  <c r="AO9" i="55"/>
  <c r="AP9" i="55" s="1"/>
  <c r="Z23" i="55"/>
  <c r="AA23" i="55" s="1"/>
  <c r="Z9" i="55"/>
  <c r="AA9" i="55" s="1"/>
  <c r="AP7" i="55"/>
  <c r="Z17" i="55"/>
  <c r="AA17" i="55" s="1"/>
  <c r="AO20" i="55"/>
  <c r="AP20" i="55" s="1"/>
  <c r="Z22" i="55"/>
  <c r="AA22" i="55" s="1"/>
  <c r="K20" i="55"/>
  <c r="L20" i="55" s="1"/>
  <c r="M16" i="55"/>
  <c r="N16" i="55" s="1"/>
  <c r="Z21" i="55"/>
  <c r="AA21" i="55" s="1"/>
  <c r="E86" i="55"/>
  <c r="I86" i="55" s="1"/>
  <c r="L48" i="55"/>
  <c r="K49" i="55"/>
  <c r="K48" i="55"/>
  <c r="N23" i="23" a="1"/>
  <c r="N23" i="23" s="1"/>
  <c r="AS22" i="23" s="1"/>
  <c r="AT65" i="23" s="1"/>
  <c r="L51" i="23" a="1"/>
  <c r="L51" i="23" s="1"/>
  <c r="H37" i="23" a="1"/>
  <c r="H37" i="23" s="1"/>
  <c r="J23" i="23" a="1"/>
  <c r="J23" i="23" s="1"/>
  <c r="AO22" i="23" s="1"/>
  <c r="AP65" i="23" s="1"/>
  <c r="L49" i="23" a="1"/>
  <c r="L49" i="23" s="1"/>
  <c r="AJ49" i="23" s="1"/>
  <c r="AK74" i="23" s="1"/>
  <c r="K49" i="23" a="1"/>
  <c r="K49" i="23" s="1"/>
  <c r="AI49" i="23" s="1"/>
  <c r="AJ74" i="23" s="1"/>
  <c r="N55" i="23" a="1"/>
  <c r="N55" i="23" s="1"/>
  <c r="AL55" i="23" s="1"/>
  <c r="AM76" i="23" s="1"/>
  <c r="M49" i="23" a="1"/>
  <c r="M49" i="23" s="1"/>
  <c r="AK49" i="23" s="1"/>
  <c r="AL74" i="23" s="1"/>
  <c r="J49" i="23" a="1"/>
  <c r="J49" i="23" s="1"/>
  <c r="AH49" i="23" s="1"/>
  <c r="AI74" i="23" s="1"/>
  <c r="L21" i="23" a="1"/>
  <c r="L21" i="23" s="1"/>
  <c r="AC22" i="23" s="1"/>
  <c r="AD65" i="23" s="1"/>
  <c r="L33" i="23" a="1"/>
  <c r="L33" i="23" s="1"/>
  <c r="AC34" i="23" s="1"/>
  <c r="AD69" i="23" s="1"/>
  <c r="H53" i="23" a="1"/>
  <c r="H53" i="23" s="1"/>
  <c r="H31" i="23" a="1"/>
  <c r="H31" i="23" s="1"/>
  <c r="L47" i="23" a="1"/>
  <c r="L47" i="23" s="1"/>
  <c r="AQ46" i="23" s="1"/>
  <c r="AR73" i="23" s="1"/>
  <c r="N29" i="23" a="1"/>
  <c r="N29" i="23" s="1"/>
  <c r="AS28" i="23" s="1"/>
  <c r="AT67" i="23" s="1"/>
  <c r="N11" i="23" a="1"/>
  <c r="N11" i="23" s="1"/>
  <c r="AS10" i="23" s="1"/>
  <c r="AT61" i="23" s="1"/>
  <c r="L17" i="23" a="1"/>
  <c r="L17" i="23" s="1"/>
  <c r="AQ16" i="23" s="1"/>
  <c r="AR63" i="23" s="1"/>
  <c r="L27" i="23" a="1"/>
  <c r="L27" i="23" s="1"/>
  <c r="AC28" i="23" s="1"/>
  <c r="AD67" i="23" s="1"/>
  <c r="I43" i="23" a="1"/>
  <c r="I43" i="23" s="1"/>
  <c r="AG43" i="23" s="1"/>
  <c r="AH72" i="23" s="1"/>
  <c r="M3" i="23" a="1"/>
  <c r="M3" i="23" s="1"/>
  <c r="K51" i="23" a="1"/>
  <c r="K51" i="23" s="1"/>
  <c r="N41" i="23" a="1"/>
  <c r="N41" i="23" s="1"/>
  <c r="AS40" i="23" s="1"/>
  <c r="AT71" i="23" s="1"/>
  <c r="K55" i="23" a="1"/>
  <c r="K55" i="23" s="1"/>
  <c r="AI55" i="23" s="1"/>
  <c r="AJ76" i="23" s="1"/>
  <c r="H23" i="23" a="1"/>
  <c r="H23" i="23" s="1"/>
  <c r="K37" i="23" a="1"/>
  <c r="K37" i="23" s="1"/>
  <c r="AI37" i="23" s="1"/>
  <c r="AJ70" i="23" s="1"/>
  <c r="I31" i="23" a="1"/>
  <c r="I31" i="23" s="1"/>
  <c r="AG31" i="23" s="1"/>
  <c r="AH68" i="23" s="1"/>
  <c r="H41" i="23" a="1"/>
  <c r="H41" i="23" s="1"/>
  <c r="K31" i="23" a="1"/>
  <c r="K31" i="23" s="1"/>
  <c r="AI31" i="23" s="1"/>
  <c r="AJ68" i="23" s="1"/>
  <c r="J50" i="23" a="1"/>
  <c r="J50" i="23" s="1"/>
  <c r="AO49" i="23" s="1"/>
  <c r="AP74" i="23" s="1"/>
  <c r="I32" i="23" a="1"/>
  <c r="I32" i="23" s="1"/>
  <c r="AN31" i="23" s="1"/>
  <c r="AO68" i="23" s="1"/>
  <c r="H14" i="23" a="1"/>
  <c r="H14" i="23" s="1"/>
  <c r="H48" i="23" a="1"/>
  <c r="H48" i="23" s="1"/>
  <c r="N28" i="23" a="1"/>
  <c r="N28" i="23" s="1"/>
  <c r="AL28" i="23" s="1"/>
  <c r="AM67" i="23" s="1"/>
  <c r="N8" i="23" a="1"/>
  <c r="N8" i="23" s="1"/>
  <c r="AS7" i="23" s="1"/>
  <c r="AT60" i="23" s="1"/>
  <c r="M44" i="23" a="1"/>
  <c r="M44" i="23" s="1"/>
  <c r="AR43" i="23" s="1"/>
  <c r="AS72" i="23" s="1"/>
  <c r="L26" i="23" a="1"/>
  <c r="L26" i="23" s="1"/>
  <c r="AQ25" i="23" s="1"/>
  <c r="AR66" i="23" s="1"/>
  <c r="M8" i="23" a="1"/>
  <c r="M8" i="23" s="1"/>
  <c r="AR7" i="23" s="1"/>
  <c r="AS60" i="23" s="1"/>
  <c r="L44" i="23" a="1"/>
  <c r="L44" i="23" s="1"/>
  <c r="AQ43" i="23" s="1"/>
  <c r="AR72" i="23" s="1"/>
  <c r="K26" i="23" a="1"/>
  <c r="K26" i="23" s="1"/>
  <c r="AP25" i="23" s="1"/>
  <c r="AQ66" i="23" s="1"/>
  <c r="L8" i="23" a="1"/>
  <c r="L8" i="23" s="1"/>
  <c r="AQ7" i="23" s="1"/>
  <c r="AR60" i="23" s="1"/>
  <c r="K44" i="23" a="1"/>
  <c r="K44" i="23" s="1"/>
  <c r="AP43" i="23" s="1"/>
  <c r="AQ72" i="23" s="1"/>
  <c r="J26" i="23" a="1"/>
  <c r="J26" i="23" s="1"/>
  <c r="AO25" i="23" s="1"/>
  <c r="AP66" i="23" s="1"/>
  <c r="K8" i="23" a="1"/>
  <c r="K8" i="23" s="1"/>
  <c r="AP7" i="23" s="1"/>
  <c r="AQ60" i="23" s="1"/>
  <c r="J44" i="23" a="1"/>
  <c r="J44" i="23" s="1"/>
  <c r="AO43" i="23" s="1"/>
  <c r="AP72" i="23" s="1"/>
  <c r="I26" i="23" a="1"/>
  <c r="I26" i="23" s="1"/>
  <c r="AN25" i="23" s="1"/>
  <c r="AO66" i="23" s="1"/>
  <c r="J8" i="23" a="1"/>
  <c r="J8" i="23" s="1"/>
  <c r="AO7" i="23" s="1"/>
  <c r="AP60" i="23" s="1"/>
  <c r="I44" i="23" a="1"/>
  <c r="I44" i="23" s="1"/>
  <c r="AN43" i="23" s="1"/>
  <c r="AO72" i="23" s="1"/>
  <c r="H26" i="23" a="1"/>
  <c r="H26" i="23" s="1"/>
  <c r="I8" i="23" a="1"/>
  <c r="I8" i="23" s="1"/>
  <c r="AN7" i="23" s="1"/>
  <c r="AO60" i="23" s="1"/>
  <c r="H44" i="23" a="1"/>
  <c r="H44" i="23" s="1"/>
  <c r="N24" i="23" a="1"/>
  <c r="N24" i="23" s="1"/>
  <c r="AE25" i="23" s="1"/>
  <c r="AF66" i="23" s="1"/>
  <c r="M27" i="23" a="1"/>
  <c r="M27" i="23" s="1"/>
  <c r="AD28" i="23" s="1"/>
  <c r="AE67" i="23" s="1"/>
  <c r="N39" i="23" a="1"/>
  <c r="N39" i="23" s="1"/>
  <c r="AE40" i="23" s="1"/>
  <c r="AF71" i="23" s="1"/>
  <c r="I29" i="23" a="1"/>
  <c r="I29" i="23" s="1"/>
  <c r="AN28" i="23" s="1"/>
  <c r="AO67" i="23" s="1"/>
  <c r="J33" i="23" a="1"/>
  <c r="J33" i="23" s="1"/>
  <c r="AA34" i="23" s="1"/>
  <c r="AB69" i="23" s="1"/>
  <c r="I51" i="23" a="1"/>
  <c r="I51" i="23" s="1"/>
  <c r="J19" i="23" a="1"/>
  <c r="J19" i="23" s="1"/>
  <c r="AH19" i="23" s="1"/>
  <c r="AI64" i="23" s="1"/>
  <c r="L41" i="23" a="1"/>
  <c r="L41" i="23" s="1"/>
  <c r="AQ40" i="23" s="1"/>
  <c r="AR71" i="23" s="1"/>
  <c r="K15" i="23" a="1"/>
  <c r="K15" i="23" s="1"/>
  <c r="AB16" i="23" s="1"/>
  <c r="AC63" i="23" s="1"/>
  <c r="K23" i="23" a="1"/>
  <c r="K23" i="23" s="1"/>
  <c r="AP22" i="23" s="1"/>
  <c r="AQ65" i="23" s="1"/>
  <c r="L13" i="23" a="1"/>
  <c r="L13" i="23" s="1"/>
  <c r="AJ13" i="23" s="1"/>
  <c r="AK62" i="23" s="1"/>
  <c r="K45" i="23" a="1"/>
  <c r="K45" i="23" s="1"/>
  <c r="AB46" i="23" s="1"/>
  <c r="AC73" i="23" s="1"/>
  <c r="N35" i="23" a="1"/>
  <c r="N35" i="23" s="1"/>
  <c r="AS34" i="23" s="1"/>
  <c r="AT69" i="23" s="1"/>
  <c r="K3" i="23" a="1"/>
  <c r="K3" i="23" s="1"/>
  <c r="K21" i="23" a="1"/>
  <c r="K21" i="23" s="1"/>
  <c r="AB22" i="23" s="1"/>
  <c r="AC65" i="23" s="1"/>
  <c r="H51" i="23" a="1"/>
  <c r="H51" i="23" s="1"/>
  <c r="M29" i="23" a="1"/>
  <c r="M29" i="23" s="1"/>
  <c r="AR28" i="23" s="1"/>
  <c r="AS67" i="23" s="1"/>
  <c r="N25" i="23" a="1"/>
  <c r="N25" i="23" s="1"/>
  <c r="AL25" i="23" s="1"/>
  <c r="AM66" i="23" s="1"/>
  <c r="N19" i="23" a="1"/>
  <c r="N19" i="23" s="1"/>
  <c r="AL19" i="23" s="1"/>
  <c r="AM64" i="23" s="1"/>
  <c r="K5" i="23" a="1"/>
  <c r="K5" i="23" s="1"/>
  <c r="AP4" i="23" s="1"/>
  <c r="AQ59" i="23" s="1"/>
  <c r="I15" i="23" a="1"/>
  <c r="I15" i="23" s="1"/>
  <c r="Z16" i="23" s="1"/>
  <c r="AA63" i="23" s="1"/>
  <c r="N53" i="23" a="1"/>
  <c r="N53" i="23" s="1"/>
  <c r="AS52" i="23" s="1"/>
  <c r="AT75" i="23" s="1"/>
  <c r="H25" i="23" a="1"/>
  <c r="H25" i="23" s="1"/>
  <c r="H45" i="23" a="1"/>
  <c r="H45" i="23" s="1"/>
  <c r="I48" i="23" a="1"/>
  <c r="I48" i="23" s="1"/>
  <c r="Z49" i="23" s="1"/>
  <c r="AA74" i="23" s="1"/>
  <c r="H30" i="23" a="1"/>
  <c r="H30" i="23" s="1"/>
  <c r="H10" i="23" a="1"/>
  <c r="H10" i="23" s="1"/>
  <c r="N44" i="23" a="1"/>
  <c r="N44" i="23" s="1"/>
  <c r="AS43" i="23" s="1"/>
  <c r="AT72" i="23" s="1"/>
  <c r="M26" i="23" a="1"/>
  <c r="M26" i="23" s="1"/>
  <c r="AR25" i="23" s="1"/>
  <c r="AS66" i="23" s="1"/>
  <c r="M6" i="23" a="1"/>
  <c r="M6" i="23" s="1"/>
  <c r="L42" i="23" a="1"/>
  <c r="L42" i="23" s="1"/>
  <c r="AC43" i="23" s="1"/>
  <c r="AD72" i="23" s="1"/>
  <c r="K24" i="23" a="1"/>
  <c r="K24" i="23" s="1"/>
  <c r="AB25" i="23" s="1"/>
  <c r="AC66" i="23" s="1"/>
  <c r="L6" i="23" a="1"/>
  <c r="L6" i="23" s="1"/>
  <c r="K42" i="23" a="1"/>
  <c r="K42" i="23" s="1"/>
  <c r="AB43" i="23" s="1"/>
  <c r="AC72" i="23" s="1"/>
  <c r="J24" i="23" a="1"/>
  <c r="J24" i="23" s="1"/>
  <c r="AA25" i="23" s="1"/>
  <c r="AB66" i="23" s="1"/>
  <c r="K6" i="23" a="1"/>
  <c r="K6" i="23" s="1"/>
  <c r="J42" i="23" a="1"/>
  <c r="J42" i="23" s="1"/>
  <c r="AA43" i="23" s="1"/>
  <c r="AB72" i="23" s="1"/>
  <c r="I24" i="23" a="1"/>
  <c r="I24" i="23" s="1"/>
  <c r="Z25" i="23" s="1"/>
  <c r="AA66" i="23" s="1"/>
  <c r="J6" i="23" a="1"/>
  <c r="J6" i="23" s="1"/>
  <c r="I42" i="23" a="1"/>
  <c r="I42" i="23" s="1"/>
  <c r="Z43" i="23" s="1"/>
  <c r="AA72" i="23" s="1"/>
  <c r="H24" i="23" a="1"/>
  <c r="H24" i="23" s="1"/>
  <c r="I6" i="23" a="1"/>
  <c r="I6" i="23" s="1"/>
  <c r="H42" i="23" a="1"/>
  <c r="H42" i="23" s="1"/>
  <c r="N22" i="23" a="1"/>
  <c r="N22" i="23" s="1"/>
  <c r="AL22" i="23" s="1"/>
  <c r="AM65" i="23" s="1"/>
  <c r="H6" i="23" a="1"/>
  <c r="H6" i="23" s="1"/>
  <c r="N40" i="23" a="1"/>
  <c r="N40" i="23" s="1"/>
  <c r="AL40" i="23" s="1"/>
  <c r="AM71" i="23" s="1"/>
  <c r="M22" i="23" a="1"/>
  <c r="M22" i="23" s="1"/>
  <c r="AK22" i="23" s="1"/>
  <c r="AL65" i="23" s="1"/>
  <c r="J39" i="23" a="1"/>
  <c r="J39" i="23" s="1"/>
  <c r="AA40" i="23" s="1"/>
  <c r="AB71" i="23" s="1"/>
  <c r="J17" i="23" a="1"/>
  <c r="J17" i="23" s="1"/>
  <c r="AO16" i="23" s="1"/>
  <c r="AP63" i="23" s="1"/>
  <c r="K29" i="23" a="1"/>
  <c r="K29" i="23" s="1"/>
  <c r="AP28" i="23" s="1"/>
  <c r="AQ67" i="23" s="1"/>
  <c r="M47" i="23" a="1"/>
  <c r="M47" i="23" s="1"/>
  <c r="AR46" i="23" s="1"/>
  <c r="AS73" i="23" s="1"/>
  <c r="I9" i="23" a="1"/>
  <c r="I9" i="23" s="1"/>
  <c r="L7" i="23" a="1"/>
  <c r="L7" i="23" s="1"/>
  <c r="AJ7" i="23" s="1"/>
  <c r="AK60" i="23" s="1"/>
  <c r="K11" i="23" a="1"/>
  <c r="K11" i="23" s="1"/>
  <c r="AP10" i="23" s="1"/>
  <c r="AQ61" i="23" s="1"/>
  <c r="J5" i="23" a="1"/>
  <c r="J5" i="23" s="1"/>
  <c r="AO4" i="23" s="1"/>
  <c r="AP59" i="23" s="1"/>
  <c r="M23" i="23" a="1"/>
  <c r="M23" i="23" s="1"/>
  <c r="AR22" i="23" s="1"/>
  <c r="AS65" i="23" s="1"/>
  <c r="J55" i="23" a="1"/>
  <c r="J55" i="23" s="1"/>
  <c r="AH55" i="23" s="1"/>
  <c r="AI76" i="23" s="1"/>
  <c r="M53" i="23" a="1"/>
  <c r="M53" i="23" s="1"/>
  <c r="AR52" i="23" s="1"/>
  <c r="AS75" i="23" s="1"/>
  <c r="H43" i="23" a="1"/>
  <c r="H43" i="23" s="1"/>
  <c r="L5" i="23" a="1"/>
  <c r="L5" i="23" s="1"/>
  <c r="AQ4" i="23" s="1"/>
  <c r="AR59" i="23" s="1"/>
  <c r="I3" i="23" a="1"/>
  <c r="I3" i="23" s="1"/>
  <c r="J53" i="23" a="1"/>
  <c r="J53" i="23" s="1"/>
  <c r="AO52" i="23" s="1"/>
  <c r="AP75" i="23" s="1"/>
  <c r="L25" i="23" a="1"/>
  <c r="L25" i="23" s="1"/>
  <c r="AJ25" i="23" s="1"/>
  <c r="AK66" i="23" s="1"/>
  <c r="I49" i="23" a="1"/>
  <c r="I49" i="23" s="1"/>
  <c r="AG49" i="23" s="1"/>
  <c r="AH74" i="23" s="1"/>
  <c r="L39" i="23" a="1"/>
  <c r="L39" i="23" s="1"/>
  <c r="AC40" i="23" s="1"/>
  <c r="AD71" i="23" s="1"/>
  <c r="N37" i="23" a="1"/>
  <c r="N37" i="23" s="1"/>
  <c r="AL37" i="23" s="1"/>
  <c r="AM70" i="23" s="1"/>
  <c r="M55" i="23" a="1"/>
  <c r="M55" i="23" s="1"/>
  <c r="AK55" i="23" s="1"/>
  <c r="AL76" i="23" s="1"/>
  <c r="I10" i="23" a="1"/>
  <c r="I10" i="23" s="1"/>
  <c r="AG10" i="23" s="1"/>
  <c r="AH61" i="23" s="1"/>
  <c r="H46" i="23" a="1"/>
  <c r="H46" i="23" s="1"/>
  <c r="N26" i="23" a="1"/>
  <c r="N26" i="23" s="1"/>
  <c r="AS25" i="23" s="1"/>
  <c r="AT66" i="23" s="1"/>
  <c r="N6" i="23" a="1"/>
  <c r="N6" i="23" s="1"/>
  <c r="M42" i="23" a="1"/>
  <c r="M42" i="23" s="1"/>
  <c r="AD43" i="23" s="1"/>
  <c r="AE72" i="23" s="1"/>
  <c r="L24" i="23" a="1"/>
  <c r="L24" i="23" s="1"/>
  <c r="AC25" i="23" s="1"/>
  <c r="AD66" i="23" s="1"/>
  <c r="L4" i="23" a="1"/>
  <c r="L4" i="23" s="1"/>
  <c r="AJ4" i="23" s="1"/>
  <c r="AK59" i="23" s="1"/>
  <c r="K40" i="23" a="1"/>
  <c r="K40" i="23" s="1"/>
  <c r="AI40" i="23" s="1"/>
  <c r="AJ71" i="23" s="1"/>
  <c r="J22" i="23" a="1"/>
  <c r="J22" i="23" s="1"/>
  <c r="AH22" i="23" s="1"/>
  <c r="AI65" i="23" s="1"/>
  <c r="K4" i="23" a="1"/>
  <c r="K4" i="23" s="1"/>
  <c r="AI4" i="23" s="1"/>
  <c r="AJ59" i="23" s="1"/>
  <c r="J40" i="23" a="1"/>
  <c r="J40" i="23" s="1"/>
  <c r="AH40" i="23" s="1"/>
  <c r="AI71" i="23" s="1"/>
  <c r="I22" i="23" a="1"/>
  <c r="I22" i="23" s="1"/>
  <c r="AG22" i="23" s="1"/>
  <c r="AH65" i="23" s="1"/>
  <c r="J4" i="23" a="1"/>
  <c r="J4" i="23" s="1"/>
  <c r="AH4" i="23" s="1"/>
  <c r="AI59" i="23" s="1"/>
  <c r="I40" i="23" a="1"/>
  <c r="I40" i="23" s="1"/>
  <c r="AG40" i="23" s="1"/>
  <c r="AH71" i="23" s="1"/>
  <c r="H22" i="23" a="1"/>
  <c r="H22" i="23" s="1"/>
  <c r="I4" i="23" a="1"/>
  <c r="I4" i="23" s="1"/>
  <c r="AG4" i="23" s="1"/>
  <c r="AH59" i="23" s="1"/>
  <c r="H40" i="23" a="1"/>
  <c r="H40" i="23" s="1"/>
  <c r="N20" i="23" a="1"/>
  <c r="N20" i="23" s="1"/>
  <c r="AS19" i="23" s="1"/>
  <c r="AT64" i="23" s="1"/>
  <c r="H4" i="23" a="1"/>
  <c r="H4" i="23" s="1"/>
  <c r="N38" i="23" a="1"/>
  <c r="N38" i="23" s="1"/>
  <c r="AS37" i="23" s="1"/>
  <c r="AT70" i="23" s="1"/>
  <c r="M20" i="23" a="1"/>
  <c r="M20" i="23" s="1"/>
  <c r="AR19" i="23" s="1"/>
  <c r="AS64" i="23" s="1"/>
  <c r="N56" i="23" a="1"/>
  <c r="N56" i="23" s="1"/>
  <c r="AS55" i="23" s="1"/>
  <c r="AT76" i="23" s="1"/>
  <c r="M38" i="23" a="1"/>
  <c r="M38" i="23" s="1"/>
  <c r="AR37" i="23" s="1"/>
  <c r="AS70" i="23" s="1"/>
  <c r="L20" i="23" a="1"/>
  <c r="L20" i="23" s="1"/>
  <c r="AQ19" i="23" s="1"/>
  <c r="AR64" i="23" s="1"/>
  <c r="M41" i="23" a="1"/>
  <c r="M41" i="23" s="1"/>
  <c r="AR40" i="23" s="1"/>
  <c r="AS71" i="23" s="1"/>
  <c r="L35" i="23" a="1"/>
  <c r="L35" i="23" s="1"/>
  <c r="AQ34" i="23" s="1"/>
  <c r="AR69" i="23" s="1"/>
  <c r="K53" i="23" a="1"/>
  <c r="K53" i="23" s="1"/>
  <c r="AP52" i="23" s="1"/>
  <c r="AQ75" i="23" s="1"/>
  <c r="L31" i="23" a="1"/>
  <c r="L31" i="23" s="1"/>
  <c r="AJ31" i="23" s="1"/>
  <c r="AK68" i="23" s="1"/>
  <c r="N9" i="23" a="1"/>
  <c r="N9" i="23" s="1"/>
  <c r="N49" i="23" a="1"/>
  <c r="N49" i="23" s="1"/>
  <c r="AL49" i="23" s="1"/>
  <c r="AM74" i="23" s="1"/>
  <c r="I27" i="23" a="1"/>
  <c r="I27" i="23" s="1"/>
  <c r="Z28" i="23" s="1"/>
  <c r="AA67" i="23" s="1"/>
  <c r="I11" i="23" a="1"/>
  <c r="I11" i="23" s="1"/>
  <c r="AN10" i="23" s="1"/>
  <c r="AO61" i="23" s="1"/>
  <c r="M37" i="23" a="1"/>
  <c r="M37" i="23" s="1"/>
  <c r="AK37" i="23" s="1"/>
  <c r="AL70" i="23" s="1"/>
  <c r="K9" i="23" a="1"/>
  <c r="K9" i="23" s="1"/>
  <c r="K35" i="23" a="1"/>
  <c r="K35" i="23" s="1"/>
  <c r="AP34" i="23" s="1"/>
  <c r="AQ69" i="23" s="1"/>
  <c r="J45" i="23" a="1"/>
  <c r="J45" i="23" s="1"/>
  <c r="AA46" i="23" s="1"/>
  <c r="AB73" i="23" s="1"/>
  <c r="H55" i="23" a="1"/>
  <c r="H55" i="23" s="1"/>
  <c r="I33" i="23" a="1"/>
  <c r="I33" i="23" s="1"/>
  <c r="Z34" i="23" s="1"/>
  <c r="AA69" i="23" s="1"/>
  <c r="H27" i="23" a="1"/>
  <c r="H27" i="23" s="1"/>
  <c r="M35" i="23" a="1"/>
  <c r="M35" i="23" s="1"/>
  <c r="AR34" i="23" s="1"/>
  <c r="AS69" i="23" s="1"/>
  <c r="L45" i="23" a="1"/>
  <c r="L45" i="23" s="1"/>
  <c r="AC46" i="23" s="1"/>
  <c r="AD73" i="23" s="1"/>
  <c r="I37" i="23" a="1"/>
  <c r="I37" i="23" s="1"/>
  <c r="AG37" i="23" s="1"/>
  <c r="AH70" i="23" s="1"/>
  <c r="M11" i="23" a="1"/>
  <c r="M11" i="23" s="1"/>
  <c r="AR10" i="23" s="1"/>
  <c r="AS61" i="23" s="1"/>
  <c r="K27" i="23" a="1"/>
  <c r="K27" i="23" s="1"/>
  <c r="AB28" i="23" s="1"/>
  <c r="AC67" i="23" s="1"/>
  <c r="J9" i="23" a="1"/>
  <c r="J9" i="23" s="1"/>
  <c r="N21" i="23" a="1"/>
  <c r="N21" i="23" s="1"/>
  <c r="AE22" i="23" s="1"/>
  <c r="AF65" i="23" s="1"/>
  <c r="I35" i="23" a="1"/>
  <c r="I35" i="23" s="1"/>
  <c r="AN34" i="23" s="1"/>
  <c r="AO69" i="23" s="1"/>
  <c r="H8" i="23" a="1"/>
  <c r="H8" i="23" s="1"/>
  <c r="N42" i="23" a="1"/>
  <c r="N42" i="23" s="1"/>
  <c r="AE43" i="23" s="1"/>
  <c r="AF72" i="23" s="1"/>
  <c r="M24" i="23" a="1"/>
  <c r="M24" i="23" s="1"/>
  <c r="AD25" i="23" s="1"/>
  <c r="AE66" i="23" s="1"/>
  <c r="M4" i="23" a="1"/>
  <c r="M4" i="23" s="1"/>
  <c r="AK4" i="23" s="1"/>
  <c r="AL59" i="23" s="1"/>
  <c r="L40" i="23" a="1"/>
  <c r="L40" i="23" s="1"/>
  <c r="AJ40" i="23" s="1"/>
  <c r="AK71" i="23" s="1"/>
  <c r="K22" i="23" a="1"/>
  <c r="K22" i="23" s="1"/>
  <c r="AI22" i="23" s="1"/>
  <c r="AJ65" i="23" s="1"/>
  <c r="K56" i="23" a="1"/>
  <c r="K56" i="23" s="1"/>
  <c r="AP55" i="23" s="1"/>
  <c r="AQ76" i="23" s="1"/>
  <c r="J38" i="23" a="1"/>
  <c r="J38" i="23" s="1"/>
  <c r="AO37" i="23" s="1"/>
  <c r="AP70" i="23" s="1"/>
  <c r="I20" i="23" a="1"/>
  <c r="I20" i="23" s="1"/>
  <c r="AN19" i="23" s="1"/>
  <c r="AO64" i="23" s="1"/>
  <c r="J56" i="23" a="1"/>
  <c r="J56" i="23" s="1"/>
  <c r="AO55" i="23" s="1"/>
  <c r="AP76" i="23" s="1"/>
  <c r="I38" i="23" a="1"/>
  <c r="I38" i="23" s="1"/>
  <c r="AN37" i="23" s="1"/>
  <c r="AO70" i="23" s="1"/>
  <c r="H20" i="23" a="1"/>
  <c r="H20" i="23" s="1"/>
  <c r="I56" i="23" a="1"/>
  <c r="I56" i="23" s="1"/>
  <c r="AN55" i="23" s="1"/>
  <c r="AO76" i="23" s="1"/>
  <c r="H38" i="23" a="1"/>
  <c r="H38" i="23" s="1"/>
  <c r="N18" i="23" a="1"/>
  <c r="N18" i="23" s="1"/>
  <c r="AE19" i="23" s="1"/>
  <c r="AF64" i="23" s="1"/>
  <c r="H56" i="23" a="1"/>
  <c r="H56" i="23" s="1"/>
  <c r="N36" i="23" a="1"/>
  <c r="N36" i="23" s="1"/>
  <c r="AE37" i="23" s="1"/>
  <c r="AF70" i="23" s="1"/>
  <c r="M18" i="23" a="1"/>
  <c r="M18" i="23" s="1"/>
  <c r="AD19" i="23" s="1"/>
  <c r="AE64" i="23" s="1"/>
  <c r="N54" i="23" a="1"/>
  <c r="N54" i="23" s="1"/>
  <c r="AE55" i="23" s="1"/>
  <c r="AF76" i="23" s="1"/>
  <c r="M36" i="23" a="1"/>
  <c r="M36" i="23" s="1"/>
  <c r="AD37" i="23" s="1"/>
  <c r="AE70" i="23" s="1"/>
  <c r="L18" i="23" a="1"/>
  <c r="L18" i="23" s="1"/>
  <c r="AC19" i="23" s="1"/>
  <c r="AD64" i="23" s="1"/>
  <c r="M54" i="23" a="1"/>
  <c r="M54" i="23" s="1"/>
  <c r="AD55" i="23" s="1"/>
  <c r="AE76" i="23" s="1"/>
  <c r="L36" i="23" a="1"/>
  <c r="L36" i="23" s="1"/>
  <c r="AC37" i="23" s="1"/>
  <c r="AD70" i="23" s="1"/>
  <c r="K18" i="23" a="1"/>
  <c r="K18" i="23" s="1"/>
  <c r="AB19" i="23" s="1"/>
  <c r="AC64" i="23" s="1"/>
  <c r="H21" i="23" a="1"/>
  <c r="H21" i="23" s="1"/>
  <c r="J31" i="23" a="1"/>
  <c r="J31" i="23" s="1"/>
  <c r="AH31" i="23" s="1"/>
  <c r="AI68" i="23" s="1"/>
  <c r="L19" i="23" a="1"/>
  <c r="L19" i="23" s="1"/>
  <c r="AJ19" i="23" s="1"/>
  <c r="AK64" i="23" s="1"/>
  <c r="M31" i="23" a="1"/>
  <c r="M31" i="23" s="1"/>
  <c r="AK31" i="23" s="1"/>
  <c r="AL68" i="23" s="1"/>
  <c r="N13" i="23" a="1"/>
  <c r="N13" i="23" s="1"/>
  <c r="AL13" i="23" s="1"/>
  <c r="AM62" i="23" s="1"/>
  <c r="I41" i="23" a="1"/>
  <c r="I41" i="23" s="1"/>
  <c r="AN40" i="23" s="1"/>
  <c r="AO71" i="23" s="1"/>
  <c r="N33" i="23" a="1"/>
  <c r="N33" i="23" s="1"/>
  <c r="AE34" i="23" s="1"/>
  <c r="AF69" i="23" s="1"/>
  <c r="N15" i="23" a="1"/>
  <c r="N15" i="23" s="1"/>
  <c r="AE16" i="23" s="1"/>
  <c r="AF63" i="23" s="1"/>
  <c r="J11" i="23" a="1"/>
  <c r="J11" i="23" s="1"/>
  <c r="AO10" i="23" s="1"/>
  <c r="AP61" i="23" s="1"/>
  <c r="I17" i="23" a="1"/>
  <c r="I17" i="23" s="1"/>
  <c r="AN16" i="23" s="1"/>
  <c r="AO63" i="23" s="1"/>
  <c r="H9" i="23" a="1"/>
  <c r="H9" i="23" s="1"/>
  <c r="J15" i="23" a="1"/>
  <c r="J15" i="23" s="1"/>
  <c r="AA16" i="23" s="1"/>
  <c r="AB63" i="23" s="1"/>
  <c r="J29" i="23" a="1"/>
  <c r="J29" i="23" s="1"/>
  <c r="AO28" i="23" s="1"/>
  <c r="AP67" i="23" s="1"/>
  <c r="N7" i="23" a="1"/>
  <c r="N7" i="23" s="1"/>
  <c r="AL7" i="23" s="1"/>
  <c r="AM60" i="23" s="1"/>
  <c r="N47" i="23" a="1"/>
  <c r="N47" i="23" s="1"/>
  <c r="AS46" i="23" s="1"/>
  <c r="AT73" i="23" s="1"/>
  <c r="I13" i="23" a="1"/>
  <c r="I13" i="23" s="1"/>
  <c r="AG13" i="23" s="1"/>
  <c r="AH62" i="23" s="1"/>
  <c r="L15" i="23" a="1"/>
  <c r="L15" i="23" s="1"/>
  <c r="AC16" i="23" s="1"/>
  <c r="AD63" i="23" s="1"/>
  <c r="L29" i="23" a="1"/>
  <c r="L29" i="23" s="1"/>
  <c r="AQ28" i="23" s="1"/>
  <c r="AR67" i="23" s="1"/>
  <c r="H13" i="23" a="1"/>
  <c r="H13" i="23" s="1"/>
  <c r="I55" i="23" a="1"/>
  <c r="I55" i="23" s="1"/>
  <c r="AG55" i="23" s="1"/>
  <c r="AH76" i="23" s="1"/>
  <c r="K7" i="23" a="1"/>
  <c r="K7" i="23" s="1"/>
  <c r="AI7" i="23" s="1"/>
  <c r="AJ60" i="23" s="1"/>
  <c r="N51" i="23" a="1"/>
  <c r="N51" i="23" s="1"/>
  <c r="J3" i="23" a="1"/>
  <c r="J3" i="23" s="1"/>
  <c r="J13" i="23" a="1"/>
  <c r="J13" i="23" s="1"/>
  <c r="AH13" i="23" s="1"/>
  <c r="AI62" i="23" s="1"/>
  <c r="N4" i="23" a="1"/>
  <c r="N4" i="23" s="1"/>
  <c r="AL4" i="23" s="1"/>
  <c r="AM59" i="23" s="1"/>
  <c r="M40" i="23" a="1"/>
  <c r="M40" i="23" s="1"/>
  <c r="AK40" i="23" s="1"/>
  <c r="AL71" i="23" s="1"/>
  <c r="L22" i="23" a="1"/>
  <c r="L22" i="23" s="1"/>
  <c r="AJ22" i="23" s="1"/>
  <c r="AK65" i="23" s="1"/>
  <c r="L56" i="23" a="1"/>
  <c r="L56" i="23" s="1"/>
  <c r="AQ55" i="23" s="1"/>
  <c r="AR76" i="23" s="1"/>
  <c r="K38" i="23" a="1"/>
  <c r="K38" i="23" s="1"/>
  <c r="AP37" i="23" s="1"/>
  <c r="AQ70" i="23" s="1"/>
  <c r="J20" i="23" a="1"/>
  <c r="J20" i="23" s="1"/>
  <c r="AO19" i="23" s="1"/>
  <c r="AP64" i="23" s="1"/>
  <c r="J54" i="23" a="1"/>
  <c r="J54" i="23" s="1"/>
  <c r="AA55" i="23" s="1"/>
  <c r="AB76" i="23" s="1"/>
  <c r="I36" i="23" a="1"/>
  <c r="I36" i="23" s="1"/>
  <c r="Z37" i="23" s="1"/>
  <c r="AA70" i="23" s="1"/>
  <c r="H18" i="23" a="1"/>
  <c r="H18" i="23" s="1"/>
  <c r="I54" i="23" a="1"/>
  <c r="I54" i="23" s="1"/>
  <c r="Z55" i="23" s="1"/>
  <c r="AA76" i="23" s="1"/>
  <c r="H36" i="23" a="1"/>
  <c r="H36" i="23" s="1"/>
  <c r="N16" i="23" a="1"/>
  <c r="N16" i="23" s="1"/>
  <c r="AL16" i="23" s="1"/>
  <c r="AM63" i="23" s="1"/>
  <c r="H54" i="23" a="1"/>
  <c r="H54" i="23" s="1"/>
  <c r="N34" i="23" a="1"/>
  <c r="N34" i="23" s="1"/>
  <c r="AL34" i="23" s="1"/>
  <c r="AM69" i="23" s="1"/>
  <c r="M16" i="23" a="1"/>
  <c r="M16" i="23" s="1"/>
  <c r="AK16" i="23" s="1"/>
  <c r="AL63" i="23" s="1"/>
  <c r="N52" i="23" a="1"/>
  <c r="N52" i="23" s="1"/>
  <c r="AL52" i="23" s="1"/>
  <c r="AM75" i="23" s="1"/>
  <c r="M34" i="23" a="1"/>
  <c r="M34" i="23" s="1"/>
  <c r="AK34" i="23" s="1"/>
  <c r="AL69" i="23" s="1"/>
  <c r="L16" i="23" a="1"/>
  <c r="L16" i="23" s="1"/>
  <c r="AJ16" i="23" s="1"/>
  <c r="AK63" i="23" s="1"/>
  <c r="M52" i="23" a="1"/>
  <c r="M52" i="23" s="1"/>
  <c r="AK52" i="23" s="1"/>
  <c r="AL75" i="23" s="1"/>
  <c r="L34" i="23" a="1"/>
  <c r="L34" i="23" s="1"/>
  <c r="AJ34" i="23" s="1"/>
  <c r="AK69" i="23" s="1"/>
  <c r="K16" i="23" a="1"/>
  <c r="K16" i="23" s="1"/>
  <c r="AI16" i="23" s="1"/>
  <c r="AJ63" i="23" s="1"/>
  <c r="L52" i="23" a="1"/>
  <c r="L52" i="23" s="1"/>
  <c r="AJ52" i="23" s="1"/>
  <c r="AK75" i="23" s="1"/>
  <c r="K34" i="23" a="1"/>
  <c r="K34" i="23" s="1"/>
  <c r="AI34" i="23" s="1"/>
  <c r="AJ69" i="23" s="1"/>
  <c r="J16" i="23" a="1"/>
  <c r="J16" i="23" s="1"/>
  <c r="AH16" i="23" s="1"/>
  <c r="AI63" i="23" s="1"/>
  <c r="H11" i="23" a="1"/>
  <c r="H11" i="23" s="1"/>
  <c r="I7" i="23" a="1"/>
  <c r="I7" i="23" s="1"/>
  <c r="AG7" i="23" s="1"/>
  <c r="AH60" i="23" s="1"/>
  <c r="L3" i="23" a="1"/>
  <c r="L3" i="23" s="1"/>
  <c r="K19" i="23" a="1"/>
  <c r="K19" i="23" s="1"/>
  <c r="AI19" i="23" s="1"/>
  <c r="AJ64" i="23" s="1"/>
  <c r="N17" i="23" a="1"/>
  <c r="N17" i="23" s="1"/>
  <c r="AS16" i="23" s="1"/>
  <c r="AT63" i="23" s="1"/>
  <c r="H29" i="23" a="1"/>
  <c r="H29" i="23" s="1"/>
  <c r="M43" i="23" a="1"/>
  <c r="M43" i="23" s="1"/>
  <c r="AK43" i="23" s="1"/>
  <c r="AL72" i="23" s="1"/>
  <c r="J51" i="23" a="1"/>
  <c r="J51" i="23" s="1"/>
  <c r="K41" i="23" a="1"/>
  <c r="K41" i="23" s="1"/>
  <c r="AP40" i="23" s="1"/>
  <c r="AQ71" i="23" s="1"/>
  <c r="H49" i="23" a="1"/>
  <c r="H49" i="23" s="1"/>
  <c r="H15" i="23" a="1"/>
  <c r="H15" i="23" s="1"/>
  <c r="I39" i="23" a="1"/>
  <c r="I39" i="23" s="1"/>
  <c r="Z40" i="23" s="1"/>
  <c r="AA71" i="23" s="1"/>
  <c r="N31" i="23" a="1"/>
  <c r="N31" i="23" s="1"/>
  <c r="AL31" i="23" s="1"/>
  <c r="AM68" i="23" s="1"/>
  <c r="K39" i="23" a="1"/>
  <c r="K39" i="23" s="1"/>
  <c r="AB40" i="23" s="1"/>
  <c r="AC71" i="23" s="1"/>
  <c r="J41" i="23" a="1"/>
  <c r="J41" i="23" s="1"/>
  <c r="AO40" i="23" s="1"/>
  <c r="AP71" i="23" s="1"/>
  <c r="J7" i="23" a="1"/>
  <c r="J7" i="23" s="1"/>
  <c r="AH7" i="23" s="1"/>
  <c r="AI60" i="23" s="1"/>
  <c r="L23" i="23" a="1"/>
  <c r="L23" i="23" s="1"/>
  <c r="AQ22" i="23" s="1"/>
  <c r="AR65" i="23" s="1"/>
  <c r="K33" i="23" a="1"/>
  <c r="K33" i="23" s="1"/>
  <c r="AB34" i="23" s="1"/>
  <c r="AC69" i="23" s="1"/>
  <c r="J43" i="23" a="1"/>
  <c r="J43" i="23" s="1"/>
  <c r="AH43" i="23" s="1"/>
  <c r="AI72" i="23" s="1"/>
  <c r="L55" i="23" a="1"/>
  <c r="L55" i="23" s="1"/>
  <c r="AJ55" i="23" s="1"/>
  <c r="AK76" i="23" s="1"/>
  <c r="M45" i="23" a="1"/>
  <c r="M45" i="23" s="1"/>
  <c r="AD46" i="23" s="1"/>
  <c r="AE73" i="23" s="1"/>
  <c r="J37" i="23" a="1"/>
  <c r="J37" i="23" s="1"/>
  <c r="AH37" i="23" s="1"/>
  <c r="AI70" i="23" s="1"/>
  <c r="M56" i="23" a="1"/>
  <c r="M56" i="23" s="1"/>
  <c r="AR55" i="23" s="1"/>
  <c r="AS76" i="23" s="1"/>
  <c r="L38" i="23" a="1"/>
  <c r="L38" i="23" s="1"/>
  <c r="AQ37" i="23" s="1"/>
  <c r="AR70" i="23" s="1"/>
  <c r="K20" i="23" a="1"/>
  <c r="K20" i="23" s="1"/>
  <c r="AP19" i="23" s="1"/>
  <c r="AQ64" i="23" s="1"/>
  <c r="K54" i="23" a="1"/>
  <c r="K54" i="23" s="1"/>
  <c r="AB55" i="23" s="1"/>
  <c r="AC76" i="23" s="1"/>
  <c r="J36" i="23" a="1"/>
  <c r="J36" i="23" s="1"/>
  <c r="AA37" i="23" s="1"/>
  <c r="AB70" i="23" s="1"/>
  <c r="I18" i="23" a="1"/>
  <c r="I18" i="23" s="1"/>
  <c r="Z19" i="23" s="1"/>
  <c r="AA64" i="23" s="1"/>
  <c r="I52" i="23" a="1"/>
  <c r="I52" i="23" s="1"/>
  <c r="AG52" i="23" s="1"/>
  <c r="AH75" i="23" s="1"/>
  <c r="H34" i="23" a="1"/>
  <c r="H34" i="23" s="1"/>
  <c r="N14" i="23" a="1"/>
  <c r="N14" i="23" s="1"/>
  <c r="AS13" i="23" s="1"/>
  <c r="AT62" i="23" s="1"/>
  <c r="H52" i="23" a="1"/>
  <c r="H52" i="23" s="1"/>
  <c r="N32" i="23" a="1"/>
  <c r="N32" i="23" s="1"/>
  <c r="AS31" i="23" s="1"/>
  <c r="AT68" i="23" s="1"/>
  <c r="M14" i="23" a="1"/>
  <c r="M14" i="23" s="1"/>
  <c r="AR13" i="23" s="1"/>
  <c r="AS62" i="23" s="1"/>
  <c r="N50" i="23" a="1"/>
  <c r="N50" i="23" s="1"/>
  <c r="AS49" i="23" s="1"/>
  <c r="AT74" i="23" s="1"/>
  <c r="M32" i="23" a="1"/>
  <c r="M32" i="23" s="1"/>
  <c r="AR31" i="23" s="1"/>
  <c r="AS68" i="23" s="1"/>
  <c r="L14" i="23" a="1"/>
  <c r="L14" i="23" s="1"/>
  <c r="AQ13" i="23" s="1"/>
  <c r="AR62" i="23" s="1"/>
  <c r="M50" i="23" a="1"/>
  <c r="M50" i="23" s="1"/>
  <c r="AR49" i="23" s="1"/>
  <c r="AS74" i="23" s="1"/>
  <c r="L32" i="23" a="1"/>
  <c r="L32" i="23" s="1"/>
  <c r="AQ31" i="23" s="1"/>
  <c r="AR68" i="23" s="1"/>
  <c r="K14" i="23" a="1"/>
  <c r="K14" i="23" s="1"/>
  <c r="AP13" i="23" s="1"/>
  <c r="AQ62" i="23" s="1"/>
  <c r="L50" i="23" a="1"/>
  <c r="L50" i="23" s="1"/>
  <c r="AQ49" i="23" s="1"/>
  <c r="AR74" i="23" s="1"/>
  <c r="K32" i="23" a="1"/>
  <c r="K32" i="23" s="1"/>
  <c r="AP31" i="23" s="1"/>
  <c r="AQ68" i="23" s="1"/>
  <c r="J14" i="23" a="1"/>
  <c r="J14" i="23" s="1"/>
  <c r="AO13" i="23" s="1"/>
  <c r="AP62" i="23" s="1"/>
  <c r="K50" i="23" a="1"/>
  <c r="K50" i="23" s="1"/>
  <c r="AP49" i="23" s="1"/>
  <c r="AQ74" i="23" s="1"/>
  <c r="J32" i="23" a="1"/>
  <c r="J32" i="23" s="1"/>
  <c r="AO31" i="23" s="1"/>
  <c r="AP68" i="23" s="1"/>
  <c r="I14" i="23" a="1"/>
  <c r="I14" i="23" s="1"/>
  <c r="AN13" i="23" s="1"/>
  <c r="AO62" i="23" s="1"/>
  <c r="K43" i="23" a="1"/>
  <c r="K43" i="23" s="1"/>
  <c r="AI43" i="23" s="1"/>
  <c r="AJ72" i="23" s="1"/>
  <c r="H35" i="23" a="1"/>
  <c r="H35" i="23" s="1"/>
  <c r="I47" i="23" a="1"/>
  <c r="I47" i="23" s="1"/>
  <c r="AN46" i="23" s="1"/>
  <c r="AO73" i="23" s="1"/>
  <c r="L53" i="23" a="1"/>
  <c r="L53" i="23" s="1"/>
  <c r="AQ52" i="23" s="1"/>
  <c r="AR75" i="23" s="1"/>
  <c r="K47" i="23" a="1"/>
  <c r="K47" i="23" s="1"/>
  <c r="AP46" i="23" s="1"/>
  <c r="AQ73" i="23" s="1"/>
  <c r="L11" i="23" a="1"/>
  <c r="L11" i="23" s="1"/>
  <c r="AQ10" i="23" s="1"/>
  <c r="AR61" i="23" s="1"/>
  <c r="I23" i="23" a="1"/>
  <c r="I23" i="23" s="1"/>
  <c r="AN22" i="23" s="1"/>
  <c r="AO65" i="23" s="1"/>
  <c r="J35" i="23" a="1"/>
  <c r="J35" i="23" s="1"/>
  <c r="AO34" i="23" s="1"/>
  <c r="AP69" i="23" s="1"/>
  <c r="M19" i="23" a="1"/>
  <c r="M19" i="23" s="1"/>
  <c r="AK19" i="23" s="1"/>
  <c r="AL64" i="23" s="1"/>
  <c r="H33" i="23" a="1"/>
  <c r="H33" i="23" s="1"/>
  <c r="N5" i="23" a="1"/>
  <c r="N5" i="23" s="1"/>
  <c r="AS4" i="23" s="1"/>
  <c r="AT59" i="23" s="1"/>
  <c r="K17" i="23" a="1"/>
  <c r="K17" i="23" s="1"/>
  <c r="AP16" i="23" s="1"/>
  <c r="AQ63" i="23" s="1"/>
  <c r="K13" i="23" a="1"/>
  <c r="K13" i="23" s="1"/>
  <c r="AI13" i="23" s="1"/>
  <c r="AJ62" i="23" s="1"/>
  <c r="M17" i="23" a="1"/>
  <c r="M17" i="23" s="1"/>
  <c r="AR16" i="23" s="1"/>
  <c r="AS63" i="23" s="1"/>
  <c r="J25" i="23" a="1"/>
  <c r="J25" i="23" s="1"/>
  <c r="AH25" i="23" s="1"/>
  <c r="AI66" i="23" s="1"/>
  <c r="M39" i="23" a="1"/>
  <c r="M39" i="23" s="1"/>
  <c r="AD40" i="23" s="1"/>
  <c r="AE71" i="23" s="1"/>
  <c r="M33" i="23" a="1"/>
  <c r="M33" i="23" s="1"/>
  <c r="AD34" i="23" s="1"/>
  <c r="AE69" i="23" s="1"/>
  <c r="M13" i="23" a="1"/>
  <c r="M13" i="23" s="1"/>
  <c r="AK13" i="23" s="1"/>
  <c r="AL62" i="23" s="1"/>
  <c r="J27" i="23" a="1"/>
  <c r="J27" i="23" s="1"/>
  <c r="AA28" i="23" s="1"/>
  <c r="AB67" i="23" s="1"/>
  <c r="M5" i="23" a="1"/>
  <c r="M5" i="23" s="1"/>
  <c r="AR4" i="23" s="1"/>
  <c r="AS59" i="23" s="1"/>
  <c r="I25" i="23" a="1"/>
  <c r="I25" i="23" s="1"/>
  <c r="AG25" i="23" s="1"/>
  <c r="AH66" i="23" s="1"/>
  <c r="J21" i="23" a="1"/>
  <c r="J21" i="23" s="1"/>
  <c r="AA22" i="23" s="1"/>
  <c r="AB65" i="23" s="1"/>
  <c r="L54" i="23" a="1"/>
  <c r="L54" i="23" s="1"/>
  <c r="AC55" i="23" s="1"/>
  <c r="AD76" i="23" s="1"/>
  <c r="K36" i="23" a="1"/>
  <c r="K36" i="23" s="1"/>
  <c r="AB37" i="23" s="1"/>
  <c r="AC70" i="23" s="1"/>
  <c r="J18" i="23" a="1"/>
  <c r="J18" i="23" s="1"/>
  <c r="AA19" i="23" s="1"/>
  <c r="AB64" i="23" s="1"/>
  <c r="J52" i="23" a="1"/>
  <c r="J52" i="23" s="1"/>
  <c r="AH52" i="23" s="1"/>
  <c r="AI75" i="23" s="1"/>
  <c r="I34" i="23" a="1"/>
  <c r="I34" i="23" s="1"/>
  <c r="AG34" i="23" s="1"/>
  <c r="AH69" i="23" s="1"/>
  <c r="H16" i="23" a="1"/>
  <c r="H16" i="23" s="1"/>
  <c r="H50" i="23" a="1"/>
  <c r="H50" i="23" s="1"/>
  <c r="N30" i="23" a="1"/>
  <c r="N30" i="23" s="1"/>
  <c r="AE31" i="23" s="1"/>
  <c r="AF68" i="23" s="1"/>
  <c r="M12" i="23" a="1"/>
  <c r="M12" i="23" s="1"/>
  <c r="AD13" i="23" s="1"/>
  <c r="AE62" i="23" s="1"/>
  <c r="N48" i="23" a="1"/>
  <c r="N48" i="23" s="1"/>
  <c r="AE49" i="23" s="1"/>
  <c r="AF74" i="23" s="1"/>
  <c r="M30" i="23" a="1"/>
  <c r="M30" i="23" s="1"/>
  <c r="AD31" i="23" s="1"/>
  <c r="AE68" i="23" s="1"/>
  <c r="L12" i="23" a="1"/>
  <c r="L12" i="23" s="1"/>
  <c r="AC13" i="23" s="1"/>
  <c r="AD62" i="23" s="1"/>
  <c r="M48" i="23" a="1"/>
  <c r="M48" i="23" s="1"/>
  <c r="AD49" i="23" s="1"/>
  <c r="AE74" i="23" s="1"/>
  <c r="L30" i="23" a="1"/>
  <c r="L30" i="23" s="1"/>
  <c r="AC31" i="23" s="1"/>
  <c r="AD68" i="23" s="1"/>
  <c r="K12" i="23" a="1"/>
  <c r="K12" i="23" s="1"/>
  <c r="AB13" i="23" s="1"/>
  <c r="AC62" i="23" s="1"/>
  <c r="L48" i="23" a="1"/>
  <c r="L48" i="23" s="1"/>
  <c r="AC49" i="23" s="1"/>
  <c r="AD74" i="23" s="1"/>
  <c r="K30" i="23" a="1"/>
  <c r="K30" i="23" s="1"/>
  <c r="AB31" i="23" s="1"/>
  <c r="AC68" i="23" s="1"/>
  <c r="J12" i="23" a="1"/>
  <c r="J12" i="23" s="1"/>
  <c r="AA13" i="23" s="1"/>
  <c r="AB62" i="23" s="1"/>
  <c r="K48" i="23" a="1"/>
  <c r="K48" i="23" s="1"/>
  <c r="AB49" i="23" s="1"/>
  <c r="AC74" i="23" s="1"/>
  <c r="J30" i="23" a="1"/>
  <c r="J30" i="23" s="1"/>
  <c r="AA31" i="23" s="1"/>
  <c r="AB68" i="23" s="1"/>
  <c r="I12" i="23" a="1"/>
  <c r="I12" i="23" s="1"/>
  <c r="Z13" i="23" s="1"/>
  <c r="AA62" i="23" s="1"/>
  <c r="J48" i="23" a="1"/>
  <c r="J48" i="23" s="1"/>
  <c r="AA49" i="23" s="1"/>
  <c r="AB74" i="23" s="1"/>
  <c r="I30" i="23" a="1"/>
  <c r="I30" i="23" s="1"/>
  <c r="Z31" i="23" s="1"/>
  <c r="AA68" i="23" s="1"/>
  <c r="H12" i="23" a="1"/>
  <c r="H12" i="23" s="1"/>
  <c r="H7" i="23" a="1"/>
  <c r="H7" i="23" s="1"/>
  <c r="M21" i="23" a="1"/>
  <c r="M21" i="23" s="1"/>
  <c r="AD22" i="23" s="1"/>
  <c r="AE65" i="23" s="1"/>
  <c r="H19" i="23" a="1"/>
  <c r="H19" i="23" s="1"/>
  <c r="K25" i="23" a="1"/>
  <c r="K25" i="23" s="1"/>
  <c r="AI25" i="23" s="1"/>
  <c r="AJ66" i="23" s="1"/>
  <c r="L37" i="23" a="1"/>
  <c r="L37" i="23" s="1"/>
  <c r="AJ37" i="23" s="1"/>
  <c r="AK70" i="23" s="1"/>
  <c r="M25" i="23" a="1"/>
  <c r="M25" i="23" s="1"/>
  <c r="AK25" i="23" s="1"/>
  <c r="AL66" i="23" s="1"/>
  <c r="N43" i="23" a="1"/>
  <c r="N43" i="23" s="1"/>
  <c r="AL43" i="23" s="1"/>
  <c r="AM72" i="23" s="1"/>
  <c r="H47" i="23" a="1"/>
  <c r="H47" i="23" s="1"/>
  <c r="M9" i="23" a="1"/>
  <c r="M9" i="23" s="1"/>
  <c r="N45" i="23" a="1"/>
  <c r="N45" i="23" s="1"/>
  <c r="AE46" i="23" s="1"/>
  <c r="AF73" i="23" s="1"/>
  <c r="H17" i="23" a="1"/>
  <c r="H17" i="23" s="1"/>
  <c r="H3" i="23" a="1"/>
  <c r="H3" i="23" s="1"/>
  <c r="L43" i="23" a="1"/>
  <c r="L43" i="23" s="1"/>
  <c r="AJ43" i="23" s="1"/>
  <c r="AK72" i="23" s="1"/>
  <c r="L9" i="23" a="1"/>
  <c r="L9" i="23" s="1"/>
  <c r="J47" i="23" a="1"/>
  <c r="J47" i="23" s="1"/>
  <c r="AO46" i="23" s="1"/>
  <c r="AP73" i="23" s="1"/>
  <c r="M7" i="23" a="1"/>
  <c r="M7" i="23" s="1"/>
  <c r="AK7" i="23" s="1"/>
  <c r="AL60" i="23" s="1"/>
  <c r="I19" i="23" a="1"/>
  <c r="I19" i="23" s="1"/>
  <c r="AG19" i="23" s="1"/>
  <c r="AH64" i="23" s="1"/>
  <c r="I45" i="23" a="1"/>
  <c r="I45" i="23" s="1"/>
  <c r="Z46" i="23" s="1"/>
  <c r="AA73" i="23" s="1"/>
  <c r="H39" i="23" a="1"/>
  <c r="H39" i="23" s="1"/>
  <c r="H5" i="23" a="1"/>
  <c r="H5" i="23" s="1"/>
  <c r="M51" i="23" a="1"/>
  <c r="M51" i="23" s="1"/>
  <c r="I5" i="23" a="1"/>
  <c r="I5" i="23" s="1"/>
  <c r="AN4" i="23" s="1"/>
  <c r="AO59" i="23" s="1"/>
  <c r="I53" i="23" a="1"/>
  <c r="I53" i="23" s="1"/>
  <c r="AN52" i="23" s="1"/>
  <c r="AO75" i="23" s="1"/>
  <c r="K52" i="23" a="1"/>
  <c r="K52" i="23" s="1"/>
  <c r="AI52" i="23" s="1"/>
  <c r="AJ75" i="23" s="1"/>
  <c r="J34" i="23" a="1"/>
  <c r="J34" i="23" s="1"/>
  <c r="AH34" i="23" s="1"/>
  <c r="AI69" i="23" s="1"/>
  <c r="I16" i="23" a="1"/>
  <c r="I16" i="23" s="1"/>
  <c r="AG16" i="23" s="1"/>
  <c r="AH63" i="23" s="1"/>
  <c r="I50" i="23" a="1"/>
  <c r="I50" i="23" s="1"/>
  <c r="AN49" i="23" s="1"/>
  <c r="AO74" i="23" s="1"/>
  <c r="H32" i="23" a="1"/>
  <c r="H32" i="23" s="1"/>
  <c r="N12" i="23" a="1"/>
  <c r="N12" i="23" s="1"/>
  <c r="AE13" i="23" s="1"/>
  <c r="AF62" i="23" s="1"/>
  <c r="N46" i="23" a="1"/>
  <c r="N46" i="23" s="1"/>
  <c r="AL46" i="23" s="1"/>
  <c r="AM73" i="23" s="1"/>
  <c r="M28" i="23" a="1"/>
  <c r="M28" i="23" s="1"/>
  <c r="AK28" i="23" s="1"/>
  <c r="AL67" i="23" s="1"/>
  <c r="N10" i="23" a="1"/>
  <c r="N10" i="23" s="1"/>
  <c r="AL10" i="23" s="1"/>
  <c r="AM61" i="23" s="1"/>
  <c r="M46" i="23" a="1"/>
  <c r="M46" i="23" s="1"/>
  <c r="AK46" i="23" s="1"/>
  <c r="AL73" i="23" s="1"/>
  <c r="L28" i="23" a="1"/>
  <c r="L28" i="23" s="1"/>
  <c r="AJ28" i="23" s="1"/>
  <c r="AK67" i="23" s="1"/>
  <c r="M10" i="23" a="1"/>
  <c r="M10" i="23" s="1"/>
  <c r="AK10" i="23" s="1"/>
  <c r="AL61" i="23" s="1"/>
  <c r="L46" i="23" a="1"/>
  <c r="L46" i="23" s="1"/>
  <c r="AJ46" i="23" s="1"/>
  <c r="AK73" i="23" s="1"/>
  <c r="K28" i="23" a="1"/>
  <c r="K28" i="23" s="1"/>
  <c r="AI28" i="23" s="1"/>
  <c r="AJ67" i="23" s="1"/>
  <c r="L10" i="23" a="1"/>
  <c r="L10" i="23" s="1"/>
  <c r="AJ10" i="23" s="1"/>
  <c r="AK61" i="23" s="1"/>
  <c r="K46" i="23" a="1"/>
  <c r="K46" i="23" s="1"/>
  <c r="AI46" i="23" s="1"/>
  <c r="AJ73" i="23" s="1"/>
  <c r="J28" i="23" a="1"/>
  <c r="J28" i="23" s="1"/>
  <c r="AH28" i="23" s="1"/>
  <c r="AI67" i="23" s="1"/>
  <c r="K10" i="23" a="1"/>
  <c r="K10" i="23" s="1"/>
  <c r="AI10" i="23" s="1"/>
  <c r="AJ61" i="23" s="1"/>
  <c r="J46" i="23" a="1"/>
  <c r="J46" i="23" s="1"/>
  <c r="AH46" i="23" s="1"/>
  <c r="AI73" i="23" s="1"/>
  <c r="I28" i="23" a="1"/>
  <c r="I28" i="23" s="1"/>
  <c r="AG28" i="23" s="1"/>
  <c r="AH67" i="23" s="1"/>
  <c r="J10" i="23" a="1"/>
  <c r="J10" i="23" s="1"/>
  <c r="AH10" i="23" s="1"/>
  <c r="AI61" i="23" s="1"/>
  <c r="I46" i="23" a="1"/>
  <c r="I46" i="23" s="1"/>
  <c r="AG46" i="23" s="1"/>
  <c r="AH73" i="23" s="1"/>
  <c r="H28" i="23" a="1"/>
  <c r="H28" i="23" s="1"/>
  <c r="M15" i="23" a="1"/>
  <c r="M15" i="23" s="1"/>
  <c r="AD16" i="23" s="1"/>
  <c r="AE63" i="23" s="1"/>
  <c r="I21" i="23" a="1"/>
  <c r="I21" i="23" s="1"/>
  <c r="Z22" i="23" s="1"/>
  <c r="AA65" i="23" s="1"/>
  <c r="N3" i="23" a="1"/>
  <c r="N3" i="23" s="1"/>
  <c r="N27" i="23" a="1"/>
  <c r="N27" i="23" s="1"/>
  <c r="AE28" i="23" s="1"/>
  <c r="AF67" i="23" s="1"/>
  <c r="C1" i="38"/>
  <c r="AB7" i="55" l="1"/>
  <c r="AQ7" i="55"/>
  <c r="O3" i="23"/>
  <c r="T6" i="23"/>
  <c r="P54" i="23"/>
  <c r="P4" i="23"/>
  <c r="AF4" i="23"/>
  <c r="AG59" i="23" s="1"/>
  <c r="O55" i="23"/>
  <c r="P55" i="23"/>
  <c r="AF55" i="23"/>
  <c r="AG76" i="23" s="1"/>
  <c r="P43" i="23"/>
  <c r="O43" i="23"/>
  <c r="AF43" i="23"/>
  <c r="AG72" i="23" s="1"/>
  <c r="O50" i="23"/>
  <c r="P50" i="23"/>
  <c r="AM49" i="23"/>
  <c r="AN74" i="23" s="1"/>
  <c r="T15" i="23"/>
  <c r="P15" i="23"/>
  <c r="O15" i="23"/>
  <c r="Y16" i="23"/>
  <c r="Z63" i="23" s="1"/>
  <c r="AC4" i="23"/>
  <c r="AD59" i="23" s="1"/>
  <c r="O36" i="23"/>
  <c r="T36" i="23"/>
  <c r="P36" i="23"/>
  <c r="Y37" i="23"/>
  <c r="Z70" i="23" s="1"/>
  <c r="P21" i="23"/>
  <c r="O21" i="23"/>
  <c r="Y22" i="23"/>
  <c r="Z65" i="23" s="1"/>
  <c r="O8" i="23"/>
  <c r="P8" i="23"/>
  <c r="AM7" i="23"/>
  <c r="AN60" i="23" s="1"/>
  <c r="AA7" i="23"/>
  <c r="AB60" i="23" s="1"/>
  <c r="Q10" i="23"/>
  <c r="H7" i="38" s="1"/>
  <c r="P10" i="23"/>
  <c r="AF10" i="23"/>
  <c r="AG61" i="23" s="1"/>
  <c r="O34" i="23"/>
  <c r="P34" i="23"/>
  <c r="AF34" i="23"/>
  <c r="AG69" i="23" s="1"/>
  <c r="O47" i="23"/>
  <c r="P47" i="23"/>
  <c r="AM46" i="23"/>
  <c r="AN73" i="23" s="1"/>
  <c r="P12" i="23"/>
  <c r="O12" i="23"/>
  <c r="Y13" i="23"/>
  <c r="Z62" i="23" s="1"/>
  <c r="P28" i="23"/>
  <c r="O28" i="23"/>
  <c r="AF28" i="23"/>
  <c r="AG67" i="23" s="1"/>
  <c r="AC10" i="23"/>
  <c r="AD61" i="23" s="1"/>
  <c r="P16" i="23"/>
  <c r="O16" i="23"/>
  <c r="AF16" i="23"/>
  <c r="AG63" i="23" s="1"/>
  <c r="O49" i="23"/>
  <c r="P49" i="23"/>
  <c r="AF49" i="23"/>
  <c r="AG74" i="23" s="1"/>
  <c r="O13" i="23"/>
  <c r="P13" i="23"/>
  <c r="AF13" i="23"/>
  <c r="AG62" i="23" s="1"/>
  <c r="O30" i="23"/>
  <c r="P30" i="23"/>
  <c r="Y31" i="23"/>
  <c r="Z68" i="23" s="1"/>
  <c r="P38" i="23"/>
  <c r="O38" i="23"/>
  <c r="AM37" i="23"/>
  <c r="AN70" i="23" s="1"/>
  <c r="AM10" i="23"/>
  <c r="AN61" i="23" s="1"/>
  <c r="O11" i="23"/>
  <c r="P11" i="23"/>
  <c r="O18" i="23"/>
  <c r="Q18" i="23" s="1"/>
  <c r="P18" i="23"/>
  <c r="T18" i="23"/>
  <c r="Y19" i="23"/>
  <c r="Z64" i="23" s="1"/>
  <c r="AE10" i="23"/>
  <c r="AF61" i="23" s="1"/>
  <c r="O46" i="23"/>
  <c r="P46" i="23"/>
  <c r="AF46" i="23"/>
  <c r="AG73" i="23" s="1"/>
  <c r="Y87" i="23"/>
  <c r="AE52" i="23"/>
  <c r="AF75" i="23" s="1"/>
  <c r="AD10" i="23"/>
  <c r="AE61" i="23" s="1"/>
  <c r="T54" i="23"/>
  <c r="O54" i="23"/>
  <c r="Y55" i="23"/>
  <c r="Z76" i="23" s="1"/>
  <c r="O32" i="23"/>
  <c r="P32" i="23"/>
  <c r="AM31" i="23"/>
  <c r="AN68" i="23" s="1"/>
  <c r="O33" i="23"/>
  <c r="T33" i="23"/>
  <c r="P33" i="23"/>
  <c r="Y34" i="23"/>
  <c r="Z69" i="23" s="1"/>
  <c r="P52" i="23"/>
  <c r="Y81" i="23"/>
  <c r="O52" i="23"/>
  <c r="AF52" i="23"/>
  <c r="AG75" i="23" s="1"/>
  <c r="Y83" i="23"/>
  <c r="AA52" i="23"/>
  <c r="AB75" i="23" s="1"/>
  <c r="P9" i="23"/>
  <c r="O9" i="23"/>
  <c r="T9" i="23"/>
  <c r="Y10" i="23"/>
  <c r="Z61" i="23" s="1"/>
  <c r="AB10" i="23"/>
  <c r="AC61" i="23" s="1"/>
  <c r="O22" i="23"/>
  <c r="P22" i="23"/>
  <c r="AF22" i="23"/>
  <c r="AG65" i="23" s="1"/>
  <c r="T42" i="23"/>
  <c r="O42" i="23"/>
  <c r="P42" i="23"/>
  <c r="Y43" i="23"/>
  <c r="Z72" i="23" s="1"/>
  <c r="O29" i="23"/>
  <c r="P29" i="23"/>
  <c r="AM28" i="23"/>
  <c r="AN67" i="23" s="1"/>
  <c r="AE4" i="23"/>
  <c r="AF59" i="23" s="1"/>
  <c r="AF7" i="23"/>
  <c r="AG60" i="23" s="1"/>
  <c r="Q7" i="23"/>
  <c r="H4" i="38" s="1"/>
  <c r="P7" i="23"/>
  <c r="Y86" i="23"/>
  <c r="AD52" i="23"/>
  <c r="AE75" i="23" s="1"/>
  <c r="O5" i="23"/>
  <c r="P5" i="23"/>
  <c r="AM4" i="23"/>
  <c r="AN59" i="23" s="1"/>
  <c r="P3" i="23"/>
  <c r="Y4" i="23"/>
  <c r="Z59" i="23" s="1"/>
  <c r="O35" i="23"/>
  <c r="AM34" i="23"/>
  <c r="AN69" i="23" s="1"/>
  <c r="P35" i="23"/>
  <c r="O39" i="23"/>
  <c r="P39" i="23"/>
  <c r="Y40" i="23"/>
  <c r="Z71" i="23" s="1"/>
  <c r="O17" i="23"/>
  <c r="P17" i="23"/>
  <c r="AM16" i="23"/>
  <c r="AN63" i="23" s="1"/>
  <c r="P19" i="23"/>
  <c r="O19" i="23"/>
  <c r="AF19" i="23"/>
  <c r="AG64" i="23" s="1"/>
  <c r="AA4" i="23"/>
  <c r="AB59" i="23" s="1"/>
  <c r="Z4" i="23"/>
  <c r="AA59" i="23" s="1"/>
  <c r="Z7" i="23"/>
  <c r="AA60" i="23" s="1"/>
  <c r="AB7" i="23"/>
  <c r="AC60" i="23" s="1"/>
  <c r="AD7" i="23"/>
  <c r="AE60" i="23" s="1"/>
  <c r="P25" i="23"/>
  <c r="O25" i="23"/>
  <c r="AF25" i="23"/>
  <c r="AG66" i="23" s="1"/>
  <c r="AM55" i="23"/>
  <c r="AN76" i="23" s="1"/>
  <c r="P56" i="23"/>
  <c r="O56" i="23"/>
  <c r="Q56" i="23" s="1"/>
  <c r="H38" i="38" s="1"/>
  <c r="M72" i="38" s="1"/>
  <c r="AA10" i="23"/>
  <c r="AB61" i="23" s="1"/>
  <c r="T24" i="23"/>
  <c r="O24" i="23"/>
  <c r="P24" i="23"/>
  <c r="Y25" i="23"/>
  <c r="Z66" i="23" s="1"/>
  <c r="T51" i="23"/>
  <c r="P51" i="23"/>
  <c r="O51" i="23"/>
  <c r="Y52" i="23"/>
  <c r="Z75" i="23" s="1"/>
  <c r="Y84" i="23"/>
  <c r="AB52" i="23"/>
  <c r="AC75" i="23" s="1"/>
  <c r="P6" i="23"/>
  <c r="O6" i="23"/>
  <c r="Q6" i="23" s="1"/>
  <c r="Y7" i="23"/>
  <c r="Z60" i="23" s="1"/>
  <c r="O41" i="23"/>
  <c r="P41" i="23"/>
  <c r="AM40" i="23"/>
  <c r="AN71" i="23" s="1"/>
  <c r="AD4" i="23"/>
  <c r="AE59" i="23" s="1"/>
  <c r="O31" i="23"/>
  <c r="P31" i="23"/>
  <c r="AF31" i="23"/>
  <c r="AG68" i="23" s="1"/>
  <c r="P27" i="23"/>
  <c r="O27" i="23"/>
  <c r="T27" i="23"/>
  <c r="Y28" i="23"/>
  <c r="Z67" i="23" s="1"/>
  <c r="AE7" i="23"/>
  <c r="AF60" i="23" s="1"/>
  <c r="AB4" i="23"/>
  <c r="AC59" i="23" s="1"/>
  <c r="P53" i="23"/>
  <c r="O53" i="23"/>
  <c r="Q53" i="23" s="1"/>
  <c r="H35" i="38" s="1"/>
  <c r="L72" i="38" s="1"/>
  <c r="AM52" i="23"/>
  <c r="AN75" i="23" s="1"/>
  <c r="O40" i="23"/>
  <c r="P40" i="23"/>
  <c r="AF40" i="23"/>
  <c r="AG71" i="23" s="1"/>
  <c r="Z10" i="23"/>
  <c r="AA61" i="23" s="1"/>
  <c r="P23" i="23"/>
  <c r="O23" i="23"/>
  <c r="AM22" i="23"/>
  <c r="AN65" i="23" s="1"/>
  <c r="AF37" i="23"/>
  <c r="AG70" i="23" s="1"/>
  <c r="P37" i="23"/>
  <c r="O37" i="23"/>
  <c r="T45" i="23"/>
  <c r="P45" i="23"/>
  <c r="O45" i="23"/>
  <c r="Y46" i="23"/>
  <c r="Z73" i="23" s="1"/>
  <c r="Z52" i="23"/>
  <c r="AA75" i="23" s="1"/>
  <c r="Y82" i="23"/>
  <c r="AC7" i="23"/>
  <c r="AD60" i="23" s="1"/>
  <c r="P20" i="23"/>
  <c r="O20" i="23"/>
  <c r="AM19" i="23"/>
  <c r="AN64" i="23" s="1"/>
  <c r="P26" i="23"/>
  <c r="O26" i="23"/>
  <c r="Q26" i="23" s="1"/>
  <c r="H17" i="38" s="1"/>
  <c r="AM25" i="23"/>
  <c r="AN66" i="23" s="1"/>
  <c r="O44" i="23"/>
  <c r="P44" i="23"/>
  <c r="O48" i="23"/>
  <c r="R48" i="23" s="1"/>
  <c r="Y49" i="23"/>
  <c r="Z74" i="23" s="1"/>
  <c r="P48" i="23"/>
  <c r="S48" i="23" s="1"/>
  <c r="AM43" i="23"/>
  <c r="AN72" i="23" s="1"/>
  <c r="O14" i="23"/>
  <c r="AM13" i="23"/>
  <c r="AN62" i="23" s="1"/>
  <c r="P14" i="23"/>
  <c r="AC52" i="23"/>
  <c r="AD75" i="23" s="1"/>
  <c r="Y85" i="23"/>
  <c r="Q52" i="23" l="1"/>
  <c r="H34" i="38" s="1"/>
  <c r="L71" i="38" s="1"/>
  <c r="S3" i="23"/>
  <c r="Q35" i="23"/>
  <c r="H23" i="38" s="1"/>
  <c r="L66" i="38" s="1"/>
  <c r="Q46" i="23"/>
  <c r="H31" i="38" s="1"/>
  <c r="M50" i="38" s="1"/>
  <c r="Q29" i="23"/>
  <c r="H20" i="38" s="1"/>
  <c r="N33" i="38" s="1"/>
  <c r="P33" i="38" s="1"/>
  <c r="Q38" i="23"/>
  <c r="H26" i="38" s="1"/>
  <c r="M42" i="38" s="1"/>
  <c r="Q44" i="23"/>
  <c r="H29" i="38" s="1"/>
  <c r="M48" i="38" s="1"/>
  <c r="Q33" i="23"/>
  <c r="H21" i="38" s="1"/>
  <c r="R3" i="23"/>
  <c r="R21" i="23"/>
  <c r="Q37" i="23"/>
  <c r="H25" i="38" s="1"/>
  <c r="M41" i="38" s="1"/>
  <c r="Q55" i="23"/>
  <c r="H37" i="38" s="1"/>
  <c r="M71" i="38" s="1"/>
  <c r="Q45" i="23"/>
  <c r="S21" i="23"/>
  <c r="Q25" i="23"/>
  <c r="H16" i="38" s="1"/>
  <c r="L62" i="38" s="1"/>
  <c r="Q51" i="23"/>
  <c r="S39" i="23"/>
  <c r="R39" i="23"/>
  <c r="S30" i="23"/>
  <c r="S12" i="23"/>
  <c r="Q24" i="23"/>
  <c r="H15" i="38" s="1"/>
  <c r="R30" i="23"/>
  <c r="R12" i="23"/>
  <c r="H3" i="38"/>
  <c r="L28" i="38" s="1"/>
  <c r="O28" i="38" s="1"/>
  <c r="Q11" i="23"/>
  <c r="H8" i="38" s="1"/>
  <c r="Q43" i="23"/>
  <c r="H28" i="38" s="1"/>
  <c r="M39" i="38"/>
  <c r="V30" i="23"/>
  <c r="U30" i="23"/>
  <c r="Q15" i="23"/>
  <c r="Q27" i="23"/>
  <c r="V21" i="23"/>
  <c r="U21" i="23"/>
  <c r="Q17" i="23"/>
  <c r="H11" i="38" s="1"/>
  <c r="Q47" i="23"/>
  <c r="H32" i="38" s="1"/>
  <c r="U12" i="23"/>
  <c r="V12" i="23"/>
  <c r="N30" i="38"/>
  <c r="P30" i="38" s="1"/>
  <c r="L48" i="38"/>
  <c r="L39" i="38"/>
  <c r="L63" i="38"/>
  <c r="Q28" i="23"/>
  <c r="H19" i="38" s="1"/>
  <c r="Q42" i="23"/>
  <c r="Q36" i="23"/>
  <c r="Q20" i="23"/>
  <c r="H14" i="38" s="1"/>
  <c r="V39" i="23"/>
  <c r="U39" i="23"/>
  <c r="H12" i="38"/>
  <c r="Q34" i="23"/>
  <c r="H22" i="38" s="1"/>
  <c r="Q8" i="23"/>
  <c r="H5" i="38" s="1"/>
  <c r="V3" i="23"/>
  <c r="U3" i="23"/>
  <c r="U48" i="23"/>
  <c r="V48" i="23"/>
  <c r="Q19" i="23"/>
  <c r="H13" i="38" s="1"/>
  <c r="Q9" i="23"/>
  <c r="Q54" i="23"/>
  <c r="Q16" i="23"/>
  <c r="H10" i="38" s="1"/>
  <c r="M66" i="38" l="1"/>
  <c r="M68" i="38"/>
  <c r="R45" i="23"/>
  <c r="L69" i="38"/>
  <c r="L51" i="38"/>
  <c r="L42" i="38"/>
  <c r="M65" i="38"/>
  <c r="M63" i="38"/>
  <c r="S45" i="23"/>
  <c r="H30" i="38"/>
  <c r="M67" i="38" s="1"/>
  <c r="H33" i="38"/>
  <c r="L55" i="38" s="1"/>
  <c r="R51" i="23"/>
  <c r="R24" i="23"/>
  <c r="L38" i="38"/>
  <c r="S18" i="23"/>
  <c r="N29" i="38"/>
  <c r="P29" i="38" s="1"/>
  <c r="L47" i="38"/>
  <c r="S24" i="23"/>
  <c r="S51" i="23"/>
  <c r="S6" i="23"/>
  <c r="R6" i="23"/>
  <c r="S33" i="23"/>
  <c r="R33" i="23"/>
  <c r="R18" i="23"/>
  <c r="L59" i="38"/>
  <c r="M29" i="38"/>
  <c r="M60" i="38"/>
  <c r="M33" i="38"/>
  <c r="M69" i="38"/>
  <c r="M51" i="38"/>
  <c r="M58" i="38"/>
  <c r="M31" i="38"/>
  <c r="R36" i="23"/>
  <c r="S36" i="23"/>
  <c r="H24" i="38"/>
  <c r="L64" i="38"/>
  <c r="M37" i="38"/>
  <c r="L37" i="38"/>
  <c r="L46" i="38"/>
  <c r="L61" i="38"/>
  <c r="N28" i="38"/>
  <c r="P28" i="38" s="1"/>
  <c r="L68" i="38"/>
  <c r="M47" i="38"/>
  <c r="H9" i="38"/>
  <c r="R15" i="23"/>
  <c r="S15" i="23"/>
  <c r="M57" i="38"/>
  <c r="L33" i="38"/>
  <c r="O33" i="38" s="1"/>
  <c r="H27" i="38"/>
  <c r="S42" i="23"/>
  <c r="R42" i="23"/>
  <c r="M62" i="38"/>
  <c r="L50" i="38"/>
  <c r="N32" i="38"/>
  <c r="P32" i="38" s="1"/>
  <c r="L41" i="38"/>
  <c r="L60" i="38"/>
  <c r="M30" i="38"/>
  <c r="H6" i="38"/>
  <c r="S9" i="23"/>
  <c r="R9" i="23"/>
  <c r="L57" i="38"/>
  <c r="L30" i="38"/>
  <c r="O30" i="38" s="1"/>
  <c r="R27" i="23"/>
  <c r="H18" i="38"/>
  <c r="S27" i="23"/>
  <c r="H36" i="38"/>
  <c r="M70" i="38" s="1"/>
  <c r="S54" i="23"/>
  <c r="R54" i="23"/>
  <c r="M59" i="38"/>
  <c r="M32" i="38"/>
  <c r="L65" i="38"/>
  <c r="M38" i="38"/>
  <c r="L70" i="38" l="1"/>
  <c r="M49" i="38"/>
  <c r="L67" i="38"/>
  <c r="M46" i="38"/>
  <c r="M61" i="38"/>
  <c r="L49" i="38"/>
  <c r="N31" i="38"/>
  <c r="P31" i="38" s="1"/>
  <c r="L40" i="38"/>
  <c r="L58" i="38"/>
  <c r="M28" i="38"/>
  <c r="M64" i="38"/>
  <c r="M40" i="38"/>
  <c r="L31" i="38"/>
  <c r="O31" i="38" s="1"/>
  <c r="M55" i="38"/>
  <c r="H108" i="55" l="1"/>
  <c r="BI30" i="55"/>
  <c r="H102" i="55"/>
  <c r="BH30" i="55"/>
  <c r="H103" i="55"/>
  <c r="H99" i="55"/>
  <c r="BK30" i="55"/>
  <c r="H107" i="55"/>
  <c r="H106" i="55"/>
  <c r="BD30" i="55"/>
  <c r="BJ30" i="55"/>
  <c r="H104" i="55"/>
  <c r="BG30" i="55"/>
  <c r="BF30" i="55"/>
  <c r="H100" i="55"/>
  <c r="BB30" i="55"/>
  <c r="BE30" i="55"/>
  <c r="BC30" i="55"/>
  <c r="H105" i="55"/>
  <c r="H101" i="55"/>
  <c r="H109"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Natchaya Luangphairin</author>
  </authors>
  <commentList>
    <comment ref="G1" authorId="0" shapeId="0" xr:uid="{ED684651-3798-4FEA-95E0-5DADD2E3DF95}">
      <text>
        <r>
          <rPr>
            <sz val="12"/>
            <color theme="1"/>
            <rFont val="Calibri"/>
            <family val="2"/>
            <scheme val="minor"/>
          </rPr>
          <t>Natchaya Luangphairin:
Weir water: Stagnant water (post irrigation event) not collected during real time irrigation event</t>
        </r>
      </text>
    </comment>
    <comment ref="E24" authorId="0" shapeId="0" xr:uid="{383D2468-D25D-49BD-B1DF-7C826C83D4A0}">
      <text>
        <r>
          <rPr>
            <b/>
            <sz val="9"/>
            <color indexed="81"/>
            <rFont val="Tahoma"/>
            <family val="2"/>
          </rPr>
          <t>Natchaya Luangphairin:</t>
        </r>
        <r>
          <rPr>
            <sz val="9"/>
            <color indexed="81"/>
            <rFont val="Tahoma"/>
            <family val="2"/>
          </rPr>
          <t xml:space="preserve">
Fixed</t>
        </r>
      </text>
    </comment>
    <comment ref="F24" authorId="0" shapeId="0" xr:uid="{1BD7F49E-38BE-4A2F-A984-BE790EB93305}">
      <text>
        <r>
          <rPr>
            <b/>
            <sz val="9"/>
            <color indexed="81"/>
            <rFont val="Tahoma"/>
            <family val="2"/>
          </rPr>
          <t>Natchaya Luangphairin:</t>
        </r>
        <r>
          <rPr>
            <sz val="9"/>
            <color indexed="81"/>
            <rFont val="Tahoma"/>
            <family val="2"/>
          </rPr>
          <t xml:space="preserve">
adjusted by pump to get HLR</t>
        </r>
      </text>
    </comment>
    <comment ref="B50" authorId="0" shapeId="0" xr:uid="{FF5C6100-0283-40E7-A97A-5299AB977353}">
      <text>
        <r>
          <rPr>
            <b/>
            <sz val="9"/>
            <color indexed="81"/>
            <rFont val="Tahoma"/>
            <family val="2"/>
          </rPr>
          <t>Natchaya Luangphairin:</t>
        </r>
        <r>
          <rPr>
            <sz val="9"/>
            <color indexed="81"/>
            <rFont val="Tahoma"/>
            <family val="2"/>
          </rPr>
          <t xml:space="preserve">
from tracer study</t>
        </r>
      </text>
    </comment>
    <comment ref="D50" authorId="0" shapeId="0" xr:uid="{99900FDB-6F02-4E82-A20B-8EF3D4B3C702}">
      <text>
        <r>
          <rPr>
            <b/>
            <sz val="9"/>
            <color indexed="81"/>
            <rFont val="Tahoma"/>
            <family val="2"/>
          </rPr>
          <t>Natchaya Luangphairin:</t>
        </r>
        <r>
          <rPr>
            <sz val="9"/>
            <color indexed="81"/>
            <rFont val="Tahoma"/>
            <family val="2"/>
          </rPr>
          <t xml:space="preserve">
volume of empty bed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Natchaya Luangphairin</author>
  </authors>
  <commentList>
    <comment ref="R3" authorId="0" shapeId="0" xr:uid="{519D8D13-1415-4A9F-9892-BA3211F44831}">
      <text>
        <r>
          <rPr>
            <b/>
            <sz val="9"/>
            <color indexed="81"/>
            <rFont val="Tahoma"/>
            <family val="2"/>
          </rPr>
          <t>Natchaya Luangphairin:</t>
        </r>
        <r>
          <rPr>
            <sz val="9"/>
            <color indexed="81"/>
            <rFont val="Tahoma"/>
            <family val="2"/>
          </rPr>
          <t xml:space="preserve">
These are influent concentrations not removal</t>
        </r>
      </text>
    </comment>
    <comment ref="S3" authorId="0" shapeId="0" xr:uid="{501A6418-AF63-44F4-8638-3CA5F343057A}">
      <text>
        <r>
          <rPr>
            <b/>
            <sz val="9"/>
            <color indexed="81"/>
            <rFont val="Tahoma"/>
            <family val="2"/>
          </rPr>
          <t>Natchaya Luangphairin:</t>
        </r>
        <r>
          <rPr>
            <sz val="9"/>
            <color indexed="81"/>
            <rFont val="Tahoma"/>
            <family val="2"/>
          </rPr>
          <t xml:space="preserve">
These are influent concentrations not removal</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<sst xmlns="http://schemas.openxmlformats.org/spreadsheetml/2006/main" count="3132" uniqueCount="719">
  <si>
    <t>Date</t>
  </si>
  <si>
    <t>HLR</t>
  </si>
  <si>
    <t>Outlet?</t>
  </si>
  <si>
    <t>Wier water?</t>
  </si>
  <si>
    <t>Low</t>
  </si>
  <si>
    <t>Lower</t>
  </si>
  <si>
    <t>Medium</t>
  </si>
  <si>
    <t>High</t>
  </si>
  <si>
    <t>Yes</t>
  </si>
  <si>
    <t>Upper</t>
  </si>
  <si>
    <t>Event #</t>
  </si>
  <si>
    <t>HLR (cm/min)</t>
  </si>
  <si>
    <t>Estimated % area covered</t>
  </si>
  <si>
    <t>Outlet used</t>
  </si>
  <si>
    <t>Muhly grass presence</t>
  </si>
  <si>
    <t>No</t>
  </si>
  <si>
    <t>Name</t>
  </si>
  <si>
    <t>NH4-N</t>
  </si>
  <si>
    <t>NO2-N</t>
  </si>
  <si>
    <t>NO3-N</t>
  </si>
  <si>
    <t>PO4-P</t>
  </si>
  <si>
    <t>SO4</t>
  </si>
  <si>
    <t>in org TN</t>
  </si>
  <si>
    <t>DO</t>
  </si>
  <si>
    <t>Starting pH</t>
  </si>
  <si>
    <t>ALK mgCaCO3/L</t>
  </si>
  <si>
    <t>COD at 420</t>
  </si>
  <si>
    <t>TP mg P /L</t>
  </si>
  <si>
    <t>947 in</t>
  </si>
  <si>
    <t>917 tank 2</t>
  </si>
  <si>
    <t>747 in</t>
  </si>
  <si>
    <t>717 tank 1</t>
  </si>
  <si>
    <t>717 tank 2</t>
  </si>
  <si>
    <t>847 tank 1</t>
  </si>
  <si>
    <t>947 tank 1</t>
  </si>
  <si>
    <t>917 in</t>
  </si>
  <si>
    <t>947 tank 2</t>
  </si>
  <si>
    <t>647 tank 1</t>
  </si>
  <si>
    <t>647 tank 2</t>
  </si>
  <si>
    <t>847 in</t>
  </si>
  <si>
    <t>817 in</t>
  </si>
  <si>
    <t>917 tank 1</t>
  </si>
  <si>
    <t>817 tank 1</t>
  </si>
  <si>
    <t>817 tank 2</t>
  </si>
  <si>
    <t>847 tank 2</t>
  </si>
  <si>
    <t>717 in</t>
  </si>
  <si>
    <t>647 in</t>
  </si>
  <si>
    <t>747 tank 1</t>
  </si>
  <si>
    <t>747 tank 2</t>
  </si>
  <si>
    <t>944 in</t>
  </si>
  <si>
    <t>914 in</t>
  </si>
  <si>
    <t>844 in</t>
  </si>
  <si>
    <t>944 tank 2</t>
  </si>
  <si>
    <t>814 tank 1</t>
  </si>
  <si>
    <t>914 tank 1</t>
  </si>
  <si>
    <t>944 tank 1</t>
  </si>
  <si>
    <t>914 tank 2</t>
  </si>
  <si>
    <t>844 tank 1</t>
  </si>
  <si>
    <t>844 tank 2</t>
  </si>
  <si>
    <t>744 in</t>
  </si>
  <si>
    <t>714 in</t>
  </si>
  <si>
    <t>644 tank 1</t>
  </si>
  <si>
    <t>644 tank 2</t>
  </si>
  <si>
    <t>714 tank 1</t>
  </si>
  <si>
    <t>714 tank 2</t>
  </si>
  <si>
    <t>814 tank 2</t>
  </si>
  <si>
    <t>644 in</t>
  </si>
  <si>
    <t>744 tank 1</t>
  </si>
  <si>
    <t>744 tank 2</t>
  </si>
  <si>
    <t>814 in</t>
  </si>
  <si>
    <t>638 in</t>
  </si>
  <si>
    <t>808 in</t>
  </si>
  <si>
    <t>838 in</t>
  </si>
  <si>
    <t>908 in</t>
  </si>
  <si>
    <t>738 in</t>
  </si>
  <si>
    <t>708 in</t>
  </si>
  <si>
    <t>938 in</t>
  </si>
  <si>
    <t>815 in</t>
  </si>
  <si>
    <t>645 in</t>
  </si>
  <si>
    <t>715 in</t>
  </si>
  <si>
    <t>815 tank 1</t>
  </si>
  <si>
    <t>845 in</t>
  </si>
  <si>
    <t>945 in</t>
  </si>
  <si>
    <t>645 tank 1</t>
  </si>
  <si>
    <t>945 tank 1</t>
  </si>
  <si>
    <t>915 in</t>
  </si>
  <si>
    <t>845 tank 1</t>
  </si>
  <si>
    <t>945 tank 2</t>
  </si>
  <si>
    <t>815 tank 2</t>
  </si>
  <si>
    <t>745 tank 1</t>
  </si>
  <si>
    <t>715 tank 1</t>
  </si>
  <si>
    <t>745 tank 2</t>
  </si>
  <si>
    <t>645 tank 2</t>
  </si>
  <si>
    <t>915 tank 1</t>
  </si>
  <si>
    <t>915 tank 2</t>
  </si>
  <si>
    <t>845 tank 2</t>
  </si>
  <si>
    <t>636 in</t>
  </si>
  <si>
    <t>806 in</t>
  </si>
  <si>
    <t>836 in</t>
  </si>
  <si>
    <t>706 in</t>
  </si>
  <si>
    <t>936 in</t>
  </si>
  <si>
    <t>806 tank 1</t>
  </si>
  <si>
    <t>706 tank 1</t>
  </si>
  <si>
    <t>836 tank 1</t>
  </si>
  <si>
    <t>706 tank 2</t>
  </si>
  <si>
    <t>936 tank 1</t>
  </si>
  <si>
    <t>906 in</t>
  </si>
  <si>
    <t>636 tank 1</t>
  </si>
  <si>
    <t>906 tank 1</t>
  </si>
  <si>
    <t>736 in</t>
  </si>
  <si>
    <t>636 tank 2</t>
  </si>
  <si>
    <t>736 tank 1</t>
  </si>
  <si>
    <t>806 tank 2</t>
  </si>
  <si>
    <t>936 tank 2</t>
  </si>
  <si>
    <t>906 tank 2</t>
  </si>
  <si>
    <t>836 tank 2</t>
  </si>
  <si>
    <t>736 tank 2</t>
  </si>
  <si>
    <t>1055 in</t>
  </si>
  <si>
    <t>1025 in</t>
  </si>
  <si>
    <t>955 in</t>
  </si>
  <si>
    <t>1225 in</t>
  </si>
  <si>
    <t>925 in</t>
  </si>
  <si>
    <t>1055 tank 1</t>
  </si>
  <si>
    <t>1125 in</t>
  </si>
  <si>
    <t>1025 tank 1</t>
  </si>
  <si>
    <t>1155 in</t>
  </si>
  <si>
    <t>1225 tank 1</t>
  </si>
  <si>
    <t>955 tank 1</t>
  </si>
  <si>
    <t>1155 tank 1</t>
  </si>
  <si>
    <t>925 tank 1</t>
  </si>
  <si>
    <t>1055 tank 2</t>
  </si>
  <si>
    <t>1225 tank 2</t>
  </si>
  <si>
    <t>1125 tank 1</t>
  </si>
  <si>
    <t>955 tank 2</t>
  </si>
  <si>
    <t>925 tank 2</t>
  </si>
  <si>
    <t>1125 tank 2</t>
  </si>
  <si>
    <t>1025 tank 2</t>
  </si>
  <si>
    <t>1155 tank 2</t>
  </si>
  <si>
    <t>811 in</t>
  </si>
  <si>
    <t>841 in</t>
  </si>
  <si>
    <t>911 in</t>
  </si>
  <si>
    <t>941 in</t>
  </si>
  <si>
    <t>641 in</t>
  </si>
  <si>
    <t>741 in</t>
  </si>
  <si>
    <t>941 tank 1</t>
  </si>
  <si>
    <t>711 in</t>
  </si>
  <si>
    <t>811 tank 1</t>
  </si>
  <si>
    <t>641 tank 1</t>
  </si>
  <si>
    <t>841 tank 1</t>
  </si>
  <si>
    <t>741 tank 1</t>
  </si>
  <si>
    <t>911 tank 1</t>
  </si>
  <si>
    <t>811 tank 2</t>
  </si>
  <si>
    <t>741 tank 2</t>
  </si>
  <si>
    <t>711 tank 1</t>
  </si>
  <si>
    <t>911 tank 2</t>
  </si>
  <si>
    <t>841 tank 2</t>
  </si>
  <si>
    <t>941 tank 2</t>
  </si>
  <si>
    <t>711 tank 2</t>
  </si>
  <si>
    <t>641 tank 2</t>
  </si>
  <si>
    <t>730 in</t>
  </si>
  <si>
    <t>7 in</t>
  </si>
  <si>
    <t>930 in</t>
  </si>
  <si>
    <t>9 in</t>
  </si>
  <si>
    <t>8 in</t>
  </si>
  <si>
    <t>7 tank 1</t>
  </si>
  <si>
    <t>930 tank 1</t>
  </si>
  <si>
    <t>730 tank 1</t>
  </si>
  <si>
    <t>830 in</t>
  </si>
  <si>
    <t>9 tank 1</t>
  </si>
  <si>
    <t>630 in</t>
  </si>
  <si>
    <t>8 tank 1</t>
  </si>
  <si>
    <t>9 tank 2</t>
  </si>
  <si>
    <t>8 tank 2</t>
  </si>
  <si>
    <t>830 tank 1</t>
  </si>
  <si>
    <t>830 tank 2</t>
  </si>
  <si>
    <t>930 tank 2</t>
  </si>
  <si>
    <t>630 tank 1</t>
  </si>
  <si>
    <t>7 tank 2</t>
  </si>
  <si>
    <t>730 tank 2</t>
  </si>
  <si>
    <t>630 tank 2</t>
  </si>
  <si>
    <t>1230 in</t>
  </si>
  <si>
    <t>10 in</t>
  </si>
  <si>
    <t>12 in</t>
  </si>
  <si>
    <t>1030 in</t>
  </si>
  <si>
    <t>1130 in</t>
  </si>
  <si>
    <t>11 in</t>
  </si>
  <si>
    <t>11 tank 1</t>
  </si>
  <si>
    <t>1030 tank 1</t>
  </si>
  <si>
    <t>1130 tank 1</t>
  </si>
  <si>
    <t>1230 tank 1</t>
  </si>
  <si>
    <t>12 tank 1</t>
  </si>
  <si>
    <t>10 tank 1</t>
  </si>
  <si>
    <t>1030 tank 2</t>
  </si>
  <si>
    <t>12 tank 2</t>
  </si>
  <si>
    <t>1130 tank 2</t>
  </si>
  <si>
    <t>1230 tank 2</t>
  </si>
  <si>
    <t>10 tank 2</t>
  </si>
  <si>
    <t>11 tank 2</t>
  </si>
  <si>
    <t>1139 in</t>
  </si>
  <si>
    <t>939 in</t>
  </si>
  <si>
    <t>909 in</t>
  </si>
  <si>
    <t>1009 in</t>
  </si>
  <si>
    <t>1109 in</t>
  </si>
  <si>
    <t>1039 in</t>
  </si>
  <si>
    <t>909 tank 1</t>
  </si>
  <si>
    <t>1039 tank 1</t>
  </si>
  <si>
    <t>1209 tank 1</t>
  </si>
  <si>
    <t>1139 tank 1</t>
  </si>
  <si>
    <t>1109 tank 1</t>
  </si>
  <si>
    <t>1009 tank 1</t>
  </si>
  <si>
    <t>939 tank 1</t>
  </si>
  <si>
    <t>1209 in</t>
  </si>
  <si>
    <t>909 tank 2</t>
  </si>
  <si>
    <t>1209 tank 2</t>
  </si>
  <si>
    <t>1139 tank 2</t>
  </si>
  <si>
    <t>939 tank 2</t>
  </si>
  <si>
    <t>1109 tank 2</t>
  </si>
  <si>
    <t>1039 tank 2</t>
  </si>
  <si>
    <t>1009 tank 2</t>
  </si>
  <si>
    <t>745 in</t>
  </si>
  <si>
    <t>715 tank 2</t>
  </si>
  <si>
    <t>646 in</t>
  </si>
  <si>
    <t>716 in</t>
  </si>
  <si>
    <t>816 in</t>
  </si>
  <si>
    <t>946 in</t>
  </si>
  <si>
    <t>746 in</t>
  </si>
  <si>
    <t>916 in</t>
  </si>
  <si>
    <t>846 in</t>
  </si>
  <si>
    <t>916 tank 1</t>
  </si>
  <si>
    <t>746 tank 1</t>
  </si>
  <si>
    <t>646 tank 1</t>
  </si>
  <si>
    <t>716 tank 1</t>
  </si>
  <si>
    <t>846 tank 1</t>
  </si>
  <si>
    <t>946 tank 1</t>
  </si>
  <si>
    <t>816 tank 1</t>
  </si>
  <si>
    <t>716 tank 2</t>
  </si>
  <si>
    <t>746 tank 2</t>
  </si>
  <si>
    <t>946 tank 2</t>
  </si>
  <si>
    <t>816 tank 2</t>
  </si>
  <si>
    <t>646 tank 2</t>
  </si>
  <si>
    <t>846 tank 2</t>
  </si>
  <si>
    <t>916 tank 2</t>
  </si>
  <si>
    <t>345 in</t>
  </si>
  <si>
    <t>145 in</t>
  </si>
  <si>
    <t>245 in</t>
  </si>
  <si>
    <t>445 in</t>
  </si>
  <si>
    <t>215 in</t>
  </si>
  <si>
    <t>415 in</t>
  </si>
  <si>
    <t>245 tank 1</t>
  </si>
  <si>
    <t>145 tank 1</t>
  </si>
  <si>
    <t>415 tank 1</t>
  </si>
  <si>
    <t>315 tank 1</t>
  </si>
  <si>
    <t>345 tank 1</t>
  </si>
  <si>
    <t>215 tank 1</t>
  </si>
  <si>
    <t>445 tank 1</t>
  </si>
  <si>
    <t>445 tank 2</t>
  </si>
  <si>
    <t>315 tank 2</t>
  </si>
  <si>
    <t>215 tank 2</t>
  </si>
  <si>
    <t>145 tank 2</t>
  </si>
  <si>
    <t>345 tank 2</t>
  </si>
  <si>
    <t>245 tank 2</t>
  </si>
  <si>
    <t>415 tank 2</t>
  </si>
  <si>
    <t>932 in</t>
  </si>
  <si>
    <t>802 in</t>
  </si>
  <si>
    <t>632 in</t>
  </si>
  <si>
    <t>702 in</t>
  </si>
  <si>
    <t>902 in</t>
  </si>
  <si>
    <t>832 in</t>
  </si>
  <si>
    <t>732 in</t>
  </si>
  <si>
    <t>902 tank 1</t>
  </si>
  <si>
    <t>632 tank 1</t>
  </si>
  <si>
    <t>932 tank 1</t>
  </si>
  <si>
    <t>832 tank 1</t>
  </si>
  <si>
    <t>802 tank 1</t>
  </si>
  <si>
    <t>702 tank 1</t>
  </si>
  <si>
    <t>732 tank 1</t>
  </si>
  <si>
    <t>732 tank 2</t>
  </si>
  <si>
    <t>832 tank 2</t>
  </si>
  <si>
    <t>932 tank 2</t>
  </si>
  <si>
    <t>902 tank 2</t>
  </si>
  <si>
    <t>702 tank 2</t>
  </si>
  <si>
    <t>802 tank 2</t>
  </si>
  <si>
    <t>632 tank 2</t>
  </si>
  <si>
    <t>555 in</t>
  </si>
  <si>
    <t>525 in</t>
  </si>
  <si>
    <t>825 in</t>
  </si>
  <si>
    <t>655 in</t>
  </si>
  <si>
    <t>625 in</t>
  </si>
  <si>
    <t>755 in</t>
  </si>
  <si>
    <t>725 in</t>
  </si>
  <si>
    <t>625 tank 1</t>
  </si>
  <si>
    <t>555 tank 1</t>
  </si>
  <si>
    <t>755 tank 1</t>
  </si>
  <si>
    <t>725 tank 1</t>
  </si>
  <si>
    <t>825 tank 1</t>
  </si>
  <si>
    <t>525 tank 1</t>
  </si>
  <si>
    <t>655 tank 1</t>
  </si>
  <si>
    <t>525 tank 2</t>
  </si>
  <si>
    <t>655 tank 2</t>
  </si>
  <si>
    <t>755 tank 2</t>
  </si>
  <si>
    <t>825 tank 2</t>
  </si>
  <si>
    <t>555 tank 2</t>
  </si>
  <si>
    <t>625 tank 2</t>
  </si>
  <si>
    <t>725 tank 2</t>
  </si>
  <si>
    <t>615 in</t>
  </si>
  <si>
    <t>856 in</t>
  </si>
  <si>
    <t>826 in</t>
  </si>
  <si>
    <t>656 in</t>
  </si>
  <si>
    <t>726 in</t>
  </si>
  <si>
    <t>626 in</t>
  </si>
  <si>
    <t>756 in</t>
  </si>
  <si>
    <t>926 in</t>
  </si>
  <si>
    <t>1014 in</t>
  </si>
  <si>
    <t>1044 in</t>
  </si>
  <si>
    <t>1144 in</t>
  </si>
  <si>
    <t>1114 in</t>
  </si>
  <si>
    <t>1214 in</t>
  </si>
  <si>
    <t>Event #s</t>
  </si>
  <si>
    <t>Outlet Height</t>
  </si>
  <si>
    <t>TIN</t>
  </si>
  <si>
    <t>TP (mg P/L)</t>
  </si>
  <si>
    <t>COD</t>
  </si>
  <si>
    <t>pH</t>
  </si>
  <si>
    <t>1 - 3</t>
  </si>
  <si>
    <t xml:space="preserve">Lower </t>
  </si>
  <si>
    <t>4 - 6</t>
  </si>
  <si>
    <t>7 - 9</t>
  </si>
  <si>
    <t>10 - 12</t>
  </si>
  <si>
    <t>Average % Load Reduction: HLR and Outlet Height</t>
  </si>
  <si>
    <t>Average Total Load Reduction (%): Biochar Presence</t>
  </si>
  <si>
    <t>CBA Unit % Load Reduction</t>
  </si>
  <si>
    <t>PBA Unit % Load Reduction</t>
  </si>
  <si>
    <t>Average Total Load Reduction (%): Biochar Presence in Events 1, and 3-8</t>
  </si>
  <si>
    <t>Average Total Load Reduction (%): HLR</t>
  </si>
  <si>
    <t>Average Total Load Reduction (%): Outlet Height</t>
  </si>
  <si>
    <t>Average Total Load Reduction (%): Muhly Grass Presence</t>
  </si>
  <si>
    <t>Biochar in the IWSZ?</t>
  </si>
  <si>
    <t>Muhly Grass Present?</t>
  </si>
  <si>
    <t>1 and 3</t>
  </si>
  <si>
    <t>13-15</t>
  </si>
  <si>
    <t>average</t>
  </si>
  <si>
    <t>% removed</t>
  </si>
  <si>
    <t>Average % removed</t>
  </si>
  <si>
    <t>For Box and Whisker Plots, all on one line!</t>
  </si>
  <si>
    <t>Influent</t>
  </si>
  <si>
    <t>CBA</t>
  </si>
  <si>
    <t>PBA</t>
  </si>
  <si>
    <t>Low HLR</t>
  </si>
  <si>
    <t>High HLR</t>
  </si>
  <si>
    <t>Anova: Single Factor</t>
  </si>
  <si>
    <t>SUMMARY</t>
  </si>
  <si>
    <t>Groups</t>
  </si>
  <si>
    <t>Count</t>
  </si>
  <si>
    <t>Sum</t>
  </si>
  <si>
    <t>Average</t>
  </si>
  <si>
    <t>Variance</t>
  </si>
  <si>
    <t>ANOVA</t>
  </si>
  <si>
    <t>Source of Variation</t>
  </si>
  <si>
    <t>SS</t>
  </si>
  <si>
    <t>df</t>
  </si>
  <si>
    <t>MS</t>
  </si>
  <si>
    <t>F</t>
  </si>
  <si>
    <t>P-value</t>
  </si>
  <si>
    <t>F crit</t>
  </si>
  <si>
    <t>Between Groups</t>
  </si>
  <si>
    <t>Within Groups</t>
  </si>
  <si>
    <t>Total</t>
  </si>
  <si>
    <t>For this event I got to the site and the pump had automaticallly turned on already.  Therefore at the systems fed at a unknown HIGH HLR before I got there, leading to high effluent concentraations at first.  Time 0 is when I lowered the HLR.  I don't think i included this data set in the sat anaalysis because of this.</t>
  </si>
  <si>
    <t>Muhly grass?</t>
  </si>
  <si>
    <t>The effluent at time 0 can be excluded as an outlier.  Went from lower outlet to upper outlet and all the fertilzer dissolved and got a bunch of N leaving.</t>
  </si>
  <si>
    <t>Kept the IWSZ height at the upper outlet before the event to grow biofilm.  This may have affected the TP removal.  No need to do anything with this though just the explaination in case you need..</t>
  </si>
  <si>
    <t>Event Number</t>
  </si>
  <si>
    <t>Notes</t>
  </si>
  <si>
    <t>HLR Key</t>
  </si>
  <si>
    <t>cm/min</t>
  </si>
  <si>
    <t>Note: values in this table will be autogenerated based on table above. Do not overwrite formula.</t>
  </si>
  <si>
    <t>Vial ID</t>
  </si>
  <si>
    <t>Elapsed Time after first sample (min)</t>
  </si>
  <si>
    <t>ID</t>
  </si>
  <si>
    <t>in</t>
  </si>
  <si>
    <t>tank 2</t>
  </si>
  <si>
    <t>tank 1</t>
  </si>
  <si>
    <t>= influent</t>
  </si>
  <si>
    <t>= effluent tank 1</t>
  </si>
  <si>
    <t>= effluent tank 2</t>
  </si>
  <si>
    <t>Description</t>
  </si>
  <si>
    <t>Tank</t>
  </si>
  <si>
    <t>Tank ID</t>
  </si>
  <si>
    <t>908 tank 1</t>
  </si>
  <si>
    <t>938 tank 1</t>
  </si>
  <si>
    <t>738 tank 1</t>
  </si>
  <si>
    <t>838 tank 1</t>
  </si>
  <si>
    <t>838 tank 2</t>
  </si>
  <si>
    <t>638 tank 1</t>
  </si>
  <si>
    <t>638 tank 2</t>
  </si>
  <si>
    <t>808 tank 1</t>
  </si>
  <si>
    <t>708 tank 1</t>
  </si>
  <si>
    <t>738 tank 2</t>
  </si>
  <si>
    <t>708 tank 2</t>
  </si>
  <si>
    <t>938 tank 2</t>
  </si>
  <si>
    <t>808 tank 2</t>
  </si>
  <si>
    <t>908 tank 2</t>
  </si>
  <si>
    <t>Sampling Point</t>
  </si>
  <si>
    <t>Sampling Point Key</t>
  </si>
  <si>
    <t>Event</t>
  </si>
  <si>
    <t>Plant?</t>
  </si>
  <si>
    <t>HLR cm/min</t>
  </si>
  <si>
    <t>315 in</t>
  </si>
  <si>
    <t>615 tank 1</t>
  </si>
  <si>
    <t>726 tank 1</t>
  </si>
  <si>
    <t>626 tank 1</t>
  </si>
  <si>
    <t>656 tank 1</t>
  </si>
  <si>
    <t>826 tank 1</t>
  </si>
  <si>
    <t>926 tank 1</t>
  </si>
  <si>
    <t>756 tank 1</t>
  </si>
  <si>
    <t>856 tank 1</t>
  </si>
  <si>
    <t>926 tank 2</t>
  </si>
  <si>
    <t>626 tank 2</t>
  </si>
  <si>
    <t>856 tank 2</t>
  </si>
  <si>
    <t>656 tank 2</t>
  </si>
  <si>
    <t>726 tank 2</t>
  </si>
  <si>
    <t>826 tank 2</t>
  </si>
  <si>
    <t>756 tank 2</t>
  </si>
  <si>
    <t>1144 tank 1</t>
  </si>
  <si>
    <t>1014 tank 1</t>
  </si>
  <si>
    <t>1114 tank 1</t>
  </si>
  <si>
    <t>1214 tank 1</t>
  </si>
  <si>
    <t>1044 tank 1</t>
  </si>
  <si>
    <t>1114 tank 2</t>
  </si>
  <si>
    <t>1044 tank 2</t>
  </si>
  <si>
    <t>1214 tank 2</t>
  </si>
  <si>
    <t>1144 tank 2</t>
  </si>
  <si>
    <t>1014 tank 2</t>
  </si>
  <si>
    <t>Configuration ID</t>
  </si>
  <si>
    <t>Configuration Key</t>
  </si>
  <si>
    <t>Plants</t>
  </si>
  <si>
    <t>For every 6 combo, there's 3 events (3 different dates)</t>
  </si>
  <si>
    <t>1/3 are collected from weir water (stagnant water)</t>
  </si>
  <si>
    <t>2/3 events are collected in real time during irrigation</t>
  </si>
  <si>
    <r>
      <rPr>
        <u/>
        <sz val="12"/>
        <color theme="1"/>
        <rFont val="Calibri"/>
        <family val="2"/>
        <scheme val="minor"/>
      </rPr>
      <t xml:space="preserve">6 configurations </t>
    </r>
    <r>
      <rPr>
        <sz val="12"/>
        <color theme="1"/>
        <rFont val="Calibri"/>
        <family val="2"/>
        <scheme val="minor"/>
      </rPr>
      <t>(combinations of HLR, Outlet Height, Plants)</t>
    </r>
  </si>
  <si>
    <t>Notes:</t>
  </si>
  <si>
    <t>Medium HLR: cost benefit; High Height: better results for target NO3 removal; Plant "yes": known to help with</t>
  </si>
  <si>
    <t>&lt;--- most optimal config given that we know NO3 dominate in our influent</t>
  </si>
  <si>
    <t xml:space="preserve">Each unique event (date) there's 7 samples (data collected at 0, 30, 60, 90, 120, 150, 180) per tank ID (tank ID: in, tank1, or tank 2) </t>
  </si>
  <si>
    <t xml:space="preserve">Total = </t>
  </si>
  <si>
    <t>samples per event (7 for influent, 7 for tank 1, and 7 for tank 2)</t>
  </si>
  <si>
    <t>Sheets</t>
  </si>
  <si>
    <t>Master Data Sheet</t>
  </si>
  <si>
    <t>Date Key</t>
  </si>
  <si>
    <t>Provides date and sample type description</t>
  </si>
  <si>
    <t xml:space="preserve">Teams </t>
  </si>
  <si>
    <t>Workbook Contents</t>
  </si>
  <si>
    <t>Filter by Tank ID, Config, and elapsed time</t>
  </si>
  <si>
    <t>Configuration</t>
  </si>
  <si>
    <t>N</t>
  </si>
  <si>
    <t>615 tank 2</t>
  </si>
  <si>
    <t>Unit</t>
  </si>
  <si>
    <t>Low HLR, Lower Outlet Height, No Plants</t>
  </si>
  <si>
    <t>Medium HLR, Lower Outlet Height, No Plants</t>
  </si>
  <si>
    <t>High HLR, Lower Outlet Height, No Plants</t>
  </si>
  <si>
    <t>High HLR, Upper Outlet Height, No Plants</t>
  </si>
  <si>
    <t>High HLR, Lower Outlet Height, Yes Plants</t>
  </si>
  <si>
    <t>High HLR, Upper Outlet Height, Yes Plants</t>
  </si>
  <si>
    <t>Complete Biochar Ammendment (CBA)</t>
  </si>
  <si>
    <t>Partial Biochar Ammendment (PBA)</t>
  </si>
  <si>
    <t xml:space="preserve">Condensed Box and Whisker: </t>
  </si>
  <si>
    <t>Configuration Description</t>
  </si>
  <si>
    <t>Water Quality Data</t>
  </si>
  <si>
    <t>Select WQ Parameter of interest to index from dropdown (red) ---&gt;</t>
  </si>
  <si>
    <t>Organized Data</t>
  </si>
  <si>
    <t>Summary Report</t>
  </si>
  <si>
    <t>13 - 15</t>
  </si>
  <si>
    <t>16 - 18</t>
  </si>
  <si>
    <t>% Removal</t>
  </si>
  <si>
    <t>Tank Unit</t>
  </si>
  <si>
    <t>% Total load removal</t>
  </si>
  <si>
    <t>Note: for ANNOVA use filter, change one variable and hold other constant, compare p significance for % removal output</t>
  </si>
  <si>
    <t>ANOVA Data</t>
  </si>
  <si>
    <t>Data Source</t>
  </si>
  <si>
    <t>TP</t>
  </si>
  <si>
    <t>Figures and Tables for final report</t>
  </si>
  <si>
    <t>Information for each sampling date</t>
  </si>
  <si>
    <t>Data arranged for excel ANOVA analysis</t>
  </si>
  <si>
    <t>Data copied over from workbook called 'IC Results' containing raw data from IC combined with info from sheey called 'Date Key' in this workboot</t>
  </si>
  <si>
    <t>Data imported from 'IC Results' workbook, link to raw datasheet ---&gt;</t>
  </si>
  <si>
    <t>Results reported in sheet called</t>
  </si>
  <si>
    <t>HLR Comparison</t>
  </si>
  <si>
    <t xml:space="preserve">Data from worksheet called </t>
  </si>
  <si>
    <t>Total Inorganic Nitrogen (TIN)</t>
  </si>
  <si>
    <t>Medium HLR</t>
  </si>
  <si>
    <t>LOW vs MEDIUM HLR</t>
  </si>
  <si>
    <t>MEDIUM vs HIGH HLR</t>
  </si>
  <si>
    <t>p&lt;0.05, ** p &lt; 0.01, *** p &lt; 0.001, NS = not significant</t>
  </si>
  <si>
    <t>P-value Significance</t>
  </si>
  <si>
    <t>Outlet Height Comparison</t>
  </si>
  <si>
    <t>TotalR12I11:Q25I11:O25</t>
  </si>
  <si>
    <t>LOW vs HIGH HLR</t>
  </si>
  <si>
    <t>Weir water?</t>
  </si>
  <si>
    <t>LOWER vs UPPER OUTLET HEIGHT</t>
  </si>
  <si>
    <t>Lower Outlet Height</t>
  </si>
  <si>
    <t>Upper Outlet Height</t>
  </si>
  <si>
    <t>Plant</t>
  </si>
  <si>
    <t>No Plant</t>
  </si>
  <si>
    <r>
      <rPr>
        <b/>
        <sz val="12"/>
        <color theme="1"/>
        <rFont val="Calibri"/>
        <family val="2"/>
        <scheme val="minor"/>
      </rPr>
      <t>% Removal by HLR</t>
    </r>
    <r>
      <rPr>
        <sz val="12"/>
        <color theme="1"/>
        <rFont val="Calibri"/>
        <family val="2"/>
        <scheme val="minor"/>
      </rPr>
      <t>, Lower Outlet Height, No Plant</t>
    </r>
  </si>
  <si>
    <r>
      <rPr>
        <b/>
        <sz val="12"/>
        <color theme="1"/>
        <rFont val="Calibri"/>
        <family val="2"/>
        <scheme val="minor"/>
      </rPr>
      <t>% Removal by Outlet Height</t>
    </r>
    <r>
      <rPr>
        <sz val="12"/>
        <color theme="1"/>
        <rFont val="Calibri"/>
        <family val="2"/>
        <scheme val="minor"/>
      </rPr>
      <t xml:space="preserve"> for High HLR, No Plant</t>
    </r>
  </si>
  <si>
    <r>
      <rPr>
        <b/>
        <sz val="12"/>
        <color theme="1"/>
        <rFont val="Calibri"/>
        <family val="2"/>
        <scheme val="minor"/>
      </rPr>
      <t xml:space="preserve">% Removal by Plant </t>
    </r>
    <r>
      <rPr>
        <sz val="12"/>
        <color theme="1"/>
        <rFont val="Calibri"/>
        <family val="2"/>
        <scheme val="minor"/>
      </rPr>
      <t>for High HLR, Lower Outlet Height</t>
    </r>
  </si>
  <si>
    <t>Tank 1 (CBA)</t>
  </si>
  <si>
    <t>Tank 2 (PBA)</t>
  </si>
  <si>
    <t>CPA vs PBA Comparison</t>
  </si>
  <si>
    <t>No Plant vs Plant Comparison</t>
  </si>
  <si>
    <t>No Plant vs Plant (Muhly plant added to enhance removal)</t>
  </si>
  <si>
    <t>CPA vs PBA</t>
  </si>
  <si>
    <r>
      <rPr>
        <b/>
        <sz val="12"/>
        <color theme="1"/>
        <rFont val="Calibri"/>
        <family val="2"/>
        <scheme val="minor"/>
      </rPr>
      <t xml:space="preserve">% Removal by Unit </t>
    </r>
    <r>
      <rPr>
        <sz val="12"/>
        <color theme="1"/>
        <rFont val="Calibri"/>
        <family val="2"/>
        <scheme val="minor"/>
      </rPr>
      <t>for Medium HLR, Upper Outlet Height, Plant</t>
    </r>
  </si>
  <si>
    <t>not included</t>
  </si>
  <si>
    <t>ANOVA TIN</t>
  </si>
  <si>
    <t>ANOVA TP</t>
  </si>
  <si>
    <t xml:space="preserve">Statistical Analysis using ANOVA on TIN data from sheet named 'ANOVA Data' </t>
  </si>
  <si>
    <t xml:space="preserve">Statistical Analysis using ANOVA on TP data from sheet named 'ANOVA Data' </t>
  </si>
  <si>
    <t>After F1 input, take a min to update</t>
  </si>
  <si>
    <t>Note: Only need to define cell F1 in sheet named 'Organized Data', everything else will be automaticaly generated, do not overwrite formulas</t>
  </si>
  <si>
    <r>
      <t xml:space="preserve">Select data to analyze from dropdown menu in cell </t>
    </r>
    <r>
      <rPr>
        <sz val="12"/>
        <color rgb="FFFF0000"/>
        <rFont val="Calibri"/>
        <family val="2"/>
        <scheme val="minor"/>
      </rPr>
      <t>F1</t>
    </r>
  </si>
  <si>
    <t>Total Phosphate (TP)</t>
  </si>
  <si>
    <t>Notes from Nick</t>
  </si>
  <si>
    <t>Data to use for excel ANOVA dependent on F1 input from 'Organized Data' sheet</t>
  </si>
  <si>
    <t>Select Data-&gt;Data Analysis-&gt;Anova: Single Factor; make sure TIN selected in cell F1</t>
  </si>
  <si>
    <t>Select Data-&gt;Data Analysis-&gt;Anova: Single Factor; make sure TP selected in cell F1</t>
  </si>
  <si>
    <t>Tables</t>
  </si>
  <si>
    <t>&lt;--- only change this index, everything else will automatically update</t>
  </si>
  <si>
    <t>Concentration (mg/L)</t>
  </si>
  <si>
    <t>Elapsed time (min)</t>
  </si>
  <si>
    <t>lineplot of influent runoff</t>
  </si>
  <si>
    <t>Alkalinity</t>
  </si>
  <si>
    <t>CBA Unit Average % Load Reduction</t>
  </si>
  <si>
    <t>Average % Total load removal</t>
  </si>
  <si>
    <t>PBA Unit Average % Load Reduction</t>
  </si>
  <si>
    <t>Medium HLR, Upper Outlet Height, Yes Plants</t>
  </si>
  <si>
    <t>Note: Results in blue are under optimal conditions</t>
  </si>
  <si>
    <t>Refer to</t>
  </si>
  <si>
    <t>Detailed Description</t>
  </si>
  <si>
    <t>Supporting data</t>
  </si>
  <si>
    <t>Complete monitoring of bioretention systems under optimal conditions</t>
  </si>
  <si>
    <t>Analyses of pre- and post-webinar surveys. </t>
  </si>
  <si>
    <t>Work on design guidelines for bioretention.   </t>
  </si>
  <si>
    <t>Additional phosphorus adsorbent media testing to determine media characteristics and removal capacity.  </t>
  </si>
  <si>
    <t>Status</t>
  </si>
  <si>
    <t>Complete</t>
  </si>
  <si>
    <t>In Progress</t>
  </si>
  <si>
    <t>SD</t>
  </si>
  <si>
    <t>Influent Concentrations</t>
  </si>
  <si>
    <t>CBA Unit Average Concentrations</t>
  </si>
  <si>
    <t>PBA Unit Average Concentrations</t>
  </si>
  <si>
    <t>2024 Annual Report</t>
  </si>
  <si>
    <t>2023 Annual Report</t>
  </si>
  <si>
    <t>Include 2022 Annual Report findings and progress up until Jan 2024</t>
  </si>
  <si>
    <t>2022 Annual Report</t>
  </si>
  <si>
    <t>Reports</t>
  </si>
  <si>
    <t>Final report, include 2023 Annual Report, Nick's thesis, Quarterly Report Year 3 Q1 (Jan-present '24), and new data from event 16-18</t>
  </si>
  <si>
    <t>Under optimal conditions (Medium HLR, Upper Outlet Height, w/ Plants), see 84% and 79% TIN removal and 54% and 7% TP removal for CBA and PBA units, respectively.</t>
  </si>
  <si>
    <t>Select Event #</t>
  </si>
  <si>
    <t>WQ</t>
  </si>
  <si>
    <t>INDEX</t>
  </si>
  <si>
    <t>Select from drop down, graph will automatically update</t>
  </si>
  <si>
    <t>Concentration Profile for each water quality parameter with respect to time</t>
  </si>
  <si>
    <t xml:space="preserve">Bar Chart: Overview of Unit Performance on TIN and TP Load Reduction </t>
  </si>
  <si>
    <t>Pre-webinar responses received; post-webinar responses still missing, awaiting response.</t>
  </si>
  <si>
    <t>Significant findings and Report Progress:</t>
  </si>
  <si>
    <t>At optimal condition (Event 16-19)</t>
  </si>
  <si>
    <t>[HOLD for BOXPLOT (WILCOXON RANK SUM TEST) for effect of HLR, Outlet height, and plant on load reduction]</t>
  </si>
  <si>
    <t>BRT</t>
  </si>
  <si>
    <t>L/s</t>
  </si>
  <si>
    <t>units</t>
  </si>
  <si>
    <t>acres</t>
  </si>
  <si>
    <t>m^2</t>
  </si>
  <si>
    <t>m^3/s</t>
  </si>
  <si>
    <t>cm^2</t>
  </si>
  <si>
    <t>cm^3/min</t>
  </si>
  <si>
    <t>cm^3/s</t>
  </si>
  <si>
    <t>% area used for bioretention</t>
  </si>
  <si>
    <t>Holmberg Farms Greenhouse (~12 acres)</t>
  </si>
  <si>
    <t>NRR</t>
  </si>
  <si>
    <t>NLR</t>
  </si>
  <si>
    <t xml:space="preserve">complete table </t>
  </si>
  <si>
    <t>CBA unit lower outlet</t>
  </si>
  <si>
    <t>PBA unit lower outlet</t>
  </si>
  <si>
    <t>CBA unit upper outlet</t>
  </si>
  <si>
    <t>PBA unit upper outlet</t>
  </si>
  <si>
    <t>MRT (min)</t>
  </si>
  <si>
    <t>MDI (t90/t10)</t>
  </si>
  <si>
    <t>t50/tau</t>
  </si>
  <si>
    <t>t50/MRT</t>
  </si>
  <si>
    <t>Variance (min)</t>
  </si>
  <si>
    <t>Standard Deviation (min)</t>
  </si>
  <si>
    <t>Variance (theta)</t>
  </si>
  <si>
    <t>Standard Deviation</t>
  </si>
  <si>
    <t xml:space="preserve">TIS n </t>
  </si>
  <si>
    <t>Mass Recovered (%)</t>
  </si>
  <si>
    <t>cm^3/cm^2/min</t>
  </si>
  <si>
    <t>min^-1</t>
  </si>
  <si>
    <t>CBA HRT</t>
  </si>
  <si>
    <t>PBA HRT</t>
  </si>
  <si>
    <t>CBA NLR</t>
  </si>
  <si>
    <t>PBA NLR</t>
  </si>
  <si>
    <t>mg/cm^3/min</t>
  </si>
  <si>
    <t>g/m^3/day</t>
  </si>
  <si>
    <t>Q (cm^3/min)</t>
  </si>
  <si>
    <t>Volume (cm^3)</t>
  </si>
  <si>
    <t>Volume (m^3)</t>
  </si>
  <si>
    <t>HRT = V/Q</t>
  </si>
  <si>
    <t>Q = HLR*A</t>
  </si>
  <si>
    <t>Length (m)</t>
  </si>
  <si>
    <t>Width (m)</t>
  </si>
  <si>
    <t>Height (m)</t>
  </si>
  <si>
    <t>CBA EBCT (min)</t>
  </si>
  <si>
    <t>PBA EBCT (min)</t>
  </si>
  <si>
    <t>EB Volume (cm^3)</t>
  </si>
  <si>
    <t>Area bioretention (cm^2)</t>
  </si>
  <si>
    <t>Qrunoff</t>
  </si>
  <si>
    <t>Area farm</t>
  </si>
  <si>
    <t xml:space="preserve"> SM+BC </t>
  </si>
  <si>
    <t>BC+SM+WC</t>
  </si>
  <si>
    <t>SM</t>
  </si>
  <si>
    <t>Gravel</t>
  </si>
  <si>
    <t>SM + WC</t>
  </si>
  <si>
    <t>Total Volume used (L)</t>
  </si>
  <si>
    <t>weight of water added (g)</t>
  </si>
  <si>
    <t>volume added (mL)</t>
  </si>
  <si>
    <t>Water seived out (g)</t>
  </si>
  <si>
    <t>Volume Seived out (mL)</t>
  </si>
  <si>
    <t xml:space="preserve">Total Porosity </t>
  </si>
  <si>
    <t xml:space="preserve">Effective porosity </t>
  </si>
  <si>
    <t>Layer Height (in)</t>
  </si>
  <si>
    <t>Volume in tank (L)</t>
  </si>
  <si>
    <t>Flow rate (L/s)</t>
  </si>
  <si>
    <t>Empty bed CT (s)</t>
  </si>
  <si>
    <t>Total EBCT</t>
  </si>
  <si>
    <t>HRT (s)</t>
  </si>
  <si>
    <t>HRT (min)</t>
  </si>
  <si>
    <t>Bottom outlet</t>
  </si>
  <si>
    <t>Top Outlet</t>
  </si>
  <si>
    <t>Tank 1 HRT</t>
  </si>
  <si>
    <t>Tank 2 HRT</t>
  </si>
  <si>
    <t>SM = HPS</t>
  </si>
  <si>
    <t>SM + BC = HPS + BC</t>
  </si>
  <si>
    <t>BC+SM+WC = BC + HPS + Woodchips</t>
  </si>
  <si>
    <t>Qt avg (ft3/s)</t>
  </si>
  <si>
    <t>Used HLR for following dates:</t>
  </si>
  <si>
    <t>Area of Greenhouse (acres)</t>
  </si>
  <si>
    <t>Area of Greenhouse (ft2)</t>
  </si>
  <si>
    <t>% area</t>
  </si>
  <si>
    <t>HLR (ft/s)</t>
  </si>
  <si>
    <t>cm/hr</t>
  </si>
  <si>
    <t>in/hr</t>
  </si>
  <si>
    <t>HLR (cm/s)</t>
  </si>
  <si>
    <t>Q pilot (ft3/s)</t>
  </si>
  <si>
    <t>Q pilot (L/s)</t>
  </si>
  <si>
    <t>time to fill up 4 L</t>
  </si>
  <si>
    <t>time to fill up 100 ml (s)</t>
  </si>
  <si>
    <t>SM + Gravel</t>
  </si>
  <si>
    <t>Total HRT if pooled up (s)</t>
  </si>
  <si>
    <t>Total HRT if pooled up (min)</t>
  </si>
  <si>
    <t>Area of BioRTU (ft2)</t>
  </si>
  <si>
    <t>EBCT</t>
  </si>
  <si>
    <t>Q (L/min)</t>
  </si>
  <si>
    <t>EBCT = Vempty/Q</t>
  </si>
  <si>
    <t>Q = EBCT*A</t>
  </si>
  <si>
    <t>Outlet height</t>
  </si>
  <si>
    <t>EBCT Lower (min)</t>
  </si>
  <si>
    <t>EBCT Upper (min)</t>
  </si>
  <si>
    <t>Volume (L)</t>
  </si>
  <si>
    <t>Area Bioretention (m^2)</t>
  </si>
  <si>
    <t>Area Bioretention (cm^2)</t>
  </si>
  <si>
    <t>Bioretention dimensions See pg 27-28 (Nick's thesis)</t>
  </si>
  <si>
    <t>EBCT Lower (hr)</t>
  </si>
  <si>
    <t>EBCT Upper (hr)</t>
  </si>
  <si>
    <t>Calculations</t>
  </si>
  <si>
    <t>Calculations include BRT unit dimensions, volume, area, EBCT, etc.</t>
  </si>
  <si>
    <t>Used to calculate/plot NLR vs. NRR</t>
  </si>
  <si>
    <t>Figures</t>
  </si>
  <si>
    <t>Figures plotted from data from 'Tables' sheet</t>
  </si>
  <si>
    <t>Tables generated from data from 'Organized Data' sheet and sheets (hidden)</t>
  </si>
  <si>
    <t>Tables of data</t>
  </si>
  <si>
    <t>Figures of data</t>
  </si>
  <si>
    <t>Figures and final report of data; contains all water quality data.</t>
  </si>
  <si>
    <t>TIN (%)</t>
  </si>
  <si>
    <t>TP (%)</t>
  </si>
  <si>
    <t>Average total load reductions (%) for each HLR at the lower outlet height</t>
  </si>
  <si>
    <t>Average total load reductions (%) for each outlet height</t>
  </si>
  <si>
    <t>=A50</t>
  </si>
  <si>
    <t>Average total load reductions (%) with and without Muhly grass</t>
  </si>
  <si>
    <r>
      <t>NH</t>
    </r>
    <r>
      <rPr>
        <vertAlign val="subscript"/>
        <sz val="11"/>
        <color rgb="FF000000"/>
        <rFont val="Calibri"/>
        <family val="2"/>
        <scheme val="minor"/>
      </rPr>
      <t>4</t>
    </r>
    <r>
      <rPr>
        <vertAlign val="superscript"/>
        <sz val="11"/>
        <color rgb="FF000000"/>
        <rFont val="Calibri"/>
        <family val="2"/>
        <scheme val="minor"/>
      </rPr>
      <t>+</t>
    </r>
    <r>
      <rPr>
        <sz val="11"/>
        <color rgb="FF000000"/>
        <rFont val="Calibri"/>
        <family val="2"/>
        <scheme val="minor"/>
      </rPr>
      <t>-N (mg N/L)</t>
    </r>
  </si>
  <si>
    <r>
      <t>NO</t>
    </r>
    <r>
      <rPr>
        <vertAlign val="subscript"/>
        <sz val="11"/>
        <color rgb="FF000000"/>
        <rFont val="Calibri"/>
        <family val="2"/>
        <scheme val="minor"/>
      </rPr>
      <t>2</t>
    </r>
    <r>
      <rPr>
        <vertAlign val="superscript"/>
        <sz val="11"/>
        <color rgb="FF000000"/>
        <rFont val="Calibri"/>
        <family val="2"/>
        <scheme val="minor"/>
      </rPr>
      <t>-</t>
    </r>
    <r>
      <rPr>
        <sz val="11"/>
        <color rgb="FF000000"/>
        <rFont val="Calibri"/>
        <family val="2"/>
        <scheme val="minor"/>
      </rPr>
      <t>-N (mg N/L)</t>
    </r>
  </si>
  <si>
    <r>
      <t>NO</t>
    </r>
    <r>
      <rPr>
        <vertAlign val="subscript"/>
        <sz val="11"/>
        <color rgb="FF000000"/>
        <rFont val="Calibri"/>
        <family val="2"/>
        <scheme val="minor"/>
      </rPr>
      <t>3</t>
    </r>
    <r>
      <rPr>
        <vertAlign val="superscript"/>
        <sz val="11"/>
        <color rgb="FF000000"/>
        <rFont val="Calibri"/>
        <family val="2"/>
        <scheme val="minor"/>
      </rPr>
      <t>-</t>
    </r>
    <r>
      <rPr>
        <sz val="11"/>
        <color rgb="FF000000"/>
        <rFont val="Calibri"/>
        <family val="2"/>
        <scheme val="minor"/>
      </rPr>
      <t>-N (mg N/L)</t>
    </r>
  </si>
  <si>
    <r>
      <t>PO</t>
    </r>
    <r>
      <rPr>
        <vertAlign val="subscript"/>
        <sz val="11"/>
        <color rgb="FF000000"/>
        <rFont val="Calibri"/>
        <family val="2"/>
        <scheme val="minor"/>
      </rPr>
      <t>4</t>
    </r>
    <r>
      <rPr>
        <vertAlign val="superscript"/>
        <sz val="11"/>
        <color rgb="FF000000"/>
        <rFont val="Calibri"/>
        <family val="2"/>
        <scheme val="minor"/>
      </rPr>
      <t>3-</t>
    </r>
    <r>
      <rPr>
        <sz val="11"/>
        <color rgb="FF000000"/>
        <rFont val="Calibri"/>
        <family val="2"/>
        <scheme val="minor"/>
      </rPr>
      <t>-P (mg P/L)</t>
    </r>
  </si>
  <si>
    <t>TN (mg/L)</t>
  </si>
  <si>
    <t>TP (mg/L)</t>
  </si>
  <si>
    <t>COD (mg/L)</t>
  </si>
  <si>
    <r>
      <t>Alkalinity (mg CaCO</t>
    </r>
    <r>
      <rPr>
        <vertAlign val="subscript"/>
        <sz val="11"/>
        <color rgb="FF000000"/>
        <rFont val="Calibri"/>
        <family val="2"/>
        <scheme val="minor"/>
      </rPr>
      <t>3</t>
    </r>
    <r>
      <rPr>
        <sz val="11"/>
        <color rgb="FF000000"/>
        <rFont val="Calibri"/>
        <family val="2"/>
        <scheme val="minor"/>
      </rPr>
      <t>/L)</t>
    </r>
  </si>
  <si>
    <t>Average Influent</t>
  </si>
  <si>
    <t>Average Effluent</t>
  </si>
  <si>
    <r>
      <t xml:space="preserve">Average influent and effluent concentrations of </t>
    </r>
    <r>
      <rPr>
        <sz val="12"/>
        <color rgb="FF000000"/>
        <rFont val="Calibri"/>
        <family val="2"/>
        <scheme val="minor"/>
      </rPr>
      <t>TN, TP, NO</t>
    </r>
    <r>
      <rPr>
        <vertAlign val="subscript"/>
        <sz val="12"/>
        <color rgb="FF000000"/>
        <rFont val="Calibri"/>
        <family val="2"/>
        <scheme val="minor"/>
      </rPr>
      <t>2</t>
    </r>
    <r>
      <rPr>
        <vertAlign val="superscript"/>
        <sz val="12"/>
        <color rgb="FF000000"/>
        <rFont val="Calibri"/>
        <family val="2"/>
        <scheme val="minor"/>
      </rPr>
      <t>-</t>
    </r>
    <r>
      <rPr>
        <sz val="12"/>
        <color rgb="FF000000"/>
        <rFont val="Calibri"/>
        <family val="2"/>
        <scheme val="minor"/>
      </rPr>
      <t>, NO</t>
    </r>
    <r>
      <rPr>
        <vertAlign val="subscript"/>
        <sz val="12"/>
        <color rgb="FF000000"/>
        <rFont val="Calibri"/>
        <family val="2"/>
        <scheme val="minor"/>
      </rPr>
      <t>3</t>
    </r>
    <r>
      <rPr>
        <vertAlign val="superscript"/>
        <sz val="12"/>
        <color rgb="FF000000"/>
        <rFont val="Calibri"/>
        <family val="2"/>
        <scheme val="minor"/>
      </rPr>
      <t>-</t>
    </r>
    <r>
      <rPr>
        <sz val="12"/>
        <color rgb="FF000000"/>
        <rFont val="Calibri"/>
        <family val="2"/>
        <scheme val="minor"/>
      </rPr>
      <t>, PO</t>
    </r>
    <r>
      <rPr>
        <vertAlign val="subscript"/>
        <sz val="12"/>
        <color rgb="FF000000"/>
        <rFont val="Calibri"/>
        <family val="2"/>
        <scheme val="minor"/>
      </rPr>
      <t>4</t>
    </r>
    <r>
      <rPr>
        <vertAlign val="superscript"/>
        <sz val="12"/>
        <color rgb="FF000000"/>
        <rFont val="Calibri"/>
        <family val="2"/>
        <scheme val="minor"/>
      </rPr>
      <t>3-</t>
    </r>
    <r>
      <rPr>
        <sz val="12"/>
        <color rgb="FF000000"/>
        <rFont val="Calibri"/>
        <family val="2"/>
        <scheme val="minor"/>
      </rPr>
      <t>, NH</t>
    </r>
    <r>
      <rPr>
        <vertAlign val="subscript"/>
        <sz val="12"/>
        <color rgb="FF000000"/>
        <rFont val="Calibri"/>
        <family val="2"/>
        <scheme val="minor"/>
      </rPr>
      <t>4</t>
    </r>
    <r>
      <rPr>
        <vertAlign val="superscript"/>
        <sz val="12"/>
        <color rgb="FF000000"/>
        <rFont val="Calibri"/>
        <family val="2"/>
        <scheme val="minor"/>
      </rPr>
      <t>+</t>
    </r>
    <r>
      <rPr>
        <sz val="12"/>
        <color rgb="FF000000"/>
        <rFont val="Calibri"/>
        <family val="2"/>
        <scheme val="minor"/>
      </rPr>
      <t>, COD, Alkalinity, and pH</t>
    </r>
    <r>
      <rPr>
        <sz val="12"/>
        <color theme="1"/>
        <rFont val="Calibri"/>
        <family val="2"/>
        <scheme val="minor"/>
      </rPr>
      <t xml:space="preserve"> from Runoff Events 1, 2, and 3, and the corresponding removal percentages.</t>
    </r>
  </si>
  <si>
    <t>CBA Effluent Concentrations</t>
  </si>
  <si>
    <t>Average % Removal</t>
  </si>
  <si>
    <t>NH4-N (mg/L)</t>
  </si>
  <si>
    <t>NO2-N (mg/L)</t>
  </si>
  <si>
    <t>NO3-N (mg/L)</t>
  </si>
  <si>
    <t>TIN (mg/L)</t>
  </si>
  <si>
    <t>Alkalinity (mg/L as CaCO3)</t>
  </si>
  <si>
    <t>PO4-P (mg/L)</t>
  </si>
  <si>
    <t>SO4 (mg/L)</t>
  </si>
  <si>
    <t>DO (mg/L)</t>
  </si>
  <si>
    <t>Event 1 and 3</t>
  </si>
  <si>
    <t>CBA and PBA</t>
  </si>
  <si>
    <r>
      <t>SO</t>
    </r>
    <r>
      <rPr>
        <vertAlign val="subscript"/>
        <sz val="11"/>
        <color rgb="FF000000"/>
        <rFont val="Calibri"/>
        <family val="2"/>
        <scheme val="minor"/>
      </rPr>
      <t>4</t>
    </r>
    <r>
      <rPr>
        <vertAlign val="superscript"/>
        <sz val="11"/>
        <color rgb="FF000000"/>
        <rFont val="Calibri"/>
        <family val="2"/>
        <scheme val="minor"/>
      </rPr>
      <t>2-</t>
    </r>
    <r>
      <rPr>
        <sz val="11"/>
        <color rgb="FF000000"/>
        <rFont val="Calibri"/>
        <family val="2"/>
        <scheme val="minor"/>
      </rPr>
      <t>-S (mg S/L)</t>
    </r>
  </si>
  <si>
    <t>CBA and PBA Average Effluent Concentrations (mg/L)</t>
  </si>
  <si>
    <t>Influent Concentrations (mg/L)</t>
  </si>
  <si>
    <t>CBA and PBA Combined Unit Average % Total Load Reduction</t>
  </si>
  <si>
    <t>PBA Effluent Concentrations</t>
  </si>
  <si>
    <t>All Events (1, 3-18)</t>
  </si>
  <si>
    <t>Average NRR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</si>
</sst>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0.0"/>
    <numFmt numFmtId="165" formatCode="0.000"/>
    <numFmt numFmtId="166" formatCode="[$-409]d\-mmm\-yy;@"/>
    <numFmt numFmtId="167" formatCode="0.0%"/>
    <numFmt numFmtId="168" formatCode="0.0000"/>
    <numFmt numFmtId="169" formatCode="0.00000"/>
  </numFmts>
  <fonts count="37" x14ac:knownFonts="1">
    <font>
      <sz val="12"/>
      <color theme="1"/>
      <name val="Calibri"/>
      <family val="2"/>
      <scheme val="minor"/>
    </font>
    <font>
      <sz val="11"/>
      <color theme="1"/>
      <name val="Calibri"/>
      <family val="2"/>
      <scheme val="minor"/>
    </font>
    <font>
      <b/>
      <sz val="12"/>
      <color theme="1"/>
      <name val="Calibri"/>
      <family val="2"/>
      <scheme val="minor"/>
    </font>
    <font>
      <sz val="11"/>
      <color theme="1"/>
      <name val="Calibri"/>
      <family val="2"/>
    </font>
    <font>
      <b/>
      <sz val="11"/>
      <color theme="1"/>
      <name val="Calibri"/>
      <family val="2"/>
    </font>
    <font>
      <i/>
      <sz val="12"/>
      <color theme="1"/>
      <name val="Calibri"/>
      <family val="2"/>
      <scheme val="minor"/>
    </font>
    <font>
      <sz val="12"/>
      <color rgb="FFFF0000"/>
      <name val="Calibri"/>
      <family val="2"/>
      <scheme val="minor"/>
    </font>
    <font>
      <u/>
      <sz val="12"/>
      <color theme="1"/>
      <name val="Calibri"/>
      <family val="2"/>
      <scheme val="minor"/>
    </font>
    <font>
      <b/>
      <sz val="12"/>
      <name val="Calibri"/>
      <family val="2"/>
      <scheme val="minor"/>
    </font>
    <font>
      <u/>
      <sz val="12"/>
      <color theme="10"/>
      <name val="Calibri"/>
      <family val="2"/>
      <scheme val="minor"/>
    </font>
    <font>
      <sz val="8"/>
      <name val="Calibri"/>
      <family val="2"/>
      <scheme val="minor"/>
    </font>
    <font>
      <b/>
      <sz val="14"/>
      <color theme="1"/>
      <name val="Calibri"/>
      <family val="2"/>
      <scheme val="minor"/>
    </font>
    <font>
      <b/>
      <sz val="16"/>
      <color theme="1"/>
      <name val="Calibri"/>
      <family val="2"/>
      <scheme val="minor"/>
    </font>
    <font>
      <b/>
      <sz val="18"/>
      <color theme="1"/>
      <name val="Calibri"/>
      <family val="2"/>
      <scheme val="minor"/>
    </font>
    <font>
      <b/>
      <sz val="14"/>
      <color rgb="FFFF0000"/>
      <name val="Calibri"/>
      <family val="2"/>
      <scheme val="minor"/>
    </font>
    <font>
      <b/>
      <sz val="16"/>
      <color rgb="FFFF0000"/>
      <name val="Calibri"/>
      <family val="2"/>
      <scheme val="minor"/>
    </font>
    <font>
      <b/>
      <sz val="12"/>
      <color rgb="FF0070C0"/>
      <name val="Calibri"/>
      <family val="2"/>
      <scheme val="minor"/>
    </font>
    <font>
      <sz val="9"/>
      <color theme="1"/>
      <name val="Times New Roman"/>
      <family val="1"/>
    </font>
    <font>
      <sz val="12"/>
      <color theme="8" tint="-0.499984740745262"/>
      <name val="Calibri"/>
      <family val="2"/>
      <scheme val="minor"/>
    </font>
    <font>
      <b/>
      <sz val="12"/>
      <color theme="8" tint="-0.499984740745262"/>
      <name val="Calibri"/>
      <family val="2"/>
      <scheme val="minor"/>
    </font>
    <font>
      <sz val="9"/>
      <color indexed="81"/>
      <name val="Tahoma"/>
      <family val="2"/>
    </font>
    <font>
      <b/>
      <sz val="9"/>
      <color indexed="81"/>
      <name val="Tahoma"/>
      <family val="2"/>
    </font>
    <font>
      <b/>
      <u/>
      <sz val="12"/>
      <color theme="1"/>
      <name val="Calibri"/>
      <family val="2"/>
      <scheme val="minor"/>
    </font>
    <font>
      <b/>
      <sz val="12"/>
      <color rgb="FFFF0000"/>
      <name val="Calibri"/>
      <family val="2"/>
      <scheme val="minor"/>
    </font>
    <font>
      <sz val="22"/>
      <color theme="1"/>
      <name val="Calibri"/>
      <family val="2"/>
      <scheme val="minor"/>
    </font>
    <font>
      <b/>
      <sz val="22"/>
      <color theme="1"/>
      <name val="Calibri"/>
      <family val="2"/>
      <scheme val="minor"/>
    </font>
    <font>
      <sz val="12"/>
      <color theme="1"/>
      <name val="Calibri"/>
      <family val="2"/>
      <scheme val="minor"/>
    </font>
    <font>
      <sz val="8"/>
      <color theme="1"/>
      <name val="Calibri"/>
      <family val="2"/>
      <scheme val="minor"/>
    </font>
    <font>
      <b/>
      <sz val="11"/>
      <color theme="1"/>
      <name val="Calibri"/>
      <family val="2"/>
      <scheme val="minor"/>
    </font>
    <font>
      <sz val="11"/>
      <color rgb="FF000000"/>
      <name val="Aptos Narrow"/>
      <family val="2"/>
    </font>
    <font>
      <sz val="8"/>
      <color rgb="FF242424"/>
      <name val="Aptos"/>
      <family val="2"/>
    </font>
    <font>
      <sz val="11"/>
      <color rgb="FF000000"/>
      <name val="Calibri"/>
      <family val="2"/>
      <scheme val="minor"/>
    </font>
    <font>
      <vertAlign val="subscript"/>
      <sz val="11"/>
      <color rgb="FF000000"/>
      <name val="Calibri"/>
      <family val="2"/>
      <scheme val="minor"/>
    </font>
    <font>
      <vertAlign val="superscript"/>
      <sz val="11"/>
      <color rgb="FF000000"/>
      <name val="Calibri"/>
      <family val="2"/>
      <scheme val="minor"/>
    </font>
    <font>
      <sz val="12"/>
      <color rgb="FF000000"/>
      <name val="Calibri"/>
      <family val="2"/>
      <scheme val="minor"/>
    </font>
    <font>
      <vertAlign val="subscript"/>
      <sz val="12"/>
      <color rgb="FF000000"/>
      <name val="Calibri"/>
      <family val="2"/>
      <scheme val="minor"/>
    </font>
    <font>
      <vertAlign val="superscript"/>
      <sz val="12"/>
      <color rgb="FF000000"/>
      <name val="Calibri"/>
      <family val="2"/>
      <scheme val="minor"/>
    </font>
  </fonts>
  <fills count="7">
    <fill>
      <patternFill patternType="none"/>
    </fill>
    <fill>
      <patternFill patternType="gray125"/>
    </fill>
    <fill>
      <patternFill patternType="solid">
        <fgColor rgb="FFFFC000"/>
        <bgColor indexed="64"/>
      </patternFill>
    </fill>
    <fill>
      <patternFill patternType="solid">
        <fgColor theme="7" tint="0.79998168889431442"/>
        <bgColor indexed="64"/>
      </patternFill>
    </fill>
    <fill>
      <patternFill patternType="solid">
        <fgColor rgb="FFFFFF00"/>
        <bgColor indexed="64"/>
      </patternFill>
    </fill>
    <fill>
      <patternFill patternType="solid">
        <fgColor theme="9" tint="0.39997558519241921"/>
        <bgColor indexed="64"/>
      </patternFill>
    </fill>
    <fill>
      <patternFill patternType="solid">
        <fgColor theme="9" tint="0.79998168889431442"/>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top style="medium">
        <color indexed="64"/>
      </top>
      <bottom style="thin">
        <color indexed="64"/>
      </bottom>
      <diagonal/>
    </border>
    <border>
      <left style="thin">
        <color indexed="64"/>
      </left>
      <right style="thin">
        <color indexed="64"/>
      </right>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right/>
      <top style="thin">
        <color indexed="64"/>
      </top>
      <bottom/>
      <diagonal/>
    </border>
    <border>
      <left/>
      <right style="thin">
        <color indexed="64"/>
      </right>
      <top/>
      <bottom/>
      <diagonal/>
    </border>
    <border>
      <left/>
      <right style="thin">
        <color indexed="64"/>
      </right>
      <top/>
      <bottom style="thin">
        <color indexed="64"/>
      </bottom>
      <diagonal/>
    </border>
    <border>
      <left style="thin">
        <color theme="0"/>
      </left>
      <right style="thin">
        <color theme="0"/>
      </right>
      <top style="thin">
        <color theme="0"/>
      </top>
      <bottom style="thin">
        <color theme="0"/>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s>
  <cellStyleXfs count="4">
    <xf numFmtId="0" fontId="0" fillId="0" borderId="0"/>
    <xf numFmtId="0" fontId="9" fillId="0" borderId="0" applyNumberFormat="0" applyFill="0" applyBorder="0" applyAlignment="0" applyProtection="0"/>
    <xf numFmtId="9" fontId="26" fillId="0" borderId="0" applyFont="0" applyFill="0" applyBorder="0" applyAlignment="0" applyProtection="0"/>
    <xf numFmtId="0" fontId="1" fillId="0" borderId="0"/>
  </cellStyleXfs>
  <cellXfs count="174">
    <xf numFmtId="0" fontId="0" fillId="0" borderId="0" xfId="0"/>
    <xf numFmtId="2" fontId="0" fillId="0" borderId="0" xfId="0" applyNumberFormat="1"/>
    <xf numFmtId="2" fontId="3" fillId="0" borderId="0" xfId="0" applyNumberFormat="1" applyFont="1"/>
    <xf numFmtId="164" fontId="0" fillId="0" borderId="0" xfId="0" applyNumberFormat="1"/>
    <xf numFmtId="0" fontId="0" fillId="0" borderId="0" xfId="0" applyAlignment="1">
      <alignment horizontal="center" vertical="center"/>
    </xf>
    <xf numFmtId="0" fontId="2" fillId="0" borderId="1" xfId="0" applyFont="1" applyBorder="1" applyAlignment="1">
      <alignment horizontal="center" vertical="center" wrapText="1"/>
    </xf>
    <xf numFmtId="0" fontId="0" fillId="0" borderId="1" xfId="0" applyBorder="1" applyAlignment="1">
      <alignment horizontal="center" vertical="center"/>
    </xf>
    <xf numFmtId="0" fontId="4" fillId="0" borderId="1" xfId="0" applyFont="1" applyBorder="1" applyAlignment="1">
      <alignment horizontal="center" vertical="center" wrapText="1"/>
    </xf>
    <xf numFmtId="49" fontId="0" fillId="0" borderId="1" xfId="0" applyNumberFormat="1" applyBorder="1" applyAlignment="1">
      <alignment horizontal="center" vertical="center"/>
    </xf>
    <xf numFmtId="2" fontId="0" fillId="0" borderId="1" xfId="0" applyNumberFormat="1" applyBorder="1" applyAlignment="1">
      <alignment horizontal="center" vertical="center"/>
    </xf>
    <xf numFmtId="0" fontId="2" fillId="0" borderId="0" xfId="0" applyFont="1"/>
    <xf numFmtId="2" fontId="0" fillId="0" borderId="0" xfId="0" applyNumberFormat="1" applyAlignment="1">
      <alignment horizontal="center" vertical="center"/>
    </xf>
    <xf numFmtId="0" fontId="0" fillId="0" borderId="2" xfId="0" applyBorder="1"/>
    <xf numFmtId="0" fontId="5" fillId="0" borderId="3" xfId="0" applyFont="1" applyBorder="1" applyAlignment="1">
      <alignment horizontal="center"/>
    </xf>
    <xf numFmtId="165" fontId="0" fillId="0" borderId="0" xfId="0" applyNumberFormat="1"/>
    <xf numFmtId="0" fontId="2" fillId="0" borderId="0" xfId="0" applyFont="1" applyAlignment="1">
      <alignment vertical="center"/>
    </xf>
    <xf numFmtId="164" fontId="0" fillId="0" borderId="1" xfId="0" applyNumberFormat="1" applyBorder="1" applyAlignment="1">
      <alignment horizontal="center" vertical="center"/>
    </xf>
    <xf numFmtId="10" fontId="0" fillId="0" borderId="0" xfId="0" applyNumberFormat="1" applyAlignment="1">
      <alignment horizontal="center" vertical="center"/>
    </xf>
    <xf numFmtId="0" fontId="0" fillId="0" borderId="0" xfId="0" applyAlignment="1">
      <alignment horizontal="center" vertical="center" wrapText="1"/>
    </xf>
    <xf numFmtId="0" fontId="2" fillId="0" borderId="0" xfId="0" applyFont="1" applyAlignment="1">
      <alignment horizontal="center" vertical="center" wrapText="1"/>
    </xf>
    <xf numFmtId="0" fontId="2" fillId="0" borderId="0" xfId="0" applyFont="1" applyAlignment="1">
      <alignment horizontal="center" vertical="center"/>
    </xf>
    <xf numFmtId="0" fontId="6" fillId="0" borderId="0" xfId="0" applyFont="1"/>
    <xf numFmtId="49" fontId="0" fillId="0" borderId="0" xfId="0" applyNumberFormat="1" applyAlignment="1">
      <alignment horizontal="center" vertical="center"/>
    </xf>
    <xf numFmtId="0" fontId="2" fillId="0" borderId="9" xfId="0" applyFont="1" applyBorder="1" applyAlignment="1">
      <alignment horizontal="center" vertical="center" wrapText="1"/>
    </xf>
    <xf numFmtId="0" fontId="3" fillId="0" borderId="0" xfId="0" applyFont="1" applyAlignment="1">
      <alignment horizontal="center" vertical="center"/>
    </xf>
    <xf numFmtId="0" fontId="0" fillId="0" borderId="0" xfId="0" quotePrefix="1" applyAlignment="1">
      <alignment horizontal="center" vertical="center"/>
    </xf>
    <xf numFmtId="0" fontId="0" fillId="0" borderId="0" xfId="0" applyAlignment="1">
      <alignment horizontal="left" vertical="center"/>
    </xf>
    <xf numFmtId="0" fontId="0" fillId="0" borderId="5" xfId="0" applyBorder="1" applyAlignment="1">
      <alignment horizontal="center" vertical="center"/>
    </xf>
    <xf numFmtId="2" fontId="0" fillId="0" borderId="5" xfId="0" applyNumberFormat="1" applyBorder="1" applyAlignment="1">
      <alignment horizontal="center" vertical="center"/>
    </xf>
    <xf numFmtId="0" fontId="8" fillId="0" borderId="0" xfId="0" applyFont="1"/>
    <xf numFmtId="49" fontId="0" fillId="0" borderId="0" xfId="0" applyNumberFormat="1" applyAlignment="1">
      <alignment horizontal="left" vertical="center"/>
    </xf>
    <xf numFmtId="0" fontId="2" fillId="0" borderId="9" xfId="0" applyFont="1"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4" xfId="0" applyBorder="1" applyAlignment="1">
      <alignment horizontal="center" vertical="center"/>
    </xf>
    <xf numFmtId="0" fontId="9" fillId="0" borderId="0" xfId="1"/>
    <xf numFmtId="0" fontId="2" fillId="3" borderId="0" xfId="0" applyFont="1" applyFill="1" applyAlignment="1">
      <alignment horizontal="center" vertical="center" wrapText="1"/>
    </xf>
    <xf numFmtId="0" fontId="13" fillId="0" borderId="0" xfId="0" applyFont="1" applyAlignment="1">
      <alignment vertical="center"/>
    </xf>
    <xf numFmtId="0" fontId="13" fillId="0" borderId="0" xfId="0" applyFont="1"/>
    <xf numFmtId="0" fontId="11" fillId="0" borderId="5" xfId="0" applyFont="1" applyBorder="1"/>
    <xf numFmtId="166" fontId="2" fillId="3" borderId="0" xfId="0" applyNumberFormat="1" applyFont="1" applyFill="1" applyAlignment="1">
      <alignment horizontal="center" vertical="center" wrapText="1"/>
    </xf>
    <xf numFmtId="166" fontId="0" fillId="0" borderId="0" xfId="0" applyNumberFormat="1" applyAlignment="1">
      <alignment horizontal="center" vertical="center"/>
    </xf>
    <xf numFmtId="166" fontId="0" fillId="0" borderId="5" xfId="0" applyNumberFormat="1" applyBorder="1" applyAlignment="1">
      <alignment horizontal="center" vertical="center"/>
    </xf>
    <xf numFmtId="166" fontId="0" fillId="0" borderId="9" xfId="0" applyNumberFormat="1" applyBorder="1" applyAlignment="1">
      <alignment horizontal="center" vertical="center"/>
    </xf>
    <xf numFmtId="166" fontId="0" fillId="0" borderId="10" xfId="0" applyNumberFormat="1" applyBorder="1" applyAlignment="1">
      <alignment horizontal="center" vertical="center"/>
    </xf>
    <xf numFmtId="166" fontId="0" fillId="0" borderId="4" xfId="0" applyNumberFormat="1" applyBorder="1" applyAlignment="1">
      <alignment horizontal="center" vertical="center"/>
    </xf>
    <xf numFmtId="164" fontId="0" fillId="0" borderId="0" xfId="0" applyNumberFormat="1" applyAlignment="1">
      <alignment horizontal="center" vertical="center"/>
    </xf>
    <xf numFmtId="165" fontId="0" fillId="0" borderId="0" xfId="0" applyNumberFormat="1" applyAlignment="1">
      <alignment horizontal="center" vertical="center"/>
    </xf>
    <xf numFmtId="164" fontId="0" fillId="0" borderId="5" xfId="0" applyNumberFormat="1" applyBorder="1" applyAlignment="1">
      <alignment horizontal="center" vertical="center"/>
    </xf>
    <xf numFmtId="164" fontId="0" fillId="0" borderId="0" xfId="0" applyNumberFormat="1" applyAlignment="1">
      <alignment horizontal="center" vertical="center" wrapText="1"/>
    </xf>
    <xf numFmtId="0" fontId="13" fillId="0" borderId="0" xfId="0" applyFont="1" applyAlignment="1">
      <alignment horizontal="left" vertical="center"/>
    </xf>
    <xf numFmtId="0" fontId="0" fillId="0" borderId="5" xfId="0" applyBorder="1" applyAlignment="1">
      <alignment horizontal="left" vertical="center"/>
    </xf>
    <xf numFmtId="0" fontId="12" fillId="0" borderId="0" xfId="0" applyFont="1" applyAlignment="1">
      <alignment horizontal="left" vertical="center"/>
    </xf>
    <xf numFmtId="0" fontId="9" fillId="0" borderId="0" xfId="1" quotePrefix="1" applyBorder="1" applyAlignment="1">
      <alignment horizontal="left" vertical="center"/>
    </xf>
    <xf numFmtId="0" fontId="9" fillId="0" borderId="0" xfId="1" applyAlignment="1">
      <alignment horizontal="left" vertical="center"/>
    </xf>
    <xf numFmtId="0" fontId="9" fillId="0" borderId="0" xfId="1" quotePrefix="1"/>
    <xf numFmtId="0" fontId="15" fillId="0" borderId="0" xfId="0" applyFont="1"/>
    <xf numFmtId="0" fontId="16" fillId="0" borderId="0" xfId="0" applyFont="1"/>
    <xf numFmtId="0" fontId="9" fillId="0" borderId="0" xfId="1" quotePrefix="1" applyAlignment="1">
      <alignment horizontal="left" vertical="center"/>
    </xf>
    <xf numFmtId="0" fontId="0" fillId="2" borderId="0" xfId="0" applyFill="1"/>
    <xf numFmtId="0" fontId="5" fillId="2" borderId="3" xfId="0" applyFont="1" applyFill="1" applyBorder="1" applyAlignment="1">
      <alignment horizontal="center"/>
    </xf>
    <xf numFmtId="0" fontId="17" fillId="0" borderId="0" xfId="0" applyFont="1"/>
    <xf numFmtId="0" fontId="0" fillId="0" borderId="0" xfId="0" applyAlignment="1">
      <alignment vertical="center" wrapText="1"/>
    </xf>
    <xf numFmtId="49" fontId="0" fillId="0" borderId="0" xfId="0" applyNumberFormat="1" applyAlignment="1">
      <alignment horizontal="center" vertical="center" wrapText="1"/>
    </xf>
    <xf numFmtId="0" fontId="0" fillId="0" borderId="0" xfId="0" applyAlignment="1">
      <alignment wrapText="1"/>
    </xf>
    <xf numFmtId="166" fontId="0" fillId="0" borderId="0" xfId="0" applyNumberFormat="1"/>
    <xf numFmtId="166" fontId="0" fillId="0" borderId="0" xfId="0" applyNumberFormat="1" applyAlignment="1">
      <alignment horizontal="center" vertical="center" wrapText="1"/>
    </xf>
    <xf numFmtId="166" fontId="6" fillId="0" borderId="0" xfId="0" applyNumberFormat="1" applyFont="1" applyAlignment="1">
      <alignment horizontal="center" vertical="center" wrapText="1"/>
    </xf>
    <xf numFmtId="0" fontId="6" fillId="0" borderId="0" xfId="0" applyFont="1" applyAlignment="1">
      <alignment horizontal="center" vertical="center" wrapText="1"/>
    </xf>
    <xf numFmtId="164" fontId="6" fillId="0" borderId="0" xfId="0" applyNumberFormat="1" applyFont="1" applyAlignment="1">
      <alignment horizontal="center" vertical="center" wrapText="1"/>
    </xf>
    <xf numFmtId="0" fontId="14" fillId="0" borderId="1" xfId="0" applyFont="1" applyBorder="1" applyAlignment="1">
      <alignment horizontal="center" vertical="center"/>
    </xf>
    <xf numFmtId="49" fontId="6" fillId="0" borderId="0" xfId="0" applyNumberFormat="1" applyFont="1" applyAlignment="1">
      <alignment horizontal="center" vertical="center" wrapText="1"/>
    </xf>
    <xf numFmtId="49" fontId="0" fillId="0" borderId="0" xfId="0" applyNumberFormat="1"/>
    <xf numFmtId="49" fontId="0" fillId="0" borderId="1" xfId="0" applyNumberFormat="1" applyBorder="1" applyAlignment="1">
      <alignment horizontal="center" vertical="center" wrapText="1"/>
    </xf>
    <xf numFmtId="49" fontId="19" fillId="0" borderId="1" xfId="0" applyNumberFormat="1" applyFont="1" applyBorder="1" applyAlignment="1">
      <alignment horizontal="center" vertical="center"/>
    </xf>
    <xf numFmtId="49" fontId="19" fillId="0" borderId="1" xfId="0" applyNumberFormat="1" applyFont="1" applyBorder="1" applyAlignment="1">
      <alignment horizontal="center" vertical="center" wrapText="1"/>
    </xf>
    <xf numFmtId="0" fontId="19" fillId="0" borderId="1" xfId="0" applyFont="1" applyBorder="1" applyAlignment="1">
      <alignment horizontal="center" vertical="center"/>
    </xf>
    <xf numFmtId="2" fontId="19" fillId="0" borderId="1" xfId="0" applyNumberFormat="1" applyFont="1" applyBorder="1" applyAlignment="1">
      <alignment horizontal="center" vertical="center"/>
    </xf>
    <xf numFmtId="0" fontId="18" fillId="0" borderId="0" xfId="0" applyFont="1"/>
    <xf numFmtId="0" fontId="12" fillId="0" borderId="0" xfId="0" applyFont="1"/>
    <xf numFmtId="0" fontId="0" fillId="0" borderId="0" xfId="0" applyAlignment="1">
      <alignment horizontal="left" vertical="center" wrapText="1"/>
    </xf>
    <xf numFmtId="0" fontId="0" fillId="0" borderId="10" xfId="0" applyBorder="1" applyAlignment="1">
      <alignment horizontal="left" vertical="center" wrapText="1"/>
    </xf>
    <xf numFmtId="0" fontId="0" fillId="0" borderId="4" xfId="0" applyBorder="1" applyAlignment="1">
      <alignment horizontal="left" vertical="center" wrapText="1"/>
    </xf>
    <xf numFmtId="0" fontId="0" fillId="0" borderId="9" xfId="0" applyBorder="1" applyAlignment="1">
      <alignment horizontal="left" vertical="center" wrapText="1"/>
    </xf>
    <xf numFmtId="0" fontId="0" fillId="0" borderId="11" xfId="0" applyBorder="1" applyAlignment="1">
      <alignment horizontal="left" vertical="center" wrapText="1"/>
    </xf>
    <xf numFmtId="0" fontId="0" fillId="0" borderId="12" xfId="0" applyBorder="1" applyAlignment="1">
      <alignment horizontal="center" vertical="center" wrapText="1"/>
    </xf>
    <xf numFmtId="0" fontId="0" fillId="0" borderId="5" xfId="0" applyBorder="1" applyAlignment="1">
      <alignment horizontal="left" vertical="center" wrapText="1"/>
    </xf>
    <xf numFmtId="0" fontId="0" fillId="0" borderId="13" xfId="0" applyBorder="1" applyAlignment="1">
      <alignment horizontal="center" vertical="center" wrapText="1"/>
    </xf>
    <xf numFmtId="0" fontId="22" fillId="0" borderId="9" xfId="0" applyFont="1" applyBorder="1" applyAlignment="1">
      <alignment horizontal="center" vertical="center" wrapText="1"/>
    </xf>
    <xf numFmtId="0" fontId="0" fillId="4" borderId="1" xfId="0" applyFill="1" applyBorder="1"/>
    <xf numFmtId="0" fontId="23" fillId="0" borderId="0" xfId="0" applyFont="1"/>
    <xf numFmtId="0" fontId="24" fillId="0" borderId="0" xfId="0" applyFont="1"/>
    <xf numFmtId="0" fontId="25" fillId="0" borderId="0" xfId="0" applyFont="1"/>
    <xf numFmtId="0" fontId="0" fillId="5" borderId="0" xfId="0" applyFill="1"/>
    <xf numFmtId="0" fontId="0" fillId="6" borderId="0" xfId="0" applyFill="1"/>
    <xf numFmtId="0" fontId="27" fillId="5" borderId="0" xfId="0" applyFont="1" applyFill="1" applyAlignment="1">
      <alignment horizontal="center" vertical="center"/>
    </xf>
    <xf numFmtId="0" fontId="2" fillId="0" borderId="6" xfId="0" applyFont="1" applyBorder="1" applyAlignment="1">
      <alignment vertical="center"/>
    </xf>
    <xf numFmtId="0" fontId="2" fillId="0" borderId="7" xfId="0" applyFont="1" applyBorder="1" applyAlignment="1">
      <alignment vertical="center"/>
    </xf>
    <xf numFmtId="0" fontId="2" fillId="0" borderId="8" xfId="0" applyFont="1" applyBorder="1" applyAlignment="1">
      <alignment vertical="center"/>
    </xf>
    <xf numFmtId="0" fontId="0" fillId="0" borderId="1" xfId="0" applyBorder="1" applyAlignment="1">
      <alignment horizontal="center" vertical="center" wrapText="1"/>
    </xf>
    <xf numFmtId="165" fontId="0" fillId="0" borderId="1" xfId="0" applyNumberFormat="1" applyBorder="1" applyAlignment="1">
      <alignment horizontal="center" vertical="center"/>
    </xf>
    <xf numFmtId="0" fontId="2" fillId="0" borderId="0" xfId="0" applyFont="1" applyAlignment="1">
      <alignment horizontal="center"/>
    </xf>
    <xf numFmtId="0" fontId="4" fillId="0" borderId="6" xfId="0" applyFont="1" applyBorder="1" applyAlignment="1">
      <alignment horizontal="center" vertical="center" wrapText="1"/>
    </xf>
    <xf numFmtId="2" fontId="0" fillId="0" borderId="6" xfId="0" applyNumberFormat="1" applyBorder="1" applyAlignment="1">
      <alignment horizontal="center" vertical="center"/>
    </xf>
    <xf numFmtId="0" fontId="4" fillId="0" borderId="14" xfId="0" applyFont="1" applyBorder="1" applyAlignment="1">
      <alignment horizontal="center" vertical="center" wrapText="1"/>
    </xf>
    <xf numFmtId="2" fontId="0" fillId="0" borderId="14" xfId="0" applyNumberFormat="1" applyBorder="1" applyAlignment="1">
      <alignment horizontal="center" vertical="center"/>
    </xf>
    <xf numFmtId="11" fontId="0" fillId="0" borderId="14" xfId="0" applyNumberFormat="1" applyBorder="1" applyAlignment="1">
      <alignment horizontal="center" vertical="center"/>
    </xf>
    <xf numFmtId="0" fontId="2" fillId="0" borderId="15" xfId="0" applyFont="1" applyBorder="1" applyAlignment="1">
      <alignment vertical="center"/>
    </xf>
    <xf numFmtId="1" fontId="0" fillId="0" borderId="14" xfId="0" applyNumberFormat="1" applyBorder="1"/>
    <xf numFmtId="1" fontId="0" fillId="0" borderId="0" xfId="0" applyNumberFormat="1"/>
    <xf numFmtId="167" fontId="0" fillId="0" borderId="0" xfId="2" applyNumberFormat="1" applyFont="1"/>
    <xf numFmtId="167" fontId="0" fillId="0" borderId="9" xfId="2" applyNumberFormat="1" applyFont="1" applyBorder="1" applyAlignment="1">
      <alignment horizontal="center" vertical="center"/>
    </xf>
    <xf numFmtId="167" fontId="0" fillId="0" borderId="10" xfId="2" applyNumberFormat="1" applyFont="1" applyBorder="1" applyAlignment="1">
      <alignment horizontal="center" vertical="center"/>
    </xf>
    <xf numFmtId="167" fontId="0" fillId="0" borderId="4" xfId="2" applyNumberFormat="1" applyFont="1" applyBorder="1" applyAlignment="1">
      <alignment horizontal="center" vertical="center"/>
    </xf>
    <xf numFmtId="1" fontId="0" fillId="0" borderId="9" xfId="0" applyNumberFormat="1" applyBorder="1" applyAlignment="1">
      <alignment horizontal="center" vertical="center"/>
    </xf>
    <xf numFmtId="1" fontId="0" fillId="0" borderId="10" xfId="0" applyNumberFormat="1" applyBorder="1" applyAlignment="1">
      <alignment horizontal="center" vertical="center"/>
    </xf>
    <xf numFmtId="1" fontId="0" fillId="0" borderId="4" xfId="0" applyNumberFormat="1" applyBorder="1" applyAlignment="1">
      <alignment horizontal="center" vertical="center"/>
    </xf>
    <xf numFmtId="168" fontId="0" fillId="0" borderId="0" xfId="0" applyNumberFormat="1"/>
    <xf numFmtId="11" fontId="0" fillId="0" borderId="0" xfId="0" applyNumberFormat="1"/>
    <xf numFmtId="0" fontId="1" fillId="0" borderId="0" xfId="3"/>
    <xf numFmtId="0" fontId="1" fillId="0" borderId="0" xfId="3" applyAlignment="1">
      <alignment vertical="center"/>
    </xf>
    <xf numFmtId="2" fontId="1" fillId="0" borderId="0" xfId="3" applyNumberFormat="1"/>
    <xf numFmtId="2" fontId="1" fillId="0" borderId="0" xfId="3" applyNumberFormat="1" applyAlignment="1">
      <alignment vertical="center"/>
    </xf>
    <xf numFmtId="1" fontId="1" fillId="0" borderId="0" xfId="3" applyNumberFormat="1"/>
    <xf numFmtId="1" fontId="1" fillId="0" borderId="0" xfId="3" applyNumberFormat="1" applyAlignment="1">
      <alignment vertical="center"/>
    </xf>
    <xf numFmtId="165" fontId="1" fillId="0" borderId="0" xfId="3" applyNumberFormat="1"/>
    <xf numFmtId="169" fontId="1" fillId="0" borderId="0" xfId="3" applyNumberFormat="1"/>
    <xf numFmtId="0" fontId="28" fillId="0" borderId="0" xfId="3" applyFont="1"/>
    <xf numFmtId="2" fontId="28" fillId="0" borderId="0" xfId="3" applyNumberFormat="1" applyFont="1"/>
    <xf numFmtId="0" fontId="29" fillId="0" borderId="0" xfId="3" applyFont="1"/>
    <xf numFmtId="16" fontId="1" fillId="0" borderId="0" xfId="3" applyNumberFormat="1"/>
    <xf numFmtId="9" fontId="1" fillId="0" borderId="0" xfId="2" applyFont="1"/>
    <xf numFmtId="0" fontId="30" fillId="0" borderId="0" xfId="0" applyFont="1"/>
    <xf numFmtId="0" fontId="0" fillId="0" borderId="17" xfId="0" applyBorder="1"/>
    <xf numFmtId="0" fontId="0" fillId="0" borderId="12" xfId="0" applyBorder="1"/>
    <xf numFmtId="0" fontId="0" fillId="0" borderId="18" xfId="0" applyBorder="1"/>
    <xf numFmtId="0" fontId="0" fillId="0" borderId="5" xfId="0" applyBorder="1"/>
    <xf numFmtId="0" fontId="0" fillId="0" borderId="13" xfId="0" applyBorder="1"/>
    <xf numFmtId="0" fontId="2" fillId="0" borderId="16" xfId="0" applyFont="1" applyBorder="1" applyAlignment="1">
      <alignment horizontal="center" vertical="center" wrapText="1"/>
    </xf>
    <xf numFmtId="0" fontId="2" fillId="0" borderId="11" xfId="0" applyFont="1" applyBorder="1" applyAlignment="1">
      <alignment horizontal="center" vertical="center" wrapText="1"/>
    </xf>
    <xf numFmtId="0" fontId="2" fillId="0" borderId="15" xfId="0" applyFont="1" applyBorder="1" applyAlignment="1">
      <alignment horizontal="center" vertical="center" wrapText="1"/>
    </xf>
    <xf numFmtId="0" fontId="0" fillId="0" borderId="0" xfId="0" applyAlignment="1">
      <alignment horizontal="left"/>
    </xf>
    <xf numFmtId="1" fontId="0" fillId="0" borderId="17" xfId="0" applyNumberFormat="1" applyBorder="1"/>
    <xf numFmtId="165" fontId="0" fillId="0" borderId="9" xfId="0" applyNumberFormat="1" applyBorder="1" applyAlignment="1">
      <alignment horizontal="center" vertical="center"/>
    </xf>
    <xf numFmtId="165" fontId="0" fillId="0" borderId="10" xfId="0" applyNumberFormat="1" applyBorder="1" applyAlignment="1">
      <alignment horizontal="center" vertical="center"/>
    </xf>
    <xf numFmtId="165" fontId="0" fillId="0" borderId="4" xfId="0" applyNumberFormat="1" applyBorder="1" applyAlignment="1">
      <alignment horizontal="center" vertical="center"/>
    </xf>
    <xf numFmtId="165" fontId="19" fillId="0" borderId="1" xfId="0" applyNumberFormat="1" applyFont="1" applyBorder="1" applyAlignment="1">
      <alignment horizontal="center" vertical="center"/>
    </xf>
    <xf numFmtId="0" fontId="0" fillId="0" borderId="1" xfId="0" applyBorder="1"/>
    <xf numFmtId="2" fontId="0" fillId="0" borderId="1" xfId="0" applyNumberFormat="1" applyBorder="1" applyAlignment="1">
      <alignment horizontal="center"/>
    </xf>
    <xf numFmtId="2" fontId="0" fillId="0" borderId="1" xfId="0" applyNumberFormat="1" applyBorder="1"/>
    <xf numFmtId="49" fontId="0" fillId="0" borderId="1" xfId="0" applyNumberFormat="1" applyBorder="1" applyAlignment="1">
      <alignment horizontal="center"/>
    </xf>
    <xf numFmtId="0" fontId="0" fillId="0" borderId="1" xfId="0" applyBorder="1" applyAlignment="1">
      <alignment horizontal="center"/>
    </xf>
    <xf numFmtId="0" fontId="4" fillId="0" borderId="0" xfId="0" applyFont="1" applyAlignment="1">
      <alignment horizontal="center" vertical="center" wrapText="1"/>
    </xf>
    <xf numFmtId="2" fontId="0" fillId="0" borderId="0" xfId="0" applyNumberFormat="1" applyAlignment="1">
      <alignment horizontal="center"/>
    </xf>
    <xf numFmtId="0" fontId="31" fillId="0" borderId="1" xfId="0" applyFont="1" applyBorder="1" applyAlignment="1">
      <alignment vertical="center"/>
    </xf>
    <xf numFmtId="0" fontId="31" fillId="0" borderId="1" xfId="0" applyFont="1" applyBorder="1" applyAlignment="1">
      <alignment horizontal="center" vertical="center" wrapText="1"/>
    </xf>
    <xf numFmtId="0" fontId="0" fillId="0" borderId="0" xfId="0" applyAlignment="1">
      <alignment horizontal="center"/>
    </xf>
    <xf numFmtId="0" fontId="2" fillId="0" borderId="6" xfId="0" applyFont="1" applyBorder="1" applyAlignment="1">
      <alignment horizontal="center" vertical="center"/>
    </xf>
    <xf numFmtId="0" fontId="2" fillId="0" borderId="7" xfId="0" applyFont="1" applyBorder="1" applyAlignment="1">
      <alignment horizontal="center" vertical="center"/>
    </xf>
    <xf numFmtId="0" fontId="2" fillId="0" borderId="8" xfId="0" applyFont="1" applyBorder="1" applyAlignment="1">
      <alignment horizontal="center" vertical="center"/>
    </xf>
    <xf numFmtId="0" fontId="2" fillId="0" borderId="1" xfId="0" applyFont="1" applyBorder="1" applyAlignment="1">
      <alignment horizontal="center"/>
    </xf>
    <xf numFmtId="0" fontId="2" fillId="0" borderId="1" xfId="0" applyFont="1" applyBorder="1" applyAlignment="1">
      <alignment horizontal="center" vertical="center"/>
    </xf>
    <xf numFmtId="0" fontId="2" fillId="0" borderId="6" xfId="0" applyFont="1" applyBorder="1" applyAlignment="1">
      <alignment horizontal="center" wrapText="1"/>
    </xf>
    <xf numFmtId="0" fontId="2" fillId="0" borderId="7" xfId="0" applyFont="1" applyBorder="1" applyAlignment="1">
      <alignment horizontal="center" wrapText="1"/>
    </xf>
    <xf numFmtId="0" fontId="2" fillId="0" borderId="8" xfId="0" applyFont="1" applyBorder="1" applyAlignment="1">
      <alignment horizontal="center" wrapText="1"/>
    </xf>
    <xf numFmtId="0" fontId="2" fillId="0" borderId="1" xfId="0" applyFont="1" applyBorder="1" applyAlignment="1">
      <alignment horizontal="center" vertical="center" wrapText="1"/>
    </xf>
    <xf numFmtId="0" fontId="0" fillId="0" borderId="1" xfId="0" applyBorder="1" applyAlignment="1">
      <alignment horizontal="center" wrapText="1"/>
    </xf>
    <xf numFmtId="0" fontId="0" fillId="0" borderId="1" xfId="0" applyBorder="1" applyAlignment="1">
      <alignment horizontal="center"/>
    </xf>
    <xf numFmtId="0" fontId="0" fillId="0" borderId="1" xfId="0" applyBorder="1" applyAlignment="1">
      <alignment horizontal="center" vertical="center" wrapText="1"/>
    </xf>
    <xf numFmtId="0" fontId="0" fillId="0" borderId="6" xfId="0" applyBorder="1" applyAlignment="1">
      <alignment horizontal="center"/>
    </xf>
    <xf numFmtId="0" fontId="0" fillId="0" borderId="8" xfId="0" applyBorder="1" applyAlignment="1">
      <alignment horizontal="center"/>
    </xf>
    <xf numFmtId="0" fontId="0" fillId="0" borderId="12" xfId="0" applyBorder="1" applyAlignment="1">
      <alignment horizontal="center" vertical="center" wrapText="1"/>
    </xf>
    <xf numFmtId="0" fontId="1" fillId="0" borderId="0" xfId="3" applyAlignment="1">
      <alignment horizontal="center" vertical="center" wrapText="1"/>
    </xf>
    <xf numFmtId="0" fontId="4" fillId="0" borderId="0" xfId="0" applyFont="1" applyFill="1" applyBorder="1" applyAlignment="1">
      <alignment horizontal="center" vertical="center" wrapText="1"/>
    </xf>
  </cellXfs>
  <cellStyles count="4">
    <cellStyle name="Hyperlink" xfId="1" builtinId="8"/>
    <cellStyle name="Normal" xfId="0" builtinId="0"/>
    <cellStyle name="Normal 2" xfId="3" xr:uid="{9EFCD415-85C2-4B3C-BA8E-E17755DE6B39}"/>
    <cellStyle name="Percent" xfId="2" builtinId="5"/>
  </cellStyles>
  <dxfs count="30">
    <dxf>
      <font>
        <color rgb="FF006100"/>
      </font>
      <fill>
        <patternFill>
          <bgColor rgb="FFC6EFCE"/>
        </patternFill>
      </fill>
    </dxf>
    <dxf>
      <font>
        <color rgb="FF9C0006"/>
      </font>
      <fill>
        <patternFill>
          <bgColor rgb="FFFFC7CE"/>
        </patternFill>
      </fill>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numFmt numFmtId="2" formatCode="0.00"/>
      <alignment horizontal="center" vertical="center" textRotation="0" indent="0" justifyLastLine="0" shrinkToFit="0" readingOrder="0"/>
    </dxf>
    <dxf>
      <numFmt numFmtId="2" formatCode="0.00"/>
      <alignment horizontal="center" vertical="center" textRotation="0" indent="0" justifyLastLine="0" shrinkToFit="0" readingOrder="0"/>
    </dxf>
    <dxf>
      <numFmt numFmtId="2" formatCode="0.00"/>
      <alignment horizontal="center" vertical="center" textRotation="0" indent="0" justifyLastLine="0" shrinkToFit="0" readingOrder="0"/>
    </dxf>
    <dxf>
      <numFmt numFmtId="2" formatCode="0.00"/>
      <alignment horizontal="center" vertical="center" textRotation="0" indent="0" justifyLastLine="0" shrinkToFit="0" readingOrder="0"/>
    </dxf>
    <dxf>
      <numFmt numFmtId="2" formatCode="0.00"/>
      <alignment horizontal="center" vertical="center" textRotation="0" indent="0" justifyLastLine="0" shrinkToFit="0" readingOrder="0"/>
    </dxf>
    <dxf>
      <numFmt numFmtId="2" formatCode="0.00"/>
      <alignment horizontal="center" vertical="center" textRotation="0" indent="0" justifyLastLine="0" shrinkToFit="0" readingOrder="0"/>
    </dxf>
    <dxf>
      <numFmt numFmtId="2" formatCode="0.00"/>
      <alignment horizontal="center" vertical="center" textRotation="0" indent="0" justifyLastLine="0" shrinkToFit="0" readingOrder="0"/>
    </dxf>
    <dxf>
      <numFmt numFmtId="2" formatCode="0.00"/>
      <alignment horizontal="center" vertical="center" textRotation="0" indent="0" justifyLastLine="0" shrinkToFit="0" readingOrder="0"/>
    </dxf>
    <dxf>
      <numFmt numFmtId="2" formatCode="0.00"/>
      <alignment horizontal="center" vertical="center" textRotation="0" indent="0" justifyLastLine="0" shrinkToFit="0" readingOrder="0"/>
    </dxf>
    <dxf>
      <numFmt numFmtId="2" formatCode="0.00"/>
      <alignment horizontal="center" vertical="center" textRotation="0" indent="0" justifyLastLine="0" shrinkToFit="0" readingOrder="0"/>
    </dxf>
    <dxf>
      <numFmt numFmtId="2" formatCode="0.00"/>
      <alignment horizontal="center" vertical="center" textRotation="0" indent="0" justifyLastLine="0" shrinkToFit="0" readingOrder="0"/>
    </dxf>
    <dxf>
      <alignment horizontal="center" vertical="center" textRotation="0" indent="0" justifyLastLine="0" shrinkToFit="0" readingOrder="0"/>
    </dxf>
    <dxf>
      <numFmt numFmtId="0" formatCode="General"/>
      <alignment horizontal="center" vertical="center" textRotation="0" wrapText="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numFmt numFmtId="166" formatCode="[$-409]d\-mmm\-yy;@"/>
      <alignment horizontal="center" vertical="center" textRotation="0" indent="0" justifyLastLine="0" shrinkToFit="0" readingOrder="0"/>
    </dxf>
    <dxf>
      <alignment horizontal="center" vertical="center" textRotation="0" indent="0" justifyLastLine="0" shrinkToFit="0" readingOrder="0"/>
    </dxf>
    <dxf>
      <border outline="0">
        <bottom style="thin">
          <color indexed="64"/>
        </bottom>
      </border>
    </dxf>
    <dxf>
      <alignment horizontal="center" vertical="center" textRotation="0" indent="0" justifyLastLine="0" shrinkToFit="0" readingOrder="0"/>
    </dxf>
    <dxf>
      <font>
        <b/>
        <i val="0"/>
        <strike val="0"/>
        <condense val="0"/>
        <extend val="0"/>
        <outline val="0"/>
        <shadow val="0"/>
        <u val="none"/>
        <vertAlign val="baseline"/>
        <sz val="12"/>
        <color theme="1"/>
        <name val="Calibri"/>
        <family val="2"/>
        <scheme val="minor"/>
      </font>
      <alignment horizontal="center" vertical="center" textRotation="0" wrapText="1" indent="0" justifyLastLine="0" shrinkToFit="0" readingOrder="0"/>
    </dxf>
  </dxfs>
  <tableStyles count="0" defaultTableStyle="TableStyleMedium2" defaultPivotStyle="PivotStyleLight16"/>
  <colors>
    <mruColors>
      <color rgb="FFF7601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1.xml"/><Relationship Id="rId30" Type="http://schemas.openxmlformats.org/officeDocument/2006/relationships/sharedStrings" Target="sharedStrings.xml"/><Relationship Id="rId35" Type="http://schemas.openxmlformats.org/officeDocument/2006/relationships/customXml" Target="../customXml/item3.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6.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7.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8.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9.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10.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11.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12.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13.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14.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15.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16.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17.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18.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19.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20.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21.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22.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23.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24.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25.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39.xml"/><Relationship Id="rId1" Type="http://schemas.microsoft.com/office/2011/relationships/chartStyle" Target="style39.xml"/></Relationships>
</file>

<file path=xl/charts/_rels/chart26.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27.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2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2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30.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31.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32.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33.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34.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35.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36.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37.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38.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39.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40.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41.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42.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43.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_rels/chart44.xml.rels><?xml version="1.0" encoding="UTF-8" standalone="yes"?>
<Relationships xmlns="http://schemas.openxmlformats.org/package/2006/relationships"><Relationship Id="rId2" Type="http://schemas.microsoft.com/office/2011/relationships/chartColorStyle" Target="colors78.xml"/><Relationship Id="rId1" Type="http://schemas.microsoft.com/office/2011/relationships/chartStyle" Target="style78.xml"/></Relationships>
</file>

<file path=xl/charts/_rels/chart45.xml.rels><?xml version="1.0" encoding="UTF-8" standalone="yes"?>
<Relationships xmlns="http://schemas.openxmlformats.org/package/2006/relationships"><Relationship Id="rId2" Type="http://schemas.microsoft.com/office/2011/relationships/chartColorStyle" Target="colors85.xml"/><Relationship Id="rId1" Type="http://schemas.microsoft.com/office/2011/relationships/chartStyle" Target="style85.xml"/></Relationships>
</file>

<file path=xl/charts/_rels/chart46.xml.rels><?xml version="1.0" encoding="UTF-8" standalone="yes"?>
<Relationships xmlns="http://schemas.openxmlformats.org/package/2006/relationships"><Relationship Id="rId2" Type="http://schemas.microsoft.com/office/2011/relationships/chartColorStyle" Target="colors92.xml"/><Relationship Id="rId1" Type="http://schemas.microsoft.com/office/2011/relationships/chartStyle" Target="style92.xml"/></Relationships>
</file>

<file path=xl/charts/_rels/chart47.xml.rels><?xml version="1.0" encoding="UTF-8" standalone="yes"?>
<Relationships xmlns="http://schemas.openxmlformats.org/package/2006/relationships"><Relationship Id="rId2" Type="http://schemas.microsoft.com/office/2011/relationships/chartColorStyle" Target="colors99.xml"/><Relationship Id="rId1" Type="http://schemas.microsoft.com/office/2011/relationships/chartStyle" Target="style99.xml"/></Relationships>
</file>

<file path=xl/charts/_rels/chart48.xml.rels><?xml version="1.0" encoding="UTF-8" standalone="yes"?>
<Relationships xmlns="http://schemas.openxmlformats.org/package/2006/relationships"><Relationship Id="rId2" Type="http://schemas.microsoft.com/office/2011/relationships/chartColorStyle" Target="colors106.xml"/><Relationship Id="rId1" Type="http://schemas.microsoft.com/office/2011/relationships/chartStyle" Target="style106.xml"/></Relationships>
</file>

<file path=xl/charts/_rels/chart49.xml.rels><?xml version="1.0" encoding="UTF-8" standalone="yes"?>
<Relationships xmlns="http://schemas.openxmlformats.org/package/2006/relationships"><Relationship Id="rId2" Type="http://schemas.microsoft.com/office/2011/relationships/chartColorStyle" Target="colors113.xml"/><Relationship Id="rId1" Type="http://schemas.microsoft.com/office/2011/relationships/chartStyle" Target="style113.xml"/></Relationships>
</file>

<file path=xl/charts/_rels/chart50.xml.rels><?xml version="1.0" encoding="UTF-8" standalone="yes"?>
<Relationships xmlns="http://schemas.openxmlformats.org/package/2006/relationships"><Relationship Id="rId2" Type="http://schemas.microsoft.com/office/2011/relationships/chartColorStyle" Target="colors120.xml"/><Relationship Id="rId1" Type="http://schemas.microsoft.com/office/2011/relationships/chartStyle" Target="style120.xml"/></Relationships>
</file>

<file path=xl/charts/_rels/chart51.xml.rels><?xml version="1.0" encoding="UTF-8" standalone="yes"?>
<Relationships xmlns="http://schemas.openxmlformats.org/package/2006/relationships"><Relationship Id="rId2" Type="http://schemas.microsoft.com/office/2011/relationships/chartColorStyle" Target="colors121.xml"/><Relationship Id="rId1" Type="http://schemas.microsoft.com/office/2011/relationships/chartStyle" Target="style121.xml"/></Relationships>
</file>

<file path=xl/charts/_rels/chart52.xml.rels><?xml version="1.0" encoding="UTF-8" standalone="yes"?>
<Relationships xmlns="http://schemas.openxmlformats.org/package/2006/relationships"><Relationship Id="rId2" Type="http://schemas.microsoft.com/office/2011/relationships/chartColorStyle" Target="colors128.xml"/><Relationship Id="rId1" Type="http://schemas.microsoft.com/office/2011/relationships/chartStyle" Target="style128.xml"/></Relationships>
</file>

<file path=xl/charts/_rels/chart53.xml.rels><?xml version="1.0" encoding="UTF-8" standalone="yes"?>
<Relationships xmlns="http://schemas.openxmlformats.org/package/2006/relationships"><Relationship Id="rId2" Type="http://schemas.microsoft.com/office/2011/relationships/chartColorStyle" Target="colors135.xml"/><Relationship Id="rId1" Type="http://schemas.microsoft.com/office/2011/relationships/chartStyle" Target="style135.xml"/></Relationships>
</file>

<file path=xl/charts/_rels/chart54.xml.rels><?xml version="1.0" encoding="UTF-8" standalone="yes"?>
<Relationships xmlns="http://schemas.openxmlformats.org/package/2006/relationships"><Relationship Id="rId2" Type="http://schemas.microsoft.com/office/2011/relationships/chartColorStyle" Target="colors142.xml"/><Relationship Id="rId1" Type="http://schemas.microsoft.com/office/2011/relationships/chartStyle" Target="style142.xml"/></Relationships>
</file>

<file path=xl/charts/_rels/chart55.xml.rels><?xml version="1.0" encoding="UTF-8" standalone="yes"?>
<Relationships xmlns="http://schemas.openxmlformats.org/package/2006/relationships"><Relationship Id="rId2" Type="http://schemas.microsoft.com/office/2011/relationships/chartColorStyle" Target="colors149.xml"/><Relationship Id="rId1" Type="http://schemas.microsoft.com/office/2011/relationships/chartStyle" Target="style149.xml"/></Relationships>
</file>

<file path=xl/charts/_rels/chart56.xml.rels><?xml version="1.0" encoding="UTF-8" standalone="yes"?>
<Relationships xmlns="http://schemas.openxmlformats.org/package/2006/relationships"><Relationship Id="rId2" Type="http://schemas.microsoft.com/office/2011/relationships/chartColorStyle" Target="colors156.xml"/><Relationship Id="rId1" Type="http://schemas.microsoft.com/office/2011/relationships/chartStyle" Target="style156.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7.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8.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9.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10.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1.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2.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3.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14.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Ex15.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Ex16.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Ex17.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Ex18.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Ex19.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Ex20.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Ex21.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Ex22.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Ex23.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Ex24.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Ex25.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Ex26.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Ex27.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Ex28.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Ex29.xml.rels><?xml version="1.0" encoding="UTF-8" standalone="yes"?>
<Relationships xmlns="http://schemas.openxmlformats.org/package/2006/relationships"><Relationship Id="rId2" Type="http://schemas.microsoft.com/office/2011/relationships/chartColorStyle" Target="colors72.xml"/><Relationship Id="rId1" Type="http://schemas.microsoft.com/office/2011/relationships/chartStyle" Target="style72.xml"/></Relationships>
</file>

<file path=xl/charts/_rels/chartEx30.xml.rels><?xml version="1.0" encoding="UTF-8" standalone="yes"?>
<Relationships xmlns="http://schemas.openxmlformats.org/package/2006/relationships"><Relationship Id="rId2" Type="http://schemas.microsoft.com/office/2011/relationships/chartColorStyle" Target="colors73.xml"/><Relationship Id="rId1" Type="http://schemas.microsoft.com/office/2011/relationships/chartStyle" Target="style73.xml"/></Relationships>
</file>

<file path=xl/charts/_rels/chartEx31.xml.rels><?xml version="1.0" encoding="UTF-8" standalone="yes"?>
<Relationships xmlns="http://schemas.openxmlformats.org/package/2006/relationships"><Relationship Id="rId2" Type="http://schemas.microsoft.com/office/2011/relationships/chartColorStyle" Target="colors74.xml"/><Relationship Id="rId1" Type="http://schemas.microsoft.com/office/2011/relationships/chartStyle" Target="style74.xml"/></Relationships>
</file>

<file path=xl/charts/_rels/chartEx32.xml.rels><?xml version="1.0" encoding="UTF-8" standalone="yes"?>
<Relationships xmlns="http://schemas.openxmlformats.org/package/2006/relationships"><Relationship Id="rId2" Type="http://schemas.microsoft.com/office/2011/relationships/chartColorStyle" Target="colors75.xml"/><Relationship Id="rId1" Type="http://schemas.microsoft.com/office/2011/relationships/chartStyle" Target="style75.xml"/></Relationships>
</file>

<file path=xl/charts/_rels/chartEx33.xml.rels><?xml version="1.0" encoding="UTF-8" standalone="yes"?>
<Relationships xmlns="http://schemas.openxmlformats.org/package/2006/relationships"><Relationship Id="rId2" Type="http://schemas.microsoft.com/office/2011/relationships/chartColorStyle" Target="colors76.xml"/><Relationship Id="rId1" Type="http://schemas.microsoft.com/office/2011/relationships/chartStyle" Target="style76.xml"/></Relationships>
</file>

<file path=xl/charts/_rels/chartEx34.xml.rels><?xml version="1.0" encoding="UTF-8" standalone="yes"?>
<Relationships xmlns="http://schemas.openxmlformats.org/package/2006/relationships"><Relationship Id="rId2" Type="http://schemas.microsoft.com/office/2011/relationships/chartColorStyle" Target="colors77.xml"/><Relationship Id="rId1" Type="http://schemas.microsoft.com/office/2011/relationships/chartStyle" Target="style77.xml"/></Relationships>
</file>

<file path=xl/charts/_rels/chartEx35.xml.rels><?xml version="1.0" encoding="UTF-8" standalone="yes"?>
<Relationships xmlns="http://schemas.openxmlformats.org/package/2006/relationships"><Relationship Id="rId2" Type="http://schemas.microsoft.com/office/2011/relationships/chartColorStyle" Target="colors79.xml"/><Relationship Id="rId1" Type="http://schemas.microsoft.com/office/2011/relationships/chartStyle" Target="style79.xml"/></Relationships>
</file>

<file path=xl/charts/_rels/chartEx36.xml.rels><?xml version="1.0" encoding="UTF-8" standalone="yes"?>
<Relationships xmlns="http://schemas.openxmlformats.org/package/2006/relationships"><Relationship Id="rId2" Type="http://schemas.microsoft.com/office/2011/relationships/chartColorStyle" Target="colors80.xml"/><Relationship Id="rId1" Type="http://schemas.microsoft.com/office/2011/relationships/chartStyle" Target="style80.xml"/></Relationships>
</file>

<file path=xl/charts/_rels/chartEx37.xml.rels><?xml version="1.0" encoding="UTF-8" standalone="yes"?>
<Relationships xmlns="http://schemas.openxmlformats.org/package/2006/relationships"><Relationship Id="rId2" Type="http://schemas.microsoft.com/office/2011/relationships/chartColorStyle" Target="colors81.xml"/><Relationship Id="rId1" Type="http://schemas.microsoft.com/office/2011/relationships/chartStyle" Target="style81.xml"/></Relationships>
</file>

<file path=xl/charts/_rels/chartEx38.xml.rels><?xml version="1.0" encoding="UTF-8" standalone="yes"?>
<Relationships xmlns="http://schemas.openxmlformats.org/package/2006/relationships"><Relationship Id="rId2" Type="http://schemas.microsoft.com/office/2011/relationships/chartColorStyle" Target="colors82.xml"/><Relationship Id="rId1" Type="http://schemas.microsoft.com/office/2011/relationships/chartStyle" Target="style82.xml"/></Relationships>
</file>

<file path=xl/charts/_rels/chartEx39.xml.rels><?xml version="1.0" encoding="UTF-8" standalone="yes"?>
<Relationships xmlns="http://schemas.openxmlformats.org/package/2006/relationships"><Relationship Id="rId2" Type="http://schemas.microsoft.com/office/2011/relationships/chartColorStyle" Target="colors83.xml"/><Relationship Id="rId1" Type="http://schemas.microsoft.com/office/2011/relationships/chartStyle" Target="style83.xml"/></Relationships>
</file>

<file path=xl/charts/_rels/chartEx40.xml.rels><?xml version="1.0" encoding="UTF-8" standalone="yes"?>
<Relationships xmlns="http://schemas.openxmlformats.org/package/2006/relationships"><Relationship Id="rId2" Type="http://schemas.microsoft.com/office/2011/relationships/chartColorStyle" Target="colors84.xml"/><Relationship Id="rId1" Type="http://schemas.microsoft.com/office/2011/relationships/chartStyle" Target="style84.xml"/></Relationships>
</file>

<file path=xl/charts/_rels/chartEx41.xml.rels><?xml version="1.0" encoding="UTF-8" standalone="yes"?>
<Relationships xmlns="http://schemas.openxmlformats.org/package/2006/relationships"><Relationship Id="rId2" Type="http://schemas.microsoft.com/office/2011/relationships/chartColorStyle" Target="colors86.xml"/><Relationship Id="rId1" Type="http://schemas.microsoft.com/office/2011/relationships/chartStyle" Target="style86.xml"/></Relationships>
</file>

<file path=xl/charts/_rels/chartEx42.xml.rels><?xml version="1.0" encoding="UTF-8" standalone="yes"?>
<Relationships xmlns="http://schemas.openxmlformats.org/package/2006/relationships"><Relationship Id="rId2" Type="http://schemas.microsoft.com/office/2011/relationships/chartColorStyle" Target="colors87.xml"/><Relationship Id="rId1" Type="http://schemas.microsoft.com/office/2011/relationships/chartStyle" Target="style87.xml"/></Relationships>
</file>

<file path=xl/charts/_rels/chartEx43.xml.rels><?xml version="1.0" encoding="UTF-8" standalone="yes"?>
<Relationships xmlns="http://schemas.openxmlformats.org/package/2006/relationships"><Relationship Id="rId2" Type="http://schemas.microsoft.com/office/2011/relationships/chartColorStyle" Target="colors88.xml"/><Relationship Id="rId1" Type="http://schemas.microsoft.com/office/2011/relationships/chartStyle" Target="style88.xml"/></Relationships>
</file>

<file path=xl/charts/_rels/chartEx44.xml.rels><?xml version="1.0" encoding="UTF-8" standalone="yes"?>
<Relationships xmlns="http://schemas.openxmlformats.org/package/2006/relationships"><Relationship Id="rId2" Type="http://schemas.microsoft.com/office/2011/relationships/chartColorStyle" Target="colors89.xml"/><Relationship Id="rId1" Type="http://schemas.microsoft.com/office/2011/relationships/chartStyle" Target="style89.xml"/></Relationships>
</file>

<file path=xl/charts/_rels/chartEx45.xml.rels><?xml version="1.0" encoding="UTF-8" standalone="yes"?>
<Relationships xmlns="http://schemas.openxmlformats.org/package/2006/relationships"><Relationship Id="rId2" Type="http://schemas.microsoft.com/office/2011/relationships/chartColorStyle" Target="colors90.xml"/><Relationship Id="rId1" Type="http://schemas.microsoft.com/office/2011/relationships/chartStyle" Target="style90.xml"/></Relationships>
</file>

<file path=xl/charts/_rels/chartEx46.xml.rels><?xml version="1.0" encoding="UTF-8" standalone="yes"?>
<Relationships xmlns="http://schemas.openxmlformats.org/package/2006/relationships"><Relationship Id="rId2" Type="http://schemas.microsoft.com/office/2011/relationships/chartColorStyle" Target="colors91.xml"/><Relationship Id="rId1" Type="http://schemas.microsoft.com/office/2011/relationships/chartStyle" Target="style91.xml"/></Relationships>
</file>

<file path=xl/charts/_rels/chartEx47.xml.rels><?xml version="1.0" encoding="UTF-8" standalone="yes"?>
<Relationships xmlns="http://schemas.openxmlformats.org/package/2006/relationships"><Relationship Id="rId2" Type="http://schemas.microsoft.com/office/2011/relationships/chartColorStyle" Target="colors93.xml"/><Relationship Id="rId1" Type="http://schemas.microsoft.com/office/2011/relationships/chartStyle" Target="style93.xml"/></Relationships>
</file>

<file path=xl/charts/_rels/chartEx48.xml.rels><?xml version="1.0" encoding="UTF-8" standalone="yes"?>
<Relationships xmlns="http://schemas.openxmlformats.org/package/2006/relationships"><Relationship Id="rId2" Type="http://schemas.microsoft.com/office/2011/relationships/chartColorStyle" Target="colors94.xml"/><Relationship Id="rId1" Type="http://schemas.microsoft.com/office/2011/relationships/chartStyle" Target="style94.xml"/></Relationships>
</file>

<file path=xl/charts/_rels/chartEx49.xml.rels><?xml version="1.0" encoding="UTF-8" standalone="yes"?>
<Relationships xmlns="http://schemas.openxmlformats.org/package/2006/relationships"><Relationship Id="rId2" Type="http://schemas.microsoft.com/office/2011/relationships/chartColorStyle" Target="colors95.xml"/><Relationship Id="rId1" Type="http://schemas.microsoft.com/office/2011/relationships/chartStyle" Target="style95.xml"/></Relationships>
</file>

<file path=xl/charts/_rels/chartEx50.xml.rels><?xml version="1.0" encoding="UTF-8" standalone="yes"?>
<Relationships xmlns="http://schemas.openxmlformats.org/package/2006/relationships"><Relationship Id="rId2" Type="http://schemas.microsoft.com/office/2011/relationships/chartColorStyle" Target="colors96.xml"/><Relationship Id="rId1" Type="http://schemas.microsoft.com/office/2011/relationships/chartStyle" Target="style96.xml"/></Relationships>
</file>

<file path=xl/charts/_rels/chartEx51.xml.rels><?xml version="1.0" encoding="UTF-8" standalone="yes"?>
<Relationships xmlns="http://schemas.openxmlformats.org/package/2006/relationships"><Relationship Id="rId2" Type="http://schemas.microsoft.com/office/2011/relationships/chartColorStyle" Target="colors97.xml"/><Relationship Id="rId1" Type="http://schemas.microsoft.com/office/2011/relationships/chartStyle" Target="style97.xml"/></Relationships>
</file>

<file path=xl/charts/_rels/chartEx52.xml.rels><?xml version="1.0" encoding="UTF-8" standalone="yes"?>
<Relationships xmlns="http://schemas.openxmlformats.org/package/2006/relationships"><Relationship Id="rId2" Type="http://schemas.microsoft.com/office/2011/relationships/chartColorStyle" Target="colors98.xml"/><Relationship Id="rId1" Type="http://schemas.microsoft.com/office/2011/relationships/chartStyle" Target="style98.xml"/></Relationships>
</file>

<file path=xl/charts/_rels/chartEx53.xml.rels><?xml version="1.0" encoding="UTF-8" standalone="yes"?>
<Relationships xmlns="http://schemas.openxmlformats.org/package/2006/relationships"><Relationship Id="rId2" Type="http://schemas.microsoft.com/office/2011/relationships/chartColorStyle" Target="colors100.xml"/><Relationship Id="rId1" Type="http://schemas.microsoft.com/office/2011/relationships/chartStyle" Target="style100.xml"/></Relationships>
</file>

<file path=xl/charts/_rels/chartEx54.xml.rels><?xml version="1.0" encoding="UTF-8" standalone="yes"?>
<Relationships xmlns="http://schemas.openxmlformats.org/package/2006/relationships"><Relationship Id="rId2" Type="http://schemas.microsoft.com/office/2011/relationships/chartColorStyle" Target="colors101.xml"/><Relationship Id="rId1" Type="http://schemas.microsoft.com/office/2011/relationships/chartStyle" Target="style101.xml"/></Relationships>
</file>

<file path=xl/charts/_rels/chartEx55.xml.rels><?xml version="1.0" encoding="UTF-8" standalone="yes"?>
<Relationships xmlns="http://schemas.openxmlformats.org/package/2006/relationships"><Relationship Id="rId2" Type="http://schemas.microsoft.com/office/2011/relationships/chartColorStyle" Target="colors102.xml"/><Relationship Id="rId1" Type="http://schemas.microsoft.com/office/2011/relationships/chartStyle" Target="style102.xml"/></Relationships>
</file>

<file path=xl/charts/_rels/chartEx56.xml.rels><?xml version="1.0" encoding="UTF-8" standalone="yes"?>
<Relationships xmlns="http://schemas.openxmlformats.org/package/2006/relationships"><Relationship Id="rId2" Type="http://schemas.microsoft.com/office/2011/relationships/chartColorStyle" Target="colors103.xml"/><Relationship Id="rId1" Type="http://schemas.microsoft.com/office/2011/relationships/chartStyle" Target="style103.xml"/></Relationships>
</file>

<file path=xl/charts/_rels/chartEx57.xml.rels><?xml version="1.0" encoding="UTF-8" standalone="yes"?>
<Relationships xmlns="http://schemas.openxmlformats.org/package/2006/relationships"><Relationship Id="rId2" Type="http://schemas.microsoft.com/office/2011/relationships/chartColorStyle" Target="colors104.xml"/><Relationship Id="rId1" Type="http://schemas.microsoft.com/office/2011/relationships/chartStyle" Target="style104.xml"/></Relationships>
</file>

<file path=xl/charts/_rels/chartEx58.xml.rels><?xml version="1.0" encoding="UTF-8" standalone="yes"?>
<Relationships xmlns="http://schemas.openxmlformats.org/package/2006/relationships"><Relationship Id="rId2" Type="http://schemas.microsoft.com/office/2011/relationships/chartColorStyle" Target="colors105.xml"/><Relationship Id="rId1" Type="http://schemas.microsoft.com/office/2011/relationships/chartStyle" Target="style105.xml"/></Relationships>
</file>

<file path=xl/charts/_rels/chartEx59.xml.rels><?xml version="1.0" encoding="UTF-8" standalone="yes"?>
<Relationships xmlns="http://schemas.openxmlformats.org/package/2006/relationships"><Relationship Id="rId2" Type="http://schemas.microsoft.com/office/2011/relationships/chartColorStyle" Target="colors107.xml"/><Relationship Id="rId1" Type="http://schemas.microsoft.com/office/2011/relationships/chartStyle" Target="style107.xml"/></Relationships>
</file>

<file path=xl/charts/_rels/chartEx60.xml.rels><?xml version="1.0" encoding="UTF-8" standalone="yes"?>
<Relationships xmlns="http://schemas.openxmlformats.org/package/2006/relationships"><Relationship Id="rId2" Type="http://schemas.microsoft.com/office/2011/relationships/chartColorStyle" Target="colors108.xml"/><Relationship Id="rId1" Type="http://schemas.microsoft.com/office/2011/relationships/chartStyle" Target="style108.xml"/></Relationships>
</file>

<file path=xl/charts/_rels/chartEx61.xml.rels><?xml version="1.0" encoding="UTF-8" standalone="yes"?>
<Relationships xmlns="http://schemas.openxmlformats.org/package/2006/relationships"><Relationship Id="rId2" Type="http://schemas.microsoft.com/office/2011/relationships/chartColorStyle" Target="colors109.xml"/><Relationship Id="rId1" Type="http://schemas.microsoft.com/office/2011/relationships/chartStyle" Target="style109.xml"/></Relationships>
</file>

<file path=xl/charts/_rels/chartEx62.xml.rels><?xml version="1.0" encoding="UTF-8" standalone="yes"?>
<Relationships xmlns="http://schemas.openxmlformats.org/package/2006/relationships"><Relationship Id="rId2" Type="http://schemas.microsoft.com/office/2011/relationships/chartColorStyle" Target="colors110.xml"/><Relationship Id="rId1" Type="http://schemas.microsoft.com/office/2011/relationships/chartStyle" Target="style110.xml"/></Relationships>
</file>

<file path=xl/charts/_rels/chartEx63.xml.rels><?xml version="1.0" encoding="UTF-8" standalone="yes"?>
<Relationships xmlns="http://schemas.openxmlformats.org/package/2006/relationships"><Relationship Id="rId2" Type="http://schemas.microsoft.com/office/2011/relationships/chartColorStyle" Target="colors111.xml"/><Relationship Id="rId1" Type="http://schemas.microsoft.com/office/2011/relationships/chartStyle" Target="style111.xml"/></Relationships>
</file>

<file path=xl/charts/_rels/chartEx64.xml.rels><?xml version="1.0" encoding="UTF-8" standalone="yes"?>
<Relationships xmlns="http://schemas.openxmlformats.org/package/2006/relationships"><Relationship Id="rId2" Type="http://schemas.microsoft.com/office/2011/relationships/chartColorStyle" Target="colors112.xml"/><Relationship Id="rId1" Type="http://schemas.microsoft.com/office/2011/relationships/chartStyle" Target="style112.xml"/></Relationships>
</file>

<file path=xl/charts/_rels/chartEx65.xml.rels><?xml version="1.0" encoding="UTF-8" standalone="yes"?>
<Relationships xmlns="http://schemas.openxmlformats.org/package/2006/relationships"><Relationship Id="rId2" Type="http://schemas.microsoft.com/office/2011/relationships/chartColorStyle" Target="colors114.xml"/><Relationship Id="rId1" Type="http://schemas.microsoft.com/office/2011/relationships/chartStyle" Target="style114.xml"/></Relationships>
</file>

<file path=xl/charts/_rels/chartEx66.xml.rels><?xml version="1.0" encoding="UTF-8" standalone="yes"?>
<Relationships xmlns="http://schemas.openxmlformats.org/package/2006/relationships"><Relationship Id="rId2" Type="http://schemas.microsoft.com/office/2011/relationships/chartColorStyle" Target="colors115.xml"/><Relationship Id="rId1" Type="http://schemas.microsoft.com/office/2011/relationships/chartStyle" Target="style115.xml"/></Relationships>
</file>

<file path=xl/charts/_rels/chartEx67.xml.rels><?xml version="1.0" encoding="UTF-8" standalone="yes"?>
<Relationships xmlns="http://schemas.openxmlformats.org/package/2006/relationships"><Relationship Id="rId2" Type="http://schemas.microsoft.com/office/2011/relationships/chartColorStyle" Target="colors116.xml"/><Relationship Id="rId1" Type="http://schemas.microsoft.com/office/2011/relationships/chartStyle" Target="style116.xml"/></Relationships>
</file>

<file path=xl/charts/_rels/chartEx68.xml.rels><?xml version="1.0" encoding="UTF-8" standalone="yes"?>
<Relationships xmlns="http://schemas.openxmlformats.org/package/2006/relationships"><Relationship Id="rId2" Type="http://schemas.microsoft.com/office/2011/relationships/chartColorStyle" Target="colors117.xml"/><Relationship Id="rId1" Type="http://schemas.microsoft.com/office/2011/relationships/chartStyle" Target="style117.xml"/></Relationships>
</file>

<file path=xl/charts/_rels/chartEx69.xml.rels><?xml version="1.0" encoding="UTF-8" standalone="yes"?>
<Relationships xmlns="http://schemas.openxmlformats.org/package/2006/relationships"><Relationship Id="rId2" Type="http://schemas.microsoft.com/office/2011/relationships/chartColorStyle" Target="colors118.xml"/><Relationship Id="rId1" Type="http://schemas.microsoft.com/office/2011/relationships/chartStyle" Target="style118.xml"/></Relationships>
</file>

<file path=xl/charts/_rels/chartEx70.xml.rels><?xml version="1.0" encoding="UTF-8" standalone="yes"?>
<Relationships xmlns="http://schemas.openxmlformats.org/package/2006/relationships"><Relationship Id="rId2" Type="http://schemas.microsoft.com/office/2011/relationships/chartColorStyle" Target="colors119.xml"/><Relationship Id="rId1" Type="http://schemas.microsoft.com/office/2011/relationships/chartStyle" Target="style119.xml"/></Relationships>
</file>

<file path=xl/charts/_rels/chartEx71.xml.rels><?xml version="1.0" encoding="UTF-8" standalone="yes"?>
<Relationships xmlns="http://schemas.openxmlformats.org/package/2006/relationships"><Relationship Id="rId2" Type="http://schemas.microsoft.com/office/2011/relationships/chartColorStyle" Target="colors122.xml"/><Relationship Id="rId1" Type="http://schemas.microsoft.com/office/2011/relationships/chartStyle" Target="style122.xml"/></Relationships>
</file>

<file path=xl/charts/_rels/chartEx72.xml.rels><?xml version="1.0" encoding="UTF-8" standalone="yes"?>
<Relationships xmlns="http://schemas.openxmlformats.org/package/2006/relationships"><Relationship Id="rId2" Type="http://schemas.microsoft.com/office/2011/relationships/chartColorStyle" Target="colors123.xml"/><Relationship Id="rId1" Type="http://schemas.microsoft.com/office/2011/relationships/chartStyle" Target="style123.xml"/></Relationships>
</file>

<file path=xl/charts/_rels/chartEx73.xml.rels><?xml version="1.0" encoding="UTF-8" standalone="yes"?>
<Relationships xmlns="http://schemas.openxmlformats.org/package/2006/relationships"><Relationship Id="rId2" Type="http://schemas.microsoft.com/office/2011/relationships/chartColorStyle" Target="colors124.xml"/><Relationship Id="rId1" Type="http://schemas.microsoft.com/office/2011/relationships/chartStyle" Target="style124.xml"/></Relationships>
</file>

<file path=xl/charts/_rels/chartEx74.xml.rels><?xml version="1.0" encoding="UTF-8" standalone="yes"?>
<Relationships xmlns="http://schemas.openxmlformats.org/package/2006/relationships"><Relationship Id="rId2" Type="http://schemas.microsoft.com/office/2011/relationships/chartColorStyle" Target="colors125.xml"/><Relationship Id="rId1" Type="http://schemas.microsoft.com/office/2011/relationships/chartStyle" Target="style125.xml"/></Relationships>
</file>

<file path=xl/charts/_rels/chartEx75.xml.rels><?xml version="1.0" encoding="UTF-8" standalone="yes"?>
<Relationships xmlns="http://schemas.openxmlformats.org/package/2006/relationships"><Relationship Id="rId2" Type="http://schemas.microsoft.com/office/2011/relationships/chartColorStyle" Target="colors126.xml"/><Relationship Id="rId1" Type="http://schemas.microsoft.com/office/2011/relationships/chartStyle" Target="style126.xml"/></Relationships>
</file>

<file path=xl/charts/_rels/chartEx76.xml.rels><?xml version="1.0" encoding="UTF-8" standalone="yes"?>
<Relationships xmlns="http://schemas.openxmlformats.org/package/2006/relationships"><Relationship Id="rId2" Type="http://schemas.microsoft.com/office/2011/relationships/chartColorStyle" Target="colors127.xml"/><Relationship Id="rId1" Type="http://schemas.microsoft.com/office/2011/relationships/chartStyle" Target="style127.xml"/></Relationships>
</file>

<file path=xl/charts/_rels/chartEx77.xml.rels><?xml version="1.0" encoding="UTF-8" standalone="yes"?>
<Relationships xmlns="http://schemas.openxmlformats.org/package/2006/relationships"><Relationship Id="rId2" Type="http://schemas.microsoft.com/office/2011/relationships/chartColorStyle" Target="colors129.xml"/><Relationship Id="rId1" Type="http://schemas.microsoft.com/office/2011/relationships/chartStyle" Target="style129.xml"/></Relationships>
</file>

<file path=xl/charts/_rels/chartEx78.xml.rels><?xml version="1.0" encoding="UTF-8" standalone="yes"?>
<Relationships xmlns="http://schemas.openxmlformats.org/package/2006/relationships"><Relationship Id="rId2" Type="http://schemas.microsoft.com/office/2011/relationships/chartColorStyle" Target="colors130.xml"/><Relationship Id="rId1" Type="http://schemas.microsoft.com/office/2011/relationships/chartStyle" Target="style130.xml"/></Relationships>
</file>

<file path=xl/charts/_rels/chartEx79.xml.rels><?xml version="1.0" encoding="UTF-8" standalone="yes"?>
<Relationships xmlns="http://schemas.openxmlformats.org/package/2006/relationships"><Relationship Id="rId2" Type="http://schemas.microsoft.com/office/2011/relationships/chartColorStyle" Target="colors131.xml"/><Relationship Id="rId1" Type="http://schemas.microsoft.com/office/2011/relationships/chartStyle" Target="style131.xml"/></Relationships>
</file>

<file path=xl/charts/_rels/chartEx80.xml.rels><?xml version="1.0" encoding="UTF-8" standalone="yes"?>
<Relationships xmlns="http://schemas.openxmlformats.org/package/2006/relationships"><Relationship Id="rId2" Type="http://schemas.microsoft.com/office/2011/relationships/chartColorStyle" Target="colors132.xml"/><Relationship Id="rId1" Type="http://schemas.microsoft.com/office/2011/relationships/chartStyle" Target="style132.xml"/></Relationships>
</file>

<file path=xl/charts/_rels/chartEx81.xml.rels><?xml version="1.0" encoding="UTF-8" standalone="yes"?>
<Relationships xmlns="http://schemas.openxmlformats.org/package/2006/relationships"><Relationship Id="rId2" Type="http://schemas.microsoft.com/office/2011/relationships/chartColorStyle" Target="colors133.xml"/><Relationship Id="rId1" Type="http://schemas.microsoft.com/office/2011/relationships/chartStyle" Target="style133.xml"/></Relationships>
</file>

<file path=xl/charts/_rels/chartEx82.xml.rels><?xml version="1.0" encoding="UTF-8" standalone="yes"?>
<Relationships xmlns="http://schemas.openxmlformats.org/package/2006/relationships"><Relationship Id="rId2" Type="http://schemas.microsoft.com/office/2011/relationships/chartColorStyle" Target="colors134.xml"/><Relationship Id="rId1" Type="http://schemas.microsoft.com/office/2011/relationships/chartStyle" Target="style134.xml"/></Relationships>
</file>

<file path=xl/charts/_rels/chartEx83.xml.rels><?xml version="1.0" encoding="UTF-8" standalone="yes"?>
<Relationships xmlns="http://schemas.openxmlformats.org/package/2006/relationships"><Relationship Id="rId2" Type="http://schemas.microsoft.com/office/2011/relationships/chartColorStyle" Target="colors136.xml"/><Relationship Id="rId1" Type="http://schemas.microsoft.com/office/2011/relationships/chartStyle" Target="style136.xml"/></Relationships>
</file>

<file path=xl/charts/_rels/chartEx84.xml.rels><?xml version="1.0" encoding="UTF-8" standalone="yes"?>
<Relationships xmlns="http://schemas.openxmlformats.org/package/2006/relationships"><Relationship Id="rId2" Type="http://schemas.microsoft.com/office/2011/relationships/chartColorStyle" Target="colors137.xml"/><Relationship Id="rId1" Type="http://schemas.microsoft.com/office/2011/relationships/chartStyle" Target="style137.xml"/></Relationships>
</file>

<file path=xl/charts/_rels/chartEx85.xml.rels><?xml version="1.0" encoding="UTF-8" standalone="yes"?>
<Relationships xmlns="http://schemas.openxmlformats.org/package/2006/relationships"><Relationship Id="rId2" Type="http://schemas.microsoft.com/office/2011/relationships/chartColorStyle" Target="colors138.xml"/><Relationship Id="rId1" Type="http://schemas.microsoft.com/office/2011/relationships/chartStyle" Target="style138.xml"/></Relationships>
</file>

<file path=xl/charts/_rels/chartEx86.xml.rels><?xml version="1.0" encoding="UTF-8" standalone="yes"?>
<Relationships xmlns="http://schemas.openxmlformats.org/package/2006/relationships"><Relationship Id="rId2" Type="http://schemas.microsoft.com/office/2011/relationships/chartColorStyle" Target="colors139.xml"/><Relationship Id="rId1" Type="http://schemas.microsoft.com/office/2011/relationships/chartStyle" Target="style139.xml"/></Relationships>
</file>

<file path=xl/charts/_rels/chartEx87.xml.rels><?xml version="1.0" encoding="UTF-8" standalone="yes"?>
<Relationships xmlns="http://schemas.openxmlformats.org/package/2006/relationships"><Relationship Id="rId2" Type="http://schemas.microsoft.com/office/2011/relationships/chartColorStyle" Target="colors140.xml"/><Relationship Id="rId1" Type="http://schemas.microsoft.com/office/2011/relationships/chartStyle" Target="style140.xml"/></Relationships>
</file>

<file path=xl/charts/_rels/chartEx88.xml.rels><?xml version="1.0" encoding="UTF-8" standalone="yes"?>
<Relationships xmlns="http://schemas.openxmlformats.org/package/2006/relationships"><Relationship Id="rId2" Type="http://schemas.microsoft.com/office/2011/relationships/chartColorStyle" Target="colors141.xml"/><Relationship Id="rId1" Type="http://schemas.microsoft.com/office/2011/relationships/chartStyle" Target="style141.xml"/></Relationships>
</file>

<file path=xl/charts/_rels/chartEx89.xml.rels><?xml version="1.0" encoding="UTF-8" standalone="yes"?>
<Relationships xmlns="http://schemas.openxmlformats.org/package/2006/relationships"><Relationship Id="rId2" Type="http://schemas.microsoft.com/office/2011/relationships/chartColorStyle" Target="colors143.xml"/><Relationship Id="rId1" Type="http://schemas.microsoft.com/office/2011/relationships/chartStyle" Target="style143.xml"/></Relationships>
</file>

<file path=xl/charts/_rels/chartEx90.xml.rels><?xml version="1.0" encoding="UTF-8" standalone="yes"?>
<Relationships xmlns="http://schemas.openxmlformats.org/package/2006/relationships"><Relationship Id="rId2" Type="http://schemas.microsoft.com/office/2011/relationships/chartColorStyle" Target="colors144.xml"/><Relationship Id="rId1" Type="http://schemas.microsoft.com/office/2011/relationships/chartStyle" Target="style144.xml"/></Relationships>
</file>

<file path=xl/charts/_rels/chartEx91.xml.rels><?xml version="1.0" encoding="UTF-8" standalone="yes"?>
<Relationships xmlns="http://schemas.openxmlformats.org/package/2006/relationships"><Relationship Id="rId2" Type="http://schemas.microsoft.com/office/2011/relationships/chartColorStyle" Target="colors145.xml"/><Relationship Id="rId1" Type="http://schemas.microsoft.com/office/2011/relationships/chartStyle" Target="style145.xml"/></Relationships>
</file>

<file path=xl/charts/_rels/chartEx92.xml.rels><?xml version="1.0" encoding="UTF-8" standalone="yes"?>
<Relationships xmlns="http://schemas.openxmlformats.org/package/2006/relationships"><Relationship Id="rId2" Type="http://schemas.microsoft.com/office/2011/relationships/chartColorStyle" Target="colors146.xml"/><Relationship Id="rId1" Type="http://schemas.microsoft.com/office/2011/relationships/chartStyle" Target="style146.xml"/></Relationships>
</file>

<file path=xl/charts/_rels/chartEx93.xml.rels><?xml version="1.0" encoding="UTF-8" standalone="yes"?>
<Relationships xmlns="http://schemas.openxmlformats.org/package/2006/relationships"><Relationship Id="rId2" Type="http://schemas.microsoft.com/office/2011/relationships/chartColorStyle" Target="colors147.xml"/><Relationship Id="rId1" Type="http://schemas.microsoft.com/office/2011/relationships/chartStyle" Target="style147.xml"/></Relationships>
</file>

<file path=xl/charts/_rels/chartEx94.xml.rels><?xml version="1.0" encoding="UTF-8" standalone="yes"?>
<Relationships xmlns="http://schemas.openxmlformats.org/package/2006/relationships"><Relationship Id="rId2" Type="http://schemas.microsoft.com/office/2011/relationships/chartColorStyle" Target="colors148.xml"/><Relationship Id="rId1" Type="http://schemas.microsoft.com/office/2011/relationships/chartStyle" Target="style148.xml"/></Relationships>
</file>

<file path=xl/charts/_rels/chartEx95.xml.rels><?xml version="1.0" encoding="UTF-8" standalone="yes"?>
<Relationships xmlns="http://schemas.openxmlformats.org/package/2006/relationships"><Relationship Id="rId2" Type="http://schemas.microsoft.com/office/2011/relationships/chartColorStyle" Target="colors150.xml"/><Relationship Id="rId1" Type="http://schemas.microsoft.com/office/2011/relationships/chartStyle" Target="style150.xml"/></Relationships>
</file>

<file path=xl/charts/_rels/chartEx96.xml.rels><?xml version="1.0" encoding="UTF-8" standalone="yes"?>
<Relationships xmlns="http://schemas.openxmlformats.org/package/2006/relationships"><Relationship Id="rId2" Type="http://schemas.microsoft.com/office/2011/relationships/chartColorStyle" Target="colors151.xml"/><Relationship Id="rId1" Type="http://schemas.microsoft.com/office/2011/relationships/chartStyle" Target="style151.xml"/></Relationships>
</file>

<file path=xl/charts/_rels/chartEx97.xml.rels><?xml version="1.0" encoding="UTF-8" standalone="yes"?>
<Relationships xmlns="http://schemas.openxmlformats.org/package/2006/relationships"><Relationship Id="rId2" Type="http://schemas.microsoft.com/office/2011/relationships/chartColorStyle" Target="colors152.xml"/><Relationship Id="rId1" Type="http://schemas.microsoft.com/office/2011/relationships/chartStyle" Target="style152.xml"/></Relationships>
</file>

<file path=xl/charts/_rels/chartEx98.xml.rels><?xml version="1.0" encoding="UTF-8" standalone="yes"?>
<Relationships xmlns="http://schemas.openxmlformats.org/package/2006/relationships"><Relationship Id="rId2" Type="http://schemas.microsoft.com/office/2011/relationships/chartColorStyle" Target="colors153.xml"/><Relationship Id="rId1" Type="http://schemas.microsoft.com/office/2011/relationships/chartStyle" Target="style153.xml"/></Relationships>
</file>

<file path=xl/charts/_rels/chartEx99.xml.rels><?xml version="1.0" encoding="UTF-8" standalone="yes"?>
<Relationships xmlns="http://schemas.openxmlformats.org/package/2006/relationships"><Relationship Id="rId2" Type="http://schemas.microsoft.com/office/2011/relationships/chartColorStyle" Target="colors154.xml"/><Relationship Id="rId1" Type="http://schemas.microsoft.com/office/2011/relationships/chartStyle" Target="style154.xml"/></Relationships>
</file>

<file path=xl/charts/_rels/chartEx100.xml.rels><?xml version="1.0" encoding="UTF-8" standalone="yes"?>
<Relationships xmlns="http://schemas.openxmlformats.org/package/2006/relationships"><Relationship Id="rId2" Type="http://schemas.microsoft.com/office/2011/relationships/chartColorStyle" Target="colors155.xml"/><Relationship Id="rId1" Type="http://schemas.microsoft.com/office/2011/relationships/chartStyle" Target="style15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5898243598212345E-2"/>
          <c:y val="0.13048727356891471"/>
          <c:w val="0.896424834226629"/>
          <c:h val="0.69583540391697685"/>
        </c:manualLayout>
      </c:layout>
      <c:barChart>
        <c:barDir val="col"/>
        <c:grouping val="clustered"/>
        <c:varyColors val="0"/>
        <c:ser>
          <c:idx val="0"/>
          <c:order val="0"/>
          <c:tx>
            <c:v>TN</c:v>
          </c:tx>
          <c:spPr>
            <a:pattFill prst="pct50">
              <a:fgClr>
                <a:schemeClr val="accent5">
                  <a:lumMod val="50000"/>
                </a:schemeClr>
              </a:fgClr>
              <a:bgClr>
                <a:schemeClr val="bg1"/>
              </a:bgClr>
            </a:pattFill>
            <a:ln w="9525">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Tables!$AH$38:$AH$43</c:f>
              <c:strCache>
                <c:ptCount val="6"/>
                <c:pt idx="0">
                  <c:v>Low HLR, Lower Outlet Height, No Plants</c:v>
                </c:pt>
                <c:pt idx="1">
                  <c:v>Medium HLR, Lower Outlet Height, No Plants</c:v>
                </c:pt>
                <c:pt idx="2">
                  <c:v>High HLR, Lower Outlet Height, No Plants</c:v>
                </c:pt>
                <c:pt idx="3">
                  <c:v>High HLR, Upper Outlet Height, No Plants</c:v>
                </c:pt>
                <c:pt idx="4">
                  <c:v>High HLR, Lower Outlet Height, Yes Plants</c:v>
                </c:pt>
                <c:pt idx="5">
                  <c:v>Medium HLR, Upper Outlet Height, Yes Plants</c:v>
                </c:pt>
              </c:strCache>
            </c:strRef>
          </c:cat>
          <c:val>
            <c:numRef>
              <c:f>Tables!$AN$38:$AN$43</c:f>
              <c:numCache>
                <c:formatCode>0.00</c:formatCode>
                <c:ptCount val="6"/>
                <c:pt idx="0">
                  <c:v>74.188807335578403</c:v>
                </c:pt>
                <c:pt idx="1">
                  <c:v>72.119840244999565</c:v>
                </c:pt>
                <c:pt idx="2">
                  <c:v>49.299104372202507</c:v>
                </c:pt>
                <c:pt idx="3">
                  <c:v>61.624622291402105</c:v>
                </c:pt>
                <c:pt idx="4">
                  <c:v>32.784900012942927</c:v>
                </c:pt>
                <c:pt idx="5">
                  <c:v>81.040361954533239</c:v>
                </c:pt>
              </c:numCache>
            </c:numRef>
          </c:val>
          <c:extLst>
            <c:ext xmlns:c16="http://schemas.microsoft.com/office/drawing/2014/chart" uri="{C3380CC4-5D6E-409C-BE32-E72D297353CC}">
              <c16:uniqueId val="{00000000-ABEB-4D7E-8F63-3032796F818D}"/>
            </c:ext>
          </c:extLst>
        </c:ser>
        <c:ser>
          <c:idx val="1"/>
          <c:order val="1"/>
          <c:tx>
            <c:v>TP</c:v>
          </c:tx>
          <c:spPr>
            <a:pattFill prst="pct20">
              <a:fgClr>
                <a:schemeClr val="accent3">
                  <a:lumMod val="50000"/>
                </a:schemeClr>
              </a:fgClr>
              <a:bgClr>
                <a:schemeClr val="bg1"/>
              </a:bgClr>
            </a:pattFill>
            <a:ln w="9525">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Tables!$AH$38:$AH$43</c:f>
              <c:strCache>
                <c:ptCount val="6"/>
                <c:pt idx="0">
                  <c:v>Low HLR, Lower Outlet Height, No Plants</c:v>
                </c:pt>
                <c:pt idx="1">
                  <c:v>Medium HLR, Lower Outlet Height, No Plants</c:v>
                </c:pt>
                <c:pt idx="2">
                  <c:v>High HLR, Lower Outlet Height, No Plants</c:v>
                </c:pt>
                <c:pt idx="3">
                  <c:v>High HLR, Upper Outlet Height, No Plants</c:v>
                </c:pt>
                <c:pt idx="4">
                  <c:v>High HLR, Lower Outlet Height, Yes Plants</c:v>
                </c:pt>
                <c:pt idx="5">
                  <c:v>Medium HLR, Upper Outlet Height, Yes Plants</c:v>
                </c:pt>
              </c:strCache>
            </c:strRef>
          </c:cat>
          <c:val>
            <c:numRef>
              <c:f>Tables!$AO$38:$AO$43</c:f>
              <c:numCache>
                <c:formatCode>0.00</c:formatCode>
                <c:ptCount val="6"/>
                <c:pt idx="0">
                  <c:v>62.151794616889013</c:v>
                </c:pt>
                <c:pt idx="1">
                  <c:v>42.347366790310744</c:v>
                </c:pt>
                <c:pt idx="2">
                  <c:v>-2.9404308673300861</c:v>
                </c:pt>
                <c:pt idx="3">
                  <c:v>13.127473536814298</c:v>
                </c:pt>
                <c:pt idx="4">
                  <c:v>22.408376963350769</c:v>
                </c:pt>
                <c:pt idx="5">
                  <c:v>33.005845044148742</c:v>
                </c:pt>
              </c:numCache>
            </c:numRef>
          </c:val>
          <c:extLst>
            <c:ext xmlns:c16="http://schemas.microsoft.com/office/drawing/2014/chart" uri="{C3380CC4-5D6E-409C-BE32-E72D297353CC}">
              <c16:uniqueId val="{00000001-ABEB-4D7E-8F63-3032796F818D}"/>
            </c:ext>
          </c:extLst>
        </c:ser>
        <c:dLbls>
          <c:dLblPos val="outEnd"/>
          <c:showLegendKey val="0"/>
          <c:showVal val="1"/>
          <c:showCatName val="0"/>
          <c:showSerName val="0"/>
          <c:showPercent val="0"/>
          <c:showBubbleSize val="0"/>
        </c:dLbls>
        <c:gapWidth val="219"/>
        <c:overlap val="-27"/>
        <c:axId val="36991087"/>
        <c:axId val="36992047"/>
      </c:barChart>
      <c:catAx>
        <c:axId val="36991087"/>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US" sz="1100" b="1">
                    <a:solidFill>
                      <a:sysClr val="windowText" lastClr="000000"/>
                    </a:solidFill>
                    <a:latin typeface="Arial" panose="020B0604020202020204" pitchFamily="34" charset="0"/>
                    <a:cs typeface="Arial" panose="020B0604020202020204" pitchFamily="34" charset="0"/>
                  </a:rPr>
                  <a:t>Unit</a:t>
                </a:r>
                <a:r>
                  <a:rPr lang="en-US" sz="1100" b="1" baseline="0">
                    <a:solidFill>
                      <a:sysClr val="windowText" lastClr="000000"/>
                    </a:solidFill>
                    <a:latin typeface="Arial" panose="020B0604020202020204" pitchFamily="34" charset="0"/>
                    <a:cs typeface="Arial" panose="020B0604020202020204" pitchFamily="34" charset="0"/>
                  </a:rPr>
                  <a:t> Configuration</a:t>
                </a:r>
                <a:endParaRPr lang="en-US" sz="1100" b="1">
                  <a:solidFill>
                    <a:sysClr val="windowText" lastClr="000000"/>
                  </a:solidFill>
                  <a:latin typeface="Arial" panose="020B0604020202020204" pitchFamily="34" charset="0"/>
                  <a:cs typeface="Arial" panose="020B0604020202020204" pitchFamily="34" charset="0"/>
                </a:endParaRPr>
              </a:p>
            </c:rich>
          </c:tx>
          <c:layout>
            <c:manualLayout>
              <c:xMode val="edge"/>
              <c:yMode val="edge"/>
              <c:x val="0.4185991679433263"/>
              <c:y val="0.95530257639304972"/>
            </c:manualLayout>
          </c:layout>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low"/>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36992047"/>
        <c:crosses val="autoZero"/>
        <c:auto val="1"/>
        <c:lblAlgn val="ctr"/>
        <c:lblOffset val="100"/>
        <c:noMultiLvlLbl val="0"/>
      </c:catAx>
      <c:valAx>
        <c:axId val="36992047"/>
        <c:scaling>
          <c:orientation val="minMax"/>
          <c:max val="100"/>
        </c:scaling>
        <c:delete val="0"/>
        <c:axPos val="l"/>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sz="1100" b="1" baseline="0">
                    <a:solidFill>
                      <a:sysClr val="windowText" lastClr="000000"/>
                    </a:solidFill>
                    <a:latin typeface="Arial" panose="020B0604020202020204" pitchFamily="34" charset="0"/>
                    <a:cs typeface="Arial" panose="020B0604020202020204" pitchFamily="34" charset="0"/>
                  </a:rPr>
                  <a:t>Combined Unit Average Load Reduction (%)</a:t>
                </a:r>
                <a:endParaRPr lang="en-US" sz="1100" b="1">
                  <a:solidFill>
                    <a:sysClr val="windowText" lastClr="000000"/>
                  </a:solidFill>
                  <a:latin typeface="Arial" panose="020B0604020202020204" pitchFamily="34" charset="0"/>
                  <a:cs typeface="Arial" panose="020B0604020202020204" pitchFamily="34" charset="0"/>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36991087"/>
        <c:crosses val="autoZero"/>
        <c:crossBetween val="between"/>
        <c:majorUnit val="10"/>
      </c:valAx>
      <c:spPr>
        <a:noFill/>
        <a:ln>
          <a:solidFill>
            <a:schemeClr val="tx1"/>
          </a:solidFill>
        </a:ln>
        <a:effectLst/>
      </c:spPr>
    </c:plotArea>
    <c:legend>
      <c:legendPos val="r"/>
      <c:layout>
        <c:manualLayout>
          <c:xMode val="edge"/>
          <c:yMode val="edge"/>
          <c:x val="0.82703313412805679"/>
          <c:y val="4.4306462263187629E-2"/>
          <c:w val="0.14278725711098827"/>
          <c:h val="4.3359410947487478E-2"/>
        </c:manualLayout>
      </c:layout>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5898243598212345E-2"/>
          <c:y val="0.13278439049398208"/>
          <c:w val="0.896424834226629"/>
          <c:h val="0.69353831229135776"/>
        </c:manualLayout>
      </c:layout>
      <c:barChart>
        <c:barDir val="col"/>
        <c:grouping val="clustered"/>
        <c:varyColors val="0"/>
        <c:ser>
          <c:idx val="0"/>
          <c:order val="0"/>
          <c:tx>
            <c:v>TN</c:v>
          </c:tx>
          <c:spPr>
            <a:pattFill prst="pct50">
              <a:fgClr>
                <a:schemeClr val="accent5">
                  <a:lumMod val="50000"/>
                </a:schemeClr>
              </a:fgClr>
              <a:bgClr>
                <a:schemeClr val="bg1"/>
              </a:bgClr>
            </a:pattFill>
            <a:ln>
              <a:solidFill>
                <a:schemeClr val="tx1"/>
              </a:solidFill>
            </a:ln>
            <a:effectLst/>
          </c:spPr>
          <c:invertIfNegative val="0"/>
          <c:dPt>
            <c:idx val="5"/>
            <c:invertIfNegative val="0"/>
            <c:bubble3D val="0"/>
            <c:spPr>
              <a:pattFill prst="pct50">
                <a:fgClr>
                  <a:schemeClr val="accent5">
                    <a:lumMod val="50000"/>
                  </a:schemeClr>
                </a:fgClr>
                <a:bgClr>
                  <a:schemeClr val="bg1"/>
                </a:bgClr>
              </a:pattFill>
              <a:ln>
                <a:solidFill>
                  <a:schemeClr val="tx1"/>
                </a:solidFill>
              </a:ln>
              <a:effectLst/>
            </c:spPr>
            <c:extLst>
              <c:ext xmlns:c16="http://schemas.microsoft.com/office/drawing/2014/chart" uri="{C3380CC4-5D6E-409C-BE32-E72D297353CC}">
                <c16:uniqueId val="{00000001-FA1E-4DA6-8D8B-2152AF24579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Tables!$B$28:$B$33</c:f>
              <c:strCache>
                <c:ptCount val="6"/>
                <c:pt idx="0">
                  <c:v>Low HLR, Lower Outlet Height, No Plants</c:v>
                </c:pt>
                <c:pt idx="1">
                  <c:v>Medium HLR, Lower Outlet Height, No Plants</c:v>
                </c:pt>
                <c:pt idx="2">
                  <c:v>High HLR, Lower Outlet Height, No Plants</c:v>
                </c:pt>
                <c:pt idx="3">
                  <c:v>High HLR, Upper Outlet Height, No Plants</c:v>
                </c:pt>
                <c:pt idx="4">
                  <c:v>High HLR, Lower Outlet Height, Yes Plants</c:v>
                </c:pt>
                <c:pt idx="5">
                  <c:v>Medium HLR, Upper Outlet Height, Yes Plants</c:v>
                </c:pt>
              </c:strCache>
            </c:strRef>
          </c:cat>
          <c:val>
            <c:numRef>
              <c:f>Tables!$H$28:$H$33</c:f>
              <c:numCache>
                <c:formatCode>0.00</c:formatCode>
                <c:ptCount val="6"/>
                <c:pt idx="0">
                  <c:v>2.7216552525675235</c:v>
                </c:pt>
                <c:pt idx="1">
                  <c:v>1.8024963990414389</c:v>
                </c:pt>
                <c:pt idx="2">
                  <c:v>0.9639249813692633</c:v>
                </c:pt>
                <c:pt idx="3">
                  <c:v>1.4712819661170595</c:v>
                </c:pt>
                <c:pt idx="4">
                  <c:v>2.2694145515942896</c:v>
                </c:pt>
                <c:pt idx="5">
                  <c:v>7.7988879393860104</c:v>
                </c:pt>
              </c:numCache>
            </c:numRef>
          </c:val>
          <c:extLst>
            <c:ext xmlns:c16="http://schemas.microsoft.com/office/drawing/2014/chart" uri="{C3380CC4-5D6E-409C-BE32-E72D297353CC}">
              <c16:uniqueId val="{00000002-FA1E-4DA6-8D8B-2152AF24579A}"/>
            </c:ext>
          </c:extLst>
        </c:ser>
        <c:ser>
          <c:idx val="1"/>
          <c:order val="1"/>
          <c:tx>
            <c:v>TP</c:v>
          </c:tx>
          <c:spPr>
            <a:pattFill prst="pct20">
              <a:fgClr>
                <a:schemeClr val="accent3">
                  <a:lumMod val="50000"/>
                </a:schemeClr>
              </a:fgClr>
              <a:bgClr>
                <a:schemeClr val="bg1"/>
              </a:bgClr>
            </a:pattFill>
            <a:ln>
              <a:solidFill>
                <a:schemeClr val="tx1"/>
              </a:solidFill>
            </a:ln>
            <a:effectLst/>
          </c:spPr>
          <c:invertIfNegative val="0"/>
          <c:dPt>
            <c:idx val="5"/>
            <c:invertIfNegative val="0"/>
            <c:bubble3D val="0"/>
            <c:spPr>
              <a:pattFill prst="pct20">
                <a:fgClr>
                  <a:schemeClr val="accent3">
                    <a:lumMod val="50000"/>
                  </a:schemeClr>
                </a:fgClr>
                <a:bgClr>
                  <a:schemeClr val="bg1"/>
                </a:bgClr>
              </a:pattFill>
              <a:ln>
                <a:solidFill>
                  <a:schemeClr val="tx1"/>
                </a:solidFill>
              </a:ln>
              <a:effectLst/>
            </c:spPr>
            <c:extLst>
              <c:ext xmlns:c16="http://schemas.microsoft.com/office/drawing/2014/chart" uri="{C3380CC4-5D6E-409C-BE32-E72D297353CC}">
                <c16:uniqueId val="{00000004-FA1E-4DA6-8D8B-2152AF24579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Tables!$B$28:$B$33</c:f>
              <c:strCache>
                <c:ptCount val="6"/>
                <c:pt idx="0">
                  <c:v>Low HLR, Lower Outlet Height, No Plants</c:v>
                </c:pt>
                <c:pt idx="1">
                  <c:v>Medium HLR, Lower Outlet Height, No Plants</c:v>
                </c:pt>
                <c:pt idx="2">
                  <c:v>High HLR, Lower Outlet Height, No Plants</c:v>
                </c:pt>
                <c:pt idx="3">
                  <c:v>High HLR, Upper Outlet Height, No Plants</c:v>
                </c:pt>
                <c:pt idx="4">
                  <c:v>High HLR, Lower Outlet Height, Yes Plants</c:v>
                </c:pt>
                <c:pt idx="5">
                  <c:v>Medium HLR, Upper Outlet Height, Yes Plants</c:v>
                </c:pt>
              </c:strCache>
            </c:strRef>
          </c:cat>
          <c:val>
            <c:numRef>
              <c:f>Tables!$I$28:$I$33</c:f>
              <c:numCache>
                <c:formatCode>0.00</c:formatCode>
                <c:ptCount val="6"/>
                <c:pt idx="0">
                  <c:v>1.1790790162218734</c:v>
                </c:pt>
                <c:pt idx="1">
                  <c:v>0.79565323565323565</c:v>
                </c:pt>
                <c:pt idx="2">
                  <c:v>1.0183406011977441</c:v>
                </c:pt>
                <c:pt idx="3">
                  <c:v>1.0330879702308273</c:v>
                </c:pt>
                <c:pt idx="4">
                  <c:v>0.83289726146868992</c:v>
                </c:pt>
                <c:pt idx="5">
                  <c:v>1.1688179545322404</c:v>
                </c:pt>
              </c:numCache>
            </c:numRef>
          </c:val>
          <c:extLst>
            <c:ext xmlns:c16="http://schemas.microsoft.com/office/drawing/2014/chart" uri="{C3380CC4-5D6E-409C-BE32-E72D297353CC}">
              <c16:uniqueId val="{00000005-FA1E-4DA6-8D8B-2152AF24579A}"/>
            </c:ext>
          </c:extLst>
        </c:ser>
        <c:dLbls>
          <c:dLblPos val="outEnd"/>
          <c:showLegendKey val="0"/>
          <c:showVal val="1"/>
          <c:showCatName val="0"/>
          <c:showSerName val="0"/>
          <c:showPercent val="0"/>
          <c:showBubbleSize val="0"/>
        </c:dLbls>
        <c:gapWidth val="219"/>
        <c:overlap val="-27"/>
        <c:axId val="36991087"/>
        <c:axId val="36992047"/>
      </c:barChart>
      <c:catAx>
        <c:axId val="36991087"/>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US" sz="1100" b="1">
                    <a:solidFill>
                      <a:sysClr val="windowText" lastClr="000000"/>
                    </a:solidFill>
                    <a:latin typeface="Arial" panose="020B0604020202020204" pitchFamily="34" charset="0"/>
                    <a:cs typeface="Arial" panose="020B0604020202020204" pitchFamily="34" charset="0"/>
                  </a:rPr>
                  <a:t>Unit</a:t>
                </a:r>
                <a:r>
                  <a:rPr lang="en-US" sz="1100" b="1" baseline="0">
                    <a:solidFill>
                      <a:sysClr val="windowText" lastClr="000000"/>
                    </a:solidFill>
                    <a:latin typeface="Arial" panose="020B0604020202020204" pitchFamily="34" charset="0"/>
                    <a:cs typeface="Arial" panose="020B0604020202020204" pitchFamily="34" charset="0"/>
                  </a:rPr>
                  <a:t> Configuration</a:t>
                </a:r>
                <a:endParaRPr lang="en-US" sz="1100" b="1">
                  <a:solidFill>
                    <a:sysClr val="windowText" lastClr="000000"/>
                  </a:solidFill>
                  <a:latin typeface="Arial" panose="020B0604020202020204" pitchFamily="34" charset="0"/>
                  <a:cs typeface="Arial" panose="020B0604020202020204" pitchFamily="34" charset="0"/>
                </a:endParaRPr>
              </a:p>
            </c:rich>
          </c:tx>
          <c:layout>
            <c:manualLayout>
              <c:xMode val="edge"/>
              <c:yMode val="edge"/>
              <c:x val="0.4185991679433263"/>
              <c:y val="0.95530257639304972"/>
            </c:manualLayout>
          </c:layout>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low"/>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36992047"/>
        <c:crosses val="autoZero"/>
        <c:auto val="1"/>
        <c:lblAlgn val="ctr"/>
        <c:lblOffset val="100"/>
        <c:noMultiLvlLbl val="0"/>
      </c:catAx>
      <c:valAx>
        <c:axId val="36992047"/>
        <c:scaling>
          <c:orientation val="minMax"/>
          <c:max val="10"/>
        </c:scaling>
        <c:delete val="0"/>
        <c:axPos val="l"/>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sz="1100" b="1" baseline="0">
                    <a:solidFill>
                      <a:sysClr val="windowText" lastClr="000000"/>
                    </a:solidFill>
                    <a:latin typeface="Arial" panose="020B0604020202020204" pitchFamily="34" charset="0"/>
                    <a:cs typeface="Arial" panose="020B0604020202020204" pitchFamily="34" charset="0"/>
                  </a:rPr>
                  <a:t>Average Influent Concentration (mg/L)</a:t>
                </a:r>
                <a:endParaRPr lang="en-US" sz="1100" b="1">
                  <a:solidFill>
                    <a:sysClr val="windowText" lastClr="000000"/>
                  </a:solidFill>
                  <a:latin typeface="Arial" panose="020B0604020202020204" pitchFamily="34" charset="0"/>
                  <a:cs typeface="Arial" panose="020B0604020202020204" pitchFamily="34" charset="0"/>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36991087"/>
        <c:crosses val="autoZero"/>
        <c:crossBetween val="between"/>
      </c:valAx>
      <c:spPr>
        <a:noFill/>
        <a:ln>
          <a:solidFill>
            <a:schemeClr val="tx1"/>
          </a:solidFill>
        </a:ln>
        <a:effectLst/>
      </c:spPr>
    </c:plotArea>
    <c:legend>
      <c:legendPos val="r"/>
      <c:layout>
        <c:manualLayout>
          <c:xMode val="edge"/>
          <c:yMode val="edge"/>
          <c:x val="0.44306903213185322"/>
          <c:y val="4.6330255961919246E-2"/>
          <c:w val="0.1412681566978041"/>
          <c:h val="4.085852677952468E-2"/>
        </c:manualLayout>
      </c:layout>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51351092691785"/>
          <c:y val="8.3493905091112319E-2"/>
          <c:w val="0.83788971381463595"/>
          <c:h val="0.7469681866390262"/>
        </c:manualLayout>
      </c:layout>
      <c:lineChart>
        <c:grouping val="standard"/>
        <c:varyColors val="0"/>
        <c:ser>
          <c:idx val="0"/>
          <c:order val="0"/>
          <c:tx>
            <c:v>Influent</c:v>
          </c:tx>
          <c:spPr>
            <a:ln w="28575" cap="rnd">
              <a:noFill/>
              <a:round/>
            </a:ln>
            <a:effectLst/>
          </c:spPr>
          <c:marker>
            <c:symbol val="triangle"/>
            <c:size val="5"/>
            <c:spPr>
              <a:solidFill>
                <a:schemeClr val="bg2">
                  <a:lumMod val="75000"/>
                </a:schemeClr>
              </a:solidFill>
              <a:ln w="9525">
                <a:solidFill>
                  <a:schemeClr val="bg2">
                    <a:lumMod val="75000"/>
                  </a:schemeClr>
                </a:solidFill>
              </a:ln>
              <a:effectLst/>
            </c:spPr>
          </c:marker>
          <c:cat>
            <c:numRef>
              <c:f>Figures!$D$161:$J$161</c:f>
              <c:numCache>
                <c:formatCode>General</c:formatCode>
                <c:ptCount val="7"/>
                <c:pt idx="0">
                  <c:v>0</c:v>
                </c:pt>
                <c:pt idx="1">
                  <c:v>30</c:v>
                </c:pt>
                <c:pt idx="2">
                  <c:v>60</c:v>
                </c:pt>
                <c:pt idx="3">
                  <c:v>90</c:v>
                </c:pt>
                <c:pt idx="4">
                  <c:v>120</c:v>
                </c:pt>
                <c:pt idx="5">
                  <c:v>150</c:v>
                </c:pt>
                <c:pt idx="6">
                  <c:v>180</c:v>
                </c:pt>
              </c:numCache>
            </c:numRef>
          </c:cat>
          <c:val>
            <c:numRef>
              <c:f>Figures!$D$162:$J$162</c:f>
              <c:numCache>
                <c:formatCode>General</c:formatCode>
                <c:ptCount val="7"/>
                <c:pt idx="0">
                  <c:v>10.019994981473234</c:v>
                </c:pt>
                <c:pt idx="1">
                  <c:v>9.4744249012653121</c:v>
                </c:pt>
                <c:pt idx="2">
                  <c:v>9.2663602808205354</c:v>
                </c:pt>
                <c:pt idx="3">
                  <c:v>8.5059360247999543</c:v>
                </c:pt>
                <c:pt idx="4">
                  <c:v>8.0115846894848417</c:v>
                </c:pt>
                <c:pt idx="5">
                  <c:v>7.7744258927059677</c:v>
                </c:pt>
                <c:pt idx="6">
                  <c:v>7.4507275696419697</c:v>
                </c:pt>
              </c:numCache>
            </c:numRef>
          </c:val>
          <c:smooth val="0"/>
          <c:extLst>
            <c:ext xmlns:c16="http://schemas.microsoft.com/office/drawing/2014/chart" uri="{C3380CC4-5D6E-409C-BE32-E72D297353CC}">
              <c16:uniqueId val="{00000000-57F9-436C-9E5F-5613DC6C1075}"/>
            </c:ext>
          </c:extLst>
        </c:ser>
        <c:ser>
          <c:idx val="1"/>
          <c:order val="1"/>
          <c:tx>
            <c:v>CBA</c:v>
          </c:tx>
          <c:spPr>
            <a:ln w="28575" cap="rnd">
              <a:noFill/>
              <a:round/>
            </a:ln>
            <a:effectLst/>
          </c:spPr>
          <c:marker>
            <c:symbol val="circle"/>
            <c:size val="5"/>
            <c:spPr>
              <a:solidFill>
                <a:schemeClr val="accent2">
                  <a:lumMod val="75000"/>
                  <a:alpha val="99000"/>
                </a:schemeClr>
              </a:solidFill>
              <a:ln w="9525">
                <a:solidFill>
                  <a:schemeClr val="accent2">
                    <a:lumMod val="75000"/>
                  </a:schemeClr>
                </a:solidFill>
              </a:ln>
              <a:effectLst/>
            </c:spPr>
          </c:marker>
          <c:cat>
            <c:numRef>
              <c:f>Figures!$D$161:$J$161</c:f>
              <c:numCache>
                <c:formatCode>General</c:formatCode>
                <c:ptCount val="7"/>
                <c:pt idx="0">
                  <c:v>0</c:v>
                </c:pt>
                <c:pt idx="1">
                  <c:v>30</c:v>
                </c:pt>
                <c:pt idx="2">
                  <c:v>60</c:v>
                </c:pt>
                <c:pt idx="3">
                  <c:v>90</c:v>
                </c:pt>
                <c:pt idx="4">
                  <c:v>120</c:v>
                </c:pt>
                <c:pt idx="5">
                  <c:v>150</c:v>
                </c:pt>
                <c:pt idx="6">
                  <c:v>180</c:v>
                </c:pt>
              </c:numCache>
            </c:numRef>
          </c:cat>
          <c:val>
            <c:numRef>
              <c:f>Figures!$D$163:$J$163</c:f>
              <c:numCache>
                <c:formatCode>General</c:formatCode>
                <c:ptCount val="7"/>
                <c:pt idx="0">
                  <c:v>4.2468632536653922E-2</c:v>
                </c:pt>
                <c:pt idx="1">
                  <c:v>0.15856810765824458</c:v>
                </c:pt>
                <c:pt idx="2">
                  <c:v>0.20845571905551136</c:v>
                </c:pt>
                <c:pt idx="3">
                  <c:v>0.76426801955243862</c:v>
                </c:pt>
                <c:pt idx="4">
                  <c:v>1.5869709173636359</c:v>
                </c:pt>
                <c:pt idx="5">
                  <c:v>2.285287901989407</c:v>
                </c:pt>
                <c:pt idx="6">
                  <c:v>2.4637798872975507</c:v>
                </c:pt>
              </c:numCache>
            </c:numRef>
          </c:val>
          <c:smooth val="0"/>
          <c:extLst>
            <c:ext xmlns:c16="http://schemas.microsoft.com/office/drawing/2014/chart" uri="{C3380CC4-5D6E-409C-BE32-E72D297353CC}">
              <c16:uniqueId val="{00000001-57F9-436C-9E5F-5613DC6C1075}"/>
            </c:ext>
          </c:extLst>
        </c:ser>
        <c:ser>
          <c:idx val="2"/>
          <c:order val="2"/>
          <c:tx>
            <c:v>PBA</c:v>
          </c:tx>
          <c:spPr>
            <a:ln w="28575" cap="rnd">
              <a:noFill/>
              <a:round/>
            </a:ln>
            <a:effectLst/>
          </c:spPr>
          <c:marker>
            <c:symbol val="x"/>
            <c:size val="5"/>
            <c:spPr>
              <a:solidFill>
                <a:schemeClr val="accent5">
                  <a:lumMod val="50000"/>
                </a:schemeClr>
              </a:solidFill>
              <a:ln w="9525">
                <a:solidFill>
                  <a:schemeClr val="accent5">
                    <a:lumMod val="50000"/>
                  </a:schemeClr>
                </a:solidFill>
              </a:ln>
              <a:effectLst/>
            </c:spPr>
          </c:marker>
          <c:cat>
            <c:numRef>
              <c:f>Figures!$D$161:$J$161</c:f>
              <c:numCache>
                <c:formatCode>General</c:formatCode>
                <c:ptCount val="7"/>
                <c:pt idx="0">
                  <c:v>0</c:v>
                </c:pt>
                <c:pt idx="1">
                  <c:v>30</c:v>
                </c:pt>
                <c:pt idx="2">
                  <c:v>60</c:v>
                </c:pt>
                <c:pt idx="3">
                  <c:v>90</c:v>
                </c:pt>
                <c:pt idx="4">
                  <c:v>120</c:v>
                </c:pt>
                <c:pt idx="5">
                  <c:v>150</c:v>
                </c:pt>
                <c:pt idx="6">
                  <c:v>180</c:v>
                </c:pt>
              </c:numCache>
            </c:numRef>
          </c:cat>
          <c:val>
            <c:numRef>
              <c:f>Figures!$D$164:$J$164</c:f>
              <c:numCache>
                <c:formatCode>General</c:formatCode>
                <c:ptCount val="7"/>
                <c:pt idx="0">
                  <c:v>0.46798932510063407</c:v>
                </c:pt>
                <c:pt idx="1">
                  <c:v>0.45787737462470501</c:v>
                </c:pt>
                <c:pt idx="2">
                  <c:v>0.71311574784269405</c:v>
                </c:pt>
                <c:pt idx="3">
                  <c:v>3.3111665324843527</c:v>
                </c:pt>
                <c:pt idx="4">
                  <c:v>5.2009557481316406</c:v>
                </c:pt>
                <c:pt idx="5">
                  <c:v>6.4756862109129649</c:v>
                </c:pt>
                <c:pt idx="6">
                  <c:v>6.3146671716383711</c:v>
                </c:pt>
              </c:numCache>
            </c:numRef>
          </c:val>
          <c:smooth val="0"/>
          <c:extLst>
            <c:ext xmlns:c16="http://schemas.microsoft.com/office/drawing/2014/chart" uri="{C3380CC4-5D6E-409C-BE32-E72D297353CC}">
              <c16:uniqueId val="{00000002-57F9-436C-9E5F-5613DC6C1075}"/>
            </c:ext>
          </c:extLst>
        </c:ser>
        <c:dLbls>
          <c:showLegendKey val="0"/>
          <c:showVal val="0"/>
          <c:showCatName val="0"/>
          <c:showSerName val="0"/>
          <c:showPercent val="0"/>
          <c:showBubbleSize val="0"/>
        </c:dLbls>
        <c:marker val="1"/>
        <c:smooth val="0"/>
        <c:axId val="344613151"/>
        <c:axId val="344612191"/>
      </c:lineChart>
      <c:catAx>
        <c:axId val="3446131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100" b="1">
                    <a:latin typeface="Times New Roman" panose="02020603050405020304" pitchFamily="18" charset="0"/>
                    <a:cs typeface="Times New Roman" panose="02020603050405020304" pitchFamily="18" charset="0"/>
                  </a:rPr>
                  <a:t>Elapsed time (min)</a:t>
                </a:r>
              </a:p>
            </c:rich>
          </c:tx>
          <c:layout>
            <c:manualLayout>
              <c:xMode val="edge"/>
              <c:yMode val="edge"/>
              <c:x val="0.44421512732371854"/>
              <c:y val="0.9175304579049541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44612191"/>
        <c:crosses val="autoZero"/>
        <c:auto val="1"/>
        <c:lblAlgn val="ctr"/>
        <c:lblOffset val="100"/>
        <c:noMultiLvlLbl val="0"/>
      </c:catAx>
      <c:valAx>
        <c:axId val="34461219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100" b="1">
                    <a:latin typeface="Times New Roman" panose="02020603050405020304" pitchFamily="18" charset="0"/>
                    <a:cs typeface="Times New Roman" panose="02020603050405020304" pitchFamily="18" charset="0"/>
                  </a:rPr>
                  <a:t>TIN Concentration (mg</a:t>
                </a:r>
                <a:r>
                  <a:rPr lang="en-US" sz="1100" b="1" baseline="0">
                    <a:latin typeface="Times New Roman" panose="02020603050405020304" pitchFamily="18" charset="0"/>
                    <a:cs typeface="Times New Roman" panose="02020603050405020304" pitchFamily="18" charset="0"/>
                  </a:rPr>
                  <a:t> N/L)</a:t>
                </a:r>
                <a:endParaRPr lang="en-US" sz="1100" b="1">
                  <a:latin typeface="Times New Roman" panose="02020603050405020304" pitchFamily="18" charset="0"/>
                  <a:cs typeface="Times New Roman" panose="02020603050405020304" pitchFamily="18" charset="0"/>
                </a:endParaRPr>
              </a:p>
            </c:rich>
          </c:tx>
          <c:layout>
            <c:manualLayout>
              <c:xMode val="edge"/>
              <c:yMode val="edge"/>
              <c:x val="1.4563126202736289E-2"/>
              <c:y val="0.2881688678835493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0.0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44613151"/>
        <c:crosses val="autoZero"/>
        <c:crossBetween val="between"/>
      </c:valAx>
      <c:spPr>
        <a:noFill/>
        <a:ln w="12700">
          <a:solidFill>
            <a:schemeClr val="tx1"/>
          </a:solidFill>
        </a:ln>
        <a:effectLst/>
      </c:spPr>
    </c:plotArea>
    <c:legend>
      <c:legendPos val="b"/>
      <c:layout>
        <c:manualLayout>
          <c:xMode val="edge"/>
          <c:yMode val="edge"/>
          <c:x val="0.64239963060173044"/>
          <c:y val="0.10284623797025372"/>
          <c:w val="0.28193998145279942"/>
          <c:h val="5.165974574164954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514159442053506"/>
          <c:y val="8.3493905091112319E-2"/>
          <c:w val="0.83788330376116116"/>
          <c:h val="0.7469681866390262"/>
        </c:manualLayout>
      </c:layout>
      <c:lineChart>
        <c:grouping val="standard"/>
        <c:varyColors val="0"/>
        <c:ser>
          <c:idx val="0"/>
          <c:order val="0"/>
          <c:tx>
            <c:v>Influent</c:v>
          </c:tx>
          <c:spPr>
            <a:ln w="28575" cap="rnd">
              <a:noFill/>
              <a:round/>
            </a:ln>
            <a:effectLst/>
          </c:spPr>
          <c:marker>
            <c:symbol val="triangle"/>
            <c:size val="5"/>
            <c:spPr>
              <a:solidFill>
                <a:schemeClr val="bg2">
                  <a:lumMod val="75000"/>
                </a:schemeClr>
              </a:solidFill>
              <a:ln w="9525">
                <a:solidFill>
                  <a:schemeClr val="bg2">
                    <a:lumMod val="75000"/>
                  </a:schemeClr>
                </a:solidFill>
              </a:ln>
              <a:effectLst/>
            </c:spPr>
          </c:marker>
          <c:cat>
            <c:numRef>
              <c:f>Figures!$R$161:$X$161</c:f>
              <c:numCache>
                <c:formatCode>General</c:formatCode>
                <c:ptCount val="7"/>
                <c:pt idx="0">
                  <c:v>0</c:v>
                </c:pt>
                <c:pt idx="1">
                  <c:v>30</c:v>
                </c:pt>
                <c:pt idx="2">
                  <c:v>60</c:v>
                </c:pt>
                <c:pt idx="3">
                  <c:v>90</c:v>
                </c:pt>
                <c:pt idx="4">
                  <c:v>120</c:v>
                </c:pt>
                <c:pt idx="5">
                  <c:v>150</c:v>
                </c:pt>
                <c:pt idx="6">
                  <c:v>180</c:v>
                </c:pt>
              </c:numCache>
            </c:numRef>
          </c:cat>
          <c:val>
            <c:numRef>
              <c:f>Figures!$R$162:$X$162</c:f>
              <c:numCache>
                <c:formatCode>General</c:formatCode>
                <c:ptCount val="7"/>
                <c:pt idx="0">
                  <c:v>1.0042735042735043</c:v>
                </c:pt>
                <c:pt idx="1">
                  <c:v>0.94932844932844929</c:v>
                </c:pt>
                <c:pt idx="2">
                  <c:v>0.90659340659340659</c:v>
                </c:pt>
                <c:pt idx="3">
                  <c:v>0.83333333333333337</c:v>
                </c:pt>
                <c:pt idx="4">
                  <c:v>0.76617826617826612</c:v>
                </c:pt>
                <c:pt idx="5">
                  <c:v>0.71733821733821734</c:v>
                </c:pt>
                <c:pt idx="6">
                  <c:v>0.72344322344322343</c:v>
                </c:pt>
              </c:numCache>
            </c:numRef>
          </c:val>
          <c:smooth val="0"/>
          <c:extLst>
            <c:ext xmlns:c16="http://schemas.microsoft.com/office/drawing/2014/chart" uri="{C3380CC4-5D6E-409C-BE32-E72D297353CC}">
              <c16:uniqueId val="{00000000-44FE-4BEF-A6DC-3E867D5806CF}"/>
            </c:ext>
          </c:extLst>
        </c:ser>
        <c:ser>
          <c:idx val="1"/>
          <c:order val="1"/>
          <c:tx>
            <c:v>CBA</c:v>
          </c:tx>
          <c:spPr>
            <a:ln w="28575" cap="rnd">
              <a:noFill/>
              <a:round/>
            </a:ln>
            <a:effectLst/>
          </c:spPr>
          <c:marker>
            <c:symbol val="circle"/>
            <c:size val="5"/>
            <c:spPr>
              <a:solidFill>
                <a:schemeClr val="accent2">
                  <a:lumMod val="75000"/>
                  <a:alpha val="99000"/>
                </a:schemeClr>
              </a:solidFill>
              <a:ln w="9525">
                <a:solidFill>
                  <a:schemeClr val="accent2">
                    <a:lumMod val="75000"/>
                  </a:schemeClr>
                </a:solidFill>
              </a:ln>
              <a:effectLst/>
            </c:spPr>
          </c:marker>
          <c:cat>
            <c:numRef>
              <c:f>Figures!$R$161:$X$161</c:f>
              <c:numCache>
                <c:formatCode>General</c:formatCode>
                <c:ptCount val="7"/>
                <c:pt idx="0">
                  <c:v>0</c:v>
                </c:pt>
                <c:pt idx="1">
                  <c:v>30</c:v>
                </c:pt>
                <c:pt idx="2">
                  <c:v>60</c:v>
                </c:pt>
                <c:pt idx="3">
                  <c:v>90</c:v>
                </c:pt>
                <c:pt idx="4">
                  <c:v>120</c:v>
                </c:pt>
                <c:pt idx="5">
                  <c:v>150</c:v>
                </c:pt>
                <c:pt idx="6">
                  <c:v>180</c:v>
                </c:pt>
              </c:numCache>
            </c:numRef>
          </c:cat>
          <c:val>
            <c:numRef>
              <c:f>Figures!$R$163:$X$163</c:f>
              <c:numCache>
                <c:formatCode>General</c:formatCode>
                <c:ptCount val="7"/>
                <c:pt idx="0">
                  <c:v>0.52808302808302809</c:v>
                </c:pt>
                <c:pt idx="1">
                  <c:v>0.51587301587301582</c:v>
                </c:pt>
                <c:pt idx="2">
                  <c:v>0.50366300366300365</c:v>
                </c:pt>
                <c:pt idx="3">
                  <c:v>0.49145299145299137</c:v>
                </c:pt>
                <c:pt idx="4">
                  <c:v>0.5219780219780219</c:v>
                </c:pt>
                <c:pt idx="5">
                  <c:v>0.45482295482295487</c:v>
                </c:pt>
                <c:pt idx="6">
                  <c:v>0.46092796092796101</c:v>
                </c:pt>
              </c:numCache>
            </c:numRef>
          </c:val>
          <c:smooth val="0"/>
          <c:extLst>
            <c:ext xmlns:c16="http://schemas.microsoft.com/office/drawing/2014/chart" uri="{C3380CC4-5D6E-409C-BE32-E72D297353CC}">
              <c16:uniqueId val="{00000001-44FE-4BEF-A6DC-3E867D5806CF}"/>
            </c:ext>
          </c:extLst>
        </c:ser>
        <c:ser>
          <c:idx val="2"/>
          <c:order val="2"/>
          <c:tx>
            <c:v>PBA</c:v>
          </c:tx>
          <c:spPr>
            <a:ln w="28575" cap="rnd">
              <a:noFill/>
              <a:round/>
            </a:ln>
            <a:effectLst/>
          </c:spPr>
          <c:marker>
            <c:symbol val="x"/>
            <c:size val="5"/>
            <c:spPr>
              <a:solidFill>
                <a:schemeClr val="accent5">
                  <a:lumMod val="50000"/>
                  <a:alpha val="99000"/>
                </a:schemeClr>
              </a:solidFill>
              <a:ln w="9525">
                <a:solidFill>
                  <a:schemeClr val="accent5">
                    <a:lumMod val="50000"/>
                  </a:schemeClr>
                </a:solidFill>
              </a:ln>
              <a:effectLst/>
            </c:spPr>
          </c:marker>
          <c:cat>
            <c:numRef>
              <c:f>Figures!$R$161:$X$161</c:f>
              <c:numCache>
                <c:formatCode>General</c:formatCode>
                <c:ptCount val="7"/>
                <c:pt idx="0">
                  <c:v>0</c:v>
                </c:pt>
                <c:pt idx="1">
                  <c:v>30</c:v>
                </c:pt>
                <c:pt idx="2">
                  <c:v>60</c:v>
                </c:pt>
                <c:pt idx="3">
                  <c:v>90</c:v>
                </c:pt>
                <c:pt idx="4">
                  <c:v>120</c:v>
                </c:pt>
                <c:pt idx="5">
                  <c:v>150</c:v>
                </c:pt>
                <c:pt idx="6">
                  <c:v>180</c:v>
                </c:pt>
              </c:numCache>
            </c:numRef>
          </c:cat>
          <c:val>
            <c:numRef>
              <c:f>Figures!$R$164:$X$164</c:f>
              <c:numCache>
                <c:formatCode>General</c:formatCode>
                <c:ptCount val="7"/>
                <c:pt idx="0">
                  <c:v>0.75396825396825395</c:v>
                </c:pt>
                <c:pt idx="1">
                  <c:v>0.9432234432234432</c:v>
                </c:pt>
                <c:pt idx="2">
                  <c:v>0.96764346764346765</c:v>
                </c:pt>
                <c:pt idx="3">
                  <c:v>0.88827838827838823</c:v>
                </c:pt>
                <c:pt idx="4">
                  <c:v>0.80280830280830284</c:v>
                </c:pt>
                <c:pt idx="5">
                  <c:v>0.72344322344322343</c:v>
                </c:pt>
                <c:pt idx="6">
                  <c:v>0.70512820512820507</c:v>
                </c:pt>
              </c:numCache>
            </c:numRef>
          </c:val>
          <c:smooth val="0"/>
          <c:extLst>
            <c:ext xmlns:c16="http://schemas.microsoft.com/office/drawing/2014/chart" uri="{C3380CC4-5D6E-409C-BE32-E72D297353CC}">
              <c16:uniqueId val="{00000002-44FE-4BEF-A6DC-3E867D5806CF}"/>
            </c:ext>
          </c:extLst>
        </c:ser>
        <c:dLbls>
          <c:showLegendKey val="0"/>
          <c:showVal val="0"/>
          <c:showCatName val="0"/>
          <c:showSerName val="0"/>
          <c:showPercent val="0"/>
          <c:showBubbleSize val="0"/>
        </c:dLbls>
        <c:marker val="1"/>
        <c:smooth val="0"/>
        <c:axId val="344613151"/>
        <c:axId val="344612191"/>
      </c:lineChart>
      <c:catAx>
        <c:axId val="3446131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100" b="1">
                    <a:latin typeface="Times New Roman" panose="02020603050405020304" pitchFamily="18" charset="0"/>
                    <a:cs typeface="Times New Roman" panose="02020603050405020304" pitchFamily="18" charset="0"/>
                  </a:rPr>
                  <a:t>Elapsed time (min)</a:t>
                </a:r>
              </a:p>
            </c:rich>
          </c:tx>
          <c:layout>
            <c:manualLayout>
              <c:xMode val="edge"/>
              <c:yMode val="edge"/>
              <c:x val="0.44421512732371854"/>
              <c:y val="0.9175304579049541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44612191"/>
        <c:crosses val="autoZero"/>
        <c:auto val="1"/>
        <c:lblAlgn val="ctr"/>
        <c:lblOffset val="100"/>
        <c:noMultiLvlLbl val="0"/>
      </c:catAx>
      <c:valAx>
        <c:axId val="34461219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100" b="1">
                    <a:latin typeface="Times New Roman" panose="02020603050405020304" pitchFamily="18" charset="0"/>
                    <a:cs typeface="Times New Roman" panose="02020603050405020304" pitchFamily="18" charset="0"/>
                  </a:rPr>
                  <a:t>TP Concentration (mg P/L)</a:t>
                </a:r>
              </a:p>
            </c:rich>
          </c:tx>
          <c:layout>
            <c:manualLayout>
              <c:xMode val="edge"/>
              <c:yMode val="edge"/>
              <c:x val="1.4563128560126634E-2"/>
              <c:y val="0.27963806092294829"/>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0.0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44613151"/>
        <c:crosses val="autoZero"/>
        <c:crossBetween val="between"/>
      </c:valAx>
      <c:spPr>
        <a:noFill/>
        <a:ln w="12700">
          <a:solidFill>
            <a:schemeClr val="tx1"/>
          </a:solidFill>
        </a:ln>
        <a:effectLst/>
      </c:spPr>
    </c:plotArea>
    <c:legend>
      <c:legendPos val="b"/>
      <c:layout>
        <c:manualLayout>
          <c:xMode val="edge"/>
          <c:yMode val="edge"/>
          <c:x val="0.64239963060173044"/>
          <c:y val="0.10284623797025372"/>
          <c:w val="0.28279697676679305"/>
          <c:h val="5.0463921798758041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05355057701264"/>
          <c:y val="0.16588867016622924"/>
          <c:w val="0.74145429969855881"/>
          <c:h val="0.66043416447944003"/>
        </c:manualLayout>
      </c:layout>
      <c:barChart>
        <c:barDir val="col"/>
        <c:grouping val="clustered"/>
        <c:varyColors val="0"/>
        <c:ser>
          <c:idx val="0"/>
          <c:order val="0"/>
          <c:tx>
            <c:strRef>
              <c:f>Tables!$I$48:$I$49</c:f>
              <c:strCache>
                <c:ptCount val="2"/>
                <c:pt idx="0">
                  <c:v>CBA</c:v>
                </c:pt>
                <c:pt idx="1">
                  <c:v>PBA</c:v>
                </c:pt>
              </c:strCache>
            </c:strRef>
          </c:tx>
          <c:spPr>
            <a:pattFill prst="pct20">
              <a:fgClr>
                <a:schemeClr val="accent5">
                  <a:lumMod val="50000"/>
                </a:schemeClr>
              </a:fgClr>
              <a:bgClr>
                <a:schemeClr val="bg1"/>
              </a:bgClr>
            </a:pattFill>
            <a:ln>
              <a:noFill/>
            </a:ln>
            <a:effectLst/>
          </c:spPr>
          <c:invertIfNegative val="0"/>
          <c:dPt>
            <c:idx val="0"/>
            <c:invertIfNegative val="0"/>
            <c:bubble3D val="0"/>
            <c:spPr>
              <a:pattFill prst="pct50">
                <a:fgClr>
                  <a:schemeClr val="accent5">
                    <a:lumMod val="50000"/>
                  </a:schemeClr>
                </a:fgClr>
                <a:bgClr>
                  <a:schemeClr val="bg1"/>
                </a:bgClr>
              </a:pattFill>
              <a:ln w="12700">
                <a:solidFill>
                  <a:schemeClr val="tx1"/>
                </a:solidFill>
              </a:ln>
              <a:effectLst/>
            </c:spPr>
            <c:extLst>
              <c:ext xmlns:c16="http://schemas.microsoft.com/office/drawing/2014/chart" uri="{C3380CC4-5D6E-409C-BE32-E72D297353CC}">
                <c16:uniqueId val="{00000002-3629-444C-B8FA-CCED09B5968B}"/>
              </c:ext>
            </c:extLst>
          </c:dPt>
          <c:dPt>
            <c:idx val="1"/>
            <c:invertIfNegative val="0"/>
            <c:bubble3D val="0"/>
            <c:spPr>
              <a:pattFill prst="pct20">
                <a:fgClr>
                  <a:schemeClr val="accent5">
                    <a:lumMod val="50000"/>
                  </a:schemeClr>
                </a:fgClr>
                <a:bgClr>
                  <a:schemeClr val="bg1"/>
                </a:bgClr>
              </a:pattFill>
              <a:ln w="12700">
                <a:solidFill>
                  <a:schemeClr val="tx1"/>
                </a:solidFill>
              </a:ln>
              <a:effectLst/>
            </c:spPr>
            <c:extLst>
              <c:ext xmlns:c16="http://schemas.microsoft.com/office/drawing/2014/chart" uri="{C3380CC4-5D6E-409C-BE32-E72D297353CC}">
                <c16:uniqueId val="{00000003-A286-423B-A1F2-3B9E51F2C195}"/>
              </c:ext>
            </c:extLst>
          </c:dPt>
          <c:dLbls>
            <c:dLbl>
              <c:idx val="1"/>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3-A286-423B-A1F2-3B9E51F2C195}"/>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Tables!$I$48:$I$49</c:f>
              <c:strCache>
                <c:ptCount val="2"/>
                <c:pt idx="0">
                  <c:v>CBA</c:v>
                </c:pt>
                <c:pt idx="1">
                  <c:v>PBA</c:v>
                </c:pt>
              </c:strCache>
            </c:strRef>
          </c:cat>
          <c:val>
            <c:numRef>
              <c:f>Tables!$K$48:$K$49</c:f>
              <c:numCache>
                <c:formatCode>0.00</c:formatCode>
                <c:ptCount val="2"/>
                <c:pt idx="0">
                  <c:v>70.153842088606922</c:v>
                </c:pt>
                <c:pt idx="1">
                  <c:v>54.591970925605636</c:v>
                </c:pt>
              </c:numCache>
            </c:numRef>
          </c:val>
          <c:extLst>
            <c:ext xmlns:c16="http://schemas.microsoft.com/office/drawing/2014/chart" uri="{C3380CC4-5D6E-409C-BE32-E72D297353CC}">
              <c16:uniqueId val="{00000000-3629-444C-B8FA-CCED09B5968B}"/>
            </c:ext>
          </c:extLst>
        </c:ser>
        <c:dLbls>
          <c:dLblPos val="outEnd"/>
          <c:showLegendKey val="0"/>
          <c:showVal val="1"/>
          <c:showCatName val="0"/>
          <c:showSerName val="0"/>
          <c:showPercent val="0"/>
          <c:showBubbleSize val="0"/>
        </c:dLbls>
        <c:gapWidth val="219"/>
        <c:overlap val="-27"/>
        <c:axId val="36991087"/>
        <c:axId val="36992047"/>
      </c:barChart>
      <c:catAx>
        <c:axId val="3699108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sz="1100" b="1" i="0" u="none" strike="noStrike" kern="1200" baseline="0">
                    <a:solidFill>
                      <a:sysClr val="windowText" lastClr="000000"/>
                    </a:solidFill>
                    <a:latin typeface="Arial" panose="020B0604020202020204" pitchFamily="34" charset="0"/>
                    <a:cs typeface="Arial" panose="020B0604020202020204" pitchFamily="34" charset="0"/>
                  </a:rPr>
                  <a:t>Unit</a:t>
                </a:r>
              </a:p>
            </c:rich>
          </c:tx>
          <c:layout>
            <c:manualLayout>
              <c:xMode val="edge"/>
              <c:yMode val="edge"/>
              <c:x val="0.52592913385826767"/>
              <c:y val="0.9010491593872477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General" sourceLinked="1"/>
        <c:majorTickMark val="out"/>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36992047"/>
        <c:crosses val="autoZero"/>
        <c:auto val="1"/>
        <c:lblAlgn val="ctr"/>
        <c:lblOffset val="100"/>
        <c:noMultiLvlLbl val="0"/>
      </c:catAx>
      <c:valAx>
        <c:axId val="36992047"/>
        <c:scaling>
          <c:orientation val="minMax"/>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sz="1100" b="1" i="0" u="none" strike="noStrike" kern="1200" baseline="0">
                    <a:solidFill>
                      <a:sysClr val="windowText" lastClr="000000"/>
                    </a:solidFill>
                    <a:latin typeface="Arial" panose="020B0604020202020204" pitchFamily="34" charset="0"/>
                    <a:cs typeface="Arial" panose="020B0604020202020204" pitchFamily="34" charset="0"/>
                  </a:rPr>
                  <a:t>TIN Overall Average Load Reduction (%)</a:t>
                </a:r>
              </a:p>
            </c:rich>
          </c:tx>
          <c:layout>
            <c:manualLayout>
              <c:xMode val="edge"/>
              <c:yMode val="edge"/>
              <c:x val="4.1354986876640423E-2"/>
              <c:y val="0.23539123216260366"/>
            </c:manualLayout>
          </c:layout>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0"/>
        <c:majorTickMark val="out"/>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36991087"/>
        <c:crosses val="autoZero"/>
        <c:crossBetween val="between"/>
      </c:valAx>
      <c:spPr>
        <a:noFill/>
        <a:ln>
          <a:solidFill>
            <a:schemeClr val="tx1"/>
          </a:solid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607949422699678"/>
          <c:y val="0.18165919632399946"/>
          <c:w val="0.74145429969855881"/>
          <c:h val="0.66043416447944003"/>
        </c:manualLayout>
      </c:layout>
      <c:barChart>
        <c:barDir val="col"/>
        <c:grouping val="clustered"/>
        <c:varyColors val="0"/>
        <c:ser>
          <c:idx val="0"/>
          <c:order val="0"/>
          <c:tx>
            <c:strRef>
              <c:f>Tables!$I$48:$I$49</c:f>
              <c:strCache>
                <c:ptCount val="2"/>
                <c:pt idx="0">
                  <c:v>CBA</c:v>
                </c:pt>
                <c:pt idx="1">
                  <c:v>PBA</c:v>
                </c:pt>
              </c:strCache>
            </c:strRef>
          </c:tx>
          <c:spPr>
            <a:pattFill prst="pct50">
              <a:fgClr>
                <a:schemeClr val="accent5">
                  <a:lumMod val="50000"/>
                </a:schemeClr>
              </a:fgClr>
              <a:bgClr>
                <a:schemeClr val="bg1"/>
              </a:bgClr>
            </a:pattFill>
            <a:ln>
              <a:noFill/>
            </a:ln>
            <a:effectLst/>
          </c:spPr>
          <c:invertIfNegative val="0"/>
          <c:dPt>
            <c:idx val="0"/>
            <c:invertIfNegative val="0"/>
            <c:bubble3D val="0"/>
            <c:spPr>
              <a:pattFill prst="pct50">
                <a:fgClr>
                  <a:schemeClr val="accent5">
                    <a:lumMod val="50000"/>
                  </a:schemeClr>
                </a:fgClr>
                <a:bgClr>
                  <a:schemeClr val="bg1"/>
                </a:bgClr>
              </a:pattFill>
              <a:ln w="12700">
                <a:solidFill>
                  <a:schemeClr val="tx1"/>
                </a:solidFill>
              </a:ln>
              <a:effectLst/>
            </c:spPr>
            <c:extLst>
              <c:ext xmlns:c16="http://schemas.microsoft.com/office/drawing/2014/chart" uri="{C3380CC4-5D6E-409C-BE32-E72D297353CC}">
                <c16:uniqueId val="{00000001-5614-4B0F-93A2-D80584A53762}"/>
              </c:ext>
            </c:extLst>
          </c:dPt>
          <c:dPt>
            <c:idx val="1"/>
            <c:invertIfNegative val="0"/>
            <c:bubble3D val="0"/>
            <c:spPr>
              <a:pattFill prst="pct20">
                <a:fgClr>
                  <a:schemeClr val="accent5">
                    <a:lumMod val="50000"/>
                  </a:schemeClr>
                </a:fgClr>
                <a:bgClr>
                  <a:schemeClr val="bg1"/>
                </a:bgClr>
              </a:pattFill>
              <a:ln w="12700">
                <a:solidFill>
                  <a:schemeClr val="tx1"/>
                </a:solidFill>
              </a:ln>
              <a:effectLst/>
            </c:spPr>
            <c:extLst>
              <c:ext xmlns:c16="http://schemas.microsoft.com/office/drawing/2014/chart" uri="{C3380CC4-5D6E-409C-BE32-E72D297353CC}">
                <c16:uniqueId val="{00000003-5614-4B0F-93A2-D80584A53762}"/>
              </c:ext>
            </c:extLst>
          </c:dPt>
          <c:dLbls>
            <c:dLbl>
              <c:idx val="1"/>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3-5614-4B0F-93A2-D80584A53762}"/>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Tables!$I$48:$I$49</c:f>
              <c:strCache>
                <c:ptCount val="2"/>
                <c:pt idx="0">
                  <c:v>CBA</c:v>
                </c:pt>
                <c:pt idx="1">
                  <c:v>PBA</c:v>
                </c:pt>
              </c:strCache>
            </c:strRef>
          </c:cat>
          <c:val>
            <c:numRef>
              <c:f>Tables!$L$48:$L$49</c:f>
              <c:numCache>
                <c:formatCode>0.00</c:formatCode>
                <c:ptCount val="2"/>
                <c:pt idx="0">
                  <c:v>33.321102741924484</c:v>
                </c:pt>
                <c:pt idx="1">
                  <c:v>-35.170763126089199</c:v>
                </c:pt>
              </c:numCache>
            </c:numRef>
          </c:val>
          <c:extLst>
            <c:ext xmlns:c16="http://schemas.microsoft.com/office/drawing/2014/chart" uri="{C3380CC4-5D6E-409C-BE32-E72D297353CC}">
              <c16:uniqueId val="{00000004-5614-4B0F-93A2-D80584A53762}"/>
            </c:ext>
          </c:extLst>
        </c:ser>
        <c:dLbls>
          <c:dLblPos val="outEnd"/>
          <c:showLegendKey val="0"/>
          <c:showVal val="1"/>
          <c:showCatName val="0"/>
          <c:showSerName val="0"/>
          <c:showPercent val="0"/>
          <c:showBubbleSize val="0"/>
        </c:dLbls>
        <c:gapWidth val="219"/>
        <c:overlap val="-27"/>
        <c:axId val="36991087"/>
        <c:axId val="36992047"/>
      </c:barChart>
      <c:catAx>
        <c:axId val="3699108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i="0" u="none" strike="noStrike" kern="1200" baseline="0">
                    <a:solidFill>
                      <a:sysClr val="windowText" lastClr="000000"/>
                    </a:solidFill>
                    <a:latin typeface="Arial" panose="020B0604020202020204" pitchFamily="34" charset="0"/>
                    <a:cs typeface="Arial" panose="020B0604020202020204" pitchFamily="34" charset="0"/>
                  </a:rPr>
                  <a:t>Unit</a:t>
                </a:r>
                <a:endParaRPr lang="en-US">
                  <a:latin typeface="Arial" panose="020B0604020202020204" pitchFamily="34" charset="0"/>
                  <a:cs typeface="Arial" panose="020B0604020202020204" pitchFamily="34" charset="0"/>
                </a:endParaRPr>
              </a:p>
            </c:rich>
          </c:tx>
          <c:layout>
            <c:manualLayout>
              <c:xMode val="edge"/>
              <c:yMode val="edge"/>
              <c:x val="0.52949293959614285"/>
              <c:y val="0.9130611061405409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low"/>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36992047"/>
        <c:crosses val="autoZero"/>
        <c:auto val="1"/>
        <c:lblAlgn val="ctr"/>
        <c:lblOffset val="100"/>
        <c:noMultiLvlLbl val="0"/>
      </c:catAx>
      <c:valAx>
        <c:axId val="36992047"/>
        <c:scaling>
          <c:orientation val="minMax"/>
          <c:max val="60"/>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sz="1100" b="1" i="0" u="none" strike="noStrike" kern="1200" baseline="0">
                    <a:solidFill>
                      <a:sysClr val="windowText" lastClr="000000"/>
                    </a:solidFill>
                    <a:latin typeface="Arial" panose="020B0604020202020204" pitchFamily="34" charset="0"/>
                    <a:cs typeface="Arial" panose="020B0604020202020204" pitchFamily="34" charset="0"/>
                  </a:rPr>
                  <a:t>TP Overall Average Load Reduction (%)</a:t>
                </a:r>
              </a:p>
            </c:rich>
          </c:tx>
          <c:layout>
            <c:manualLayout>
              <c:xMode val="edge"/>
              <c:yMode val="edge"/>
              <c:x val="5.0812919724382129E-2"/>
              <c:y val="0.23875562862742103"/>
            </c:manualLayout>
          </c:layout>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0"/>
        <c:majorTickMark val="out"/>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36991087"/>
        <c:crosses val="autoZero"/>
        <c:crossBetween val="between"/>
      </c:valAx>
      <c:spPr>
        <a:noFill/>
        <a:ln>
          <a:solidFill>
            <a:schemeClr val="tx1">
              <a:alpha val="99000"/>
            </a:schemeClr>
          </a:solid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8320658287279308E-2"/>
          <c:y val="0.21033314600423386"/>
          <c:w val="0.8840024208930406"/>
          <c:h val="0.61598975602993489"/>
        </c:manualLayout>
      </c:layout>
      <c:barChart>
        <c:barDir val="col"/>
        <c:grouping val="clustered"/>
        <c:varyColors val="0"/>
        <c:ser>
          <c:idx val="0"/>
          <c:order val="0"/>
          <c:tx>
            <c:v>CBA Unit</c:v>
          </c:tx>
          <c:spPr>
            <a:pattFill prst="pct50">
              <a:fgClr>
                <a:schemeClr val="accent5">
                  <a:lumMod val="50000"/>
                </a:schemeClr>
              </a:fgClr>
              <a:bgClr>
                <a:schemeClr val="bg1"/>
              </a:bgClr>
            </a:pattFill>
            <a:ln>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Tables!$B$38:$B$43</c:f>
              <c:strCache>
                <c:ptCount val="6"/>
                <c:pt idx="0">
                  <c:v>Low HLR, Lower Outlet Height, No Plants</c:v>
                </c:pt>
                <c:pt idx="1">
                  <c:v>Medium HLR, Lower Outlet Height, No Plants</c:v>
                </c:pt>
                <c:pt idx="2">
                  <c:v>High HLR, Lower Outlet Height, No Plants</c:v>
                </c:pt>
                <c:pt idx="3">
                  <c:v>High HLR, Upper Outlet Height, No Plants</c:v>
                </c:pt>
                <c:pt idx="4">
                  <c:v>High HLR, Lower Outlet Height, Yes Plants</c:v>
                </c:pt>
                <c:pt idx="5">
                  <c:v>Medium HLR, Upper Outlet Height, Yes Plants</c:v>
                </c:pt>
              </c:strCache>
            </c:strRef>
          </c:cat>
          <c:val>
            <c:numRef>
              <c:f>Tables!$H$38:$H$43</c:f>
              <c:numCache>
                <c:formatCode>0.00</c:formatCode>
                <c:ptCount val="6"/>
                <c:pt idx="0">
                  <c:v>79.488765746499212</c:v>
                </c:pt>
                <c:pt idx="1">
                  <c:v>85.765335958036317</c:v>
                </c:pt>
                <c:pt idx="2">
                  <c:v>61.537160674502758</c:v>
                </c:pt>
                <c:pt idx="3">
                  <c:v>71.189650851778126</c:v>
                </c:pt>
                <c:pt idx="4">
                  <c:v>39.244093421650668</c:v>
                </c:pt>
                <c:pt idx="5">
                  <c:v>83.698045879174444</c:v>
                </c:pt>
              </c:numCache>
            </c:numRef>
          </c:val>
          <c:extLst>
            <c:ext xmlns:c16="http://schemas.microsoft.com/office/drawing/2014/chart" uri="{C3380CC4-5D6E-409C-BE32-E72D297353CC}">
              <c16:uniqueId val="{00000000-7F74-4F71-A663-431DDF70851E}"/>
            </c:ext>
          </c:extLst>
        </c:ser>
        <c:ser>
          <c:idx val="1"/>
          <c:order val="1"/>
          <c:tx>
            <c:v>PBA Unit</c:v>
          </c:tx>
          <c:spPr>
            <a:pattFill prst="pct20">
              <a:fgClr>
                <a:schemeClr val="accent3">
                  <a:lumMod val="50000"/>
                </a:schemeClr>
              </a:fgClr>
              <a:bgClr>
                <a:schemeClr val="bg1"/>
              </a:bgClr>
            </a:pattFill>
            <a:ln>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Tables!$B$38:$B$43</c:f>
              <c:strCache>
                <c:ptCount val="6"/>
                <c:pt idx="0">
                  <c:v>Low HLR, Lower Outlet Height, No Plants</c:v>
                </c:pt>
                <c:pt idx="1">
                  <c:v>Medium HLR, Lower Outlet Height, No Plants</c:v>
                </c:pt>
                <c:pt idx="2">
                  <c:v>High HLR, Lower Outlet Height, No Plants</c:v>
                </c:pt>
                <c:pt idx="3">
                  <c:v>High HLR, Upper Outlet Height, No Plants</c:v>
                </c:pt>
                <c:pt idx="4">
                  <c:v>High HLR, Lower Outlet Height, Yes Plants</c:v>
                </c:pt>
                <c:pt idx="5">
                  <c:v>Medium HLR, Upper Outlet Height, Yes Plants</c:v>
                </c:pt>
              </c:strCache>
            </c:strRef>
          </c:cat>
          <c:val>
            <c:numRef>
              <c:f>Tables!$X$38:$X$43</c:f>
              <c:numCache>
                <c:formatCode>0.00</c:formatCode>
                <c:ptCount val="6"/>
                <c:pt idx="0">
                  <c:v>75.573921303994183</c:v>
                </c:pt>
                <c:pt idx="1">
                  <c:v>58.903209820643305</c:v>
                </c:pt>
                <c:pt idx="2">
                  <c:v>37.41879605194827</c:v>
                </c:pt>
                <c:pt idx="3">
                  <c:v>50.818501316678997</c:v>
                </c:pt>
                <c:pt idx="4">
                  <c:v>26.240748842393618</c:v>
                </c:pt>
                <c:pt idx="5">
                  <c:v>78.596648217975442</c:v>
                </c:pt>
              </c:numCache>
            </c:numRef>
          </c:val>
          <c:extLst>
            <c:ext xmlns:c16="http://schemas.microsoft.com/office/drawing/2014/chart" uri="{C3380CC4-5D6E-409C-BE32-E72D297353CC}">
              <c16:uniqueId val="{00000001-7F74-4F71-A663-431DDF70851E}"/>
            </c:ext>
          </c:extLst>
        </c:ser>
        <c:dLbls>
          <c:dLblPos val="outEnd"/>
          <c:showLegendKey val="0"/>
          <c:showVal val="1"/>
          <c:showCatName val="0"/>
          <c:showSerName val="0"/>
          <c:showPercent val="0"/>
          <c:showBubbleSize val="0"/>
        </c:dLbls>
        <c:gapWidth val="219"/>
        <c:overlap val="-27"/>
        <c:axId val="36991087"/>
        <c:axId val="36992047"/>
      </c:barChart>
      <c:catAx>
        <c:axId val="36991087"/>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US" sz="1100" b="1">
                    <a:solidFill>
                      <a:sysClr val="windowText" lastClr="000000"/>
                    </a:solidFill>
                    <a:latin typeface="Arial" panose="020B0604020202020204" pitchFamily="34" charset="0"/>
                    <a:cs typeface="Arial" panose="020B0604020202020204" pitchFamily="34" charset="0"/>
                  </a:rPr>
                  <a:t>Unit</a:t>
                </a:r>
                <a:r>
                  <a:rPr lang="en-US" sz="1100" b="1" baseline="0">
                    <a:solidFill>
                      <a:sysClr val="windowText" lastClr="000000"/>
                    </a:solidFill>
                    <a:latin typeface="Arial" panose="020B0604020202020204" pitchFamily="34" charset="0"/>
                    <a:cs typeface="Arial" panose="020B0604020202020204" pitchFamily="34" charset="0"/>
                  </a:rPr>
                  <a:t> Configuration</a:t>
                </a:r>
                <a:endParaRPr lang="en-US" sz="1100" b="1">
                  <a:solidFill>
                    <a:sysClr val="windowText" lastClr="000000"/>
                  </a:solidFill>
                  <a:latin typeface="Arial" panose="020B0604020202020204" pitchFamily="34" charset="0"/>
                  <a:cs typeface="Arial" panose="020B0604020202020204" pitchFamily="34" charset="0"/>
                </a:endParaRPr>
              </a:p>
            </c:rich>
          </c:tx>
          <c:layout>
            <c:manualLayout>
              <c:xMode val="edge"/>
              <c:yMode val="edge"/>
              <c:x val="0.4185991679433263"/>
              <c:y val="0.95530257639304972"/>
            </c:manualLayout>
          </c:layout>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36992047"/>
        <c:crosses val="autoZero"/>
        <c:auto val="1"/>
        <c:lblAlgn val="ctr"/>
        <c:lblOffset val="100"/>
        <c:noMultiLvlLbl val="0"/>
      </c:catAx>
      <c:valAx>
        <c:axId val="36992047"/>
        <c:scaling>
          <c:orientation val="minMax"/>
        </c:scaling>
        <c:delete val="0"/>
        <c:axPos val="l"/>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sz="1100" b="1">
                    <a:solidFill>
                      <a:sysClr val="windowText" lastClr="000000"/>
                    </a:solidFill>
                    <a:latin typeface="Arial" panose="020B0604020202020204" pitchFamily="34" charset="0"/>
                    <a:cs typeface="Arial" panose="020B0604020202020204" pitchFamily="34" charset="0"/>
                  </a:rPr>
                  <a:t>TIN</a:t>
                </a:r>
                <a:r>
                  <a:rPr lang="en-US" sz="1100" b="1" baseline="0">
                    <a:solidFill>
                      <a:sysClr val="windowText" lastClr="000000"/>
                    </a:solidFill>
                    <a:latin typeface="Arial" panose="020B0604020202020204" pitchFamily="34" charset="0"/>
                    <a:cs typeface="Arial" panose="020B0604020202020204" pitchFamily="34" charset="0"/>
                  </a:rPr>
                  <a:t> Average Load Reduction (%)</a:t>
                </a:r>
                <a:endParaRPr lang="en-US" sz="1100" b="1">
                  <a:solidFill>
                    <a:sysClr val="windowText" lastClr="000000"/>
                  </a:solidFill>
                  <a:latin typeface="Arial" panose="020B0604020202020204" pitchFamily="34" charset="0"/>
                  <a:cs typeface="Arial" panose="020B0604020202020204" pitchFamily="34" charset="0"/>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36991087"/>
        <c:crosses val="autoZero"/>
        <c:crossBetween val="between"/>
      </c:valAx>
      <c:spPr>
        <a:noFill/>
        <a:ln>
          <a:solidFill>
            <a:schemeClr val="tx1"/>
          </a:solidFill>
        </a:ln>
        <a:effectLst/>
      </c:spPr>
    </c:plotArea>
    <c:legend>
      <c:legendPos val="r"/>
      <c:layout>
        <c:manualLayout>
          <c:xMode val="edge"/>
          <c:yMode val="edge"/>
          <c:x val="0.76196562475653484"/>
          <c:y val="2.5184619942228453E-2"/>
          <c:w val="0.20803836260647679"/>
          <c:h val="8.0984370055122851E-2"/>
        </c:manualLayout>
      </c:layout>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6094998059224418E-2"/>
          <c:y val="0.20771892149844901"/>
          <c:w val="0.8762280619878704"/>
          <c:h val="0.62056738646305576"/>
        </c:manualLayout>
      </c:layout>
      <c:barChart>
        <c:barDir val="col"/>
        <c:grouping val="clustered"/>
        <c:varyColors val="0"/>
        <c:ser>
          <c:idx val="0"/>
          <c:order val="0"/>
          <c:tx>
            <c:v>CBA Unit</c:v>
          </c:tx>
          <c:spPr>
            <a:pattFill prst="pct50">
              <a:fgClr>
                <a:schemeClr val="accent5">
                  <a:lumMod val="50000"/>
                </a:schemeClr>
              </a:fgClr>
              <a:bgClr>
                <a:schemeClr val="bg1"/>
              </a:bgClr>
            </a:pattFill>
            <a:ln>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Tables!$B$38:$B$43</c:f>
              <c:strCache>
                <c:ptCount val="6"/>
                <c:pt idx="0">
                  <c:v>Low HLR, Lower Outlet Height, No Plants</c:v>
                </c:pt>
                <c:pt idx="1">
                  <c:v>Medium HLR, Lower Outlet Height, No Plants</c:v>
                </c:pt>
                <c:pt idx="2">
                  <c:v>High HLR, Lower Outlet Height, No Plants</c:v>
                </c:pt>
                <c:pt idx="3">
                  <c:v>High HLR, Upper Outlet Height, No Plants</c:v>
                </c:pt>
                <c:pt idx="4">
                  <c:v>High HLR, Lower Outlet Height, Yes Plants</c:v>
                </c:pt>
                <c:pt idx="5">
                  <c:v>Medium HLR, Upper Outlet Height, Yes Plants</c:v>
                </c:pt>
              </c:strCache>
            </c:strRef>
          </c:cat>
          <c:val>
            <c:numRef>
              <c:f>Tables!$I$38:$I$43</c:f>
              <c:numCache>
                <c:formatCode>0.00</c:formatCode>
                <c:ptCount val="6"/>
                <c:pt idx="0">
                  <c:v>82.658824386304872</c:v>
                </c:pt>
                <c:pt idx="1">
                  <c:v>57.034518209254259</c:v>
                </c:pt>
                <c:pt idx="2">
                  <c:v>13.055168983689214</c:v>
                </c:pt>
                <c:pt idx="3">
                  <c:v>30.181576120977457</c:v>
                </c:pt>
                <c:pt idx="4">
                  <c:v>-37.257820994006941</c:v>
                </c:pt>
                <c:pt idx="5">
                  <c:v>54.254349745328028</c:v>
                </c:pt>
              </c:numCache>
            </c:numRef>
          </c:val>
          <c:extLst>
            <c:ext xmlns:c16="http://schemas.microsoft.com/office/drawing/2014/chart" uri="{C3380CC4-5D6E-409C-BE32-E72D297353CC}">
              <c16:uniqueId val="{00000000-3D10-4E9D-A194-52816C3F9CB8}"/>
            </c:ext>
          </c:extLst>
        </c:ser>
        <c:ser>
          <c:idx val="1"/>
          <c:order val="1"/>
          <c:tx>
            <c:v>PBA Unit</c:v>
          </c:tx>
          <c:spPr>
            <a:pattFill prst="pct20">
              <a:fgClr>
                <a:schemeClr val="accent3">
                  <a:lumMod val="50000"/>
                </a:schemeClr>
              </a:fgClr>
              <a:bgClr>
                <a:schemeClr val="bg1"/>
              </a:bgClr>
            </a:pattFill>
            <a:ln>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Tables!$B$38:$B$43</c:f>
              <c:strCache>
                <c:ptCount val="6"/>
                <c:pt idx="0">
                  <c:v>Low HLR, Lower Outlet Height, No Plants</c:v>
                </c:pt>
                <c:pt idx="1">
                  <c:v>Medium HLR, Lower Outlet Height, No Plants</c:v>
                </c:pt>
                <c:pt idx="2">
                  <c:v>High HLR, Lower Outlet Height, No Plants</c:v>
                </c:pt>
                <c:pt idx="3">
                  <c:v>High HLR, Upper Outlet Height, No Plants</c:v>
                </c:pt>
                <c:pt idx="4">
                  <c:v>High HLR, Lower Outlet Height, Yes Plants</c:v>
                </c:pt>
                <c:pt idx="5">
                  <c:v>Medium HLR, Upper Outlet Height, Yes Plants</c:v>
                </c:pt>
              </c:strCache>
            </c:strRef>
          </c:cat>
          <c:val>
            <c:numRef>
              <c:f>Tables!$Y$38:$Y$43</c:f>
              <c:numCache>
                <c:formatCode>0.00</c:formatCode>
                <c:ptCount val="6"/>
                <c:pt idx="0">
                  <c:v>19.120812830576156</c:v>
                </c:pt>
                <c:pt idx="1">
                  <c:v>-3.7248886546843352</c:v>
                </c:pt>
                <c:pt idx="2">
                  <c:v>-51.053657281596436</c:v>
                </c:pt>
                <c:pt idx="3">
                  <c:v>-41.50904735345744</c:v>
                </c:pt>
                <c:pt idx="4">
                  <c:v>-140.79547568482215</c:v>
                </c:pt>
                <c:pt idx="5">
                  <c:v>6.9376773874490185</c:v>
                </c:pt>
              </c:numCache>
            </c:numRef>
          </c:val>
          <c:extLst>
            <c:ext xmlns:c16="http://schemas.microsoft.com/office/drawing/2014/chart" uri="{C3380CC4-5D6E-409C-BE32-E72D297353CC}">
              <c16:uniqueId val="{00000001-3D10-4E9D-A194-52816C3F9CB8}"/>
            </c:ext>
          </c:extLst>
        </c:ser>
        <c:dLbls>
          <c:dLblPos val="outEnd"/>
          <c:showLegendKey val="0"/>
          <c:showVal val="1"/>
          <c:showCatName val="0"/>
          <c:showSerName val="0"/>
          <c:showPercent val="0"/>
          <c:showBubbleSize val="0"/>
        </c:dLbls>
        <c:gapWidth val="219"/>
        <c:overlap val="-27"/>
        <c:axId val="36991087"/>
        <c:axId val="36992047"/>
      </c:barChart>
      <c:catAx>
        <c:axId val="36991087"/>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US" sz="1100" b="1">
                    <a:solidFill>
                      <a:sysClr val="windowText" lastClr="000000"/>
                    </a:solidFill>
                    <a:latin typeface="Arial" panose="020B0604020202020204" pitchFamily="34" charset="0"/>
                    <a:cs typeface="Arial" panose="020B0604020202020204" pitchFamily="34" charset="0"/>
                  </a:rPr>
                  <a:t>Unit</a:t>
                </a:r>
                <a:r>
                  <a:rPr lang="en-US" sz="1100" b="1" baseline="0">
                    <a:solidFill>
                      <a:sysClr val="windowText" lastClr="000000"/>
                    </a:solidFill>
                    <a:latin typeface="Arial" panose="020B0604020202020204" pitchFamily="34" charset="0"/>
                    <a:cs typeface="Arial" panose="020B0604020202020204" pitchFamily="34" charset="0"/>
                  </a:rPr>
                  <a:t> Configuration</a:t>
                </a:r>
                <a:endParaRPr lang="en-US" sz="1100" b="1">
                  <a:solidFill>
                    <a:sysClr val="windowText" lastClr="000000"/>
                  </a:solidFill>
                  <a:latin typeface="Arial" panose="020B0604020202020204" pitchFamily="34" charset="0"/>
                  <a:cs typeface="Arial" panose="020B0604020202020204" pitchFamily="34" charset="0"/>
                </a:endParaRPr>
              </a:p>
            </c:rich>
          </c:tx>
          <c:layout>
            <c:manualLayout>
              <c:xMode val="edge"/>
              <c:yMode val="edge"/>
              <c:x val="0.4185991679433263"/>
              <c:y val="0.95530257639304972"/>
            </c:manualLayout>
          </c:layout>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low"/>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36992047"/>
        <c:crosses val="autoZero"/>
        <c:auto val="1"/>
        <c:lblAlgn val="ctr"/>
        <c:lblOffset val="100"/>
        <c:noMultiLvlLbl val="0"/>
      </c:catAx>
      <c:valAx>
        <c:axId val="36992047"/>
        <c:scaling>
          <c:orientation val="minMax"/>
          <c:max val="150"/>
          <c:min val="-180"/>
        </c:scaling>
        <c:delete val="0"/>
        <c:axPos val="l"/>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sz="1100" b="1">
                    <a:solidFill>
                      <a:sysClr val="windowText" lastClr="000000"/>
                    </a:solidFill>
                    <a:latin typeface="Arial" panose="020B0604020202020204" pitchFamily="34" charset="0"/>
                    <a:cs typeface="Arial" panose="020B0604020202020204" pitchFamily="34" charset="0"/>
                  </a:rPr>
                  <a:t>TP</a:t>
                </a:r>
                <a:r>
                  <a:rPr lang="en-US" sz="1100" b="1" baseline="0">
                    <a:solidFill>
                      <a:sysClr val="windowText" lastClr="000000"/>
                    </a:solidFill>
                    <a:latin typeface="Arial" panose="020B0604020202020204" pitchFamily="34" charset="0"/>
                    <a:cs typeface="Arial" panose="020B0604020202020204" pitchFamily="34" charset="0"/>
                  </a:rPr>
                  <a:t> Average Load Reduction (%)</a:t>
                </a:r>
                <a:endParaRPr lang="en-US" sz="1100" b="1">
                  <a:solidFill>
                    <a:sysClr val="windowText" lastClr="000000"/>
                  </a:solidFill>
                  <a:latin typeface="Arial" panose="020B0604020202020204" pitchFamily="34" charset="0"/>
                  <a:cs typeface="Arial" panose="020B0604020202020204" pitchFamily="34" charset="0"/>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36991087"/>
        <c:crosses val="autoZero"/>
        <c:crossBetween val="between"/>
        <c:majorUnit val="50"/>
      </c:valAx>
      <c:spPr>
        <a:noFill/>
        <a:ln>
          <a:solidFill>
            <a:schemeClr val="tx1"/>
          </a:solidFill>
        </a:ln>
        <a:effectLst/>
      </c:spPr>
    </c:plotArea>
    <c:legend>
      <c:legendPos val="r"/>
      <c:layout>
        <c:manualLayout>
          <c:xMode val="edge"/>
          <c:yMode val="edge"/>
          <c:x val="0.75875538533549647"/>
          <c:y val="3.1815033537474481E-2"/>
          <c:w val="0.20803836260647679"/>
          <c:h val="8.0984370055122851E-2"/>
        </c:manualLayout>
      </c:layout>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898097609640181"/>
          <c:y val="8.3493905091112319E-2"/>
          <c:w val="0.84404384698741253"/>
          <c:h val="0.7469681866390262"/>
        </c:manualLayout>
      </c:layout>
      <c:lineChart>
        <c:grouping val="standard"/>
        <c:varyColors val="0"/>
        <c:ser>
          <c:idx val="0"/>
          <c:order val="0"/>
          <c:tx>
            <c:v>Influent</c:v>
          </c:tx>
          <c:spPr>
            <a:ln w="28575" cap="rnd">
              <a:noFill/>
              <a:round/>
            </a:ln>
            <a:effectLst/>
          </c:spPr>
          <c:marker>
            <c:symbol val="triangle"/>
            <c:size val="5"/>
            <c:spPr>
              <a:solidFill>
                <a:schemeClr val="accent3">
                  <a:lumMod val="60000"/>
                  <a:lumOff val="40000"/>
                </a:schemeClr>
              </a:solidFill>
              <a:ln w="9525">
                <a:solidFill>
                  <a:schemeClr val="bg2">
                    <a:lumMod val="75000"/>
                  </a:schemeClr>
                </a:solidFill>
              </a:ln>
              <a:effectLst/>
            </c:spPr>
          </c:marker>
          <c:cat>
            <c:numRef>
              <c:f>Figures!$D$196:$J$196</c:f>
              <c:numCache>
                <c:formatCode>General</c:formatCode>
                <c:ptCount val="7"/>
                <c:pt idx="0">
                  <c:v>0</c:v>
                </c:pt>
                <c:pt idx="1">
                  <c:v>30</c:v>
                </c:pt>
                <c:pt idx="2">
                  <c:v>60</c:v>
                </c:pt>
                <c:pt idx="3">
                  <c:v>90</c:v>
                </c:pt>
                <c:pt idx="4">
                  <c:v>120</c:v>
                </c:pt>
                <c:pt idx="5">
                  <c:v>150</c:v>
                </c:pt>
                <c:pt idx="6">
                  <c:v>180</c:v>
                </c:pt>
              </c:numCache>
            </c:numRef>
          </c:cat>
          <c:val>
            <c:numRef>
              <c:f>Figures!$D$197:$J$197</c:f>
              <c:numCache>
                <c:formatCode>General</c:formatCode>
                <c:ptCount val="7"/>
                <c:pt idx="0">
                  <c:v>0.26743075453677173</c:v>
                </c:pt>
                <c:pt idx="1">
                  <c:v>0.36294173829990445</c:v>
                </c:pt>
                <c:pt idx="2">
                  <c:v>0.38204393505253109</c:v>
                </c:pt>
                <c:pt idx="3">
                  <c:v>0.30563514804202485</c:v>
                </c:pt>
                <c:pt idx="4">
                  <c:v>0.24832855778414517</c:v>
                </c:pt>
                <c:pt idx="5">
                  <c:v>0.21012416427889211</c:v>
                </c:pt>
                <c:pt idx="6">
                  <c:v>0.16236867239732572</c:v>
                </c:pt>
              </c:numCache>
            </c:numRef>
          </c:val>
          <c:smooth val="0"/>
          <c:extLst>
            <c:ext xmlns:c16="http://schemas.microsoft.com/office/drawing/2014/chart" uri="{C3380CC4-5D6E-409C-BE32-E72D297353CC}">
              <c16:uniqueId val="{00000000-9A43-451A-97DA-31D2158C8DA2}"/>
            </c:ext>
          </c:extLst>
        </c:ser>
        <c:ser>
          <c:idx val="1"/>
          <c:order val="1"/>
          <c:tx>
            <c:v>CBA</c:v>
          </c:tx>
          <c:spPr>
            <a:ln w="28575" cap="rnd">
              <a:noFill/>
              <a:round/>
            </a:ln>
            <a:effectLst/>
          </c:spPr>
          <c:marker>
            <c:symbol val="circle"/>
            <c:size val="5"/>
            <c:spPr>
              <a:solidFill>
                <a:schemeClr val="accent2">
                  <a:lumMod val="75000"/>
                  <a:alpha val="99000"/>
                </a:schemeClr>
              </a:solidFill>
              <a:ln w="9525">
                <a:solidFill>
                  <a:schemeClr val="accent2">
                    <a:lumMod val="75000"/>
                  </a:schemeClr>
                </a:solidFill>
              </a:ln>
              <a:effectLst/>
            </c:spPr>
          </c:marker>
          <c:cat>
            <c:numRef>
              <c:f>Figures!$D$196:$J$196</c:f>
              <c:numCache>
                <c:formatCode>General</c:formatCode>
                <c:ptCount val="7"/>
                <c:pt idx="0">
                  <c:v>0</c:v>
                </c:pt>
                <c:pt idx="1">
                  <c:v>30</c:v>
                </c:pt>
                <c:pt idx="2">
                  <c:v>60</c:v>
                </c:pt>
                <c:pt idx="3">
                  <c:v>90</c:v>
                </c:pt>
                <c:pt idx="4">
                  <c:v>120</c:v>
                </c:pt>
                <c:pt idx="5">
                  <c:v>150</c:v>
                </c:pt>
                <c:pt idx="6">
                  <c:v>180</c:v>
                </c:pt>
              </c:numCache>
            </c:numRef>
          </c:cat>
          <c:val>
            <c:numRef>
              <c:f>Figures!$D$198:$J$198</c:f>
              <c:numCache>
                <c:formatCode>General</c:formatCode>
                <c:ptCount val="7"/>
                <c:pt idx="0">
                  <c:v>1.9102196752626553E-2</c:v>
                </c:pt>
                <c:pt idx="1">
                  <c:v>6.6857688634192933E-2</c:v>
                </c:pt>
                <c:pt idx="2">
                  <c:v>0.10506208213944605</c:v>
                </c:pt>
                <c:pt idx="3">
                  <c:v>0.18147086914995222</c:v>
                </c:pt>
                <c:pt idx="4">
                  <c:v>0.29608404966571156</c:v>
                </c:pt>
                <c:pt idx="5">
                  <c:v>0.42024832855778421</c:v>
                </c:pt>
                <c:pt idx="6">
                  <c:v>0.44890162368672404</c:v>
                </c:pt>
              </c:numCache>
            </c:numRef>
          </c:val>
          <c:smooth val="0"/>
          <c:extLst>
            <c:ext xmlns:c16="http://schemas.microsoft.com/office/drawing/2014/chart" uri="{C3380CC4-5D6E-409C-BE32-E72D297353CC}">
              <c16:uniqueId val="{00000001-9A43-451A-97DA-31D2158C8DA2}"/>
            </c:ext>
          </c:extLst>
        </c:ser>
        <c:ser>
          <c:idx val="2"/>
          <c:order val="2"/>
          <c:tx>
            <c:v>PBA</c:v>
          </c:tx>
          <c:spPr>
            <a:ln w="28575" cap="rnd">
              <a:noFill/>
              <a:round/>
            </a:ln>
            <a:effectLst/>
          </c:spPr>
          <c:marker>
            <c:symbol val="x"/>
            <c:size val="5"/>
            <c:spPr>
              <a:solidFill>
                <a:schemeClr val="accent5">
                  <a:lumMod val="50000"/>
                </a:schemeClr>
              </a:solidFill>
              <a:ln w="9525">
                <a:solidFill>
                  <a:schemeClr val="accent5">
                    <a:lumMod val="50000"/>
                  </a:schemeClr>
                </a:solidFill>
              </a:ln>
              <a:effectLst/>
            </c:spPr>
          </c:marker>
          <c:cat>
            <c:numRef>
              <c:f>Figures!$D$196:$J$196</c:f>
              <c:numCache>
                <c:formatCode>General</c:formatCode>
                <c:ptCount val="7"/>
                <c:pt idx="0">
                  <c:v>0</c:v>
                </c:pt>
                <c:pt idx="1">
                  <c:v>30</c:v>
                </c:pt>
                <c:pt idx="2">
                  <c:v>60</c:v>
                </c:pt>
                <c:pt idx="3">
                  <c:v>90</c:v>
                </c:pt>
                <c:pt idx="4">
                  <c:v>120</c:v>
                </c:pt>
                <c:pt idx="5">
                  <c:v>150</c:v>
                </c:pt>
                <c:pt idx="6">
                  <c:v>180</c:v>
                </c:pt>
              </c:numCache>
            </c:numRef>
          </c:cat>
          <c:val>
            <c:numRef>
              <c:f>Figures!$D$199:$J$199</c:f>
              <c:numCache>
                <c:formatCode>General</c:formatCode>
                <c:ptCount val="7"/>
                <c:pt idx="0">
                  <c:v>6.6857688634192933E-2</c:v>
                </c:pt>
                <c:pt idx="1">
                  <c:v>6.6857688634192933E-2</c:v>
                </c:pt>
                <c:pt idx="2">
                  <c:v>7.6408787010506213E-2</c:v>
                </c:pt>
                <c:pt idx="3">
                  <c:v>0.11461318051575933</c:v>
                </c:pt>
                <c:pt idx="4">
                  <c:v>0.19102196752626555</c:v>
                </c:pt>
                <c:pt idx="5">
                  <c:v>0.25787965616045849</c:v>
                </c:pt>
                <c:pt idx="6">
                  <c:v>0.22922636103151867</c:v>
                </c:pt>
              </c:numCache>
            </c:numRef>
          </c:val>
          <c:smooth val="0"/>
          <c:extLst>
            <c:ext xmlns:c16="http://schemas.microsoft.com/office/drawing/2014/chart" uri="{C3380CC4-5D6E-409C-BE32-E72D297353CC}">
              <c16:uniqueId val="{00000002-9A43-451A-97DA-31D2158C8DA2}"/>
            </c:ext>
          </c:extLst>
        </c:ser>
        <c:dLbls>
          <c:showLegendKey val="0"/>
          <c:showVal val="0"/>
          <c:showCatName val="0"/>
          <c:showSerName val="0"/>
          <c:showPercent val="0"/>
          <c:showBubbleSize val="0"/>
        </c:dLbls>
        <c:marker val="1"/>
        <c:smooth val="0"/>
        <c:axId val="344613151"/>
        <c:axId val="344612191"/>
      </c:lineChart>
      <c:catAx>
        <c:axId val="3446131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100" b="1">
                    <a:latin typeface="Times New Roman" panose="02020603050405020304" pitchFamily="18" charset="0"/>
                    <a:cs typeface="Times New Roman" panose="02020603050405020304" pitchFamily="18" charset="0"/>
                  </a:rPr>
                  <a:t>Elapsed time (min)</a:t>
                </a:r>
              </a:p>
            </c:rich>
          </c:tx>
          <c:layout>
            <c:manualLayout>
              <c:xMode val="edge"/>
              <c:yMode val="edge"/>
              <c:x val="0.44421512732371854"/>
              <c:y val="0.9175304579049541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44612191"/>
        <c:crosses val="autoZero"/>
        <c:auto val="1"/>
        <c:lblAlgn val="ctr"/>
        <c:lblOffset val="100"/>
        <c:noMultiLvlLbl val="0"/>
      </c:catAx>
      <c:valAx>
        <c:axId val="34461219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100" b="1">
                    <a:latin typeface="Times New Roman" panose="02020603050405020304" pitchFamily="18" charset="0"/>
                    <a:cs typeface="Times New Roman" panose="02020603050405020304" pitchFamily="18" charset="0"/>
                  </a:rPr>
                  <a:t>NH4-N Concentration (mg</a:t>
                </a:r>
                <a:r>
                  <a:rPr lang="en-US" sz="1100" b="1" baseline="0">
                    <a:latin typeface="Times New Roman" panose="02020603050405020304" pitchFamily="18" charset="0"/>
                    <a:cs typeface="Times New Roman" panose="02020603050405020304" pitchFamily="18" charset="0"/>
                  </a:rPr>
                  <a:t> NH4-N/L)</a:t>
                </a:r>
                <a:endParaRPr lang="en-US" sz="1100" b="1">
                  <a:latin typeface="Times New Roman" panose="02020603050405020304" pitchFamily="18" charset="0"/>
                  <a:cs typeface="Times New Roman" panose="02020603050405020304" pitchFamily="18" charset="0"/>
                </a:endParaRPr>
              </a:p>
            </c:rich>
          </c:tx>
          <c:layout>
            <c:manualLayout>
              <c:xMode val="edge"/>
              <c:yMode val="edge"/>
              <c:x val="1.7640192789124629E-2"/>
              <c:y val="0.2028607982775382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0.0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44613151"/>
        <c:crosses val="autoZero"/>
        <c:crossBetween val="between"/>
      </c:valAx>
      <c:spPr>
        <a:noFill/>
        <a:ln w="12700">
          <a:solidFill>
            <a:schemeClr val="tx1"/>
          </a:solidFill>
        </a:ln>
        <a:effectLst/>
      </c:spPr>
    </c:plotArea>
    <c:legend>
      <c:legendPos val="b"/>
      <c:layout>
        <c:manualLayout>
          <c:xMode val="edge"/>
          <c:yMode val="edge"/>
          <c:x val="0.64239963060173044"/>
          <c:y val="0.10284623797025372"/>
          <c:w val="0.28193998145279942"/>
          <c:h val="5.165974574164954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744713451648681"/>
          <c:y val="8.3493905091112319E-2"/>
          <c:w val="0.84557776366520931"/>
          <c:h val="0.7469681866390262"/>
        </c:manualLayout>
      </c:layout>
      <c:lineChart>
        <c:grouping val="standard"/>
        <c:varyColors val="0"/>
        <c:ser>
          <c:idx val="0"/>
          <c:order val="0"/>
          <c:tx>
            <c:v>Influent</c:v>
          </c:tx>
          <c:spPr>
            <a:ln w="28575" cap="rnd">
              <a:noFill/>
              <a:round/>
            </a:ln>
            <a:effectLst/>
          </c:spPr>
          <c:marker>
            <c:symbol val="triangle"/>
            <c:size val="5"/>
            <c:spPr>
              <a:solidFill>
                <a:schemeClr val="accent3">
                  <a:lumMod val="60000"/>
                  <a:lumOff val="40000"/>
                </a:schemeClr>
              </a:solidFill>
              <a:ln w="9525">
                <a:solidFill>
                  <a:schemeClr val="bg2">
                    <a:lumMod val="75000"/>
                  </a:schemeClr>
                </a:solidFill>
              </a:ln>
              <a:effectLst/>
            </c:spPr>
          </c:marker>
          <c:cat>
            <c:numRef>
              <c:f>Figures!$R$196:$X$196</c:f>
              <c:numCache>
                <c:formatCode>General</c:formatCode>
                <c:ptCount val="7"/>
                <c:pt idx="0">
                  <c:v>0</c:v>
                </c:pt>
                <c:pt idx="1">
                  <c:v>30</c:v>
                </c:pt>
                <c:pt idx="2">
                  <c:v>60</c:v>
                </c:pt>
                <c:pt idx="3">
                  <c:v>90</c:v>
                </c:pt>
                <c:pt idx="4">
                  <c:v>120</c:v>
                </c:pt>
                <c:pt idx="5">
                  <c:v>150</c:v>
                </c:pt>
                <c:pt idx="6">
                  <c:v>180</c:v>
                </c:pt>
              </c:numCache>
            </c:numRef>
          </c:cat>
          <c:val>
            <c:numRef>
              <c:f>Figures!$R$197:$X$197</c:f>
              <c:numCache>
                <c:formatCode>General</c:formatCode>
                <c:ptCount val="7"/>
                <c:pt idx="0">
                  <c:v>0.31544688308436958</c:v>
                </c:pt>
                <c:pt idx="1">
                  <c:v>0.3096052741383627</c:v>
                </c:pt>
                <c:pt idx="2">
                  <c:v>0.3212884920303764</c:v>
                </c:pt>
                <c:pt idx="3">
                  <c:v>0.29792205624634899</c:v>
                </c:pt>
                <c:pt idx="4">
                  <c:v>0.29792205624634899</c:v>
                </c:pt>
                <c:pt idx="5">
                  <c:v>0.29208044730034222</c:v>
                </c:pt>
                <c:pt idx="6">
                  <c:v>0.28039722940832851</c:v>
                </c:pt>
              </c:numCache>
            </c:numRef>
          </c:val>
          <c:smooth val="0"/>
          <c:extLst>
            <c:ext xmlns:c16="http://schemas.microsoft.com/office/drawing/2014/chart" uri="{C3380CC4-5D6E-409C-BE32-E72D297353CC}">
              <c16:uniqueId val="{00000000-F6E0-4154-860B-AC43721CC123}"/>
            </c:ext>
          </c:extLst>
        </c:ser>
        <c:ser>
          <c:idx val="1"/>
          <c:order val="1"/>
          <c:tx>
            <c:v>CBA</c:v>
          </c:tx>
          <c:spPr>
            <a:ln w="28575" cap="rnd">
              <a:noFill/>
              <a:round/>
            </a:ln>
            <a:effectLst/>
          </c:spPr>
          <c:marker>
            <c:symbol val="circle"/>
            <c:size val="5"/>
            <c:spPr>
              <a:solidFill>
                <a:schemeClr val="accent2">
                  <a:lumMod val="75000"/>
                  <a:alpha val="99000"/>
                </a:schemeClr>
              </a:solidFill>
              <a:ln w="9525">
                <a:solidFill>
                  <a:schemeClr val="accent2">
                    <a:lumMod val="75000"/>
                  </a:schemeClr>
                </a:solidFill>
              </a:ln>
              <a:effectLst/>
            </c:spPr>
          </c:marker>
          <c:cat>
            <c:numRef>
              <c:f>Figures!$R$196:$X$196</c:f>
              <c:numCache>
                <c:formatCode>General</c:formatCode>
                <c:ptCount val="7"/>
                <c:pt idx="0">
                  <c:v>0</c:v>
                </c:pt>
                <c:pt idx="1">
                  <c:v>30</c:v>
                </c:pt>
                <c:pt idx="2">
                  <c:v>60</c:v>
                </c:pt>
                <c:pt idx="3">
                  <c:v>90</c:v>
                </c:pt>
                <c:pt idx="4">
                  <c:v>120</c:v>
                </c:pt>
                <c:pt idx="5">
                  <c:v>150</c:v>
                </c:pt>
                <c:pt idx="6">
                  <c:v>180</c:v>
                </c:pt>
              </c:numCache>
            </c:numRef>
          </c:cat>
          <c:val>
            <c:numRef>
              <c:f>Figures!$R$198:$X$198</c:f>
              <c:numCache>
                <c:formatCode>General</c:formatCode>
                <c:ptCount val="7"/>
                <c:pt idx="0">
                  <c:v>2.3366435784027372E-2</c:v>
                </c:pt>
                <c:pt idx="1">
                  <c:v>4.0891262622047904E-2</c:v>
                </c:pt>
                <c:pt idx="2">
                  <c:v>5.2574480514061592E-2</c:v>
                </c:pt>
                <c:pt idx="3">
                  <c:v>0.22198113994826002</c:v>
                </c:pt>
                <c:pt idx="4">
                  <c:v>0.39138779938245849</c:v>
                </c:pt>
                <c:pt idx="5">
                  <c:v>0.62505215722273222</c:v>
                </c:pt>
                <c:pt idx="6">
                  <c:v>0.80030042560293746</c:v>
                </c:pt>
              </c:numCache>
            </c:numRef>
          </c:val>
          <c:smooth val="0"/>
          <c:extLst>
            <c:ext xmlns:c16="http://schemas.microsoft.com/office/drawing/2014/chart" uri="{C3380CC4-5D6E-409C-BE32-E72D297353CC}">
              <c16:uniqueId val="{00000001-F6E0-4154-860B-AC43721CC123}"/>
            </c:ext>
          </c:extLst>
        </c:ser>
        <c:ser>
          <c:idx val="2"/>
          <c:order val="2"/>
          <c:tx>
            <c:v>PBA</c:v>
          </c:tx>
          <c:spPr>
            <a:ln w="28575" cap="rnd">
              <a:noFill/>
              <a:round/>
            </a:ln>
            <a:effectLst/>
          </c:spPr>
          <c:marker>
            <c:symbol val="x"/>
            <c:size val="5"/>
            <c:spPr>
              <a:solidFill>
                <a:schemeClr val="accent5">
                  <a:lumMod val="50000"/>
                  <a:alpha val="99000"/>
                </a:schemeClr>
              </a:solidFill>
              <a:ln w="9525">
                <a:solidFill>
                  <a:schemeClr val="accent5">
                    <a:lumMod val="50000"/>
                  </a:schemeClr>
                </a:solidFill>
              </a:ln>
              <a:effectLst/>
            </c:spPr>
          </c:marker>
          <c:cat>
            <c:numRef>
              <c:f>Figures!$R$196:$X$196</c:f>
              <c:numCache>
                <c:formatCode>General</c:formatCode>
                <c:ptCount val="7"/>
                <c:pt idx="0">
                  <c:v>0</c:v>
                </c:pt>
                <c:pt idx="1">
                  <c:v>30</c:v>
                </c:pt>
                <c:pt idx="2">
                  <c:v>60</c:v>
                </c:pt>
                <c:pt idx="3">
                  <c:v>90</c:v>
                </c:pt>
                <c:pt idx="4">
                  <c:v>120</c:v>
                </c:pt>
                <c:pt idx="5">
                  <c:v>150</c:v>
                </c:pt>
                <c:pt idx="6">
                  <c:v>180</c:v>
                </c:pt>
              </c:numCache>
            </c:numRef>
          </c:cat>
          <c:val>
            <c:numRef>
              <c:f>Figures!$R$199:$X$199</c:f>
              <c:numCache>
                <c:formatCode>General</c:formatCode>
                <c:ptCount val="7"/>
                <c:pt idx="0">
                  <c:v>0.19277309521822583</c:v>
                </c:pt>
                <c:pt idx="1">
                  <c:v>7.5940916298088967E-2</c:v>
                </c:pt>
                <c:pt idx="2">
                  <c:v>0.12851539681215055</c:v>
                </c:pt>
                <c:pt idx="3">
                  <c:v>0.50821997830259535</c:v>
                </c:pt>
                <c:pt idx="4">
                  <c:v>0.73604272719686226</c:v>
                </c:pt>
                <c:pt idx="5">
                  <c:v>0.95802386714512222</c:v>
                </c:pt>
                <c:pt idx="6">
                  <c:v>0.91713260452307444</c:v>
                </c:pt>
              </c:numCache>
            </c:numRef>
          </c:val>
          <c:smooth val="0"/>
          <c:extLst>
            <c:ext xmlns:c16="http://schemas.microsoft.com/office/drawing/2014/chart" uri="{C3380CC4-5D6E-409C-BE32-E72D297353CC}">
              <c16:uniqueId val="{00000002-F6E0-4154-860B-AC43721CC123}"/>
            </c:ext>
          </c:extLst>
        </c:ser>
        <c:dLbls>
          <c:showLegendKey val="0"/>
          <c:showVal val="0"/>
          <c:showCatName val="0"/>
          <c:showSerName val="0"/>
          <c:showPercent val="0"/>
          <c:showBubbleSize val="0"/>
        </c:dLbls>
        <c:marker val="1"/>
        <c:smooth val="0"/>
        <c:axId val="344613151"/>
        <c:axId val="344612191"/>
      </c:lineChart>
      <c:catAx>
        <c:axId val="3446131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100" b="1">
                    <a:latin typeface="Times New Roman" panose="02020603050405020304" pitchFamily="18" charset="0"/>
                    <a:cs typeface="Times New Roman" panose="02020603050405020304" pitchFamily="18" charset="0"/>
                  </a:rPr>
                  <a:t>Elapsed time (min)</a:t>
                </a:r>
              </a:p>
            </c:rich>
          </c:tx>
          <c:layout>
            <c:manualLayout>
              <c:xMode val="edge"/>
              <c:yMode val="edge"/>
              <c:x val="0.44421512732371854"/>
              <c:y val="0.9175304579049541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44612191"/>
        <c:crosses val="autoZero"/>
        <c:auto val="1"/>
        <c:lblAlgn val="ctr"/>
        <c:lblOffset val="100"/>
        <c:noMultiLvlLbl val="0"/>
      </c:catAx>
      <c:valAx>
        <c:axId val="34461219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100" b="1">
                    <a:latin typeface="Times New Roman" panose="02020603050405020304" pitchFamily="18" charset="0"/>
                    <a:cs typeface="Times New Roman" panose="02020603050405020304" pitchFamily="18" charset="0"/>
                  </a:rPr>
                  <a:t>NO2-N Concentration (mg NO2-N/L)</a:t>
                </a:r>
              </a:p>
            </c:rich>
          </c:tx>
          <c:layout>
            <c:manualLayout>
              <c:xMode val="edge"/>
              <c:yMode val="edge"/>
              <c:x val="1.4563128560126634E-2"/>
              <c:y val="0.22276601451894085"/>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0.0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44613151"/>
        <c:crosses val="autoZero"/>
        <c:crossBetween val="between"/>
      </c:valAx>
      <c:spPr>
        <a:noFill/>
        <a:ln w="12700">
          <a:solidFill>
            <a:schemeClr val="tx1"/>
          </a:solidFill>
        </a:ln>
        <a:effectLst/>
      </c:spPr>
    </c:plotArea>
    <c:legend>
      <c:legendPos val="b"/>
      <c:layout>
        <c:manualLayout>
          <c:xMode val="edge"/>
          <c:yMode val="edge"/>
          <c:x val="0.64239963060173044"/>
          <c:y val="0.10284623797025372"/>
          <c:w val="0.28279697676679305"/>
          <c:h val="5.0463921798758041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359657597598433"/>
          <c:y val="8.3493905091112319E-2"/>
          <c:w val="0.83942824710783015"/>
          <c:h val="0.7469681866390262"/>
        </c:manualLayout>
      </c:layout>
      <c:lineChart>
        <c:grouping val="standard"/>
        <c:varyColors val="0"/>
        <c:ser>
          <c:idx val="0"/>
          <c:order val="0"/>
          <c:tx>
            <c:v>Influent</c:v>
          </c:tx>
          <c:spPr>
            <a:ln w="28575" cap="rnd">
              <a:noFill/>
              <a:round/>
            </a:ln>
            <a:effectLst/>
          </c:spPr>
          <c:marker>
            <c:symbol val="triangle"/>
            <c:size val="5"/>
            <c:spPr>
              <a:solidFill>
                <a:schemeClr val="bg2">
                  <a:lumMod val="75000"/>
                </a:schemeClr>
              </a:solidFill>
              <a:ln w="9525">
                <a:solidFill>
                  <a:schemeClr val="bg2">
                    <a:lumMod val="75000"/>
                  </a:schemeClr>
                </a:solidFill>
              </a:ln>
              <a:effectLst/>
            </c:spPr>
          </c:marker>
          <c:cat>
            <c:numRef>
              <c:f>Figures!$D$232:$J$232</c:f>
              <c:numCache>
                <c:formatCode>General</c:formatCode>
                <c:ptCount val="7"/>
                <c:pt idx="0">
                  <c:v>0</c:v>
                </c:pt>
                <c:pt idx="1">
                  <c:v>30</c:v>
                </c:pt>
                <c:pt idx="2">
                  <c:v>60</c:v>
                </c:pt>
                <c:pt idx="3">
                  <c:v>90</c:v>
                </c:pt>
                <c:pt idx="4">
                  <c:v>120</c:v>
                </c:pt>
                <c:pt idx="5">
                  <c:v>150</c:v>
                </c:pt>
                <c:pt idx="6">
                  <c:v>180</c:v>
                </c:pt>
              </c:numCache>
            </c:numRef>
          </c:cat>
          <c:val>
            <c:numRef>
              <c:f>Figures!$D$233:$J$233</c:f>
              <c:numCache>
                <c:formatCode>General</c:formatCode>
                <c:ptCount val="7"/>
                <c:pt idx="0">
                  <c:v>9.4371173438520923</c:v>
                </c:pt>
                <c:pt idx="1">
                  <c:v>8.801877888827045</c:v>
                </c:pt>
                <c:pt idx="2">
                  <c:v>8.5630278537376281</c:v>
                </c:pt>
                <c:pt idx="3">
                  <c:v>7.9023788205115801</c:v>
                </c:pt>
                <c:pt idx="4">
                  <c:v>7.4653340754543471</c:v>
                </c:pt>
                <c:pt idx="5">
                  <c:v>7.2722212811267335</c:v>
                </c:pt>
                <c:pt idx="6">
                  <c:v>7.007961667836315</c:v>
                </c:pt>
              </c:numCache>
            </c:numRef>
          </c:val>
          <c:smooth val="0"/>
          <c:extLst>
            <c:ext xmlns:c16="http://schemas.microsoft.com/office/drawing/2014/chart" uri="{C3380CC4-5D6E-409C-BE32-E72D297353CC}">
              <c16:uniqueId val="{00000000-BA86-495E-A015-2E766F606143}"/>
            </c:ext>
          </c:extLst>
        </c:ser>
        <c:ser>
          <c:idx val="1"/>
          <c:order val="1"/>
          <c:tx>
            <c:v>CBA</c:v>
          </c:tx>
          <c:spPr>
            <a:ln w="28575" cap="rnd">
              <a:noFill/>
              <a:round/>
            </a:ln>
            <a:effectLst/>
          </c:spPr>
          <c:marker>
            <c:symbol val="circle"/>
            <c:size val="5"/>
            <c:spPr>
              <a:solidFill>
                <a:schemeClr val="accent2">
                  <a:lumMod val="75000"/>
                  <a:alpha val="99000"/>
                </a:schemeClr>
              </a:solidFill>
              <a:ln w="9525">
                <a:solidFill>
                  <a:schemeClr val="accent2">
                    <a:lumMod val="75000"/>
                  </a:schemeClr>
                </a:solidFill>
              </a:ln>
              <a:effectLst/>
            </c:spPr>
          </c:marker>
          <c:cat>
            <c:numRef>
              <c:f>Figures!$D$232:$J$232</c:f>
              <c:numCache>
                <c:formatCode>General</c:formatCode>
                <c:ptCount val="7"/>
                <c:pt idx="0">
                  <c:v>0</c:v>
                </c:pt>
                <c:pt idx="1">
                  <c:v>30</c:v>
                </c:pt>
                <c:pt idx="2">
                  <c:v>60</c:v>
                </c:pt>
                <c:pt idx="3">
                  <c:v>90</c:v>
                </c:pt>
                <c:pt idx="4">
                  <c:v>120</c:v>
                </c:pt>
                <c:pt idx="5">
                  <c:v>150</c:v>
                </c:pt>
                <c:pt idx="6">
                  <c:v>180</c:v>
                </c:pt>
              </c:numCache>
            </c:numRef>
          </c:cat>
          <c:val>
            <c:numRef>
              <c:f>Figures!$D$234:$J$234</c:f>
              <c:numCache>
                <c:formatCode>General</c:formatCode>
                <c:ptCount val="7"/>
                <c:pt idx="0">
                  <c:v>0</c:v>
                </c:pt>
                <c:pt idx="1">
                  <c:v>5.0819156402003726E-2</c:v>
                </c:pt>
                <c:pt idx="2">
                  <c:v>5.0819156402003726E-2</c:v>
                </c:pt>
                <c:pt idx="3">
                  <c:v>0.3608160104542264</c:v>
                </c:pt>
                <c:pt idx="4">
                  <c:v>0.89949906831546589</c:v>
                </c:pt>
                <c:pt idx="5">
                  <c:v>1.2399874162088909</c:v>
                </c:pt>
                <c:pt idx="6">
                  <c:v>1.2145778380078891</c:v>
                </c:pt>
              </c:numCache>
            </c:numRef>
          </c:val>
          <c:smooth val="0"/>
          <c:extLst>
            <c:ext xmlns:c16="http://schemas.microsoft.com/office/drawing/2014/chart" uri="{C3380CC4-5D6E-409C-BE32-E72D297353CC}">
              <c16:uniqueId val="{00000001-BA86-495E-A015-2E766F606143}"/>
            </c:ext>
          </c:extLst>
        </c:ser>
        <c:ser>
          <c:idx val="2"/>
          <c:order val="2"/>
          <c:tx>
            <c:v>PBA</c:v>
          </c:tx>
          <c:spPr>
            <a:ln w="28575" cap="rnd">
              <a:noFill/>
              <a:round/>
            </a:ln>
            <a:effectLst/>
          </c:spPr>
          <c:marker>
            <c:symbol val="x"/>
            <c:size val="5"/>
            <c:spPr>
              <a:solidFill>
                <a:schemeClr val="accent5">
                  <a:lumMod val="50000"/>
                </a:schemeClr>
              </a:solidFill>
              <a:ln w="9525">
                <a:solidFill>
                  <a:schemeClr val="accent5">
                    <a:lumMod val="50000"/>
                  </a:schemeClr>
                </a:solidFill>
              </a:ln>
              <a:effectLst/>
            </c:spPr>
          </c:marker>
          <c:cat>
            <c:numRef>
              <c:f>Figures!$D$232:$J$232</c:f>
              <c:numCache>
                <c:formatCode>General</c:formatCode>
                <c:ptCount val="7"/>
                <c:pt idx="0">
                  <c:v>0</c:v>
                </c:pt>
                <c:pt idx="1">
                  <c:v>30</c:v>
                </c:pt>
                <c:pt idx="2">
                  <c:v>60</c:v>
                </c:pt>
                <c:pt idx="3">
                  <c:v>90</c:v>
                </c:pt>
                <c:pt idx="4">
                  <c:v>120</c:v>
                </c:pt>
                <c:pt idx="5">
                  <c:v>150</c:v>
                </c:pt>
                <c:pt idx="6">
                  <c:v>180</c:v>
                </c:pt>
              </c:numCache>
            </c:numRef>
          </c:cat>
          <c:val>
            <c:numRef>
              <c:f>Figures!$D$235:$J$235</c:f>
              <c:numCache>
                <c:formatCode>General</c:formatCode>
                <c:ptCount val="7"/>
                <c:pt idx="0">
                  <c:v>0.20835854124821526</c:v>
                </c:pt>
                <c:pt idx="1">
                  <c:v>0.3150787696924231</c:v>
                </c:pt>
                <c:pt idx="2">
                  <c:v>0.50819156402003729</c:v>
                </c:pt>
                <c:pt idx="3">
                  <c:v>2.6883333736659978</c:v>
                </c:pt>
                <c:pt idx="4">
                  <c:v>4.2738910534085131</c:v>
                </c:pt>
                <c:pt idx="5">
                  <c:v>5.2597826876073848</c:v>
                </c:pt>
                <c:pt idx="6">
                  <c:v>5.1683082060837782</c:v>
                </c:pt>
              </c:numCache>
            </c:numRef>
          </c:val>
          <c:smooth val="0"/>
          <c:extLst>
            <c:ext xmlns:c16="http://schemas.microsoft.com/office/drawing/2014/chart" uri="{C3380CC4-5D6E-409C-BE32-E72D297353CC}">
              <c16:uniqueId val="{00000002-BA86-495E-A015-2E766F606143}"/>
            </c:ext>
          </c:extLst>
        </c:ser>
        <c:dLbls>
          <c:showLegendKey val="0"/>
          <c:showVal val="0"/>
          <c:showCatName val="0"/>
          <c:showSerName val="0"/>
          <c:showPercent val="0"/>
          <c:showBubbleSize val="0"/>
        </c:dLbls>
        <c:marker val="1"/>
        <c:smooth val="0"/>
        <c:axId val="344613151"/>
        <c:axId val="344612191"/>
      </c:lineChart>
      <c:catAx>
        <c:axId val="3446131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100" b="1">
                    <a:latin typeface="Times New Roman" panose="02020603050405020304" pitchFamily="18" charset="0"/>
                    <a:cs typeface="Times New Roman" panose="02020603050405020304" pitchFamily="18" charset="0"/>
                  </a:rPr>
                  <a:t>Elapsed time (min)</a:t>
                </a:r>
              </a:p>
            </c:rich>
          </c:tx>
          <c:layout>
            <c:manualLayout>
              <c:xMode val="edge"/>
              <c:yMode val="edge"/>
              <c:x val="0.44421512732371854"/>
              <c:y val="0.9175304579049541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44612191"/>
        <c:crosses val="autoZero"/>
        <c:auto val="1"/>
        <c:lblAlgn val="ctr"/>
        <c:lblOffset val="100"/>
        <c:noMultiLvlLbl val="0"/>
      </c:catAx>
      <c:valAx>
        <c:axId val="34461219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100" b="1">
                    <a:latin typeface="Times New Roman" panose="02020603050405020304" pitchFamily="18" charset="0"/>
                    <a:cs typeface="Times New Roman" panose="02020603050405020304" pitchFamily="18" charset="0"/>
                  </a:rPr>
                  <a:t>NO3-N Concentration (mg</a:t>
                </a:r>
                <a:r>
                  <a:rPr lang="en-US" sz="1100" b="1" baseline="0">
                    <a:latin typeface="Times New Roman" panose="02020603050405020304" pitchFamily="18" charset="0"/>
                    <a:cs typeface="Times New Roman" panose="02020603050405020304" pitchFamily="18" charset="0"/>
                  </a:rPr>
                  <a:t> NO3-N/L)</a:t>
                </a:r>
                <a:endParaRPr lang="en-US" sz="1100" b="1">
                  <a:latin typeface="Times New Roman" panose="02020603050405020304" pitchFamily="18" charset="0"/>
                  <a:cs typeface="Times New Roman" panose="02020603050405020304" pitchFamily="18" charset="0"/>
                </a:endParaRPr>
              </a:p>
            </c:rich>
          </c:tx>
          <c:layout>
            <c:manualLayout>
              <c:xMode val="edge"/>
              <c:yMode val="edge"/>
              <c:x val="1.9178726082318801E-2"/>
              <c:y val="0.2028607982775382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0.0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44613151"/>
        <c:crosses val="autoZero"/>
        <c:crossBetween val="between"/>
      </c:valAx>
      <c:spPr>
        <a:noFill/>
        <a:ln w="12700">
          <a:solidFill>
            <a:schemeClr val="tx1"/>
          </a:solidFill>
        </a:ln>
        <a:effectLst/>
      </c:spPr>
    </c:plotArea>
    <c:legend>
      <c:legendPos val="b"/>
      <c:layout>
        <c:manualLayout>
          <c:xMode val="edge"/>
          <c:yMode val="edge"/>
          <c:x val="0.64239963060173044"/>
          <c:y val="0.10284623797025372"/>
          <c:w val="0.28193998145279942"/>
          <c:h val="5.165974574164954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514159442053506"/>
          <c:y val="8.3493905091112319E-2"/>
          <c:w val="0.83788330376116116"/>
          <c:h val="0.7469681866390262"/>
        </c:manualLayout>
      </c:layout>
      <c:lineChart>
        <c:grouping val="standard"/>
        <c:varyColors val="0"/>
        <c:ser>
          <c:idx val="0"/>
          <c:order val="0"/>
          <c:tx>
            <c:v>Influent</c:v>
          </c:tx>
          <c:spPr>
            <a:ln w="28575" cap="rnd">
              <a:noFill/>
              <a:round/>
            </a:ln>
            <a:effectLst/>
          </c:spPr>
          <c:marker>
            <c:symbol val="triangle"/>
            <c:size val="5"/>
            <c:spPr>
              <a:solidFill>
                <a:schemeClr val="bg2">
                  <a:lumMod val="75000"/>
                </a:schemeClr>
              </a:solidFill>
              <a:ln w="9525">
                <a:solidFill>
                  <a:schemeClr val="bg2">
                    <a:lumMod val="75000"/>
                  </a:schemeClr>
                </a:solidFill>
              </a:ln>
              <a:effectLst/>
            </c:spPr>
          </c:marker>
          <c:cat>
            <c:numRef>
              <c:f>Figures!$R$232:$X$232</c:f>
              <c:numCache>
                <c:formatCode>General</c:formatCode>
                <c:ptCount val="7"/>
                <c:pt idx="0">
                  <c:v>0</c:v>
                </c:pt>
                <c:pt idx="1">
                  <c:v>30</c:v>
                </c:pt>
                <c:pt idx="2">
                  <c:v>60</c:v>
                </c:pt>
                <c:pt idx="3">
                  <c:v>90</c:v>
                </c:pt>
                <c:pt idx="4">
                  <c:v>120</c:v>
                </c:pt>
                <c:pt idx="5">
                  <c:v>150</c:v>
                </c:pt>
                <c:pt idx="6">
                  <c:v>180</c:v>
                </c:pt>
              </c:numCache>
            </c:numRef>
          </c:cat>
          <c:val>
            <c:numRef>
              <c:f>Figures!$R$233:$X$233</c:f>
              <c:numCache>
                <c:formatCode>General</c:formatCode>
                <c:ptCount val="7"/>
                <c:pt idx="0">
                  <c:v>1.0640732265446224</c:v>
                </c:pt>
                <c:pt idx="1">
                  <c:v>1.0032690421706441</c:v>
                </c:pt>
                <c:pt idx="2">
                  <c:v>0.97286694998365497</c:v>
                </c:pt>
                <c:pt idx="3">
                  <c:v>0.89686171951618177</c:v>
                </c:pt>
                <c:pt idx="4">
                  <c:v>0.86645962732919257</c:v>
                </c:pt>
                <c:pt idx="5">
                  <c:v>0.83605753514220338</c:v>
                </c:pt>
                <c:pt idx="6">
                  <c:v>0.80565544295521407</c:v>
                </c:pt>
              </c:numCache>
            </c:numRef>
          </c:val>
          <c:smooth val="0"/>
          <c:extLst>
            <c:ext xmlns:c16="http://schemas.microsoft.com/office/drawing/2014/chart" uri="{C3380CC4-5D6E-409C-BE32-E72D297353CC}">
              <c16:uniqueId val="{00000000-B68B-4D41-8871-31FA277C75D6}"/>
            </c:ext>
          </c:extLst>
        </c:ser>
        <c:ser>
          <c:idx val="1"/>
          <c:order val="1"/>
          <c:tx>
            <c:v>CBA</c:v>
          </c:tx>
          <c:spPr>
            <a:ln w="28575" cap="rnd">
              <a:noFill/>
              <a:round/>
            </a:ln>
            <a:effectLst/>
          </c:spPr>
          <c:marker>
            <c:symbol val="circle"/>
            <c:size val="5"/>
            <c:spPr>
              <a:solidFill>
                <a:schemeClr val="accent2">
                  <a:lumMod val="75000"/>
                  <a:alpha val="99000"/>
                </a:schemeClr>
              </a:solidFill>
              <a:ln w="9525">
                <a:solidFill>
                  <a:schemeClr val="accent2">
                    <a:lumMod val="75000"/>
                  </a:schemeClr>
                </a:solidFill>
              </a:ln>
              <a:effectLst/>
            </c:spPr>
          </c:marker>
          <c:cat>
            <c:numRef>
              <c:f>Figures!$R$232:$X$232</c:f>
              <c:numCache>
                <c:formatCode>General</c:formatCode>
                <c:ptCount val="7"/>
                <c:pt idx="0">
                  <c:v>0</c:v>
                </c:pt>
                <c:pt idx="1">
                  <c:v>30</c:v>
                </c:pt>
                <c:pt idx="2">
                  <c:v>60</c:v>
                </c:pt>
                <c:pt idx="3">
                  <c:v>90</c:v>
                </c:pt>
                <c:pt idx="4">
                  <c:v>120</c:v>
                </c:pt>
                <c:pt idx="5">
                  <c:v>150</c:v>
                </c:pt>
                <c:pt idx="6">
                  <c:v>180</c:v>
                </c:pt>
              </c:numCache>
            </c:numRef>
          </c:cat>
          <c:val>
            <c:numRef>
              <c:f>Figures!$R$234:$X$234</c:f>
              <c:numCache>
                <c:formatCode>General</c:formatCode>
                <c:ptCount val="7"/>
                <c:pt idx="0">
                  <c:v>0.76005230467473039</c:v>
                </c:pt>
                <c:pt idx="1">
                  <c:v>0.79045439686171948</c:v>
                </c:pt>
                <c:pt idx="2">
                  <c:v>0.72965021248774109</c:v>
                </c:pt>
                <c:pt idx="3">
                  <c:v>0.71444916639424649</c:v>
                </c:pt>
                <c:pt idx="4">
                  <c:v>0.71444916639424649</c:v>
                </c:pt>
                <c:pt idx="5">
                  <c:v>0.653644982020268</c:v>
                </c:pt>
                <c:pt idx="6">
                  <c:v>0.6080418437397842</c:v>
                </c:pt>
              </c:numCache>
            </c:numRef>
          </c:val>
          <c:smooth val="0"/>
          <c:extLst>
            <c:ext xmlns:c16="http://schemas.microsoft.com/office/drawing/2014/chart" uri="{C3380CC4-5D6E-409C-BE32-E72D297353CC}">
              <c16:uniqueId val="{00000001-B68B-4D41-8871-31FA277C75D6}"/>
            </c:ext>
          </c:extLst>
        </c:ser>
        <c:ser>
          <c:idx val="2"/>
          <c:order val="2"/>
          <c:tx>
            <c:v>PBA</c:v>
          </c:tx>
          <c:spPr>
            <a:ln w="28575" cap="rnd">
              <a:noFill/>
              <a:round/>
            </a:ln>
            <a:effectLst/>
          </c:spPr>
          <c:marker>
            <c:symbol val="x"/>
            <c:size val="5"/>
            <c:spPr>
              <a:solidFill>
                <a:schemeClr val="accent5">
                  <a:lumMod val="50000"/>
                  <a:alpha val="99000"/>
                </a:schemeClr>
              </a:solidFill>
              <a:ln w="9525">
                <a:solidFill>
                  <a:schemeClr val="accent5">
                    <a:lumMod val="50000"/>
                  </a:schemeClr>
                </a:solidFill>
              </a:ln>
              <a:effectLst/>
            </c:spPr>
          </c:marker>
          <c:cat>
            <c:numRef>
              <c:f>Figures!$R$232:$X$232</c:f>
              <c:numCache>
                <c:formatCode>General</c:formatCode>
                <c:ptCount val="7"/>
                <c:pt idx="0">
                  <c:v>0</c:v>
                </c:pt>
                <c:pt idx="1">
                  <c:v>30</c:v>
                </c:pt>
                <c:pt idx="2">
                  <c:v>60</c:v>
                </c:pt>
                <c:pt idx="3">
                  <c:v>90</c:v>
                </c:pt>
                <c:pt idx="4">
                  <c:v>120</c:v>
                </c:pt>
                <c:pt idx="5">
                  <c:v>150</c:v>
                </c:pt>
                <c:pt idx="6">
                  <c:v>180</c:v>
                </c:pt>
              </c:numCache>
            </c:numRef>
          </c:cat>
          <c:val>
            <c:numRef>
              <c:f>Figures!$R$235:$X$235</c:f>
              <c:numCache>
                <c:formatCode>General</c:formatCode>
                <c:ptCount val="7"/>
                <c:pt idx="0">
                  <c:v>1.0032690421706441</c:v>
                </c:pt>
                <c:pt idx="1">
                  <c:v>1.1704805491990846</c:v>
                </c:pt>
                <c:pt idx="2">
                  <c:v>1.1248774109186008</c:v>
                </c:pt>
                <c:pt idx="3">
                  <c:v>1.0184700882641387</c:v>
                </c:pt>
                <c:pt idx="4">
                  <c:v>0.94246485779666556</c:v>
                </c:pt>
                <c:pt idx="5">
                  <c:v>0.86645962732919257</c:v>
                </c:pt>
                <c:pt idx="6">
                  <c:v>0.80565544295521407</c:v>
                </c:pt>
              </c:numCache>
            </c:numRef>
          </c:val>
          <c:smooth val="0"/>
          <c:extLst>
            <c:ext xmlns:c16="http://schemas.microsoft.com/office/drawing/2014/chart" uri="{C3380CC4-5D6E-409C-BE32-E72D297353CC}">
              <c16:uniqueId val="{00000002-B68B-4D41-8871-31FA277C75D6}"/>
            </c:ext>
          </c:extLst>
        </c:ser>
        <c:dLbls>
          <c:showLegendKey val="0"/>
          <c:showVal val="0"/>
          <c:showCatName val="0"/>
          <c:showSerName val="0"/>
          <c:showPercent val="0"/>
          <c:showBubbleSize val="0"/>
        </c:dLbls>
        <c:marker val="1"/>
        <c:smooth val="0"/>
        <c:axId val="344613151"/>
        <c:axId val="344612191"/>
      </c:lineChart>
      <c:catAx>
        <c:axId val="3446131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100" b="1">
                    <a:latin typeface="Times New Roman" panose="02020603050405020304" pitchFamily="18" charset="0"/>
                    <a:cs typeface="Times New Roman" panose="02020603050405020304" pitchFamily="18" charset="0"/>
                  </a:rPr>
                  <a:t>Elapsed time (min)</a:t>
                </a:r>
              </a:p>
            </c:rich>
          </c:tx>
          <c:layout>
            <c:manualLayout>
              <c:xMode val="edge"/>
              <c:yMode val="edge"/>
              <c:x val="0.44421512732371854"/>
              <c:y val="0.9175304579049541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44612191"/>
        <c:crosses val="autoZero"/>
        <c:auto val="1"/>
        <c:lblAlgn val="ctr"/>
        <c:lblOffset val="100"/>
        <c:noMultiLvlLbl val="0"/>
      </c:catAx>
      <c:valAx>
        <c:axId val="34461219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100" b="1">
                    <a:latin typeface="Times New Roman" panose="02020603050405020304" pitchFamily="18" charset="0"/>
                    <a:cs typeface="Times New Roman" panose="02020603050405020304" pitchFamily="18" charset="0"/>
                  </a:rPr>
                  <a:t>PO4-P Concentration (mg PO4-P/L)</a:t>
                </a:r>
              </a:p>
            </c:rich>
          </c:tx>
          <c:layout>
            <c:manualLayout>
              <c:xMode val="edge"/>
              <c:yMode val="edge"/>
              <c:x val="1.7640912521745936E-2"/>
              <c:y val="0.2312968214795419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0.0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44613151"/>
        <c:crosses val="autoZero"/>
        <c:crossBetween val="between"/>
      </c:valAx>
      <c:spPr>
        <a:noFill/>
        <a:ln w="12700">
          <a:solidFill>
            <a:schemeClr val="tx1"/>
          </a:solidFill>
        </a:ln>
        <a:effectLst/>
      </c:spPr>
    </c:plotArea>
    <c:legend>
      <c:legendPos val="b"/>
      <c:layout>
        <c:manualLayout>
          <c:xMode val="edge"/>
          <c:yMode val="edge"/>
          <c:x val="0.64239963060173044"/>
          <c:y val="0.10284623797025372"/>
          <c:w val="0.28279697676679305"/>
          <c:h val="5.0463921798758041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667364256237268"/>
          <c:y val="8.6337587989340298E-2"/>
          <c:w val="0.83635118052144164"/>
          <c:h val="0.7469681866390262"/>
        </c:manualLayout>
      </c:layout>
      <c:lineChart>
        <c:grouping val="standard"/>
        <c:varyColors val="0"/>
        <c:ser>
          <c:idx val="0"/>
          <c:order val="0"/>
          <c:tx>
            <c:v>Influent</c:v>
          </c:tx>
          <c:spPr>
            <a:ln w="28575" cap="rnd">
              <a:noFill/>
              <a:round/>
            </a:ln>
            <a:effectLst/>
          </c:spPr>
          <c:marker>
            <c:symbol val="triangle"/>
            <c:size val="5"/>
            <c:spPr>
              <a:solidFill>
                <a:schemeClr val="bg2">
                  <a:lumMod val="75000"/>
                </a:schemeClr>
              </a:solidFill>
              <a:ln w="9525">
                <a:solidFill>
                  <a:schemeClr val="bg2">
                    <a:lumMod val="75000"/>
                  </a:schemeClr>
                </a:solidFill>
              </a:ln>
              <a:effectLst/>
            </c:spPr>
          </c:marker>
          <c:cat>
            <c:numRef>
              <c:f>Figures!$D$268:$J$268</c:f>
              <c:numCache>
                <c:formatCode>General</c:formatCode>
                <c:ptCount val="7"/>
                <c:pt idx="0">
                  <c:v>0</c:v>
                </c:pt>
                <c:pt idx="1">
                  <c:v>30</c:v>
                </c:pt>
                <c:pt idx="2">
                  <c:v>60</c:v>
                </c:pt>
                <c:pt idx="3">
                  <c:v>90</c:v>
                </c:pt>
                <c:pt idx="4">
                  <c:v>120</c:v>
                </c:pt>
                <c:pt idx="5">
                  <c:v>150</c:v>
                </c:pt>
                <c:pt idx="6">
                  <c:v>180</c:v>
                </c:pt>
              </c:numCache>
            </c:numRef>
          </c:cat>
          <c:val>
            <c:numRef>
              <c:f>Figures!$D$269:$J$269</c:f>
              <c:numCache>
                <c:formatCode>General</c:formatCode>
                <c:ptCount val="7"/>
                <c:pt idx="0">
                  <c:v>138.03886925795052</c:v>
                </c:pt>
                <c:pt idx="1">
                  <c:v>135.31802120141342</c:v>
                </c:pt>
                <c:pt idx="2">
                  <c:v>141.62544169611309</c:v>
                </c:pt>
                <c:pt idx="3">
                  <c:v>132.49116607773851</c:v>
                </c:pt>
                <c:pt idx="4">
                  <c:v>133.07420494699647</c:v>
                </c:pt>
                <c:pt idx="5">
                  <c:v>135.35335689045934</c:v>
                </c:pt>
                <c:pt idx="6">
                  <c:v>133.93992932862193</c:v>
                </c:pt>
              </c:numCache>
            </c:numRef>
          </c:val>
          <c:smooth val="0"/>
          <c:extLst>
            <c:ext xmlns:c16="http://schemas.microsoft.com/office/drawing/2014/chart" uri="{C3380CC4-5D6E-409C-BE32-E72D297353CC}">
              <c16:uniqueId val="{00000000-439E-4327-A11D-576CA6278B7F}"/>
            </c:ext>
          </c:extLst>
        </c:ser>
        <c:ser>
          <c:idx val="1"/>
          <c:order val="1"/>
          <c:tx>
            <c:v>CBA</c:v>
          </c:tx>
          <c:spPr>
            <a:ln w="28575" cap="rnd">
              <a:noFill/>
              <a:round/>
            </a:ln>
            <a:effectLst/>
          </c:spPr>
          <c:marker>
            <c:symbol val="circle"/>
            <c:size val="5"/>
            <c:spPr>
              <a:solidFill>
                <a:schemeClr val="accent2">
                  <a:lumMod val="75000"/>
                  <a:alpha val="99000"/>
                </a:schemeClr>
              </a:solidFill>
              <a:ln w="9525">
                <a:solidFill>
                  <a:schemeClr val="accent2">
                    <a:lumMod val="75000"/>
                  </a:schemeClr>
                </a:solidFill>
              </a:ln>
              <a:effectLst/>
            </c:spPr>
          </c:marker>
          <c:cat>
            <c:numRef>
              <c:f>Figures!$D$268:$J$268</c:f>
              <c:numCache>
                <c:formatCode>General</c:formatCode>
                <c:ptCount val="7"/>
                <c:pt idx="0">
                  <c:v>0</c:v>
                </c:pt>
                <c:pt idx="1">
                  <c:v>30</c:v>
                </c:pt>
                <c:pt idx="2">
                  <c:v>60</c:v>
                </c:pt>
                <c:pt idx="3">
                  <c:v>90</c:v>
                </c:pt>
                <c:pt idx="4">
                  <c:v>120</c:v>
                </c:pt>
                <c:pt idx="5">
                  <c:v>150</c:v>
                </c:pt>
                <c:pt idx="6">
                  <c:v>180</c:v>
                </c:pt>
              </c:numCache>
            </c:numRef>
          </c:cat>
          <c:val>
            <c:numRef>
              <c:f>Figures!$D$270:$J$270</c:f>
              <c:numCache>
                <c:formatCode>General</c:formatCode>
                <c:ptCount val="7"/>
                <c:pt idx="0">
                  <c:v>100.17667844522967</c:v>
                </c:pt>
                <c:pt idx="1">
                  <c:v>101.74911660777386</c:v>
                </c:pt>
                <c:pt idx="2">
                  <c:v>95.954063604240275</c:v>
                </c:pt>
                <c:pt idx="3">
                  <c:v>102.73851590106007</c:v>
                </c:pt>
                <c:pt idx="4">
                  <c:v>115.03533568904594</c:v>
                </c:pt>
                <c:pt idx="5">
                  <c:v>118.18021201413427</c:v>
                </c:pt>
                <c:pt idx="6">
                  <c:v>118.60424028268551</c:v>
                </c:pt>
              </c:numCache>
            </c:numRef>
          </c:val>
          <c:smooth val="0"/>
          <c:extLst>
            <c:ext xmlns:c16="http://schemas.microsoft.com/office/drawing/2014/chart" uri="{C3380CC4-5D6E-409C-BE32-E72D297353CC}">
              <c16:uniqueId val="{00000001-439E-4327-A11D-576CA6278B7F}"/>
            </c:ext>
          </c:extLst>
        </c:ser>
        <c:ser>
          <c:idx val="2"/>
          <c:order val="2"/>
          <c:tx>
            <c:v>PBA</c:v>
          </c:tx>
          <c:spPr>
            <a:ln w="28575" cap="rnd">
              <a:noFill/>
              <a:round/>
            </a:ln>
            <a:effectLst/>
          </c:spPr>
          <c:marker>
            <c:symbol val="x"/>
            <c:size val="5"/>
            <c:spPr>
              <a:solidFill>
                <a:schemeClr val="accent5">
                  <a:lumMod val="50000"/>
                </a:schemeClr>
              </a:solidFill>
              <a:ln w="9525">
                <a:solidFill>
                  <a:schemeClr val="accent5">
                    <a:lumMod val="50000"/>
                  </a:schemeClr>
                </a:solidFill>
              </a:ln>
              <a:effectLst/>
            </c:spPr>
          </c:marker>
          <c:cat>
            <c:numRef>
              <c:f>Figures!$D$268:$J$268</c:f>
              <c:numCache>
                <c:formatCode>General</c:formatCode>
                <c:ptCount val="7"/>
                <c:pt idx="0">
                  <c:v>0</c:v>
                </c:pt>
                <c:pt idx="1">
                  <c:v>30</c:v>
                </c:pt>
                <c:pt idx="2">
                  <c:v>60</c:v>
                </c:pt>
                <c:pt idx="3">
                  <c:v>90</c:v>
                </c:pt>
                <c:pt idx="4">
                  <c:v>120</c:v>
                </c:pt>
                <c:pt idx="5">
                  <c:v>150</c:v>
                </c:pt>
                <c:pt idx="6">
                  <c:v>180</c:v>
                </c:pt>
              </c:numCache>
            </c:numRef>
          </c:cat>
          <c:val>
            <c:numRef>
              <c:f>Figures!$D$271:$J$271</c:f>
              <c:numCache>
                <c:formatCode>General</c:formatCode>
                <c:ptCount val="7"/>
                <c:pt idx="0">
                  <c:v>113.37455830388691</c:v>
                </c:pt>
                <c:pt idx="1">
                  <c:v>103.67491166077738</c:v>
                </c:pt>
                <c:pt idx="2">
                  <c:v>109.89399293286219</c:v>
                </c:pt>
                <c:pt idx="3">
                  <c:v>117.17314487632508</c:v>
                </c:pt>
                <c:pt idx="4">
                  <c:v>131.60777385159011</c:v>
                </c:pt>
                <c:pt idx="5">
                  <c:v>136.13074204946997</c:v>
                </c:pt>
                <c:pt idx="6">
                  <c:v>133.32155477031802</c:v>
                </c:pt>
              </c:numCache>
            </c:numRef>
          </c:val>
          <c:smooth val="0"/>
          <c:extLst>
            <c:ext xmlns:c16="http://schemas.microsoft.com/office/drawing/2014/chart" uri="{C3380CC4-5D6E-409C-BE32-E72D297353CC}">
              <c16:uniqueId val="{00000002-439E-4327-A11D-576CA6278B7F}"/>
            </c:ext>
          </c:extLst>
        </c:ser>
        <c:dLbls>
          <c:showLegendKey val="0"/>
          <c:showVal val="0"/>
          <c:showCatName val="0"/>
          <c:showSerName val="0"/>
          <c:showPercent val="0"/>
          <c:showBubbleSize val="0"/>
        </c:dLbls>
        <c:marker val="1"/>
        <c:smooth val="0"/>
        <c:axId val="344613151"/>
        <c:axId val="344612191"/>
      </c:lineChart>
      <c:catAx>
        <c:axId val="3446131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100" b="1">
                    <a:latin typeface="Times New Roman" panose="02020603050405020304" pitchFamily="18" charset="0"/>
                    <a:cs typeface="Times New Roman" panose="02020603050405020304" pitchFamily="18" charset="0"/>
                  </a:rPr>
                  <a:t>Elapsed time (min)</a:t>
                </a:r>
              </a:p>
            </c:rich>
          </c:tx>
          <c:layout>
            <c:manualLayout>
              <c:xMode val="edge"/>
              <c:yMode val="edge"/>
              <c:x val="0.44421512732371854"/>
              <c:y val="0.9175304579049541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44612191"/>
        <c:crosses val="autoZero"/>
        <c:auto val="1"/>
        <c:lblAlgn val="ctr"/>
        <c:lblOffset val="100"/>
        <c:noMultiLvlLbl val="0"/>
      </c:catAx>
      <c:valAx>
        <c:axId val="34461219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100" b="1">
                    <a:latin typeface="Times New Roman" panose="02020603050405020304" pitchFamily="18" charset="0"/>
                    <a:cs typeface="Times New Roman" panose="02020603050405020304" pitchFamily="18" charset="0"/>
                  </a:rPr>
                  <a:t>SO4 Concentration (mg</a:t>
                </a:r>
                <a:r>
                  <a:rPr lang="en-US" sz="1100" b="1" baseline="0">
                    <a:latin typeface="Times New Roman" panose="02020603050405020304" pitchFamily="18" charset="0"/>
                    <a:cs typeface="Times New Roman" panose="02020603050405020304" pitchFamily="18" charset="0"/>
                  </a:rPr>
                  <a:t> SO4/L)</a:t>
                </a:r>
                <a:endParaRPr lang="en-US" sz="1100" b="1">
                  <a:latin typeface="Times New Roman" panose="02020603050405020304" pitchFamily="18" charset="0"/>
                  <a:cs typeface="Times New Roman" panose="02020603050405020304" pitchFamily="18" charset="0"/>
                </a:endParaRPr>
              </a:p>
            </c:rich>
          </c:tx>
          <c:layout>
            <c:manualLayout>
              <c:xMode val="edge"/>
              <c:yMode val="edge"/>
              <c:x val="1.4563126202736289E-2"/>
              <c:y val="0.23698402611994271"/>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44613151"/>
        <c:crosses val="autoZero"/>
        <c:crossBetween val="between"/>
      </c:valAx>
      <c:spPr>
        <a:noFill/>
        <a:ln w="12700">
          <a:solidFill>
            <a:schemeClr val="tx1"/>
          </a:solidFill>
        </a:ln>
        <a:effectLst/>
      </c:spPr>
    </c:plotArea>
    <c:legend>
      <c:legendPos val="b"/>
      <c:layout>
        <c:manualLayout>
          <c:xMode val="edge"/>
          <c:yMode val="edge"/>
          <c:x val="0.64239963060173044"/>
          <c:y val="0.10284623797025372"/>
          <c:w val="0.28193998145279942"/>
          <c:h val="5.165974574164954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898602649729645"/>
          <c:y val="8.3493905091112319E-2"/>
          <c:w val="0.84403887168439984"/>
          <c:h val="0.7469681866390262"/>
        </c:manualLayout>
      </c:layout>
      <c:lineChart>
        <c:grouping val="standard"/>
        <c:varyColors val="0"/>
        <c:ser>
          <c:idx val="0"/>
          <c:order val="0"/>
          <c:tx>
            <c:v>Influent</c:v>
          </c:tx>
          <c:spPr>
            <a:ln w="28575" cap="rnd">
              <a:solidFill>
                <a:schemeClr val="accent3">
                  <a:lumMod val="60000"/>
                  <a:lumOff val="40000"/>
                </a:schemeClr>
              </a:solidFill>
              <a:round/>
            </a:ln>
            <a:effectLst/>
          </c:spPr>
          <c:marker>
            <c:symbol val="triangle"/>
            <c:size val="5"/>
            <c:spPr>
              <a:solidFill>
                <a:schemeClr val="accent3">
                  <a:lumMod val="60000"/>
                  <a:lumOff val="40000"/>
                </a:schemeClr>
              </a:solidFill>
              <a:ln w="9525">
                <a:solidFill>
                  <a:schemeClr val="bg2">
                    <a:lumMod val="75000"/>
                  </a:schemeClr>
                </a:solidFill>
              </a:ln>
              <a:effectLst/>
            </c:spPr>
          </c:marker>
          <c:cat>
            <c:numRef>
              <c:f>Figures!$R$268:$X$268</c:f>
              <c:numCache>
                <c:formatCode>General</c:formatCode>
                <c:ptCount val="7"/>
                <c:pt idx="0">
                  <c:v>0</c:v>
                </c:pt>
                <c:pt idx="1">
                  <c:v>30</c:v>
                </c:pt>
                <c:pt idx="2">
                  <c:v>60</c:v>
                </c:pt>
                <c:pt idx="3">
                  <c:v>90</c:v>
                </c:pt>
                <c:pt idx="4">
                  <c:v>120</c:v>
                </c:pt>
                <c:pt idx="5">
                  <c:v>150</c:v>
                </c:pt>
                <c:pt idx="6">
                  <c:v>180</c:v>
                </c:pt>
              </c:numCache>
            </c:numRef>
          </c:cat>
          <c:val>
            <c:numRef>
              <c:f>Figures!$R$269:$X$269</c:f>
              <c:numCache>
                <c:formatCode>General</c:formatCode>
                <c:ptCount val="7"/>
                <c:pt idx="0">
                  <c:v>0</c:v>
                </c:pt>
                <c:pt idx="1">
                  <c:v>0</c:v>
                </c:pt>
                <c:pt idx="2">
                  <c:v>0</c:v>
                </c:pt>
                <c:pt idx="3">
                  <c:v>0</c:v>
                </c:pt>
                <c:pt idx="4">
                  <c:v>0</c:v>
                </c:pt>
                <c:pt idx="5">
                  <c:v>0</c:v>
                </c:pt>
                <c:pt idx="6">
                  <c:v>0</c:v>
                </c:pt>
              </c:numCache>
            </c:numRef>
          </c:val>
          <c:smooth val="0"/>
          <c:extLst>
            <c:ext xmlns:c16="http://schemas.microsoft.com/office/drawing/2014/chart" uri="{C3380CC4-5D6E-409C-BE32-E72D297353CC}">
              <c16:uniqueId val="{00000000-E76C-4EFC-9017-F91D6C685552}"/>
            </c:ext>
          </c:extLst>
        </c:ser>
        <c:ser>
          <c:idx val="1"/>
          <c:order val="1"/>
          <c:tx>
            <c:v>CBA</c:v>
          </c:tx>
          <c:spPr>
            <a:ln w="28575" cap="rnd">
              <a:solidFill>
                <a:schemeClr val="accent2"/>
              </a:solidFill>
              <a:round/>
            </a:ln>
            <a:effectLst/>
          </c:spPr>
          <c:marker>
            <c:symbol val="circle"/>
            <c:size val="5"/>
            <c:spPr>
              <a:solidFill>
                <a:schemeClr val="accent2">
                  <a:lumMod val="75000"/>
                  <a:alpha val="99000"/>
                </a:schemeClr>
              </a:solidFill>
              <a:ln w="9525">
                <a:solidFill>
                  <a:schemeClr val="accent2">
                    <a:lumMod val="75000"/>
                  </a:schemeClr>
                </a:solidFill>
              </a:ln>
              <a:effectLst/>
            </c:spPr>
          </c:marker>
          <c:cat>
            <c:numRef>
              <c:f>Figures!$R$268:$X$268</c:f>
              <c:numCache>
                <c:formatCode>General</c:formatCode>
                <c:ptCount val="7"/>
                <c:pt idx="0">
                  <c:v>0</c:v>
                </c:pt>
                <c:pt idx="1">
                  <c:v>30</c:v>
                </c:pt>
                <c:pt idx="2">
                  <c:v>60</c:v>
                </c:pt>
                <c:pt idx="3">
                  <c:v>90</c:v>
                </c:pt>
                <c:pt idx="4">
                  <c:v>120</c:v>
                </c:pt>
                <c:pt idx="5">
                  <c:v>150</c:v>
                </c:pt>
                <c:pt idx="6">
                  <c:v>180</c:v>
                </c:pt>
              </c:numCache>
            </c:numRef>
          </c:cat>
          <c:val>
            <c:numRef>
              <c:f>Figures!$R$270:$X$270</c:f>
              <c:numCache>
                <c:formatCode>General</c:formatCode>
                <c:ptCount val="7"/>
                <c:pt idx="0">
                  <c:v>0</c:v>
                </c:pt>
                <c:pt idx="1">
                  <c:v>0</c:v>
                </c:pt>
                <c:pt idx="2">
                  <c:v>0</c:v>
                </c:pt>
                <c:pt idx="3">
                  <c:v>0</c:v>
                </c:pt>
                <c:pt idx="4">
                  <c:v>0</c:v>
                </c:pt>
                <c:pt idx="5">
                  <c:v>0</c:v>
                </c:pt>
                <c:pt idx="6">
                  <c:v>0</c:v>
                </c:pt>
              </c:numCache>
            </c:numRef>
          </c:val>
          <c:smooth val="0"/>
          <c:extLst>
            <c:ext xmlns:c16="http://schemas.microsoft.com/office/drawing/2014/chart" uri="{C3380CC4-5D6E-409C-BE32-E72D297353CC}">
              <c16:uniqueId val="{00000001-E76C-4EFC-9017-F91D6C685552}"/>
            </c:ext>
          </c:extLst>
        </c:ser>
        <c:ser>
          <c:idx val="2"/>
          <c:order val="2"/>
          <c:tx>
            <c:v>PBA</c:v>
          </c:tx>
          <c:spPr>
            <a:ln w="28575" cap="rnd">
              <a:noFill/>
              <a:round/>
            </a:ln>
            <a:effectLst/>
          </c:spPr>
          <c:marker>
            <c:symbol val="x"/>
            <c:size val="5"/>
            <c:spPr>
              <a:solidFill>
                <a:schemeClr val="accent5">
                  <a:lumMod val="50000"/>
                  <a:alpha val="99000"/>
                </a:schemeClr>
              </a:solidFill>
              <a:ln w="9525">
                <a:solidFill>
                  <a:schemeClr val="accent5">
                    <a:lumMod val="50000"/>
                  </a:schemeClr>
                </a:solidFill>
              </a:ln>
              <a:effectLst/>
            </c:spPr>
          </c:marker>
          <c:cat>
            <c:numRef>
              <c:f>Figures!$R$268:$X$268</c:f>
              <c:numCache>
                <c:formatCode>General</c:formatCode>
                <c:ptCount val="7"/>
                <c:pt idx="0">
                  <c:v>0</c:v>
                </c:pt>
                <c:pt idx="1">
                  <c:v>30</c:v>
                </c:pt>
                <c:pt idx="2">
                  <c:v>60</c:v>
                </c:pt>
                <c:pt idx="3">
                  <c:v>90</c:v>
                </c:pt>
                <c:pt idx="4">
                  <c:v>120</c:v>
                </c:pt>
                <c:pt idx="5">
                  <c:v>150</c:v>
                </c:pt>
                <c:pt idx="6">
                  <c:v>180</c:v>
                </c:pt>
              </c:numCache>
            </c:numRef>
          </c:cat>
          <c:val>
            <c:numRef>
              <c:f>Figures!$R$271:$X$271</c:f>
              <c:numCache>
                <c:formatCode>General</c:formatCode>
                <c:ptCount val="7"/>
                <c:pt idx="0">
                  <c:v>0</c:v>
                </c:pt>
                <c:pt idx="1">
                  <c:v>0</c:v>
                </c:pt>
                <c:pt idx="2">
                  <c:v>0</c:v>
                </c:pt>
                <c:pt idx="3">
                  <c:v>0</c:v>
                </c:pt>
                <c:pt idx="4">
                  <c:v>0</c:v>
                </c:pt>
                <c:pt idx="5">
                  <c:v>0</c:v>
                </c:pt>
                <c:pt idx="6">
                  <c:v>0</c:v>
                </c:pt>
              </c:numCache>
            </c:numRef>
          </c:val>
          <c:smooth val="0"/>
          <c:extLst>
            <c:ext xmlns:c16="http://schemas.microsoft.com/office/drawing/2014/chart" uri="{C3380CC4-5D6E-409C-BE32-E72D297353CC}">
              <c16:uniqueId val="{00000002-E76C-4EFC-9017-F91D6C685552}"/>
            </c:ext>
          </c:extLst>
        </c:ser>
        <c:dLbls>
          <c:showLegendKey val="0"/>
          <c:showVal val="0"/>
          <c:showCatName val="0"/>
          <c:showSerName val="0"/>
          <c:showPercent val="0"/>
          <c:showBubbleSize val="0"/>
        </c:dLbls>
        <c:marker val="1"/>
        <c:smooth val="0"/>
        <c:axId val="344613151"/>
        <c:axId val="344612191"/>
      </c:lineChart>
      <c:catAx>
        <c:axId val="3446131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100" b="1">
                    <a:latin typeface="Times New Roman" panose="02020603050405020304" pitchFamily="18" charset="0"/>
                    <a:cs typeface="Times New Roman" panose="02020603050405020304" pitchFamily="18" charset="0"/>
                  </a:rPr>
                  <a:t>Elapsed time (min)</a:t>
                </a:r>
              </a:p>
            </c:rich>
          </c:tx>
          <c:layout>
            <c:manualLayout>
              <c:xMode val="edge"/>
              <c:yMode val="edge"/>
              <c:x val="0.44421512732371854"/>
              <c:y val="0.9175304579049541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44612191"/>
        <c:crosses val="autoZero"/>
        <c:auto val="1"/>
        <c:lblAlgn val="ctr"/>
        <c:lblOffset val="100"/>
        <c:noMultiLvlLbl val="0"/>
      </c:catAx>
      <c:valAx>
        <c:axId val="34461219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100" b="1">
                    <a:latin typeface="Times New Roman" panose="02020603050405020304" pitchFamily="18" charset="0"/>
                    <a:cs typeface="Times New Roman" panose="02020603050405020304" pitchFamily="18" charset="0"/>
                  </a:rPr>
                  <a:t>DO Concentration (mg O2/L)</a:t>
                </a:r>
              </a:p>
            </c:rich>
          </c:tx>
          <c:layout>
            <c:manualLayout>
              <c:xMode val="edge"/>
              <c:yMode val="edge"/>
              <c:x val="1.6102020540936283E-2"/>
              <c:y val="0.2540456400411449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0.0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44613151"/>
        <c:crosses val="autoZero"/>
        <c:crossBetween val="between"/>
      </c:valAx>
      <c:spPr>
        <a:noFill/>
        <a:ln w="12700">
          <a:solidFill>
            <a:schemeClr val="tx1"/>
          </a:solidFill>
        </a:ln>
        <a:effectLst/>
      </c:spPr>
    </c:plotArea>
    <c:legend>
      <c:legendPos val="b"/>
      <c:layout>
        <c:manualLayout>
          <c:xMode val="edge"/>
          <c:yMode val="edge"/>
          <c:x val="0.64239963060173044"/>
          <c:y val="0.10284623797025372"/>
          <c:w val="0.28279697676679305"/>
          <c:h val="5.0463921798758041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359657597598433"/>
          <c:y val="8.3493905091112319E-2"/>
          <c:w val="0.83942824710783015"/>
          <c:h val="0.7469681866390262"/>
        </c:manualLayout>
      </c:layout>
      <c:lineChart>
        <c:grouping val="standard"/>
        <c:varyColors val="0"/>
        <c:ser>
          <c:idx val="0"/>
          <c:order val="0"/>
          <c:tx>
            <c:v>Influent</c:v>
          </c:tx>
          <c:spPr>
            <a:ln w="28575" cap="rnd">
              <a:noFill/>
              <a:round/>
            </a:ln>
            <a:effectLst/>
          </c:spPr>
          <c:marker>
            <c:symbol val="triangle"/>
            <c:size val="5"/>
            <c:spPr>
              <a:solidFill>
                <a:schemeClr val="accent3">
                  <a:lumMod val="60000"/>
                  <a:lumOff val="40000"/>
                </a:schemeClr>
              </a:solidFill>
              <a:ln w="9525">
                <a:solidFill>
                  <a:schemeClr val="bg2">
                    <a:lumMod val="75000"/>
                  </a:schemeClr>
                </a:solidFill>
              </a:ln>
              <a:effectLst/>
            </c:spPr>
          </c:marker>
          <c:cat>
            <c:numRef>
              <c:f>Figures!$D$304:$J$304</c:f>
              <c:numCache>
                <c:formatCode>General</c:formatCode>
                <c:ptCount val="7"/>
                <c:pt idx="0">
                  <c:v>0</c:v>
                </c:pt>
                <c:pt idx="1">
                  <c:v>30</c:v>
                </c:pt>
                <c:pt idx="2">
                  <c:v>60</c:v>
                </c:pt>
                <c:pt idx="3">
                  <c:v>90</c:v>
                </c:pt>
                <c:pt idx="4">
                  <c:v>120</c:v>
                </c:pt>
                <c:pt idx="5">
                  <c:v>150</c:v>
                </c:pt>
                <c:pt idx="6">
                  <c:v>180</c:v>
                </c:pt>
              </c:numCache>
            </c:numRef>
          </c:cat>
          <c:val>
            <c:numRef>
              <c:f>Figures!$D$305:$J$305</c:f>
              <c:numCache>
                <c:formatCode>General</c:formatCode>
                <c:ptCount val="7"/>
                <c:pt idx="0">
                  <c:v>7.61</c:v>
                </c:pt>
                <c:pt idx="1">
                  <c:v>7.78</c:v>
                </c:pt>
                <c:pt idx="2">
                  <c:v>7.75</c:v>
                </c:pt>
                <c:pt idx="3">
                  <c:v>7.8</c:v>
                </c:pt>
                <c:pt idx="4">
                  <c:v>7.74</c:v>
                </c:pt>
                <c:pt idx="5">
                  <c:v>7.91</c:v>
                </c:pt>
                <c:pt idx="6">
                  <c:v>7.95</c:v>
                </c:pt>
              </c:numCache>
            </c:numRef>
          </c:val>
          <c:smooth val="0"/>
          <c:extLst>
            <c:ext xmlns:c16="http://schemas.microsoft.com/office/drawing/2014/chart" uri="{C3380CC4-5D6E-409C-BE32-E72D297353CC}">
              <c16:uniqueId val="{00000000-479E-412B-9B48-29156F5877BF}"/>
            </c:ext>
          </c:extLst>
        </c:ser>
        <c:ser>
          <c:idx val="1"/>
          <c:order val="1"/>
          <c:tx>
            <c:v>CBA</c:v>
          </c:tx>
          <c:spPr>
            <a:ln w="28575" cap="rnd">
              <a:noFill/>
              <a:round/>
            </a:ln>
            <a:effectLst/>
          </c:spPr>
          <c:marker>
            <c:symbol val="circle"/>
            <c:size val="5"/>
            <c:spPr>
              <a:solidFill>
                <a:schemeClr val="accent2">
                  <a:lumMod val="75000"/>
                  <a:alpha val="99000"/>
                </a:schemeClr>
              </a:solidFill>
              <a:ln w="9525">
                <a:solidFill>
                  <a:schemeClr val="accent2">
                    <a:lumMod val="75000"/>
                  </a:schemeClr>
                </a:solidFill>
              </a:ln>
              <a:effectLst/>
            </c:spPr>
          </c:marker>
          <c:cat>
            <c:numRef>
              <c:f>Figures!$D$304:$J$304</c:f>
              <c:numCache>
                <c:formatCode>General</c:formatCode>
                <c:ptCount val="7"/>
                <c:pt idx="0">
                  <c:v>0</c:v>
                </c:pt>
                <c:pt idx="1">
                  <c:v>30</c:v>
                </c:pt>
                <c:pt idx="2">
                  <c:v>60</c:v>
                </c:pt>
                <c:pt idx="3">
                  <c:v>90</c:v>
                </c:pt>
                <c:pt idx="4">
                  <c:v>120</c:v>
                </c:pt>
                <c:pt idx="5">
                  <c:v>150</c:v>
                </c:pt>
                <c:pt idx="6">
                  <c:v>180</c:v>
                </c:pt>
              </c:numCache>
            </c:numRef>
          </c:cat>
          <c:val>
            <c:numRef>
              <c:f>Figures!$D$306:$J$306</c:f>
              <c:numCache>
                <c:formatCode>General</c:formatCode>
                <c:ptCount val="7"/>
                <c:pt idx="0">
                  <c:v>7.18</c:v>
                </c:pt>
                <c:pt idx="1">
                  <c:v>7.09</c:v>
                </c:pt>
                <c:pt idx="2">
                  <c:v>6.98</c:v>
                </c:pt>
                <c:pt idx="3">
                  <c:v>7.07</c:v>
                </c:pt>
                <c:pt idx="4">
                  <c:v>7.1300000000000008</c:v>
                </c:pt>
                <c:pt idx="5">
                  <c:v>7.19</c:v>
                </c:pt>
                <c:pt idx="6">
                  <c:v>7.43</c:v>
                </c:pt>
              </c:numCache>
            </c:numRef>
          </c:val>
          <c:smooth val="0"/>
          <c:extLst>
            <c:ext xmlns:c16="http://schemas.microsoft.com/office/drawing/2014/chart" uri="{C3380CC4-5D6E-409C-BE32-E72D297353CC}">
              <c16:uniqueId val="{00000001-479E-412B-9B48-29156F5877BF}"/>
            </c:ext>
          </c:extLst>
        </c:ser>
        <c:ser>
          <c:idx val="2"/>
          <c:order val="2"/>
          <c:tx>
            <c:v>PBA</c:v>
          </c:tx>
          <c:spPr>
            <a:ln w="28575" cap="rnd">
              <a:noFill/>
              <a:round/>
            </a:ln>
            <a:effectLst/>
          </c:spPr>
          <c:marker>
            <c:symbol val="x"/>
            <c:size val="5"/>
            <c:spPr>
              <a:solidFill>
                <a:schemeClr val="accent5">
                  <a:lumMod val="50000"/>
                </a:schemeClr>
              </a:solidFill>
              <a:ln w="9525">
                <a:solidFill>
                  <a:schemeClr val="accent5">
                    <a:lumMod val="50000"/>
                  </a:schemeClr>
                </a:solidFill>
              </a:ln>
              <a:effectLst/>
            </c:spPr>
          </c:marker>
          <c:cat>
            <c:numRef>
              <c:f>Figures!$D$304:$J$304</c:f>
              <c:numCache>
                <c:formatCode>General</c:formatCode>
                <c:ptCount val="7"/>
                <c:pt idx="0">
                  <c:v>0</c:v>
                </c:pt>
                <c:pt idx="1">
                  <c:v>30</c:v>
                </c:pt>
                <c:pt idx="2">
                  <c:v>60</c:v>
                </c:pt>
                <c:pt idx="3">
                  <c:v>90</c:v>
                </c:pt>
                <c:pt idx="4">
                  <c:v>120</c:v>
                </c:pt>
                <c:pt idx="5">
                  <c:v>150</c:v>
                </c:pt>
                <c:pt idx="6">
                  <c:v>180</c:v>
                </c:pt>
              </c:numCache>
            </c:numRef>
          </c:cat>
          <c:val>
            <c:numRef>
              <c:f>Figures!$D$307:$J$307</c:f>
              <c:numCache>
                <c:formatCode>General</c:formatCode>
                <c:ptCount val="7"/>
                <c:pt idx="0">
                  <c:v>7.47</c:v>
                </c:pt>
                <c:pt idx="1">
                  <c:v>7.3949999999999996</c:v>
                </c:pt>
                <c:pt idx="2">
                  <c:v>7.32</c:v>
                </c:pt>
                <c:pt idx="3">
                  <c:v>7.22</c:v>
                </c:pt>
                <c:pt idx="4">
                  <c:v>7.12</c:v>
                </c:pt>
                <c:pt idx="5">
                  <c:v>7.48</c:v>
                </c:pt>
                <c:pt idx="6">
                  <c:v>7.45</c:v>
                </c:pt>
              </c:numCache>
            </c:numRef>
          </c:val>
          <c:smooth val="0"/>
          <c:extLst>
            <c:ext xmlns:c16="http://schemas.microsoft.com/office/drawing/2014/chart" uri="{C3380CC4-5D6E-409C-BE32-E72D297353CC}">
              <c16:uniqueId val="{00000002-479E-412B-9B48-29156F5877BF}"/>
            </c:ext>
          </c:extLst>
        </c:ser>
        <c:dLbls>
          <c:showLegendKey val="0"/>
          <c:showVal val="0"/>
          <c:showCatName val="0"/>
          <c:showSerName val="0"/>
          <c:showPercent val="0"/>
          <c:showBubbleSize val="0"/>
        </c:dLbls>
        <c:marker val="1"/>
        <c:smooth val="0"/>
        <c:axId val="344613151"/>
        <c:axId val="344612191"/>
      </c:lineChart>
      <c:catAx>
        <c:axId val="3446131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100" b="1">
                    <a:latin typeface="Times New Roman" panose="02020603050405020304" pitchFamily="18" charset="0"/>
                    <a:cs typeface="Times New Roman" panose="02020603050405020304" pitchFamily="18" charset="0"/>
                  </a:rPr>
                  <a:t>Elapsed time (min)</a:t>
                </a:r>
              </a:p>
            </c:rich>
          </c:tx>
          <c:layout>
            <c:manualLayout>
              <c:xMode val="edge"/>
              <c:yMode val="edge"/>
              <c:x val="0.44421512732371854"/>
              <c:y val="0.9175304579049541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44612191"/>
        <c:crosses val="autoZero"/>
        <c:auto val="1"/>
        <c:lblAlgn val="ctr"/>
        <c:lblOffset val="100"/>
        <c:noMultiLvlLbl val="0"/>
      </c:catAx>
      <c:valAx>
        <c:axId val="34461219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100" b="1" baseline="0">
                    <a:latin typeface="Times New Roman" panose="02020603050405020304" pitchFamily="18" charset="0"/>
                    <a:cs typeface="Times New Roman" panose="02020603050405020304" pitchFamily="18" charset="0"/>
                  </a:rPr>
                  <a:t>pH</a:t>
                </a:r>
                <a:endParaRPr lang="en-US" sz="1100" b="1">
                  <a:latin typeface="Times New Roman" panose="02020603050405020304" pitchFamily="18" charset="0"/>
                  <a:cs typeface="Times New Roman" panose="02020603050405020304" pitchFamily="18" charset="0"/>
                </a:endParaRPr>
              </a:p>
            </c:rich>
          </c:tx>
          <c:layout>
            <c:manualLayout>
              <c:xMode val="edge"/>
              <c:yMode val="edge"/>
              <c:x val="1.6101659495930461E-2"/>
              <c:y val="0.464472211735972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0.0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44613151"/>
        <c:crosses val="autoZero"/>
        <c:crossBetween val="between"/>
      </c:valAx>
      <c:spPr>
        <a:noFill/>
        <a:ln w="12700">
          <a:solidFill>
            <a:schemeClr val="tx1"/>
          </a:solidFill>
        </a:ln>
        <a:effectLst/>
      </c:spPr>
    </c:plotArea>
    <c:legend>
      <c:legendPos val="b"/>
      <c:layout>
        <c:manualLayout>
          <c:xMode val="edge"/>
          <c:yMode val="edge"/>
          <c:x val="0.64239963060173044"/>
          <c:y val="0.10284623797025372"/>
          <c:w val="0.28193998145279942"/>
          <c:h val="5.165974574164954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514719017106055"/>
          <c:y val="8.3493905091112319E-2"/>
          <c:w val="0.81787770801063553"/>
          <c:h val="0.7469681866390262"/>
        </c:manualLayout>
      </c:layout>
      <c:lineChart>
        <c:grouping val="standard"/>
        <c:varyColors val="0"/>
        <c:ser>
          <c:idx val="0"/>
          <c:order val="0"/>
          <c:tx>
            <c:v>Influent</c:v>
          </c:tx>
          <c:spPr>
            <a:ln w="28575" cap="rnd">
              <a:noFill/>
              <a:round/>
            </a:ln>
            <a:effectLst/>
          </c:spPr>
          <c:marker>
            <c:symbol val="triangle"/>
            <c:size val="5"/>
            <c:spPr>
              <a:solidFill>
                <a:schemeClr val="bg2">
                  <a:lumMod val="75000"/>
                </a:schemeClr>
              </a:solidFill>
              <a:ln w="9525">
                <a:solidFill>
                  <a:schemeClr val="bg2">
                    <a:lumMod val="75000"/>
                  </a:schemeClr>
                </a:solidFill>
              </a:ln>
              <a:effectLst/>
            </c:spPr>
          </c:marker>
          <c:cat>
            <c:numRef>
              <c:f>Figures!$R$304:$X$304</c:f>
              <c:numCache>
                <c:formatCode>General</c:formatCode>
                <c:ptCount val="7"/>
                <c:pt idx="0">
                  <c:v>0</c:v>
                </c:pt>
                <c:pt idx="1">
                  <c:v>30</c:v>
                </c:pt>
                <c:pt idx="2">
                  <c:v>60</c:v>
                </c:pt>
                <c:pt idx="3">
                  <c:v>90</c:v>
                </c:pt>
                <c:pt idx="4">
                  <c:v>120</c:v>
                </c:pt>
                <c:pt idx="5">
                  <c:v>150</c:v>
                </c:pt>
                <c:pt idx="6">
                  <c:v>180</c:v>
                </c:pt>
              </c:numCache>
            </c:numRef>
          </c:cat>
          <c:val>
            <c:numRef>
              <c:f>Figures!$R$305:$X$305</c:f>
              <c:numCache>
                <c:formatCode>General</c:formatCode>
                <c:ptCount val="7"/>
                <c:pt idx="0">
                  <c:v>113.63636363636364</c:v>
                </c:pt>
                <c:pt idx="1">
                  <c:v>103.21100917431197</c:v>
                </c:pt>
                <c:pt idx="2">
                  <c:v>97.926267281105993</c:v>
                </c:pt>
                <c:pt idx="3">
                  <c:v>143.80530973451332</c:v>
                </c:pt>
                <c:pt idx="4">
                  <c:v>113.63636363636364</c:v>
                </c:pt>
                <c:pt idx="5">
                  <c:v>113.63636363636364</c:v>
                </c:pt>
                <c:pt idx="6">
                  <c:v>113.63636363636368</c:v>
                </c:pt>
              </c:numCache>
            </c:numRef>
          </c:val>
          <c:smooth val="0"/>
          <c:extLst>
            <c:ext xmlns:c16="http://schemas.microsoft.com/office/drawing/2014/chart" uri="{C3380CC4-5D6E-409C-BE32-E72D297353CC}">
              <c16:uniqueId val="{00000000-5C30-4CBC-BE03-5FA1957D823F}"/>
            </c:ext>
          </c:extLst>
        </c:ser>
        <c:ser>
          <c:idx val="1"/>
          <c:order val="1"/>
          <c:tx>
            <c:v>CBA</c:v>
          </c:tx>
          <c:spPr>
            <a:ln w="28575" cap="rnd">
              <a:noFill/>
              <a:round/>
            </a:ln>
            <a:effectLst/>
          </c:spPr>
          <c:marker>
            <c:symbol val="circle"/>
            <c:size val="5"/>
            <c:spPr>
              <a:solidFill>
                <a:schemeClr val="accent2">
                  <a:lumMod val="75000"/>
                  <a:alpha val="99000"/>
                </a:schemeClr>
              </a:solidFill>
              <a:ln w="9525">
                <a:solidFill>
                  <a:schemeClr val="accent2">
                    <a:lumMod val="75000"/>
                  </a:schemeClr>
                </a:solidFill>
              </a:ln>
              <a:effectLst/>
            </c:spPr>
          </c:marker>
          <c:cat>
            <c:numRef>
              <c:f>Figures!$R$304:$X$304</c:f>
              <c:numCache>
                <c:formatCode>General</c:formatCode>
                <c:ptCount val="7"/>
                <c:pt idx="0">
                  <c:v>0</c:v>
                </c:pt>
                <c:pt idx="1">
                  <c:v>30</c:v>
                </c:pt>
                <c:pt idx="2">
                  <c:v>60</c:v>
                </c:pt>
                <c:pt idx="3">
                  <c:v>90</c:v>
                </c:pt>
                <c:pt idx="4">
                  <c:v>120</c:v>
                </c:pt>
                <c:pt idx="5">
                  <c:v>150</c:v>
                </c:pt>
                <c:pt idx="6">
                  <c:v>180</c:v>
                </c:pt>
              </c:numCache>
            </c:numRef>
          </c:cat>
          <c:val>
            <c:numRef>
              <c:f>Figures!$R$306:$X$306</c:f>
              <c:numCache>
                <c:formatCode>General</c:formatCode>
                <c:ptCount val="7"/>
                <c:pt idx="0">
                  <c:v>133.92857142857139</c:v>
                </c:pt>
                <c:pt idx="1">
                  <c:v>181.62393162393155</c:v>
                </c:pt>
                <c:pt idx="2">
                  <c:v>133.92857142857153</c:v>
                </c:pt>
                <c:pt idx="3">
                  <c:v>190.67796610169498</c:v>
                </c:pt>
                <c:pt idx="4">
                  <c:v>228.21299879887897</c:v>
                </c:pt>
                <c:pt idx="5">
                  <c:v>265.74803149606299</c:v>
                </c:pt>
                <c:pt idx="6">
                  <c:v>163.04347826086959</c:v>
                </c:pt>
              </c:numCache>
            </c:numRef>
          </c:val>
          <c:smooth val="0"/>
          <c:extLst>
            <c:ext xmlns:c16="http://schemas.microsoft.com/office/drawing/2014/chart" uri="{C3380CC4-5D6E-409C-BE32-E72D297353CC}">
              <c16:uniqueId val="{00000001-5C30-4CBC-BE03-5FA1957D823F}"/>
            </c:ext>
          </c:extLst>
        </c:ser>
        <c:ser>
          <c:idx val="2"/>
          <c:order val="2"/>
          <c:tx>
            <c:v>PBA</c:v>
          </c:tx>
          <c:spPr>
            <a:ln w="28575" cap="rnd">
              <a:noFill/>
              <a:round/>
            </a:ln>
            <a:effectLst/>
          </c:spPr>
          <c:marker>
            <c:symbol val="x"/>
            <c:size val="5"/>
            <c:spPr>
              <a:solidFill>
                <a:schemeClr val="accent5">
                  <a:lumMod val="50000"/>
                  <a:alpha val="99000"/>
                </a:schemeClr>
              </a:solidFill>
              <a:ln w="9525">
                <a:solidFill>
                  <a:schemeClr val="accent5">
                    <a:lumMod val="50000"/>
                  </a:schemeClr>
                </a:solidFill>
              </a:ln>
              <a:effectLst/>
            </c:spPr>
          </c:marker>
          <c:cat>
            <c:numRef>
              <c:f>Figures!$R$304:$X$304</c:f>
              <c:numCache>
                <c:formatCode>General</c:formatCode>
                <c:ptCount val="7"/>
                <c:pt idx="0">
                  <c:v>0</c:v>
                </c:pt>
                <c:pt idx="1">
                  <c:v>30</c:v>
                </c:pt>
                <c:pt idx="2">
                  <c:v>60</c:v>
                </c:pt>
                <c:pt idx="3">
                  <c:v>90</c:v>
                </c:pt>
                <c:pt idx="4">
                  <c:v>120</c:v>
                </c:pt>
                <c:pt idx="5">
                  <c:v>150</c:v>
                </c:pt>
                <c:pt idx="6">
                  <c:v>180</c:v>
                </c:pt>
              </c:numCache>
            </c:numRef>
          </c:cat>
          <c:val>
            <c:numRef>
              <c:f>Figures!$R$307:$X$307</c:f>
              <c:numCache>
                <c:formatCode>General</c:formatCode>
                <c:ptCount val="7"/>
                <c:pt idx="0">
                  <c:v>108.447488584475</c:v>
                </c:pt>
                <c:pt idx="1">
                  <c:v>116.16068122917443</c:v>
                </c:pt>
                <c:pt idx="2">
                  <c:v>123.87387387387386</c:v>
                </c:pt>
                <c:pt idx="3">
                  <c:v>123.87387387387386</c:v>
                </c:pt>
                <c:pt idx="4">
                  <c:v>103.21100917431177</c:v>
                </c:pt>
                <c:pt idx="5">
                  <c:v>128.92376681614337</c:v>
                </c:pt>
                <c:pt idx="6">
                  <c:v>123.87387387387392</c:v>
                </c:pt>
              </c:numCache>
            </c:numRef>
          </c:val>
          <c:smooth val="0"/>
          <c:extLst>
            <c:ext xmlns:c16="http://schemas.microsoft.com/office/drawing/2014/chart" uri="{C3380CC4-5D6E-409C-BE32-E72D297353CC}">
              <c16:uniqueId val="{00000002-5C30-4CBC-BE03-5FA1957D823F}"/>
            </c:ext>
          </c:extLst>
        </c:ser>
        <c:dLbls>
          <c:showLegendKey val="0"/>
          <c:showVal val="0"/>
          <c:showCatName val="0"/>
          <c:showSerName val="0"/>
          <c:showPercent val="0"/>
          <c:showBubbleSize val="0"/>
        </c:dLbls>
        <c:marker val="1"/>
        <c:smooth val="0"/>
        <c:axId val="344613151"/>
        <c:axId val="344612191"/>
      </c:lineChart>
      <c:catAx>
        <c:axId val="3446131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100" b="1">
                    <a:latin typeface="Times New Roman" panose="02020603050405020304" pitchFamily="18" charset="0"/>
                    <a:cs typeface="Times New Roman" panose="02020603050405020304" pitchFamily="18" charset="0"/>
                  </a:rPr>
                  <a:t>Elapsed time (min)</a:t>
                </a:r>
              </a:p>
            </c:rich>
          </c:tx>
          <c:layout>
            <c:manualLayout>
              <c:xMode val="edge"/>
              <c:yMode val="edge"/>
              <c:x val="0.44421512732371854"/>
              <c:y val="0.9175304579049541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44612191"/>
        <c:crosses val="autoZero"/>
        <c:auto val="1"/>
        <c:lblAlgn val="ctr"/>
        <c:lblOffset val="100"/>
        <c:noMultiLvlLbl val="0"/>
      </c:catAx>
      <c:valAx>
        <c:axId val="34461219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100" b="1">
                    <a:latin typeface="Times New Roman" panose="02020603050405020304" pitchFamily="18" charset="0"/>
                    <a:cs typeface="Times New Roman" panose="02020603050405020304" pitchFamily="18" charset="0"/>
                  </a:rPr>
                  <a:t>Alkalinity as CaCo3 (mg CaCO3/L)</a:t>
                </a:r>
              </a:p>
            </c:rich>
          </c:tx>
          <c:layout>
            <c:manualLayout>
              <c:xMode val="edge"/>
              <c:yMode val="edge"/>
              <c:x val="1.7640912521745936E-2"/>
              <c:y val="0.2540456400411449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44613151"/>
        <c:crosses val="autoZero"/>
        <c:crossBetween val="between"/>
      </c:valAx>
      <c:spPr>
        <a:noFill/>
        <a:ln w="12700">
          <a:solidFill>
            <a:schemeClr val="tx1"/>
          </a:solidFill>
        </a:ln>
        <a:effectLst/>
      </c:spPr>
    </c:plotArea>
    <c:legend>
      <c:legendPos val="b"/>
      <c:layout>
        <c:manualLayout>
          <c:xMode val="edge"/>
          <c:yMode val="edge"/>
          <c:x val="0.64239963060173044"/>
          <c:y val="0.10284623797025372"/>
          <c:w val="0.28279697676679305"/>
          <c:h val="5.0463921798758041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744337561473187"/>
          <c:y val="8.3493985669139931E-2"/>
          <c:w val="0.82865851405547086"/>
          <c:h val="0.7469681866390262"/>
        </c:manualLayout>
      </c:layout>
      <c:lineChart>
        <c:grouping val="standard"/>
        <c:varyColors val="0"/>
        <c:ser>
          <c:idx val="0"/>
          <c:order val="0"/>
          <c:tx>
            <c:v>Influent</c:v>
          </c:tx>
          <c:spPr>
            <a:ln w="28575" cap="rnd">
              <a:noFill/>
              <a:round/>
            </a:ln>
            <a:effectLst/>
          </c:spPr>
          <c:marker>
            <c:symbol val="triangle"/>
            <c:size val="5"/>
            <c:spPr>
              <a:solidFill>
                <a:schemeClr val="bg2">
                  <a:lumMod val="75000"/>
                </a:schemeClr>
              </a:solidFill>
              <a:ln w="9525">
                <a:solidFill>
                  <a:schemeClr val="bg2">
                    <a:lumMod val="75000"/>
                  </a:schemeClr>
                </a:solidFill>
              </a:ln>
              <a:effectLst/>
            </c:spPr>
          </c:marker>
          <c:cat>
            <c:numRef>
              <c:f>Figures!$D$340:$J$340</c:f>
              <c:numCache>
                <c:formatCode>General</c:formatCode>
                <c:ptCount val="7"/>
                <c:pt idx="0">
                  <c:v>0</c:v>
                </c:pt>
                <c:pt idx="1">
                  <c:v>30</c:v>
                </c:pt>
                <c:pt idx="2">
                  <c:v>60</c:v>
                </c:pt>
                <c:pt idx="3">
                  <c:v>90</c:v>
                </c:pt>
                <c:pt idx="4">
                  <c:v>120</c:v>
                </c:pt>
                <c:pt idx="5">
                  <c:v>150</c:v>
                </c:pt>
                <c:pt idx="6">
                  <c:v>180</c:v>
                </c:pt>
              </c:numCache>
            </c:numRef>
          </c:cat>
          <c:val>
            <c:numRef>
              <c:f>Figures!$D$341:$J$341</c:f>
              <c:numCache>
                <c:formatCode>General</c:formatCode>
                <c:ptCount val="7"/>
                <c:pt idx="0">
                  <c:v>37.73333333333332</c:v>
                </c:pt>
                <c:pt idx="1">
                  <c:v>38.399999999999991</c:v>
                </c:pt>
                <c:pt idx="2">
                  <c:v>35.73333333333332</c:v>
                </c:pt>
                <c:pt idx="3">
                  <c:v>37.399999999999991</c:v>
                </c:pt>
                <c:pt idx="4">
                  <c:v>35.399999999999984</c:v>
                </c:pt>
                <c:pt idx="5">
                  <c:v>37.066666666666656</c:v>
                </c:pt>
                <c:pt idx="6">
                  <c:v>36.066666666666656</c:v>
                </c:pt>
              </c:numCache>
            </c:numRef>
          </c:val>
          <c:smooth val="0"/>
          <c:extLst>
            <c:ext xmlns:c16="http://schemas.microsoft.com/office/drawing/2014/chart" uri="{C3380CC4-5D6E-409C-BE32-E72D297353CC}">
              <c16:uniqueId val="{00000000-E787-4193-8DF7-05545E478234}"/>
            </c:ext>
          </c:extLst>
        </c:ser>
        <c:ser>
          <c:idx val="1"/>
          <c:order val="1"/>
          <c:tx>
            <c:v>CBA</c:v>
          </c:tx>
          <c:spPr>
            <a:ln w="28575" cap="rnd">
              <a:noFill/>
              <a:round/>
            </a:ln>
            <a:effectLst/>
          </c:spPr>
          <c:marker>
            <c:symbol val="circle"/>
            <c:size val="5"/>
            <c:spPr>
              <a:solidFill>
                <a:schemeClr val="accent2">
                  <a:lumMod val="75000"/>
                  <a:alpha val="99000"/>
                </a:schemeClr>
              </a:solidFill>
              <a:ln w="9525">
                <a:solidFill>
                  <a:schemeClr val="accent2">
                    <a:lumMod val="75000"/>
                  </a:schemeClr>
                </a:solidFill>
              </a:ln>
              <a:effectLst/>
            </c:spPr>
          </c:marker>
          <c:cat>
            <c:numRef>
              <c:f>Figures!$D$340:$J$340</c:f>
              <c:numCache>
                <c:formatCode>General</c:formatCode>
                <c:ptCount val="7"/>
                <c:pt idx="0">
                  <c:v>0</c:v>
                </c:pt>
                <c:pt idx="1">
                  <c:v>30</c:v>
                </c:pt>
                <c:pt idx="2">
                  <c:v>60</c:v>
                </c:pt>
                <c:pt idx="3">
                  <c:v>90</c:v>
                </c:pt>
                <c:pt idx="4">
                  <c:v>120</c:v>
                </c:pt>
                <c:pt idx="5">
                  <c:v>150</c:v>
                </c:pt>
                <c:pt idx="6">
                  <c:v>180</c:v>
                </c:pt>
              </c:numCache>
            </c:numRef>
          </c:cat>
          <c:val>
            <c:numRef>
              <c:f>Figures!$D$342:$J$342</c:f>
              <c:numCache>
                <c:formatCode>General</c:formatCode>
                <c:ptCount val="7"/>
                <c:pt idx="0">
                  <c:v>34.399999999999984</c:v>
                </c:pt>
                <c:pt idx="1">
                  <c:v>45.066666666666663</c:v>
                </c:pt>
                <c:pt idx="2">
                  <c:v>34.399999999999984</c:v>
                </c:pt>
                <c:pt idx="3">
                  <c:v>32.399999999999984</c:v>
                </c:pt>
                <c:pt idx="4">
                  <c:v>37.73333333333332</c:v>
                </c:pt>
                <c:pt idx="5">
                  <c:v>32.73333333333332</c:v>
                </c:pt>
                <c:pt idx="6">
                  <c:v>35.399999999999984</c:v>
                </c:pt>
              </c:numCache>
            </c:numRef>
          </c:val>
          <c:smooth val="0"/>
          <c:extLst>
            <c:ext xmlns:c16="http://schemas.microsoft.com/office/drawing/2014/chart" uri="{C3380CC4-5D6E-409C-BE32-E72D297353CC}">
              <c16:uniqueId val="{00000001-E787-4193-8DF7-05545E478234}"/>
            </c:ext>
          </c:extLst>
        </c:ser>
        <c:ser>
          <c:idx val="2"/>
          <c:order val="2"/>
          <c:tx>
            <c:v>PBA</c:v>
          </c:tx>
          <c:spPr>
            <a:ln w="28575" cap="rnd">
              <a:noFill/>
              <a:round/>
            </a:ln>
            <a:effectLst/>
          </c:spPr>
          <c:marker>
            <c:symbol val="x"/>
            <c:size val="5"/>
            <c:spPr>
              <a:solidFill>
                <a:schemeClr val="accent5">
                  <a:lumMod val="50000"/>
                </a:schemeClr>
              </a:solidFill>
              <a:ln w="9525">
                <a:solidFill>
                  <a:schemeClr val="accent5">
                    <a:lumMod val="50000"/>
                  </a:schemeClr>
                </a:solidFill>
              </a:ln>
              <a:effectLst/>
            </c:spPr>
          </c:marker>
          <c:cat>
            <c:numRef>
              <c:f>Figures!$D$340:$J$340</c:f>
              <c:numCache>
                <c:formatCode>General</c:formatCode>
                <c:ptCount val="7"/>
                <c:pt idx="0">
                  <c:v>0</c:v>
                </c:pt>
                <c:pt idx="1">
                  <c:v>30</c:v>
                </c:pt>
                <c:pt idx="2">
                  <c:v>60</c:v>
                </c:pt>
                <c:pt idx="3">
                  <c:v>90</c:v>
                </c:pt>
                <c:pt idx="4">
                  <c:v>120</c:v>
                </c:pt>
                <c:pt idx="5">
                  <c:v>150</c:v>
                </c:pt>
                <c:pt idx="6">
                  <c:v>180</c:v>
                </c:pt>
              </c:numCache>
            </c:numRef>
          </c:cat>
          <c:val>
            <c:numRef>
              <c:f>Figures!$D$343:$J$343</c:f>
              <c:numCache>
                <c:formatCode>General</c:formatCode>
                <c:ptCount val="7"/>
                <c:pt idx="0">
                  <c:v>37.73333333333332</c:v>
                </c:pt>
                <c:pt idx="1">
                  <c:v>44.066666666666663</c:v>
                </c:pt>
                <c:pt idx="2">
                  <c:v>38.399999999999991</c:v>
                </c:pt>
                <c:pt idx="3">
                  <c:v>35.73333333333332</c:v>
                </c:pt>
                <c:pt idx="4">
                  <c:v>37.066666666666656</c:v>
                </c:pt>
                <c:pt idx="5">
                  <c:v>34.066666666666649</c:v>
                </c:pt>
                <c:pt idx="6">
                  <c:v>37.399999999999991</c:v>
                </c:pt>
              </c:numCache>
            </c:numRef>
          </c:val>
          <c:smooth val="0"/>
          <c:extLst>
            <c:ext xmlns:c16="http://schemas.microsoft.com/office/drawing/2014/chart" uri="{C3380CC4-5D6E-409C-BE32-E72D297353CC}">
              <c16:uniqueId val="{00000002-E787-4193-8DF7-05545E478234}"/>
            </c:ext>
          </c:extLst>
        </c:ser>
        <c:dLbls>
          <c:showLegendKey val="0"/>
          <c:showVal val="0"/>
          <c:showCatName val="0"/>
          <c:showSerName val="0"/>
          <c:showPercent val="0"/>
          <c:showBubbleSize val="0"/>
        </c:dLbls>
        <c:marker val="1"/>
        <c:smooth val="0"/>
        <c:axId val="344613151"/>
        <c:axId val="344612191"/>
      </c:lineChart>
      <c:catAx>
        <c:axId val="3446131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100" b="1">
                    <a:latin typeface="Times New Roman" panose="02020603050405020304" pitchFamily="18" charset="0"/>
                    <a:cs typeface="Times New Roman" panose="02020603050405020304" pitchFamily="18" charset="0"/>
                  </a:rPr>
                  <a:t>Elapsed time (min)</a:t>
                </a:r>
              </a:p>
            </c:rich>
          </c:tx>
          <c:layout>
            <c:manualLayout>
              <c:xMode val="edge"/>
              <c:yMode val="edge"/>
              <c:x val="0.44421512732371854"/>
              <c:y val="0.9175304579049541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44612191"/>
        <c:crosses val="autoZero"/>
        <c:auto val="1"/>
        <c:lblAlgn val="ctr"/>
        <c:lblOffset val="100"/>
        <c:noMultiLvlLbl val="0"/>
      </c:catAx>
      <c:valAx>
        <c:axId val="34461219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100" b="1">
                    <a:latin typeface="Times New Roman" panose="02020603050405020304" pitchFamily="18" charset="0"/>
                    <a:cs typeface="Times New Roman" panose="02020603050405020304" pitchFamily="18" charset="0"/>
                  </a:rPr>
                  <a:t>COD Concentration (mg</a:t>
                </a:r>
                <a:r>
                  <a:rPr lang="en-US" sz="1100" b="1" baseline="0">
                    <a:latin typeface="Times New Roman" panose="02020603050405020304" pitchFamily="18" charset="0"/>
                    <a:cs typeface="Times New Roman" panose="02020603050405020304" pitchFamily="18" charset="0"/>
                  </a:rPr>
                  <a:t> COD/L)</a:t>
                </a:r>
                <a:endParaRPr lang="en-US" sz="1100" b="1">
                  <a:latin typeface="Times New Roman" panose="02020603050405020304" pitchFamily="18" charset="0"/>
                  <a:cs typeface="Times New Roman" panose="02020603050405020304" pitchFamily="18" charset="0"/>
                </a:endParaRPr>
              </a:p>
            </c:rich>
          </c:tx>
          <c:layout>
            <c:manualLayout>
              <c:xMode val="edge"/>
              <c:yMode val="edge"/>
              <c:x val="2.3794325961901317E-2"/>
              <c:y val="0.2881688678835493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0.0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44613151"/>
        <c:crosses val="autoZero"/>
        <c:crossBetween val="between"/>
      </c:valAx>
      <c:spPr>
        <a:noFill/>
        <a:ln w="12700">
          <a:solidFill>
            <a:schemeClr val="tx1"/>
          </a:solidFill>
        </a:ln>
        <a:effectLst/>
      </c:spPr>
    </c:plotArea>
    <c:legend>
      <c:legendPos val="b"/>
      <c:layout>
        <c:manualLayout>
          <c:xMode val="edge"/>
          <c:yMode val="edge"/>
          <c:x val="0.64239963060173044"/>
          <c:y val="0.10284623797025372"/>
          <c:w val="0.28193998145279942"/>
          <c:h val="5.165974574164954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196652823677538"/>
          <c:y val="3.5104712041884818E-2"/>
          <c:w val="0.79935495316637917"/>
          <c:h val="0.81216391144824174"/>
        </c:manualLayout>
      </c:layout>
      <c:scatterChart>
        <c:scatterStyle val="lineMarker"/>
        <c:varyColors val="0"/>
        <c:ser>
          <c:idx val="0"/>
          <c:order val="0"/>
          <c:tx>
            <c:v>CBA</c:v>
          </c:tx>
          <c:spPr>
            <a:ln w="25400" cap="rnd">
              <a:noFill/>
              <a:round/>
            </a:ln>
            <a:effectLst/>
          </c:spPr>
          <c:marker>
            <c:symbol val="circle"/>
            <c:size val="5"/>
            <c:spPr>
              <a:solidFill>
                <a:schemeClr val="accent1"/>
              </a:solidFill>
              <a:ln w="9525">
                <a:solidFill>
                  <a:schemeClr val="lt1">
                    <a:shade val="50000"/>
                    <a:alpha val="96000"/>
                  </a:schemeClr>
                </a:solidFill>
              </a:ln>
              <a:effectLst/>
            </c:spPr>
          </c:marker>
          <c:trendline>
            <c:spPr>
              <a:ln w="19050" cap="rnd">
                <a:solidFill>
                  <a:schemeClr val="accent1"/>
                </a:solidFill>
                <a:prstDash val="sysDot"/>
              </a:ln>
              <a:effectLst/>
            </c:spPr>
            <c:trendlineType val="log"/>
            <c:dispRSqr val="1"/>
            <c:dispEq val="1"/>
            <c:trendlineLbl>
              <c:layout>
                <c:manualLayout>
                  <c:x val="9.3368085715536453E-2"/>
                  <c:y val="0.15181576452158141"/>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(Tables!$L$7,Tables!$L$9:$L$11,Tables!$L$13:$L$21)</c:f>
              <c:numCache>
                <c:formatCode>0</c:formatCode>
                <c:ptCount val="13"/>
                <c:pt idx="0">
                  <c:v>11.463033303860691</c:v>
                </c:pt>
                <c:pt idx="1">
                  <c:v>4.3185769243539243</c:v>
                </c:pt>
                <c:pt idx="2">
                  <c:v>9.5163532907919564</c:v>
                </c:pt>
                <c:pt idx="3">
                  <c:v>7.2751729743718849</c:v>
                </c:pt>
                <c:pt idx="4">
                  <c:v>12.779881990629313</c:v>
                </c:pt>
                <c:pt idx="5">
                  <c:v>6.8638739267581546</c:v>
                </c:pt>
                <c:pt idx="6">
                  <c:v>22.276381646484616</c:v>
                </c:pt>
                <c:pt idx="7">
                  <c:v>12.268034109123516</c:v>
                </c:pt>
                <c:pt idx="8">
                  <c:v>15.521534927625003</c:v>
                </c:pt>
                <c:pt idx="9">
                  <c:v>15.94673135133872</c:v>
                </c:pt>
                <c:pt idx="10">
                  <c:v>41.633698056524921</c:v>
                </c:pt>
                <c:pt idx="11">
                  <c:v>38.482042787905641</c:v>
                </c:pt>
                <c:pt idx="12">
                  <c:v>18.578838122852588</c:v>
                </c:pt>
              </c:numCache>
            </c:numRef>
          </c:xVal>
          <c:yVal>
            <c:numRef>
              <c:f>(Tables!$AA$7,Tables!$AA$9:$AA$11,Tables!$AA$13:$AA$21)</c:f>
              <c:numCache>
                <c:formatCode>0</c:formatCode>
                <c:ptCount val="13"/>
                <c:pt idx="0">
                  <c:v>8.8616234124233468</c:v>
                </c:pt>
                <c:pt idx="1">
                  <c:v>3.5270438114336242</c:v>
                </c:pt>
                <c:pt idx="2">
                  <c:v>6.7372405653436473</c:v>
                </c:pt>
                <c:pt idx="3">
                  <c:v>6.9070009791207676</c:v>
                </c:pt>
                <c:pt idx="4">
                  <c:v>8.9684887595339902</c:v>
                </c:pt>
                <c:pt idx="5">
                  <c:v>3.8392850485897498</c:v>
                </c:pt>
                <c:pt idx="6">
                  <c:v>13.031727432717187</c:v>
                </c:pt>
                <c:pt idx="7">
                  <c:v>8.2736551548035813</c:v>
                </c:pt>
                <c:pt idx="8">
                  <c:v>10.678165135981654</c:v>
                </c:pt>
                <c:pt idx="9">
                  <c:v>12.33198822148792</c:v>
                </c:pt>
                <c:pt idx="10">
                  <c:v>14.165941893201225</c:v>
                </c:pt>
                <c:pt idx="11">
                  <c:v>14.950336212944144</c:v>
                </c:pt>
                <c:pt idx="12">
                  <c:v>8.3338972964284519</c:v>
                </c:pt>
              </c:numCache>
            </c:numRef>
          </c:yVal>
          <c:smooth val="0"/>
          <c:extLst>
            <c:ext xmlns:c16="http://schemas.microsoft.com/office/drawing/2014/chart" uri="{C3380CC4-5D6E-409C-BE32-E72D297353CC}">
              <c16:uniqueId val="{00000001-C55F-4987-A64D-270A8ADC60C4}"/>
            </c:ext>
          </c:extLst>
        </c:ser>
        <c:dLbls>
          <c:showLegendKey val="0"/>
          <c:showVal val="0"/>
          <c:showCatName val="0"/>
          <c:showSerName val="0"/>
          <c:showPercent val="0"/>
          <c:showBubbleSize val="0"/>
        </c:dLbls>
        <c:axId val="2116130544"/>
        <c:axId val="2116129104"/>
        <c:extLst>
          <c:ext xmlns:c15="http://schemas.microsoft.com/office/drawing/2012/chart" uri="{02D57815-91ED-43cb-92C2-25804820EDAC}">
            <c15:filteredScatterSeries>
              <c15:ser>
                <c:idx val="1"/>
                <c:order val="1"/>
                <c:tx>
                  <c:v>PBA</c:v>
                </c:tx>
                <c:spPr>
                  <a:ln w="25400" cap="rnd">
                    <a:noFill/>
                    <a:round/>
                  </a:ln>
                  <a:effectLst/>
                </c:spPr>
                <c:marker>
                  <c:symbol val="circle"/>
                  <c:size val="5"/>
                  <c:spPr>
                    <a:solidFill>
                      <a:schemeClr val="accent2"/>
                    </a:solidFill>
                    <a:ln w="9525">
                      <a:solidFill>
                        <a:schemeClr val="lt1">
                          <a:shade val="50000"/>
                          <a:alpha val="96000"/>
                        </a:schemeClr>
                      </a:solidFill>
                    </a:ln>
                    <a:effectLst/>
                  </c:spPr>
                </c:marker>
                <c:trendline>
                  <c:spPr>
                    <a:ln w="19050" cap="rnd">
                      <a:solidFill>
                        <a:schemeClr val="accent2"/>
                      </a:solidFill>
                      <a:prstDash val="sysDot"/>
                    </a:ln>
                    <a:effectLst/>
                  </c:spPr>
                  <c:trendlineType val="log"/>
                  <c:dispRSqr val="1"/>
                  <c:dispEq val="1"/>
                  <c:trendlineLbl>
                    <c:layout>
                      <c:manualLayout>
                        <c:x val="-0.21345394482748084"/>
                        <c:y val="-1.8250608071896771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extLst>
                      <c:ext uri="{02D57815-91ED-43cb-92C2-25804820EDAC}">
                        <c15:formulaRef>
                          <c15:sqref>(Tables!$N$7,Tables!$N$9:$N$21)</c15:sqref>
                        </c15:formulaRef>
                      </c:ext>
                    </c:extLst>
                    <c:numCache>
                      <c:formatCode>0</c:formatCode>
                      <c:ptCount val="14"/>
                      <c:pt idx="0">
                        <c:v>11.463033303860691</c:v>
                      </c:pt>
                      <c:pt idx="1">
                        <c:v>4.3185769243539243</c:v>
                      </c:pt>
                      <c:pt idx="2">
                        <c:v>9.5163532907919564</c:v>
                      </c:pt>
                      <c:pt idx="3">
                        <c:v>7.2751729743718849</c:v>
                      </c:pt>
                      <c:pt idx="4">
                        <c:v>14.563983122658572</c:v>
                      </c:pt>
                      <c:pt idx="5">
                        <c:v>12.779881990629313</c:v>
                      </c:pt>
                      <c:pt idx="6">
                        <c:v>6.8638739267581546</c:v>
                      </c:pt>
                      <c:pt idx="7">
                        <c:v>22.276381646484616</c:v>
                      </c:pt>
                      <c:pt idx="8">
                        <c:v>12.268034109123516</c:v>
                      </c:pt>
                      <c:pt idx="9">
                        <c:v>15.521534927625003</c:v>
                      </c:pt>
                      <c:pt idx="10">
                        <c:v>15.94673135133872</c:v>
                      </c:pt>
                      <c:pt idx="11">
                        <c:v>41.633698056524921</c:v>
                      </c:pt>
                      <c:pt idx="12">
                        <c:v>38.482042787905641</c:v>
                      </c:pt>
                      <c:pt idx="13">
                        <c:v>18.578838122852588</c:v>
                      </c:pt>
                    </c:numCache>
                  </c:numRef>
                </c:xVal>
                <c:yVal>
                  <c:numRef>
                    <c:extLst>
                      <c:ext uri="{02D57815-91ED-43cb-92C2-25804820EDAC}">
                        <c15:formulaRef>
                          <c15:sqref>(Tables!$AP$7,Tables!$AP$9:$AP$21)</c15:sqref>
                        </c15:formulaRef>
                      </c:ext>
                    </c:extLst>
                    <c:numCache>
                      <c:formatCode>0</c:formatCode>
                      <c:ptCount val="14"/>
                      <c:pt idx="0">
                        <c:v>7.2205336533375286</c:v>
                      </c:pt>
                      <c:pt idx="1">
                        <c:v>3.8071759361296516</c:v>
                      </c:pt>
                      <c:pt idx="2">
                        <c:v>5.9348519977906236</c:v>
                      </c:pt>
                      <c:pt idx="3">
                        <c:v>4.3318675020045871</c:v>
                      </c:pt>
                      <c:pt idx="4">
                        <c:v>7.9813107879532037</c:v>
                      </c:pt>
                      <c:pt idx="5">
                        <c:v>7.2660257115595517</c:v>
                      </c:pt>
                      <c:pt idx="6">
                        <c:v>1.8323273744603112</c:v>
                      </c:pt>
                      <c:pt idx="7">
                        <c:v>6.3946504143075504</c:v>
                      </c:pt>
                      <c:pt idx="8">
                        <c:v>5.2037089182687373</c:v>
                      </c:pt>
                      <c:pt idx="9">
                        <c:v>4.7613490490007884</c:v>
                      </c:pt>
                      <c:pt idx="10">
                        <c:v>12.655793357240899</c:v>
                      </c:pt>
                      <c:pt idx="11">
                        <c:v>12.300491898027222</c:v>
                      </c:pt>
                      <c:pt idx="12">
                        <c:v>11.265355806959796</c:v>
                      </c:pt>
                      <c:pt idx="13">
                        <c:v>3.6978149576766848</c:v>
                      </c:pt>
                    </c:numCache>
                  </c:numRef>
                </c:yVal>
                <c:smooth val="0"/>
                <c:extLst>
                  <c:ext xmlns:c16="http://schemas.microsoft.com/office/drawing/2014/chart" uri="{C3380CC4-5D6E-409C-BE32-E72D297353CC}">
                    <c16:uniqueId val="{00000003-C55F-4987-A64D-270A8ADC60C4}"/>
                  </c:ext>
                </c:extLst>
              </c15:ser>
            </c15:filteredScatterSeries>
          </c:ext>
        </c:extLst>
      </c:scatterChart>
      <c:valAx>
        <c:axId val="2116130544"/>
        <c:scaling>
          <c:orientation val="minMax"/>
        </c:scaling>
        <c:delete val="0"/>
        <c:axPos val="b"/>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100" b="1" i="0" u="none" strike="noStrike" kern="1200" baseline="0">
                    <a:solidFill>
                      <a:sysClr val="windowText" lastClr="000000">
                        <a:lumMod val="65000"/>
                        <a:lumOff val="35000"/>
                      </a:sysClr>
                    </a:solidFill>
                    <a:latin typeface="+mn-lt"/>
                    <a:ea typeface="+mn-ea"/>
                    <a:cs typeface="+mn-cs"/>
                  </a:defRPr>
                </a:pPr>
                <a:r>
                  <a:rPr lang="en-US" sz="1100" b="1"/>
                  <a:t>Total</a:t>
                </a:r>
                <a:r>
                  <a:rPr lang="en-US" sz="1100" b="1" baseline="0"/>
                  <a:t> Nitrogen Loading Rate</a:t>
                </a:r>
                <a:r>
                  <a:rPr lang="en-US" sz="1100" b="1" i="0" u="none" strike="noStrike" kern="1200" baseline="0">
                    <a:solidFill>
                      <a:sysClr val="windowText" lastClr="000000">
                        <a:lumMod val="65000"/>
                        <a:lumOff val="35000"/>
                      </a:sysClr>
                    </a:solidFill>
                  </a:rPr>
                  <a:t> (mg/L-day)</a:t>
                </a:r>
              </a:p>
            </c:rich>
          </c:tx>
          <c:layout>
            <c:manualLayout>
              <c:xMode val="edge"/>
              <c:yMode val="edge"/>
              <c:x val="0.35418314581412569"/>
              <c:y val="0.93081151832460729"/>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100" b="1" i="0" u="none" strike="noStrike" kern="1200" baseline="0">
                  <a:solidFill>
                    <a:sysClr val="windowText" lastClr="000000">
                      <a:lumMod val="65000"/>
                      <a:lumOff val="35000"/>
                    </a:sysClr>
                  </a:solidFill>
                  <a:latin typeface="+mn-lt"/>
                  <a:ea typeface="+mn-ea"/>
                  <a:cs typeface="+mn-cs"/>
                </a:defRPr>
              </a:pPr>
              <a:endParaRPr lang="en-US"/>
            </a:p>
          </c:txPr>
        </c:title>
        <c:numFmt formatCode="0"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2116129104"/>
        <c:crosses val="autoZero"/>
        <c:crossBetween val="midCat"/>
      </c:valAx>
      <c:valAx>
        <c:axId val="2116129104"/>
        <c:scaling>
          <c:orientation val="minMax"/>
          <c:min val="0"/>
        </c:scaling>
        <c:delete val="0"/>
        <c:axPos val="l"/>
        <c:title>
          <c:tx>
            <c:rich>
              <a:bodyPr rot="-54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r>
                  <a:rPr lang="en-US" sz="1050" b="1" i="0" u="none" strike="noStrike" kern="1200" baseline="0">
                    <a:solidFill>
                      <a:sysClr val="windowText" lastClr="000000">
                        <a:lumMod val="65000"/>
                        <a:lumOff val="35000"/>
                      </a:sysClr>
                    </a:solidFill>
                  </a:rPr>
                  <a:t>Total Nitrogen Removal Rate (mg/L-day)</a:t>
                </a:r>
              </a:p>
            </c:rich>
          </c:tx>
          <c:layout>
            <c:manualLayout>
              <c:xMode val="edge"/>
              <c:yMode val="edge"/>
              <c:x val="2.3907016439514643E-2"/>
              <c:y val="0.23424289895700209"/>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2116130544"/>
        <c:crosses val="autoZero"/>
        <c:crossBetween val="midCat"/>
      </c:valAx>
      <c:spPr>
        <a:noFill/>
        <a:ln>
          <a:noFill/>
        </a:ln>
        <a:effectLst/>
      </c:spPr>
    </c:plotArea>
    <c:legend>
      <c:legendPos val="r"/>
      <c:legendEntry>
        <c:idx val="1"/>
        <c:delete val="1"/>
      </c:legendEntry>
      <c:layout>
        <c:manualLayout>
          <c:xMode val="edge"/>
          <c:yMode val="edge"/>
          <c:x val="0.13934680186206741"/>
          <c:y val="3.9593931648596287E-2"/>
          <c:w val="0.13725603731909589"/>
          <c:h val="7.002679638867130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196652823677538"/>
          <c:y val="3.5104712041884818E-2"/>
          <c:w val="0.79935495316637917"/>
          <c:h val="0.81216391144824174"/>
        </c:manualLayout>
      </c:layout>
      <c:scatterChart>
        <c:scatterStyle val="lineMarker"/>
        <c:varyColors val="0"/>
        <c:ser>
          <c:idx val="0"/>
          <c:order val="0"/>
          <c:tx>
            <c:v>CBA</c:v>
          </c:tx>
          <c:spPr>
            <a:ln w="25400" cap="rnd">
              <a:noFill/>
              <a:round/>
            </a:ln>
            <a:effectLst/>
          </c:spPr>
          <c:marker>
            <c:symbol val="circle"/>
            <c:size val="5"/>
            <c:spPr>
              <a:solidFill>
                <a:schemeClr val="accent1"/>
              </a:solidFill>
              <a:ln w="9525">
                <a:solidFill>
                  <a:schemeClr val="lt1">
                    <a:shade val="50000"/>
                    <a:alpha val="96000"/>
                  </a:schemeClr>
                </a:solidFill>
              </a:ln>
              <a:effectLst/>
            </c:spPr>
          </c:marker>
          <c:trendline>
            <c:spPr>
              <a:ln w="19050" cap="rnd">
                <a:solidFill>
                  <a:schemeClr val="accent1"/>
                </a:solidFill>
                <a:prstDash val="sysDot"/>
              </a:ln>
              <a:effectLst/>
            </c:spPr>
            <c:trendlineType val="linear"/>
            <c:dispRSqr val="1"/>
            <c:dispEq val="1"/>
            <c:trendlineLbl>
              <c:layout>
                <c:manualLayout>
                  <c:x val="9.3368085715536453E-2"/>
                  <c:y val="0.15181576452158141"/>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(Tables!$L$7,Tables!$L$9:$L$11,Tables!$L$13:$L$21)</c:f>
              <c:numCache>
                <c:formatCode>0</c:formatCode>
                <c:ptCount val="13"/>
                <c:pt idx="0">
                  <c:v>11.463033303860691</c:v>
                </c:pt>
                <c:pt idx="1">
                  <c:v>4.3185769243539243</c:v>
                </c:pt>
                <c:pt idx="2">
                  <c:v>9.5163532907919564</c:v>
                </c:pt>
                <c:pt idx="3">
                  <c:v>7.2751729743718849</c:v>
                </c:pt>
                <c:pt idx="4">
                  <c:v>12.779881990629313</c:v>
                </c:pt>
                <c:pt idx="5">
                  <c:v>6.8638739267581546</c:v>
                </c:pt>
                <c:pt idx="6">
                  <c:v>22.276381646484616</c:v>
                </c:pt>
                <c:pt idx="7">
                  <c:v>12.268034109123516</c:v>
                </c:pt>
                <c:pt idx="8">
                  <c:v>15.521534927625003</c:v>
                </c:pt>
                <c:pt idx="9">
                  <c:v>15.94673135133872</c:v>
                </c:pt>
                <c:pt idx="10">
                  <c:v>41.633698056524921</c:v>
                </c:pt>
                <c:pt idx="11">
                  <c:v>38.482042787905641</c:v>
                </c:pt>
                <c:pt idx="12">
                  <c:v>18.578838122852588</c:v>
                </c:pt>
              </c:numCache>
            </c:numRef>
          </c:xVal>
          <c:yVal>
            <c:numRef>
              <c:f>(Tables!$AA$7,Tables!$AA$9:$AA$11,Tables!$AA$13:$AA$21)</c:f>
              <c:numCache>
                <c:formatCode>0</c:formatCode>
                <c:ptCount val="13"/>
                <c:pt idx="0">
                  <c:v>8.8616234124233468</c:v>
                </c:pt>
                <c:pt idx="1">
                  <c:v>3.5270438114336242</c:v>
                </c:pt>
                <c:pt idx="2">
                  <c:v>6.7372405653436473</c:v>
                </c:pt>
                <c:pt idx="3">
                  <c:v>6.9070009791207676</c:v>
                </c:pt>
                <c:pt idx="4">
                  <c:v>8.9684887595339902</c:v>
                </c:pt>
                <c:pt idx="5">
                  <c:v>3.8392850485897498</c:v>
                </c:pt>
                <c:pt idx="6">
                  <c:v>13.031727432717187</c:v>
                </c:pt>
                <c:pt idx="7">
                  <c:v>8.2736551548035813</c:v>
                </c:pt>
                <c:pt idx="8">
                  <c:v>10.678165135981654</c:v>
                </c:pt>
                <c:pt idx="9">
                  <c:v>12.33198822148792</c:v>
                </c:pt>
                <c:pt idx="10">
                  <c:v>14.165941893201225</c:v>
                </c:pt>
                <c:pt idx="11">
                  <c:v>14.950336212944144</c:v>
                </c:pt>
                <c:pt idx="12">
                  <c:v>8.3338972964284519</c:v>
                </c:pt>
              </c:numCache>
            </c:numRef>
          </c:yVal>
          <c:smooth val="0"/>
          <c:extLst>
            <c:ext xmlns:c16="http://schemas.microsoft.com/office/drawing/2014/chart" uri="{C3380CC4-5D6E-409C-BE32-E72D297353CC}">
              <c16:uniqueId val="{00000001-DC55-47D1-995B-60B476800E85}"/>
            </c:ext>
          </c:extLst>
        </c:ser>
        <c:dLbls>
          <c:showLegendKey val="0"/>
          <c:showVal val="0"/>
          <c:showCatName val="0"/>
          <c:showSerName val="0"/>
          <c:showPercent val="0"/>
          <c:showBubbleSize val="0"/>
        </c:dLbls>
        <c:axId val="2116130544"/>
        <c:axId val="2116129104"/>
        <c:extLst>
          <c:ext xmlns:c15="http://schemas.microsoft.com/office/drawing/2012/chart" uri="{02D57815-91ED-43cb-92C2-25804820EDAC}">
            <c15:filteredScatterSeries>
              <c15:ser>
                <c:idx val="1"/>
                <c:order val="1"/>
                <c:tx>
                  <c:v>PBA</c:v>
                </c:tx>
                <c:spPr>
                  <a:ln w="25400" cap="rnd">
                    <a:noFill/>
                    <a:round/>
                  </a:ln>
                  <a:effectLst/>
                </c:spPr>
                <c:marker>
                  <c:symbol val="circle"/>
                  <c:size val="5"/>
                  <c:spPr>
                    <a:solidFill>
                      <a:schemeClr val="accent2"/>
                    </a:solidFill>
                    <a:ln w="9525">
                      <a:solidFill>
                        <a:schemeClr val="lt1">
                          <a:shade val="50000"/>
                          <a:alpha val="96000"/>
                        </a:schemeClr>
                      </a:solidFill>
                    </a:ln>
                    <a:effectLst/>
                  </c:spPr>
                </c:marker>
                <c:trendline>
                  <c:spPr>
                    <a:ln w="19050" cap="rnd">
                      <a:solidFill>
                        <a:schemeClr val="accent2"/>
                      </a:solidFill>
                      <a:prstDash val="sysDot"/>
                    </a:ln>
                    <a:effectLst/>
                  </c:spPr>
                  <c:trendlineType val="linear"/>
                  <c:dispRSqr val="1"/>
                  <c:dispEq val="1"/>
                  <c:trendlineLbl>
                    <c:layout>
                      <c:manualLayout>
                        <c:x val="-9.6803590066273912E-2"/>
                        <c:y val="-3.462402605433483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extLst>
                      <c:ext uri="{02D57815-91ED-43cb-92C2-25804820EDAC}">
                        <c15:formulaRef>
                          <c15:sqref>(Tables!$N$7,Tables!$N$9:$N$21)</c15:sqref>
                        </c15:formulaRef>
                      </c:ext>
                    </c:extLst>
                    <c:numCache>
                      <c:formatCode>0</c:formatCode>
                      <c:ptCount val="14"/>
                      <c:pt idx="0">
                        <c:v>11.463033303860691</c:v>
                      </c:pt>
                      <c:pt idx="1">
                        <c:v>4.3185769243539243</c:v>
                      </c:pt>
                      <c:pt idx="2">
                        <c:v>9.5163532907919564</c:v>
                      </c:pt>
                      <c:pt idx="3">
                        <c:v>7.2751729743718849</c:v>
                      </c:pt>
                      <c:pt idx="4">
                        <c:v>14.563983122658572</c:v>
                      </c:pt>
                      <c:pt idx="5">
                        <c:v>12.779881990629313</c:v>
                      </c:pt>
                      <c:pt idx="6">
                        <c:v>6.8638739267581546</c:v>
                      </c:pt>
                      <c:pt idx="7">
                        <c:v>22.276381646484616</c:v>
                      </c:pt>
                      <c:pt idx="8">
                        <c:v>12.268034109123516</c:v>
                      </c:pt>
                      <c:pt idx="9">
                        <c:v>15.521534927625003</c:v>
                      </c:pt>
                      <c:pt idx="10">
                        <c:v>15.94673135133872</c:v>
                      </c:pt>
                      <c:pt idx="11">
                        <c:v>41.633698056524921</c:v>
                      </c:pt>
                      <c:pt idx="12">
                        <c:v>38.482042787905641</c:v>
                      </c:pt>
                      <c:pt idx="13">
                        <c:v>18.578838122852588</c:v>
                      </c:pt>
                    </c:numCache>
                  </c:numRef>
                </c:xVal>
                <c:yVal>
                  <c:numRef>
                    <c:extLst>
                      <c:ext uri="{02D57815-91ED-43cb-92C2-25804820EDAC}">
                        <c15:formulaRef>
                          <c15:sqref>(Tables!$AP$7,Tables!$AP$9:$AP$21)</c15:sqref>
                        </c15:formulaRef>
                      </c:ext>
                    </c:extLst>
                    <c:numCache>
                      <c:formatCode>0</c:formatCode>
                      <c:ptCount val="14"/>
                      <c:pt idx="0">
                        <c:v>7.2205336533375286</c:v>
                      </c:pt>
                      <c:pt idx="1">
                        <c:v>3.8071759361296516</c:v>
                      </c:pt>
                      <c:pt idx="2">
                        <c:v>5.9348519977906236</c:v>
                      </c:pt>
                      <c:pt idx="3">
                        <c:v>4.3318675020045871</c:v>
                      </c:pt>
                      <c:pt idx="4">
                        <c:v>7.9813107879532037</c:v>
                      </c:pt>
                      <c:pt idx="5">
                        <c:v>7.2660257115595517</c:v>
                      </c:pt>
                      <c:pt idx="6">
                        <c:v>1.8323273744603112</c:v>
                      </c:pt>
                      <c:pt idx="7">
                        <c:v>6.3946504143075504</c:v>
                      </c:pt>
                      <c:pt idx="8">
                        <c:v>5.2037089182687373</c:v>
                      </c:pt>
                      <c:pt idx="9">
                        <c:v>4.7613490490007884</c:v>
                      </c:pt>
                      <c:pt idx="10">
                        <c:v>12.655793357240899</c:v>
                      </c:pt>
                      <c:pt idx="11">
                        <c:v>12.300491898027222</c:v>
                      </c:pt>
                      <c:pt idx="12">
                        <c:v>11.265355806959796</c:v>
                      </c:pt>
                      <c:pt idx="13">
                        <c:v>3.6978149576766848</c:v>
                      </c:pt>
                    </c:numCache>
                  </c:numRef>
                </c:yVal>
                <c:smooth val="0"/>
                <c:extLst>
                  <c:ext xmlns:c16="http://schemas.microsoft.com/office/drawing/2014/chart" uri="{C3380CC4-5D6E-409C-BE32-E72D297353CC}">
                    <c16:uniqueId val="{00000003-DC55-47D1-995B-60B476800E85}"/>
                  </c:ext>
                </c:extLst>
              </c15:ser>
            </c15:filteredScatterSeries>
          </c:ext>
        </c:extLst>
      </c:scatterChart>
      <c:valAx>
        <c:axId val="2116130544"/>
        <c:scaling>
          <c:orientation val="minMax"/>
        </c:scaling>
        <c:delete val="0"/>
        <c:axPos val="b"/>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100" b="1" i="0" u="none" strike="noStrike" kern="1200" baseline="0">
                    <a:solidFill>
                      <a:sysClr val="windowText" lastClr="000000">
                        <a:lumMod val="65000"/>
                        <a:lumOff val="35000"/>
                      </a:sysClr>
                    </a:solidFill>
                    <a:latin typeface="+mn-lt"/>
                    <a:ea typeface="+mn-ea"/>
                    <a:cs typeface="+mn-cs"/>
                  </a:defRPr>
                </a:pPr>
                <a:r>
                  <a:rPr lang="en-US" sz="1100" b="1"/>
                  <a:t>Total</a:t>
                </a:r>
                <a:r>
                  <a:rPr lang="en-US" sz="1100" b="1" baseline="0"/>
                  <a:t> Nitrogen Loading Rate</a:t>
                </a:r>
                <a:r>
                  <a:rPr lang="en-US" sz="1100" b="1" i="0" u="none" strike="noStrike" kern="1200" baseline="0">
                    <a:solidFill>
                      <a:sysClr val="windowText" lastClr="000000">
                        <a:lumMod val="65000"/>
                        <a:lumOff val="35000"/>
                      </a:sysClr>
                    </a:solidFill>
                  </a:rPr>
                  <a:t> (mg/L-day)</a:t>
                </a:r>
              </a:p>
            </c:rich>
          </c:tx>
          <c:layout>
            <c:manualLayout>
              <c:xMode val="edge"/>
              <c:yMode val="edge"/>
              <c:x val="0.35418314581412569"/>
              <c:y val="0.93081151832460729"/>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100" b="1" i="0" u="none" strike="noStrike" kern="1200" baseline="0">
                  <a:solidFill>
                    <a:sysClr val="windowText" lastClr="000000">
                      <a:lumMod val="65000"/>
                      <a:lumOff val="35000"/>
                    </a:sysClr>
                  </a:solidFill>
                  <a:latin typeface="+mn-lt"/>
                  <a:ea typeface="+mn-ea"/>
                  <a:cs typeface="+mn-cs"/>
                </a:defRPr>
              </a:pPr>
              <a:endParaRPr lang="en-US"/>
            </a:p>
          </c:txPr>
        </c:title>
        <c:numFmt formatCode="0"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2116129104"/>
        <c:crosses val="autoZero"/>
        <c:crossBetween val="midCat"/>
      </c:valAx>
      <c:valAx>
        <c:axId val="2116129104"/>
        <c:scaling>
          <c:orientation val="minMax"/>
          <c:min val="0"/>
        </c:scaling>
        <c:delete val="0"/>
        <c:axPos val="l"/>
        <c:title>
          <c:tx>
            <c:rich>
              <a:bodyPr rot="-54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r>
                  <a:rPr lang="en-US" sz="1050" b="1" i="0" u="none" strike="noStrike" kern="1200" baseline="0">
                    <a:solidFill>
                      <a:sysClr val="windowText" lastClr="000000">
                        <a:lumMod val="65000"/>
                        <a:lumOff val="35000"/>
                      </a:sysClr>
                    </a:solidFill>
                  </a:rPr>
                  <a:t>Total Nitrogen Removal Rate (mg/L-day)</a:t>
                </a:r>
              </a:p>
            </c:rich>
          </c:tx>
          <c:layout>
            <c:manualLayout>
              <c:xMode val="edge"/>
              <c:yMode val="edge"/>
              <c:x val="2.3907016439514643E-2"/>
              <c:y val="0.23424289895700209"/>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2116130544"/>
        <c:crosses val="autoZero"/>
        <c:crossBetween val="midCat"/>
      </c:valAx>
      <c:spPr>
        <a:noFill/>
        <a:ln>
          <a:noFill/>
        </a:ln>
        <a:effectLst/>
      </c:spPr>
    </c:plotArea>
    <c:legend>
      <c:legendPos val="r"/>
      <c:legendEntry>
        <c:idx val="1"/>
        <c:delete val="1"/>
      </c:legendEntry>
      <c:layout>
        <c:manualLayout>
          <c:xMode val="edge"/>
          <c:yMode val="edge"/>
          <c:x val="0.13934680186206741"/>
          <c:y val="3.9593931648596287E-2"/>
          <c:w val="0.13725603731909589"/>
          <c:h val="7.002679638867130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196652823677538"/>
          <c:y val="3.5104712041884818E-2"/>
          <c:w val="0.79935495316637917"/>
          <c:h val="0.81216391144824174"/>
        </c:manualLayout>
      </c:layout>
      <c:scatterChart>
        <c:scatterStyle val="lineMarker"/>
        <c:varyColors val="0"/>
        <c:ser>
          <c:idx val="1"/>
          <c:order val="1"/>
          <c:tx>
            <c:v>PBA</c:v>
          </c:tx>
          <c:spPr>
            <a:ln w="25400" cap="rnd">
              <a:noFill/>
              <a:round/>
            </a:ln>
            <a:effectLst/>
          </c:spPr>
          <c:marker>
            <c:symbol val="circle"/>
            <c:size val="5"/>
            <c:spPr>
              <a:solidFill>
                <a:schemeClr val="accent2"/>
              </a:solidFill>
              <a:ln w="9525">
                <a:solidFill>
                  <a:schemeClr val="lt1">
                    <a:shade val="50000"/>
                    <a:alpha val="96000"/>
                  </a:schemeClr>
                </a:solidFill>
              </a:ln>
              <a:effectLst/>
            </c:spPr>
          </c:marker>
          <c:trendline>
            <c:spPr>
              <a:ln w="19050" cap="rnd">
                <a:solidFill>
                  <a:schemeClr val="accent2"/>
                </a:solidFill>
                <a:prstDash val="sysDot"/>
              </a:ln>
              <a:effectLst/>
            </c:spPr>
            <c:trendlineType val="log"/>
            <c:dispRSqr val="1"/>
            <c:dispEq val="1"/>
            <c:trendlineLbl>
              <c:layout>
                <c:manualLayout>
                  <c:x val="-0.21345394482748084"/>
                  <c:y val="-1.8250608071896771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(Tables!$N$7,Tables!$N$9:$N$17,Tables!$N$19:$N$20)</c:f>
              <c:numCache>
                <c:formatCode>0</c:formatCode>
                <c:ptCount val="12"/>
                <c:pt idx="0">
                  <c:v>11.463033303860691</c:v>
                </c:pt>
                <c:pt idx="1">
                  <c:v>4.3185769243539243</c:v>
                </c:pt>
                <c:pt idx="2">
                  <c:v>9.5163532907919564</c:v>
                </c:pt>
                <c:pt idx="3">
                  <c:v>7.2751729743718849</c:v>
                </c:pt>
                <c:pt idx="4">
                  <c:v>14.563983122658572</c:v>
                </c:pt>
                <c:pt idx="5">
                  <c:v>12.779881990629313</c:v>
                </c:pt>
                <c:pt idx="6">
                  <c:v>6.8638739267581546</c:v>
                </c:pt>
                <c:pt idx="7">
                  <c:v>22.276381646484616</c:v>
                </c:pt>
                <c:pt idx="8">
                  <c:v>12.268034109123516</c:v>
                </c:pt>
                <c:pt idx="9">
                  <c:v>15.521534927625003</c:v>
                </c:pt>
                <c:pt idx="10">
                  <c:v>41.633698056524921</c:v>
                </c:pt>
                <c:pt idx="11">
                  <c:v>38.482042787905641</c:v>
                </c:pt>
              </c:numCache>
            </c:numRef>
          </c:xVal>
          <c:yVal>
            <c:numRef>
              <c:f>(Tables!$AP$7,Tables!$AP$9:$AP$17,Tables!$AP$19:$AP$20)</c:f>
              <c:numCache>
                <c:formatCode>0</c:formatCode>
                <c:ptCount val="12"/>
                <c:pt idx="0">
                  <c:v>7.2205336533375286</c:v>
                </c:pt>
                <c:pt idx="1">
                  <c:v>3.8071759361296516</c:v>
                </c:pt>
                <c:pt idx="2">
                  <c:v>5.9348519977906236</c:v>
                </c:pt>
                <c:pt idx="3">
                  <c:v>4.3318675020045871</c:v>
                </c:pt>
                <c:pt idx="4">
                  <c:v>7.9813107879532037</c:v>
                </c:pt>
                <c:pt idx="5">
                  <c:v>7.2660257115595517</c:v>
                </c:pt>
                <c:pt idx="6">
                  <c:v>1.8323273744603112</c:v>
                </c:pt>
                <c:pt idx="7">
                  <c:v>6.3946504143075504</c:v>
                </c:pt>
                <c:pt idx="8">
                  <c:v>5.2037089182687373</c:v>
                </c:pt>
                <c:pt idx="9">
                  <c:v>4.7613490490007884</c:v>
                </c:pt>
                <c:pt idx="10">
                  <c:v>12.300491898027222</c:v>
                </c:pt>
                <c:pt idx="11">
                  <c:v>11.265355806959796</c:v>
                </c:pt>
              </c:numCache>
            </c:numRef>
          </c:yVal>
          <c:smooth val="0"/>
          <c:extLst xmlns:c15="http://schemas.microsoft.com/office/drawing/2012/chart">
            <c:ext xmlns:c16="http://schemas.microsoft.com/office/drawing/2014/chart" uri="{C3380CC4-5D6E-409C-BE32-E72D297353CC}">
              <c16:uniqueId val="{00000003-8C2F-4ECA-AC50-ACFB1936D638}"/>
            </c:ext>
          </c:extLst>
        </c:ser>
        <c:dLbls>
          <c:showLegendKey val="0"/>
          <c:showVal val="0"/>
          <c:showCatName val="0"/>
          <c:showSerName val="0"/>
          <c:showPercent val="0"/>
          <c:showBubbleSize val="0"/>
        </c:dLbls>
        <c:axId val="2116130544"/>
        <c:axId val="2116129104"/>
        <c:extLst>
          <c:ext xmlns:c15="http://schemas.microsoft.com/office/drawing/2012/chart" uri="{02D57815-91ED-43cb-92C2-25804820EDAC}">
            <c15:filteredScatterSeries>
              <c15:ser>
                <c:idx val="0"/>
                <c:order val="0"/>
                <c:tx>
                  <c:v>CBA</c:v>
                </c:tx>
                <c:spPr>
                  <a:ln w="25400" cap="rnd">
                    <a:noFill/>
                    <a:round/>
                  </a:ln>
                  <a:effectLst/>
                </c:spPr>
                <c:marker>
                  <c:symbol val="circle"/>
                  <c:size val="5"/>
                  <c:spPr>
                    <a:solidFill>
                      <a:schemeClr val="accent1"/>
                    </a:solidFill>
                    <a:ln w="9525">
                      <a:solidFill>
                        <a:schemeClr val="lt1">
                          <a:shade val="50000"/>
                          <a:alpha val="96000"/>
                        </a:schemeClr>
                      </a:solidFill>
                    </a:ln>
                    <a:effectLst/>
                  </c:spPr>
                </c:marker>
                <c:trendline>
                  <c:spPr>
                    <a:ln w="19050" cap="rnd">
                      <a:solidFill>
                        <a:schemeClr val="accent1"/>
                      </a:solidFill>
                      <a:prstDash val="sysDot"/>
                    </a:ln>
                    <a:effectLst/>
                  </c:spPr>
                  <c:trendlineType val="log"/>
                  <c:dispRSqr val="1"/>
                  <c:dispEq val="1"/>
                  <c:trendlineLbl>
                    <c:layout>
                      <c:manualLayout>
                        <c:x val="9.3368085715536453E-2"/>
                        <c:y val="0.15181576452158141"/>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extLst>
                      <c:ext uri="{02D57815-91ED-43cb-92C2-25804820EDAC}">
                        <c15:formulaRef>
                          <c15:sqref>(Tables!$L$7,Tables!$L$9:$L$21)</c15:sqref>
                        </c15:formulaRef>
                      </c:ext>
                    </c:extLst>
                    <c:numCache>
                      <c:formatCode>0</c:formatCode>
                      <c:ptCount val="14"/>
                      <c:pt idx="0">
                        <c:v>11.463033303860691</c:v>
                      </c:pt>
                      <c:pt idx="1">
                        <c:v>4.3185769243539243</c:v>
                      </c:pt>
                      <c:pt idx="2">
                        <c:v>9.5163532907919564</c:v>
                      </c:pt>
                      <c:pt idx="3">
                        <c:v>7.2751729743718849</c:v>
                      </c:pt>
                      <c:pt idx="4">
                        <c:v>14.563983122658572</c:v>
                      </c:pt>
                      <c:pt idx="5">
                        <c:v>12.779881990629313</c:v>
                      </c:pt>
                      <c:pt idx="6">
                        <c:v>6.8638739267581546</c:v>
                      </c:pt>
                      <c:pt idx="7">
                        <c:v>22.276381646484616</c:v>
                      </c:pt>
                      <c:pt idx="8">
                        <c:v>12.268034109123516</c:v>
                      </c:pt>
                      <c:pt idx="9">
                        <c:v>15.521534927625003</c:v>
                      </c:pt>
                      <c:pt idx="10">
                        <c:v>15.94673135133872</c:v>
                      </c:pt>
                      <c:pt idx="11">
                        <c:v>41.633698056524921</c:v>
                      </c:pt>
                      <c:pt idx="12">
                        <c:v>38.482042787905641</c:v>
                      </c:pt>
                      <c:pt idx="13">
                        <c:v>18.578838122852588</c:v>
                      </c:pt>
                    </c:numCache>
                  </c:numRef>
                </c:xVal>
                <c:yVal>
                  <c:numRef>
                    <c:extLst>
                      <c:ext uri="{02D57815-91ED-43cb-92C2-25804820EDAC}">
                        <c15:formulaRef>
                          <c15:sqref>(Tables!$AA$7,Tables!$AA$9:$AA$21)</c15:sqref>
                        </c15:formulaRef>
                      </c:ext>
                    </c:extLst>
                    <c:numCache>
                      <c:formatCode>0</c:formatCode>
                      <c:ptCount val="14"/>
                      <c:pt idx="0">
                        <c:v>8.8616234124233468</c:v>
                      </c:pt>
                      <c:pt idx="1">
                        <c:v>3.5270438114336242</c:v>
                      </c:pt>
                      <c:pt idx="2">
                        <c:v>6.7372405653436473</c:v>
                      </c:pt>
                      <c:pt idx="3">
                        <c:v>6.9070009791207676</c:v>
                      </c:pt>
                      <c:pt idx="4">
                        <c:v>13.334814724793901</c:v>
                      </c:pt>
                      <c:pt idx="5">
                        <c:v>8.9684887595339902</c:v>
                      </c:pt>
                      <c:pt idx="6">
                        <c:v>3.8392850485897498</c:v>
                      </c:pt>
                      <c:pt idx="7">
                        <c:v>13.031727432717187</c:v>
                      </c:pt>
                      <c:pt idx="8">
                        <c:v>8.2736551548035813</c:v>
                      </c:pt>
                      <c:pt idx="9">
                        <c:v>10.678165135981654</c:v>
                      </c:pt>
                      <c:pt idx="10">
                        <c:v>12.33198822148792</c:v>
                      </c:pt>
                      <c:pt idx="11">
                        <c:v>14.165941893201225</c:v>
                      </c:pt>
                      <c:pt idx="12">
                        <c:v>14.950336212944144</c:v>
                      </c:pt>
                      <c:pt idx="13">
                        <c:v>8.3338972964284519</c:v>
                      </c:pt>
                    </c:numCache>
                  </c:numRef>
                </c:yVal>
                <c:smooth val="0"/>
                <c:extLst>
                  <c:ext xmlns:c16="http://schemas.microsoft.com/office/drawing/2014/chart" uri="{C3380CC4-5D6E-409C-BE32-E72D297353CC}">
                    <c16:uniqueId val="{00000001-8C2F-4ECA-AC50-ACFB1936D638}"/>
                  </c:ext>
                </c:extLst>
              </c15:ser>
            </c15:filteredScatterSeries>
          </c:ext>
        </c:extLst>
      </c:scatterChart>
      <c:valAx>
        <c:axId val="2116130544"/>
        <c:scaling>
          <c:orientation val="minMax"/>
        </c:scaling>
        <c:delete val="0"/>
        <c:axPos val="b"/>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100" b="1" i="0" u="none" strike="noStrike" kern="1200" baseline="0">
                    <a:solidFill>
                      <a:sysClr val="windowText" lastClr="000000">
                        <a:lumMod val="65000"/>
                        <a:lumOff val="35000"/>
                      </a:sysClr>
                    </a:solidFill>
                    <a:latin typeface="+mn-lt"/>
                    <a:ea typeface="+mn-ea"/>
                    <a:cs typeface="+mn-cs"/>
                  </a:defRPr>
                </a:pPr>
                <a:r>
                  <a:rPr lang="en-US" sz="1100" b="1"/>
                  <a:t>Total</a:t>
                </a:r>
                <a:r>
                  <a:rPr lang="en-US" sz="1100" b="1" baseline="0"/>
                  <a:t> Nitrogen Loading Rate</a:t>
                </a:r>
                <a:r>
                  <a:rPr lang="en-US" sz="1100" b="1" i="0" u="none" strike="noStrike" kern="1200" baseline="0">
                    <a:solidFill>
                      <a:sysClr val="windowText" lastClr="000000">
                        <a:lumMod val="65000"/>
                        <a:lumOff val="35000"/>
                      </a:sysClr>
                    </a:solidFill>
                  </a:rPr>
                  <a:t> (mg/L-day)</a:t>
                </a:r>
              </a:p>
            </c:rich>
          </c:tx>
          <c:layout>
            <c:manualLayout>
              <c:xMode val="edge"/>
              <c:yMode val="edge"/>
              <c:x val="0.35418314581412569"/>
              <c:y val="0.93081151832460729"/>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100" b="1" i="0" u="none" strike="noStrike" kern="1200" baseline="0">
                  <a:solidFill>
                    <a:sysClr val="windowText" lastClr="000000">
                      <a:lumMod val="65000"/>
                      <a:lumOff val="35000"/>
                    </a:sysClr>
                  </a:solidFill>
                  <a:latin typeface="+mn-lt"/>
                  <a:ea typeface="+mn-ea"/>
                  <a:cs typeface="+mn-cs"/>
                </a:defRPr>
              </a:pPr>
              <a:endParaRPr lang="en-US"/>
            </a:p>
          </c:txPr>
        </c:title>
        <c:numFmt formatCode="0"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2116129104"/>
        <c:crosses val="autoZero"/>
        <c:crossBetween val="midCat"/>
      </c:valAx>
      <c:valAx>
        <c:axId val="2116129104"/>
        <c:scaling>
          <c:orientation val="minMax"/>
          <c:min val="0"/>
        </c:scaling>
        <c:delete val="0"/>
        <c:axPos val="l"/>
        <c:title>
          <c:tx>
            <c:rich>
              <a:bodyPr rot="-54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r>
                  <a:rPr lang="en-US" sz="1050" b="1" i="0" u="none" strike="noStrike" kern="1200" baseline="0">
                    <a:solidFill>
                      <a:sysClr val="windowText" lastClr="000000">
                        <a:lumMod val="65000"/>
                        <a:lumOff val="35000"/>
                      </a:sysClr>
                    </a:solidFill>
                  </a:rPr>
                  <a:t>Total Nitrogen Removal Rate (mg/L-day)</a:t>
                </a:r>
              </a:p>
            </c:rich>
          </c:tx>
          <c:layout>
            <c:manualLayout>
              <c:xMode val="edge"/>
              <c:yMode val="edge"/>
              <c:x val="2.3907016439514643E-2"/>
              <c:y val="0.23424289895700209"/>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2116130544"/>
        <c:crosses val="autoZero"/>
        <c:crossBetween val="midCat"/>
      </c:valAx>
      <c:spPr>
        <a:noFill/>
        <a:ln>
          <a:noFill/>
        </a:ln>
        <a:effectLst/>
      </c:spPr>
    </c:plotArea>
    <c:legend>
      <c:legendPos val="r"/>
      <c:layout>
        <c:manualLayout>
          <c:xMode val="edge"/>
          <c:yMode val="edge"/>
          <c:x val="0.13934680186206741"/>
          <c:y val="3.9593931648596287E-2"/>
          <c:w val="0.13725603731909589"/>
          <c:h val="7.002679638867130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196652823677538"/>
          <c:y val="3.5104712041884818E-2"/>
          <c:w val="0.79935495316637917"/>
          <c:h val="0.81216391144824174"/>
        </c:manualLayout>
      </c:layout>
      <c:scatterChart>
        <c:scatterStyle val="lineMarker"/>
        <c:varyColors val="0"/>
        <c:ser>
          <c:idx val="1"/>
          <c:order val="1"/>
          <c:tx>
            <c:v>PBA</c:v>
          </c:tx>
          <c:spPr>
            <a:ln w="25400" cap="rnd">
              <a:noFill/>
              <a:round/>
            </a:ln>
            <a:effectLst/>
          </c:spPr>
          <c:marker>
            <c:symbol val="circle"/>
            <c:size val="5"/>
            <c:spPr>
              <a:solidFill>
                <a:schemeClr val="accent2"/>
              </a:solidFill>
              <a:ln w="9525">
                <a:solidFill>
                  <a:schemeClr val="lt1">
                    <a:shade val="50000"/>
                    <a:alpha val="96000"/>
                  </a:schemeClr>
                </a:solidFill>
              </a:ln>
              <a:effectLst/>
            </c:spPr>
          </c:marker>
          <c:trendline>
            <c:spPr>
              <a:ln w="19050" cap="rnd">
                <a:solidFill>
                  <a:schemeClr val="accent2"/>
                </a:solidFill>
                <a:prstDash val="sysDot"/>
              </a:ln>
              <a:effectLst/>
            </c:spPr>
            <c:trendlineType val="linear"/>
            <c:dispRSqr val="1"/>
            <c:dispEq val="1"/>
            <c:trendlineLbl>
              <c:layout>
                <c:manualLayout>
                  <c:x val="-9.6803590066273912E-2"/>
                  <c:y val="-3.462402605433483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(Tables!$N$7,Tables!$N$9:$N$17,Tables!$N$19:$N$20)</c:f>
              <c:numCache>
                <c:formatCode>0</c:formatCode>
                <c:ptCount val="12"/>
                <c:pt idx="0">
                  <c:v>11.463033303860691</c:v>
                </c:pt>
                <c:pt idx="1">
                  <c:v>4.3185769243539243</c:v>
                </c:pt>
                <c:pt idx="2">
                  <c:v>9.5163532907919564</c:v>
                </c:pt>
                <c:pt idx="3">
                  <c:v>7.2751729743718849</c:v>
                </c:pt>
                <c:pt idx="4">
                  <c:v>14.563983122658572</c:v>
                </c:pt>
                <c:pt idx="5">
                  <c:v>12.779881990629313</c:v>
                </c:pt>
                <c:pt idx="6">
                  <c:v>6.8638739267581546</c:v>
                </c:pt>
                <c:pt idx="7">
                  <c:v>22.276381646484616</c:v>
                </c:pt>
                <c:pt idx="8">
                  <c:v>12.268034109123516</c:v>
                </c:pt>
                <c:pt idx="9">
                  <c:v>15.521534927625003</c:v>
                </c:pt>
                <c:pt idx="10">
                  <c:v>41.633698056524921</c:v>
                </c:pt>
                <c:pt idx="11">
                  <c:v>38.482042787905641</c:v>
                </c:pt>
              </c:numCache>
            </c:numRef>
          </c:xVal>
          <c:yVal>
            <c:numRef>
              <c:f>(Tables!$AP$7,Tables!$AP$9:$AP$17,Tables!$AP$19:$AP$20)</c:f>
              <c:numCache>
                <c:formatCode>0</c:formatCode>
                <c:ptCount val="12"/>
                <c:pt idx="0">
                  <c:v>7.2205336533375286</c:v>
                </c:pt>
                <c:pt idx="1">
                  <c:v>3.8071759361296516</c:v>
                </c:pt>
                <c:pt idx="2">
                  <c:v>5.9348519977906236</c:v>
                </c:pt>
                <c:pt idx="3">
                  <c:v>4.3318675020045871</c:v>
                </c:pt>
                <c:pt idx="4">
                  <c:v>7.9813107879532037</c:v>
                </c:pt>
                <c:pt idx="5">
                  <c:v>7.2660257115595517</c:v>
                </c:pt>
                <c:pt idx="6">
                  <c:v>1.8323273744603112</c:v>
                </c:pt>
                <c:pt idx="7">
                  <c:v>6.3946504143075504</c:v>
                </c:pt>
                <c:pt idx="8">
                  <c:v>5.2037089182687373</c:v>
                </c:pt>
                <c:pt idx="9">
                  <c:v>4.7613490490007884</c:v>
                </c:pt>
                <c:pt idx="10">
                  <c:v>12.300491898027222</c:v>
                </c:pt>
                <c:pt idx="11">
                  <c:v>11.265355806959796</c:v>
                </c:pt>
              </c:numCache>
            </c:numRef>
          </c:yVal>
          <c:smooth val="0"/>
          <c:extLst>
            <c:ext xmlns:c16="http://schemas.microsoft.com/office/drawing/2014/chart" uri="{C3380CC4-5D6E-409C-BE32-E72D297353CC}">
              <c16:uniqueId val="{00000003-798F-468C-871C-D9E06547056E}"/>
            </c:ext>
          </c:extLst>
        </c:ser>
        <c:dLbls>
          <c:showLegendKey val="0"/>
          <c:showVal val="0"/>
          <c:showCatName val="0"/>
          <c:showSerName val="0"/>
          <c:showPercent val="0"/>
          <c:showBubbleSize val="0"/>
        </c:dLbls>
        <c:axId val="2116130544"/>
        <c:axId val="2116129104"/>
        <c:extLst>
          <c:ext xmlns:c15="http://schemas.microsoft.com/office/drawing/2012/chart" uri="{02D57815-91ED-43cb-92C2-25804820EDAC}">
            <c15:filteredScatterSeries>
              <c15:ser>
                <c:idx val="0"/>
                <c:order val="0"/>
                <c:tx>
                  <c:v>CBA</c:v>
                </c:tx>
                <c:spPr>
                  <a:ln w="25400" cap="rnd">
                    <a:noFill/>
                    <a:round/>
                  </a:ln>
                  <a:effectLst/>
                </c:spPr>
                <c:marker>
                  <c:symbol val="circle"/>
                  <c:size val="5"/>
                  <c:spPr>
                    <a:solidFill>
                      <a:schemeClr val="accent1"/>
                    </a:solidFill>
                    <a:ln w="9525">
                      <a:solidFill>
                        <a:schemeClr val="lt1">
                          <a:shade val="50000"/>
                          <a:alpha val="96000"/>
                        </a:schemeClr>
                      </a:solidFill>
                    </a:ln>
                    <a:effectLst/>
                  </c:spPr>
                </c:marker>
                <c:trendline>
                  <c:spPr>
                    <a:ln w="19050" cap="rnd">
                      <a:solidFill>
                        <a:schemeClr val="accent1"/>
                      </a:solidFill>
                      <a:prstDash val="sysDot"/>
                    </a:ln>
                    <a:effectLst/>
                  </c:spPr>
                  <c:trendlineType val="linear"/>
                  <c:dispRSqr val="1"/>
                  <c:dispEq val="1"/>
                  <c:trendlineLbl>
                    <c:layout>
                      <c:manualLayout>
                        <c:x val="9.3368085715536453E-2"/>
                        <c:y val="0.15181576452158141"/>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extLst>
                      <c:ext uri="{02D57815-91ED-43cb-92C2-25804820EDAC}">
                        <c15:formulaRef>
                          <c15:sqref>(Tables!$L$7,Tables!$L$9:$L$21)</c15:sqref>
                        </c15:formulaRef>
                      </c:ext>
                    </c:extLst>
                    <c:numCache>
                      <c:formatCode>0</c:formatCode>
                      <c:ptCount val="14"/>
                      <c:pt idx="0">
                        <c:v>11.463033303860691</c:v>
                      </c:pt>
                      <c:pt idx="1">
                        <c:v>4.3185769243539243</c:v>
                      </c:pt>
                      <c:pt idx="2">
                        <c:v>9.5163532907919564</c:v>
                      </c:pt>
                      <c:pt idx="3">
                        <c:v>7.2751729743718849</c:v>
                      </c:pt>
                      <c:pt idx="4">
                        <c:v>14.563983122658572</c:v>
                      </c:pt>
                      <c:pt idx="5">
                        <c:v>12.779881990629313</c:v>
                      </c:pt>
                      <c:pt idx="6">
                        <c:v>6.8638739267581546</c:v>
                      </c:pt>
                      <c:pt idx="7">
                        <c:v>22.276381646484616</c:v>
                      </c:pt>
                      <c:pt idx="8">
                        <c:v>12.268034109123516</c:v>
                      </c:pt>
                      <c:pt idx="9">
                        <c:v>15.521534927625003</c:v>
                      </c:pt>
                      <c:pt idx="10">
                        <c:v>15.94673135133872</c:v>
                      </c:pt>
                      <c:pt idx="11">
                        <c:v>41.633698056524921</c:v>
                      </c:pt>
                      <c:pt idx="12">
                        <c:v>38.482042787905641</c:v>
                      </c:pt>
                      <c:pt idx="13">
                        <c:v>18.578838122852588</c:v>
                      </c:pt>
                    </c:numCache>
                  </c:numRef>
                </c:xVal>
                <c:yVal>
                  <c:numRef>
                    <c:extLst>
                      <c:ext uri="{02D57815-91ED-43cb-92C2-25804820EDAC}">
                        <c15:formulaRef>
                          <c15:sqref>(Tables!$AA$7,Tables!$AA$9:$AA$21)</c15:sqref>
                        </c15:formulaRef>
                      </c:ext>
                    </c:extLst>
                    <c:numCache>
                      <c:formatCode>0</c:formatCode>
                      <c:ptCount val="14"/>
                      <c:pt idx="0">
                        <c:v>8.8616234124233468</c:v>
                      </c:pt>
                      <c:pt idx="1">
                        <c:v>3.5270438114336242</c:v>
                      </c:pt>
                      <c:pt idx="2">
                        <c:v>6.7372405653436473</c:v>
                      </c:pt>
                      <c:pt idx="3">
                        <c:v>6.9070009791207676</c:v>
                      </c:pt>
                      <c:pt idx="4">
                        <c:v>13.334814724793901</c:v>
                      </c:pt>
                      <c:pt idx="5">
                        <c:v>8.9684887595339902</c:v>
                      </c:pt>
                      <c:pt idx="6">
                        <c:v>3.8392850485897498</c:v>
                      </c:pt>
                      <c:pt idx="7">
                        <c:v>13.031727432717187</c:v>
                      </c:pt>
                      <c:pt idx="8">
                        <c:v>8.2736551548035813</c:v>
                      </c:pt>
                      <c:pt idx="9">
                        <c:v>10.678165135981654</c:v>
                      </c:pt>
                      <c:pt idx="10">
                        <c:v>12.33198822148792</c:v>
                      </c:pt>
                      <c:pt idx="11">
                        <c:v>14.165941893201225</c:v>
                      </c:pt>
                      <c:pt idx="12">
                        <c:v>14.950336212944144</c:v>
                      </c:pt>
                      <c:pt idx="13">
                        <c:v>8.3338972964284519</c:v>
                      </c:pt>
                    </c:numCache>
                  </c:numRef>
                </c:yVal>
                <c:smooth val="0"/>
                <c:extLst>
                  <c:ext xmlns:c16="http://schemas.microsoft.com/office/drawing/2014/chart" uri="{C3380CC4-5D6E-409C-BE32-E72D297353CC}">
                    <c16:uniqueId val="{00000001-798F-468C-871C-D9E06547056E}"/>
                  </c:ext>
                </c:extLst>
              </c15:ser>
            </c15:filteredScatterSeries>
          </c:ext>
        </c:extLst>
      </c:scatterChart>
      <c:valAx>
        <c:axId val="2116130544"/>
        <c:scaling>
          <c:orientation val="minMax"/>
        </c:scaling>
        <c:delete val="0"/>
        <c:axPos val="b"/>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100" b="1" i="0" u="none" strike="noStrike" kern="1200" baseline="0">
                    <a:solidFill>
                      <a:sysClr val="windowText" lastClr="000000">
                        <a:lumMod val="65000"/>
                        <a:lumOff val="35000"/>
                      </a:sysClr>
                    </a:solidFill>
                    <a:latin typeface="+mn-lt"/>
                    <a:ea typeface="+mn-ea"/>
                    <a:cs typeface="+mn-cs"/>
                  </a:defRPr>
                </a:pPr>
                <a:r>
                  <a:rPr lang="en-US" sz="1100" b="1"/>
                  <a:t>Total</a:t>
                </a:r>
                <a:r>
                  <a:rPr lang="en-US" sz="1100" b="1" baseline="0"/>
                  <a:t> Nitrogen Loading Rate</a:t>
                </a:r>
                <a:r>
                  <a:rPr lang="en-US" sz="1100" b="1" i="0" u="none" strike="noStrike" kern="1200" baseline="0">
                    <a:solidFill>
                      <a:sysClr val="windowText" lastClr="000000">
                        <a:lumMod val="65000"/>
                        <a:lumOff val="35000"/>
                      </a:sysClr>
                    </a:solidFill>
                  </a:rPr>
                  <a:t> (mg/L-day)</a:t>
                </a:r>
              </a:p>
            </c:rich>
          </c:tx>
          <c:layout>
            <c:manualLayout>
              <c:xMode val="edge"/>
              <c:yMode val="edge"/>
              <c:x val="0.35418314581412569"/>
              <c:y val="0.93081151832460729"/>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100" b="1" i="0" u="none" strike="noStrike" kern="1200" baseline="0">
                  <a:solidFill>
                    <a:sysClr val="windowText" lastClr="000000">
                      <a:lumMod val="65000"/>
                      <a:lumOff val="35000"/>
                    </a:sysClr>
                  </a:solidFill>
                  <a:latin typeface="+mn-lt"/>
                  <a:ea typeface="+mn-ea"/>
                  <a:cs typeface="+mn-cs"/>
                </a:defRPr>
              </a:pPr>
              <a:endParaRPr lang="en-US"/>
            </a:p>
          </c:txPr>
        </c:title>
        <c:numFmt formatCode="0"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2116129104"/>
        <c:crosses val="autoZero"/>
        <c:crossBetween val="midCat"/>
      </c:valAx>
      <c:valAx>
        <c:axId val="2116129104"/>
        <c:scaling>
          <c:orientation val="minMax"/>
          <c:min val="0"/>
        </c:scaling>
        <c:delete val="0"/>
        <c:axPos val="l"/>
        <c:title>
          <c:tx>
            <c:rich>
              <a:bodyPr rot="-54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r>
                  <a:rPr lang="en-US" sz="1050" b="1" i="0" u="none" strike="noStrike" kern="1200" baseline="0">
                    <a:solidFill>
                      <a:sysClr val="windowText" lastClr="000000">
                        <a:lumMod val="65000"/>
                        <a:lumOff val="35000"/>
                      </a:sysClr>
                    </a:solidFill>
                  </a:rPr>
                  <a:t>Total Nitrogen Removal Rate (mg/L-day)</a:t>
                </a:r>
              </a:p>
            </c:rich>
          </c:tx>
          <c:layout>
            <c:manualLayout>
              <c:xMode val="edge"/>
              <c:yMode val="edge"/>
              <c:x val="2.3907016439514643E-2"/>
              <c:y val="0.23424289895700209"/>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2116130544"/>
        <c:crosses val="autoZero"/>
        <c:crossBetween val="midCat"/>
      </c:valAx>
      <c:spPr>
        <a:noFill/>
        <a:ln>
          <a:noFill/>
        </a:ln>
        <a:effectLst/>
      </c:spPr>
    </c:plotArea>
    <c:legend>
      <c:legendPos val="r"/>
      <c:legendEntry>
        <c:idx val="1"/>
        <c:delete val="1"/>
      </c:legendEntry>
      <c:layout>
        <c:manualLayout>
          <c:xMode val="edge"/>
          <c:yMode val="edge"/>
          <c:x val="0.13934680186206741"/>
          <c:y val="3.9593931648596287E-2"/>
          <c:w val="0.13725603731909589"/>
          <c:h val="7.002679638867130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8320658287279308E-2"/>
          <c:y val="0.21033314600423386"/>
          <c:w val="0.8840024208930406"/>
          <c:h val="0.61598975602993489"/>
        </c:manualLayout>
      </c:layout>
      <c:barChart>
        <c:barDir val="col"/>
        <c:grouping val="clustered"/>
        <c:varyColors val="0"/>
        <c:ser>
          <c:idx val="0"/>
          <c:order val="0"/>
          <c:tx>
            <c:v>CBA Unit</c:v>
          </c:tx>
          <c:spPr>
            <a:pattFill prst="pct50">
              <a:fgClr>
                <a:schemeClr val="accent5">
                  <a:lumMod val="50000"/>
                </a:schemeClr>
              </a:fgClr>
              <a:bgClr>
                <a:schemeClr val="bg1"/>
              </a:bgClr>
            </a:pattFill>
            <a:ln>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Tables!$B$38:$B$43</c:f>
              <c:strCache>
                <c:ptCount val="6"/>
                <c:pt idx="0">
                  <c:v>Low HLR, Lower Outlet Height, No Plants</c:v>
                </c:pt>
                <c:pt idx="1">
                  <c:v>Medium HLR, Lower Outlet Height, No Plants</c:v>
                </c:pt>
                <c:pt idx="2">
                  <c:v>High HLR, Lower Outlet Height, No Plants</c:v>
                </c:pt>
                <c:pt idx="3">
                  <c:v>High HLR, Upper Outlet Height, No Plants</c:v>
                </c:pt>
                <c:pt idx="4">
                  <c:v>High HLR, Lower Outlet Height, Yes Plants</c:v>
                </c:pt>
                <c:pt idx="5">
                  <c:v>Medium HLR, Upper Outlet Height, Yes Plants</c:v>
                </c:pt>
              </c:strCache>
            </c:strRef>
          </c:cat>
          <c:val>
            <c:numRef>
              <c:f>Tables!$H$38:$H$43</c:f>
              <c:numCache>
                <c:formatCode>0.00</c:formatCode>
                <c:ptCount val="6"/>
                <c:pt idx="0">
                  <c:v>79.488765746499212</c:v>
                </c:pt>
                <c:pt idx="1">
                  <c:v>85.765335958036317</c:v>
                </c:pt>
                <c:pt idx="2">
                  <c:v>61.537160674502758</c:v>
                </c:pt>
                <c:pt idx="3">
                  <c:v>71.189650851778126</c:v>
                </c:pt>
                <c:pt idx="4">
                  <c:v>39.244093421650668</c:v>
                </c:pt>
                <c:pt idx="5">
                  <c:v>83.698045879174444</c:v>
                </c:pt>
              </c:numCache>
            </c:numRef>
          </c:val>
          <c:extLst>
            <c:ext xmlns:c16="http://schemas.microsoft.com/office/drawing/2014/chart" uri="{C3380CC4-5D6E-409C-BE32-E72D297353CC}">
              <c16:uniqueId val="{00000000-8AE7-4F09-B0B2-B2CA169A048D}"/>
            </c:ext>
          </c:extLst>
        </c:ser>
        <c:ser>
          <c:idx val="1"/>
          <c:order val="1"/>
          <c:tx>
            <c:v>PBA Unit</c:v>
          </c:tx>
          <c:spPr>
            <a:pattFill prst="pct20">
              <a:fgClr>
                <a:schemeClr val="accent3">
                  <a:lumMod val="50000"/>
                </a:schemeClr>
              </a:fgClr>
              <a:bgClr>
                <a:schemeClr val="bg1"/>
              </a:bgClr>
            </a:pattFill>
            <a:ln>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Tables!$B$38:$B$43</c:f>
              <c:strCache>
                <c:ptCount val="6"/>
                <c:pt idx="0">
                  <c:v>Low HLR, Lower Outlet Height, No Plants</c:v>
                </c:pt>
                <c:pt idx="1">
                  <c:v>Medium HLR, Lower Outlet Height, No Plants</c:v>
                </c:pt>
                <c:pt idx="2">
                  <c:v>High HLR, Lower Outlet Height, No Plants</c:v>
                </c:pt>
                <c:pt idx="3">
                  <c:v>High HLR, Upper Outlet Height, No Plants</c:v>
                </c:pt>
                <c:pt idx="4">
                  <c:v>High HLR, Lower Outlet Height, Yes Plants</c:v>
                </c:pt>
                <c:pt idx="5">
                  <c:v>Medium HLR, Upper Outlet Height, Yes Plants</c:v>
                </c:pt>
              </c:strCache>
            </c:strRef>
          </c:cat>
          <c:val>
            <c:numRef>
              <c:f>Tables!$X$38:$X$43</c:f>
              <c:numCache>
                <c:formatCode>0.00</c:formatCode>
                <c:ptCount val="6"/>
                <c:pt idx="0">
                  <c:v>75.573921303994183</c:v>
                </c:pt>
                <c:pt idx="1">
                  <c:v>58.903209820643305</c:v>
                </c:pt>
                <c:pt idx="2">
                  <c:v>37.41879605194827</c:v>
                </c:pt>
                <c:pt idx="3">
                  <c:v>50.818501316678997</c:v>
                </c:pt>
                <c:pt idx="4">
                  <c:v>26.240748842393618</c:v>
                </c:pt>
                <c:pt idx="5">
                  <c:v>78.596648217975442</c:v>
                </c:pt>
              </c:numCache>
            </c:numRef>
          </c:val>
          <c:extLst>
            <c:ext xmlns:c16="http://schemas.microsoft.com/office/drawing/2014/chart" uri="{C3380CC4-5D6E-409C-BE32-E72D297353CC}">
              <c16:uniqueId val="{00000001-8AE7-4F09-B0B2-B2CA169A048D}"/>
            </c:ext>
          </c:extLst>
        </c:ser>
        <c:dLbls>
          <c:dLblPos val="outEnd"/>
          <c:showLegendKey val="0"/>
          <c:showVal val="1"/>
          <c:showCatName val="0"/>
          <c:showSerName val="0"/>
          <c:showPercent val="0"/>
          <c:showBubbleSize val="0"/>
        </c:dLbls>
        <c:gapWidth val="219"/>
        <c:overlap val="-27"/>
        <c:axId val="36991087"/>
        <c:axId val="36992047"/>
      </c:barChart>
      <c:catAx>
        <c:axId val="36991087"/>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US" sz="1100" b="1">
                    <a:solidFill>
                      <a:sysClr val="windowText" lastClr="000000"/>
                    </a:solidFill>
                    <a:latin typeface="Arial" panose="020B0604020202020204" pitchFamily="34" charset="0"/>
                    <a:cs typeface="Arial" panose="020B0604020202020204" pitchFamily="34" charset="0"/>
                  </a:rPr>
                  <a:t>Unit</a:t>
                </a:r>
                <a:r>
                  <a:rPr lang="en-US" sz="1100" b="1" baseline="0">
                    <a:solidFill>
                      <a:sysClr val="windowText" lastClr="000000"/>
                    </a:solidFill>
                    <a:latin typeface="Arial" panose="020B0604020202020204" pitchFamily="34" charset="0"/>
                    <a:cs typeface="Arial" panose="020B0604020202020204" pitchFamily="34" charset="0"/>
                  </a:rPr>
                  <a:t> Configuration</a:t>
                </a:r>
                <a:endParaRPr lang="en-US" sz="1100" b="1">
                  <a:solidFill>
                    <a:sysClr val="windowText" lastClr="000000"/>
                  </a:solidFill>
                  <a:latin typeface="Arial" panose="020B0604020202020204" pitchFamily="34" charset="0"/>
                  <a:cs typeface="Arial" panose="020B0604020202020204" pitchFamily="34" charset="0"/>
                </a:endParaRPr>
              </a:p>
            </c:rich>
          </c:tx>
          <c:layout>
            <c:manualLayout>
              <c:xMode val="edge"/>
              <c:yMode val="edge"/>
              <c:x val="0.4185991679433263"/>
              <c:y val="0.95530257639304972"/>
            </c:manualLayout>
          </c:layout>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36992047"/>
        <c:crosses val="autoZero"/>
        <c:auto val="1"/>
        <c:lblAlgn val="ctr"/>
        <c:lblOffset val="100"/>
        <c:noMultiLvlLbl val="0"/>
      </c:catAx>
      <c:valAx>
        <c:axId val="36992047"/>
        <c:scaling>
          <c:orientation val="minMax"/>
        </c:scaling>
        <c:delete val="0"/>
        <c:axPos val="l"/>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sz="1100" b="1">
                    <a:solidFill>
                      <a:sysClr val="windowText" lastClr="000000"/>
                    </a:solidFill>
                    <a:latin typeface="Arial" panose="020B0604020202020204" pitchFamily="34" charset="0"/>
                    <a:cs typeface="Arial" panose="020B0604020202020204" pitchFamily="34" charset="0"/>
                  </a:rPr>
                  <a:t>TIN</a:t>
                </a:r>
                <a:r>
                  <a:rPr lang="en-US" sz="1100" b="1" baseline="0">
                    <a:solidFill>
                      <a:sysClr val="windowText" lastClr="000000"/>
                    </a:solidFill>
                    <a:latin typeface="Arial" panose="020B0604020202020204" pitchFamily="34" charset="0"/>
                    <a:cs typeface="Arial" panose="020B0604020202020204" pitchFamily="34" charset="0"/>
                  </a:rPr>
                  <a:t> Average Load Reduction (%)</a:t>
                </a:r>
                <a:endParaRPr lang="en-US" sz="1100" b="1">
                  <a:solidFill>
                    <a:sysClr val="windowText" lastClr="000000"/>
                  </a:solidFill>
                  <a:latin typeface="Arial" panose="020B0604020202020204" pitchFamily="34" charset="0"/>
                  <a:cs typeface="Arial" panose="020B0604020202020204" pitchFamily="34" charset="0"/>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36991087"/>
        <c:crosses val="autoZero"/>
        <c:crossBetween val="between"/>
      </c:valAx>
      <c:spPr>
        <a:noFill/>
        <a:ln>
          <a:solidFill>
            <a:schemeClr val="tx1"/>
          </a:solidFill>
        </a:ln>
        <a:effectLst/>
      </c:spPr>
    </c:plotArea>
    <c:legend>
      <c:legendPos val="r"/>
      <c:layout>
        <c:manualLayout>
          <c:xMode val="edge"/>
          <c:yMode val="edge"/>
          <c:x val="0.76196562475653484"/>
          <c:y val="2.5184619942228453E-2"/>
          <c:w val="0.20803836260647679"/>
          <c:h val="8.0984370055122851E-2"/>
        </c:manualLayout>
      </c:layout>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6094998059224418E-2"/>
          <c:y val="0.20771892149844901"/>
          <c:w val="0.8762280619878704"/>
          <c:h val="0.62056738646305576"/>
        </c:manualLayout>
      </c:layout>
      <c:barChart>
        <c:barDir val="col"/>
        <c:grouping val="clustered"/>
        <c:varyColors val="0"/>
        <c:ser>
          <c:idx val="0"/>
          <c:order val="0"/>
          <c:tx>
            <c:v>CBA Unit</c:v>
          </c:tx>
          <c:spPr>
            <a:pattFill prst="pct50">
              <a:fgClr>
                <a:schemeClr val="accent5">
                  <a:lumMod val="50000"/>
                </a:schemeClr>
              </a:fgClr>
              <a:bgClr>
                <a:schemeClr val="bg1"/>
              </a:bgClr>
            </a:pattFill>
            <a:ln>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Tables!$B$38:$B$43</c:f>
              <c:strCache>
                <c:ptCount val="6"/>
                <c:pt idx="0">
                  <c:v>Low HLR, Lower Outlet Height, No Plants</c:v>
                </c:pt>
                <c:pt idx="1">
                  <c:v>Medium HLR, Lower Outlet Height, No Plants</c:v>
                </c:pt>
                <c:pt idx="2">
                  <c:v>High HLR, Lower Outlet Height, No Plants</c:v>
                </c:pt>
                <c:pt idx="3">
                  <c:v>High HLR, Upper Outlet Height, No Plants</c:v>
                </c:pt>
                <c:pt idx="4">
                  <c:v>High HLR, Lower Outlet Height, Yes Plants</c:v>
                </c:pt>
                <c:pt idx="5">
                  <c:v>Medium HLR, Upper Outlet Height, Yes Plants</c:v>
                </c:pt>
              </c:strCache>
            </c:strRef>
          </c:cat>
          <c:val>
            <c:numRef>
              <c:f>Tables!$I$38:$I$43</c:f>
              <c:numCache>
                <c:formatCode>0.00</c:formatCode>
                <c:ptCount val="6"/>
                <c:pt idx="0">
                  <c:v>82.658824386304872</c:v>
                </c:pt>
                <c:pt idx="1">
                  <c:v>57.034518209254259</c:v>
                </c:pt>
                <c:pt idx="2">
                  <c:v>13.055168983689214</c:v>
                </c:pt>
                <c:pt idx="3">
                  <c:v>30.181576120977457</c:v>
                </c:pt>
                <c:pt idx="4">
                  <c:v>-37.257820994006941</c:v>
                </c:pt>
                <c:pt idx="5">
                  <c:v>54.254349745328028</c:v>
                </c:pt>
              </c:numCache>
            </c:numRef>
          </c:val>
          <c:extLst>
            <c:ext xmlns:c16="http://schemas.microsoft.com/office/drawing/2014/chart" uri="{C3380CC4-5D6E-409C-BE32-E72D297353CC}">
              <c16:uniqueId val="{00000000-6E22-4247-AC5D-494C521EB1E9}"/>
            </c:ext>
          </c:extLst>
        </c:ser>
        <c:ser>
          <c:idx val="1"/>
          <c:order val="1"/>
          <c:tx>
            <c:v>PBA Unit</c:v>
          </c:tx>
          <c:spPr>
            <a:pattFill prst="pct20">
              <a:fgClr>
                <a:schemeClr val="accent3">
                  <a:lumMod val="50000"/>
                </a:schemeClr>
              </a:fgClr>
              <a:bgClr>
                <a:schemeClr val="bg1"/>
              </a:bgClr>
            </a:pattFill>
            <a:ln>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Tables!$B$38:$B$43</c:f>
              <c:strCache>
                <c:ptCount val="6"/>
                <c:pt idx="0">
                  <c:v>Low HLR, Lower Outlet Height, No Plants</c:v>
                </c:pt>
                <c:pt idx="1">
                  <c:v>Medium HLR, Lower Outlet Height, No Plants</c:v>
                </c:pt>
                <c:pt idx="2">
                  <c:v>High HLR, Lower Outlet Height, No Plants</c:v>
                </c:pt>
                <c:pt idx="3">
                  <c:v>High HLR, Upper Outlet Height, No Plants</c:v>
                </c:pt>
                <c:pt idx="4">
                  <c:v>High HLR, Lower Outlet Height, Yes Plants</c:v>
                </c:pt>
                <c:pt idx="5">
                  <c:v>Medium HLR, Upper Outlet Height, Yes Plants</c:v>
                </c:pt>
              </c:strCache>
            </c:strRef>
          </c:cat>
          <c:val>
            <c:numRef>
              <c:f>Tables!$Y$38:$Y$43</c:f>
              <c:numCache>
                <c:formatCode>0.00</c:formatCode>
                <c:ptCount val="6"/>
                <c:pt idx="0">
                  <c:v>19.120812830576156</c:v>
                </c:pt>
                <c:pt idx="1">
                  <c:v>-3.7248886546843352</c:v>
                </c:pt>
                <c:pt idx="2">
                  <c:v>-51.053657281596436</c:v>
                </c:pt>
                <c:pt idx="3">
                  <c:v>-41.50904735345744</c:v>
                </c:pt>
                <c:pt idx="4">
                  <c:v>-140.79547568482215</c:v>
                </c:pt>
                <c:pt idx="5">
                  <c:v>6.9376773874490185</c:v>
                </c:pt>
              </c:numCache>
            </c:numRef>
          </c:val>
          <c:extLst>
            <c:ext xmlns:c16="http://schemas.microsoft.com/office/drawing/2014/chart" uri="{C3380CC4-5D6E-409C-BE32-E72D297353CC}">
              <c16:uniqueId val="{00000001-6E22-4247-AC5D-494C521EB1E9}"/>
            </c:ext>
          </c:extLst>
        </c:ser>
        <c:dLbls>
          <c:dLblPos val="outEnd"/>
          <c:showLegendKey val="0"/>
          <c:showVal val="1"/>
          <c:showCatName val="0"/>
          <c:showSerName val="0"/>
          <c:showPercent val="0"/>
          <c:showBubbleSize val="0"/>
        </c:dLbls>
        <c:gapWidth val="219"/>
        <c:overlap val="-27"/>
        <c:axId val="36991087"/>
        <c:axId val="36992047"/>
      </c:barChart>
      <c:catAx>
        <c:axId val="36991087"/>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US" sz="1100" b="1">
                    <a:solidFill>
                      <a:sysClr val="windowText" lastClr="000000"/>
                    </a:solidFill>
                    <a:latin typeface="Arial" panose="020B0604020202020204" pitchFamily="34" charset="0"/>
                    <a:cs typeface="Arial" panose="020B0604020202020204" pitchFamily="34" charset="0"/>
                  </a:rPr>
                  <a:t>Unit</a:t>
                </a:r>
                <a:r>
                  <a:rPr lang="en-US" sz="1100" b="1" baseline="0">
                    <a:solidFill>
                      <a:sysClr val="windowText" lastClr="000000"/>
                    </a:solidFill>
                    <a:latin typeface="Arial" panose="020B0604020202020204" pitchFamily="34" charset="0"/>
                    <a:cs typeface="Arial" panose="020B0604020202020204" pitchFamily="34" charset="0"/>
                  </a:rPr>
                  <a:t> Configuration</a:t>
                </a:r>
                <a:endParaRPr lang="en-US" sz="1100" b="1">
                  <a:solidFill>
                    <a:sysClr val="windowText" lastClr="000000"/>
                  </a:solidFill>
                  <a:latin typeface="Arial" panose="020B0604020202020204" pitchFamily="34" charset="0"/>
                  <a:cs typeface="Arial" panose="020B0604020202020204" pitchFamily="34" charset="0"/>
                </a:endParaRPr>
              </a:p>
            </c:rich>
          </c:tx>
          <c:layout>
            <c:manualLayout>
              <c:xMode val="edge"/>
              <c:yMode val="edge"/>
              <c:x val="0.4185991679433263"/>
              <c:y val="0.95530257639304972"/>
            </c:manualLayout>
          </c:layout>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low"/>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36992047"/>
        <c:crosses val="autoZero"/>
        <c:auto val="1"/>
        <c:lblAlgn val="ctr"/>
        <c:lblOffset val="100"/>
        <c:noMultiLvlLbl val="0"/>
      </c:catAx>
      <c:valAx>
        <c:axId val="36992047"/>
        <c:scaling>
          <c:orientation val="minMax"/>
          <c:max val="150"/>
          <c:min val="-180"/>
        </c:scaling>
        <c:delete val="0"/>
        <c:axPos val="l"/>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sz="1100" b="1">
                    <a:solidFill>
                      <a:sysClr val="windowText" lastClr="000000"/>
                    </a:solidFill>
                    <a:latin typeface="Arial" panose="020B0604020202020204" pitchFamily="34" charset="0"/>
                    <a:cs typeface="Arial" panose="020B0604020202020204" pitchFamily="34" charset="0"/>
                  </a:rPr>
                  <a:t>TP</a:t>
                </a:r>
                <a:r>
                  <a:rPr lang="en-US" sz="1100" b="1" baseline="0">
                    <a:solidFill>
                      <a:sysClr val="windowText" lastClr="000000"/>
                    </a:solidFill>
                    <a:latin typeface="Arial" panose="020B0604020202020204" pitchFamily="34" charset="0"/>
                    <a:cs typeface="Arial" panose="020B0604020202020204" pitchFamily="34" charset="0"/>
                  </a:rPr>
                  <a:t> Average Load Reduction (%)</a:t>
                </a:r>
                <a:endParaRPr lang="en-US" sz="1100" b="1">
                  <a:solidFill>
                    <a:sysClr val="windowText" lastClr="000000"/>
                  </a:solidFill>
                  <a:latin typeface="Arial" panose="020B0604020202020204" pitchFamily="34" charset="0"/>
                  <a:cs typeface="Arial" panose="020B0604020202020204" pitchFamily="34" charset="0"/>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36991087"/>
        <c:crosses val="autoZero"/>
        <c:crossBetween val="between"/>
        <c:majorUnit val="50"/>
      </c:valAx>
      <c:spPr>
        <a:noFill/>
        <a:ln>
          <a:solidFill>
            <a:schemeClr val="tx1"/>
          </a:solidFill>
        </a:ln>
        <a:effectLst/>
      </c:spPr>
    </c:plotArea>
    <c:legend>
      <c:legendPos val="r"/>
      <c:layout>
        <c:manualLayout>
          <c:xMode val="edge"/>
          <c:yMode val="edge"/>
          <c:x val="0.75875538533549647"/>
          <c:y val="3.1815033537474481E-2"/>
          <c:w val="0.20803836260647679"/>
          <c:h val="8.0984370055122851E-2"/>
        </c:manualLayout>
      </c:layout>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5898243598212345E-2"/>
          <c:y val="0.13048727356891471"/>
          <c:w val="0.896424834226629"/>
          <c:h val="0.69583540391697685"/>
        </c:manualLayout>
      </c:layout>
      <c:barChart>
        <c:barDir val="col"/>
        <c:grouping val="clustered"/>
        <c:varyColors val="0"/>
        <c:ser>
          <c:idx val="0"/>
          <c:order val="0"/>
          <c:tx>
            <c:v>TIN</c:v>
          </c:tx>
          <c:spPr>
            <a:pattFill prst="pct50">
              <a:fgClr>
                <a:schemeClr val="accent5">
                  <a:lumMod val="50000"/>
                </a:schemeClr>
              </a:fgClr>
              <a:bgClr>
                <a:schemeClr val="bg1"/>
              </a:bgClr>
            </a:pattFill>
            <a:ln>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Tables!$AG$28:$AG$33</c:f>
              <c:strCache>
                <c:ptCount val="6"/>
                <c:pt idx="0">
                  <c:v>1 and 3</c:v>
                </c:pt>
                <c:pt idx="1">
                  <c:v>4 - 6</c:v>
                </c:pt>
                <c:pt idx="2">
                  <c:v>7 - 9</c:v>
                </c:pt>
                <c:pt idx="3">
                  <c:v>10 - 12</c:v>
                </c:pt>
                <c:pt idx="4">
                  <c:v>13 - 15</c:v>
                </c:pt>
                <c:pt idx="5">
                  <c:v>16 - 18</c:v>
                </c:pt>
              </c:strCache>
            </c:strRef>
          </c:cat>
          <c:val>
            <c:numRef>
              <c:f>Tables!$AM$28:$AM$33</c:f>
              <c:numCache>
                <c:formatCode>0.00</c:formatCode>
                <c:ptCount val="6"/>
                <c:pt idx="0">
                  <c:v>0.96344086021505382</c:v>
                </c:pt>
                <c:pt idx="1">
                  <c:v>0.65725958659701023</c:v>
                </c:pt>
                <c:pt idx="2">
                  <c:v>0.13051125234840311</c:v>
                </c:pt>
                <c:pt idx="3">
                  <c:v>0.5662619092582899</c:v>
                </c:pt>
                <c:pt idx="4">
                  <c:v>2.0302009629947784</c:v>
                </c:pt>
                <c:pt idx="5">
                  <c:v>3.3193966597533602</c:v>
                </c:pt>
              </c:numCache>
            </c:numRef>
          </c:val>
          <c:extLst>
            <c:ext xmlns:c16="http://schemas.microsoft.com/office/drawing/2014/chart" uri="{C3380CC4-5D6E-409C-BE32-E72D297353CC}">
              <c16:uniqueId val="{00000000-9199-444E-AB2A-4EC96970A962}"/>
            </c:ext>
          </c:extLst>
        </c:ser>
        <c:ser>
          <c:idx val="1"/>
          <c:order val="1"/>
          <c:tx>
            <c:v>TP</c:v>
          </c:tx>
          <c:spPr>
            <a:pattFill prst="pct20">
              <a:fgClr>
                <a:schemeClr val="accent3">
                  <a:lumMod val="50000"/>
                </a:schemeClr>
              </a:fgClr>
              <a:bgClr>
                <a:schemeClr val="bg1"/>
              </a:bgClr>
            </a:pattFill>
            <a:ln>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Tables!$AG$28:$AG$33</c:f>
              <c:strCache>
                <c:ptCount val="6"/>
                <c:pt idx="0">
                  <c:v>1 and 3</c:v>
                </c:pt>
                <c:pt idx="1">
                  <c:v>4 - 6</c:v>
                </c:pt>
                <c:pt idx="2">
                  <c:v>7 - 9</c:v>
                </c:pt>
                <c:pt idx="3">
                  <c:v>10 - 12</c:v>
                </c:pt>
                <c:pt idx="4">
                  <c:v>13 - 15</c:v>
                </c:pt>
                <c:pt idx="5">
                  <c:v>16 - 18</c:v>
                </c:pt>
              </c:strCache>
            </c:strRef>
          </c:cat>
          <c:val>
            <c:numRef>
              <c:f>Tables!$AN$28:$AN$33</c:f>
              <c:numCache>
                <c:formatCode>0.00</c:formatCode>
                <c:ptCount val="6"/>
                <c:pt idx="0">
                  <c:v>1.3643936939141841</c:v>
                </c:pt>
                <c:pt idx="1">
                  <c:v>0.88096461092196454</c:v>
                </c:pt>
                <c:pt idx="2">
                  <c:v>0.36976326817788124</c:v>
                </c:pt>
                <c:pt idx="3">
                  <c:v>0.76894365035339707</c:v>
                </c:pt>
                <c:pt idx="4">
                  <c:v>2.3117087721035379</c:v>
                </c:pt>
                <c:pt idx="5">
                  <c:v>4.0933171786244813</c:v>
                </c:pt>
              </c:numCache>
            </c:numRef>
          </c:val>
          <c:extLst>
            <c:ext xmlns:c16="http://schemas.microsoft.com/office/drawing/2014/chart" uri="{C3380CC4-5D6E-409C-BE32-E72D297353CC}">
              <c16:uniqueId val="{00000001-9199-444E-AB2A-4EC96970A962}"/>
            </c:ext>
          </c:extLst>
        </c:ser>
        <c:dLbls>
          <c:dLblPos val="outEnd"/>
          <c:showLegendKey val="0"/>
          <c:showVal val="1"/>
          <c:showCatName val="0"/>
          <c:showSerName val="0"/>
          <c:showPercent val="0"/>
          <c:showBubbleSize val="0"/>
        </c:dLbls>
        <c:gapWidth val="219"/>
        <c:overlap val="-27"/>
        <c:axId val="36991087"/>
        <c:axId val="36992047"/>
      </c:barChart>
      <c:catAx>
        <c:axId val="36991087"/>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US" sz="1100" b="1">
                    <a:solidFill>
                      <a:sysClr val="windowText" lastClr="000000"/>
                    </a:solidFill>
                    <a:latin typeface="Arial" panose="020B0604020202020204" pitchFamily="34" charset="0"/>
                    <a:cs typeface="Arial" panose="020B0604020202020204" pitchFamily="34" charset="0"/>
                  </a:rPr>
                  <a:t>Unit</a:t>
                </a:r>
                <a:r>
                  <a:rPr lang="en-US" sz="1100" b="1" baseline="0">
                    <a:solidFill>
                      <a:sysClr val="windowText" lastClr="000000"/>
                    </a:solidFill>
                    <a:latin typeface="Arial" panose="020B0604020202020204" pitchFamily="34" charset="0"/>
                    <a:cs typeface="Arial" panose="020B0604020202020204" pitchFamily="34" charset="0"/>
                  </a:rPr>
                  <a:t> Configuration</a:t>
                </a:r>
                <a:endParaRPr lang="en-US" sz="1100" b="1">
                  <a:solidFill>
                    <a:sysClr val="windowText" lastClr="000000"/>
                  </a:solidFill>
                  <a:latin typeface="Arial" panose="020B0604020202020204" pitchFamily="34" charset="0"/>
                  <a:cs typeface="Arial" panose="020B0604020202020204" pitchFamily="34" charset="0"/>
                </a:endParaRPr>
              </a:p>
            </c:rich>
          </c:tx>
          <c:layout>
            <c:manualLayout>
              <c:xMode val="edge"/>
              <c:yMode val="edge"/>
              <c:x val="0.4185991679433263"/>
              <c:y val="0.95530257639304972"/>
            </c:manualLayout>
          </c:layout>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low"/>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36992047"/>
        <c:crosses val="autoZero"/>
        <c:auto val="1"/>
        <c:lblAlgn val="ctr"/>
        <c:lblOffset val="100"/>
        <c:noMultiLvlLbl val="0"/>
      </c:catAx>
      <c:valAx>
        <c:axId val="36992047"/>
        <c:scaling>
          <c:orientation val="minMax"/>
          <c:max val="100"/>
        </c:scaling>
        <c:delete val="0"/>
        <c:axPos val="l"/>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sz="1100" b="1" baseline="0">
                    <a:solidFill>
                      <a:sysClr val="windowText" lastClr="000000"/>
                    </a:solidFill>
                    <a:latin typeface="Arial" panose="020B0604020202020204" pitchFamily="34" charset="0"/>
                    <a:cs typeface="Arial" panose="020B0604020202020204" pitchFamily="34" charset="0"/>
                  </a:rPr>
                  <a:t>Combined Unit Average Load Reduction (%)</a:t>
                </a:r>
                <a:endParaRPr lang="en-US" sz="1100" b="1">
                  <a:solidFill>
                    <a:sysClr val="windowText" lastClr="000000"/>
                  </a:solidFill>
                  <a:latin typeface="Arial" panose="020B0604020202020204" pitchFamily="34" charset="0"/>
                  <a:cs typeface="Arial" panose="020B0604020202020204" pitchFamily="34" charset="0"/>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36991087"/>
        <c:crosses val="autoZero"/>
        <c:crossBetween val="between"/>
        <c:majorUnit val="10"/>
      </c:valAx>
      <c:spPr>
        <a:noFill/>
        <a:ln>
          <a:solidFill>
            <a:schemeClr val="tx1"/>
          </a:solidFill>
        </a:ln>
        <a:effectLst/>
      </c:spPr>
    </c:plotArea>
    <c:legend>
      <c:legendPos val="r"/>
      <c:layout>
        <c:manualLayout>
          <c:xMode val="edge"/>
          <c:yMode val="edge"/>
          <c:x val="0.82703313412805679"/>
          <c:y val="4.4306462263187629E-2"/>
          <c:w val="0.14278725711098827"/>
          <c:h val="4.3359410947487478E-2"/>
        </c:manualLayout>
      </c:layout>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5898243598212345E-2"/>
          <c:y val="0.13278439049398208"/>
          <c:w val="0.896424834226629"/>
          <c:h val="0.69353831229135776"/>
        </c:manualLayout>
      </c:layout>
      <c:barChart>
        <c:barDir val="col"/>
        <c:grouping val="clustered"/>
        <c:varyColors val="0"/>
        <c:ser>
          <c:idx val="0"/>
          <c:order val="0"/>
          <c:tx>
            <c:v>TIN</c:v>
          </c:tx>
          <c:spPr>
            <a:pattFill prst="pct50">
              <a:fgClr>
                <a:schemeClr val="accent5">
                  <a:lumMod val="50000"/>
                </a:schemeClr>
              </a:fgClr>
              <a:bgClr>
                <a:schemeClr val="bg1"/>
              </a:bgClr>
            </a:pattFill>
            <a:ln>
              <a:solidFill>
                <a:schemeClr val="tx1"/>
              </a:solidFill>
            </a:ln>
            <a:effectLst/>
          </c:spPr>
          <c:invertIfNegative val="0"/>
          <c:dPt>
            <c:idx val="5"/>
            <c:invertIfNegative val="0"/>
            <c:bubble3D val="0"/>
            <c:spPr>
              <a:pattFill prst="pct50">
                <a:fgClr>
                  <a:schemeClr val="accent5">
                    <a:lumMod val="50000"/>
                  </a:schemeClr>
                </a:fgClr>
                <a:bgClr>
                  <a:schemeClr val="bg1"/>
                </a:bgClr>
              </a:pattFill>
              <a:ln>
                <a:solidFill>
                  <a:schemeClr val="tx1"/>
                </a:solidFill>
              </a:ln>
              <a:effectLst/>
            </c:spPr>
            <c:extLst>
              <c:ext xmlns:c16="http://schemas.microsoft.com/office/drawing/2014/chart" uri="{C3380CC4-5D6E-409C-BE32-E72D297353CC}">
                <c16:uniqueId val="{00000001-8042-4879-B704-C393B8FBFF3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Tables!$B$28:$B$33</c:f>
              <c:strCache>
                <c:ptCount val="6"/>
                <c:pt idx="0">
                  <c:v>Low HLR, Lower Outlet Height, No Plants</c:v>
                </c:pt>
                <c:pt idx="1">
                  <c:v>Medium HLR, Lower Outlet Height, No Plants</c:v>
                </c:pt>
                <c:pt idx="2">
                  <c:v>High HLR, Lower Outlet Height, No Plants</c:v>
                </c:pt>
                <c:pt idx="3">
                  <c:v>High HLR, Upper Outlet Height, No Plants</c:v>
                </c:pt>
                <c:pt idx="4">
                  <c:v>High HLR, Lower Outlet Height, Yes Plants</c:v>
                </c:pt>
                <c:pt idx="5">
                  <c:v>Medium HLR, Upper Outlet Height, Yes Plants</c:v>
                </c:pt>
              </c:strCache>
            </c:strRef>
          </c:cat>
          <c:val>
            <c:numRef>
              <c:f>Tables!$H$28:$H$33</c:f>
              <c:numCache>
                <c:formatCode>0.00</c:formatCode>
                <c:ptCount val="6"/>
                <c:pt idx="0">
                  <c:v>2.7216552525675235</c:v>
                </c:pt>
                <c:pt idx="1">
                  <c:v>1.8024963990414389</c:v>
                </c:pt>
                <c:pt idx="2">
                  <c:v>0.9639249813692633</c:v>
                </c:pt>
                <c:pt idx="3">
                  <c:v>1.4712819661170595</c:v>
                </c:pt>
                <c:pt idx="4">
                  <c:v>2.2694145515942896</c:v>
                </c:pt>
                <c:pt idx="5">
                  <c:v>7.7988879393860104</c:v>
                </c:pt>
              </c:numCache>
            </c:numRef>
          </c:val>
          <c:extLst>
            <c:ext xmlns:c16="http://schemas.microsoft.com/office/drawing/2014/chart" uri="{C3380CC4-5D6E-409C-BE32-E72D297353CC}">
              <c16:uniqueId val="{00000002-8042-4879-B704-C393B8FBFF30}"/>
            </c:ext>
          </c:extLst>
        </c:ser>
        <c:ser>
          <c:idx val="1"/>
          <c:order val="1"/>
          <c:tx>
            <c:v>TP</c:v>
          </c:tx>
          <c:spPr>
            <a:pattFill prst="pct20">
              <a:fgClr>
                <a:schemeClr val="accent3">
                  <a:lumMod val="50000"/>
                </a:schemeClr>
              </a:fgClr>
              <a:bgClr>
                <a:schemeClr val="bg1"/>
              </a:bgClr>
            </a:pattFill>
            <a:ln>
              <a:solidFill>
                <a:schemeClr val="tx1"/>
              </a:solidFill>
            </a:ln>
            <a:effectLst/>
          </c:spPr>
          <c:invertIfNegative val="0"/>
          <c:dPt>
            <c:idx val="5"/>
            <c:invertIfNegative val="0"/>
            <c:bubble3D val="0"/>
            <c:spPr>
              <a:pattFill prst="pct20">
                <a:fgClr>
                  <a:schemeClr val="accent3">
                    <a:lumMod val="50000"/>
                  </a:schemeClr>
                </a:fgClr>
                <a:bgClr>
                  <a:schemeClr val="bg1"/>
                </a:bgClr>
              </a:pattFill>
              <a:ln>
                <a:solidFill>
                  <a:schemeClr val="tx1"/>
                </a:solidFill>
              </a:ln>
              <a:effectLst/>
            </c:spPr>
            <c:extLst>
              <c:ext xmlns:c16="http://schemas.microsoft.com/office/drawing/2014/chart" uri="{C3380CC4-5D6E-409C-BE32-E72D297353CC}">
                <c16:uniqueId val="{00000004-8042-4879-B704-C393B8FBFF3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Tables!$B$28:$B$33</c:f>
              <c:strCache>
                <c:ptCount val="6"/>
                <c:pt idx="0">
                  <c:v>Low HLR, Lower Outlet Height, No Plants</c:v>
                </c:pt>
                <c:pt idx="1">
                  <c:v>Medium HLR, Lower Outlet Height, No Plants</c:v>
                </c:pt>
                <c:pt idx="2">
                  <c:v>High HLR, Lower Outlet Height, No Plants</c:v>
                </c:pt>
                <c:pt idx="3">
                  <c:v>High HLR, Upper Outlet Height, No Plants</c:v>
                </c:pt>
                <c:pt idx="4">
                  <c:v>High HLR, Lower Outlet Height, Yes Plants</c:v>
                </c:pt>
                <c:pt idx="5">
                  <c:v>Medium HLR, Upper Outlet Height, Yes Plants</c:v>
                </c:pt>
              </c:strCache>
            </c:strRef>
          </c:cat>
          <c:val>
            <c:numRef>
              <c:f>Tables!$I$28:$I$33</c:f>
              <c:numCache>
                <c:formatCode>0.00</c:formatCode>
                <c:ptCount val="6"/>
                <c:pt idx="0">
                  <c:v>1.1790790162218734</c:v>
                </c:pt>
                <c:pt idx="1">
                  <c:v>0.79565323565323565</c:v>
                </c:pt>
                <c:pt idx="2">
                  <c:v>1.0183406011977441</c:v>
                </c:pt>
                <c:pt idx="3">
                  <c:v>1.0330879702308273</c:v>
                </c:pt>
                <c:pt idx="4">
                  <c:v>0.83289726146868992</c:v>
                </c:pt>
                <c:pt idx="5">
                  <c:v>1.1688179545322404</c:v>
                </c:pt>
              </c:numCache>
            </c:numRef>
          </c:val>
          <c:extLst>
            <c:ext xmlns:c16="http://schemas.microsoft.com/office/drawing/2014/chart" uri="{C3380CC4-5D6E-409C-BE32-E72D297353CC}">
              <c16:uniqueId val="{00000005-8042-4879-B704-C393B8FBFF30}"/>
            </c:ext>
          </c:extLst>
        </c:ser>
        <c:dLbls>
          <c:dLblPos val="outEnd"/>
          <c:showLegendKey val="0"/>
          <c:showVal val="1"/>
          <c:showCatName val="0"/>
          <c:showSerName val="0"/>
          <c:showPercent val="0"/>
          <c:showBubbleSize val="0"/>
        </c:dLbls>
        <c:gapWidth val="219"/>
        <c:overlap val="-27"/>
        <c:axId val="36991087"/>
        <c:axId val="36992047"/>
      </c:barChart>
      <c:catAx>
        <c:axId val="36991087"/>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US" sz="1100" b="1">
                    <a:solidFill>
                      <a:sysClr val="windowText" lastClr="000000"/>
                    </a:solidFill>
                    <a:latin typeface="Arial" panose="020B0604020202020204" pitchFamily="34" charset="0"/>
                    <a:cs typeface="Arial" panose="020B0604020202020204" pitchFamily="34" charset="0"/>
                  </a:rPr>
                  <a:t>Unit</a:t>
                </a:r>
                <a:r>
                  <a:rPr lang="en-US" sz="1100" b="1" baseline="0">
                    <a:solidFill>
                      <a:sysClr val="windowText" lastClr="000000"/>
                    </a:solidFill>
                    <a:latin typeface="Arial" panose="020B0604020202020204" pitchFamily="34" charset="0"/>
                    <a:cs typeface="Arial" panose="020B0604020202020204" pitchFamily="34" charset="0"/>
                  </a:rPr>
                  <a:t> Configuration</a:t>
                </a:r>
                <a:endParaRPr lang="en-US" sz="1100" b="1">
                  <a:solidFill>
                    <a:sysClr val="windowText" lastClr="000000"/>
                  </a:solidFill>
                  <a:latin typeface="Arial" panose="020B0604020202020204" pitchFamily="34" charset="0"/>
                  <a:cs typeface="Arial" panose="020B0604020202020204" pitchFamily="34" charset="0"/>
                </a:endParaRPr>
              </a:p>
            </c:rich>
          </c:tx>
          <c:layout>
            <c:manualLayout>
              <c:xMode val="edge"/>
              <c:yMode val="edge"/>
              <c:x val="0.4185991679433263"/>
              <c:y val="0.95530257639304972"/>
            </c:manualLayout>
          </c:layout>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low"/>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36992047"/>
        <c:crosses val="autoZero"/>
        <c:auto val="1"/>
        <c:lblAlgn val="ctr"/>
        <c:lblOffset val="100"/>
        <c:noMultiLvlLbl val="0"/>
      </c:catAx>
      <c:valAx>
        <c:axId val="36992047"/>
        <c:scaling>
          <c:orientation val="minMax"/>
          <c:max val="10"/>
        </c:scaling>
        <c:delete val="0"/>
        <c:axPos val="l"/>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sz="1100" b="1" baseline="0">
                    <a:solidFill>
                      <a:sysClr val="windowText" lastClr="000000"/>
                    </a:solidFill>
                    <a:latin typeface="Arial" panose="020B0604020202020204" pitchFamily="34" charset="0"/>
                    <a:cs typeface="Arial" panose="020B0604020202020204" pitchFamily="34" charset="0"/>
                  </a:rPr>
                  <a:t>Average Influent Concentration (mg/L)</a:t>
                </a:r>
                <a:endParaRPr lang="en-US" sz="1100" b="1">
                  <a:solidFill>
                    <a:sysClr val="windowText" lastClr="000000"/>
                  </a:solidFill>
                  <a:latin typeface="Arial" panose="020B0604020202020204" pitchFamily="34" charset="0"/>
                  <a:cs typeface="Arial" panose="020B0604020202020204" pitchFamily="34" charset="0"/>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36991087"/>
        <c:crosses val="autoZero"/>
        <c:crossBetween val="between"/>
      </c:valAx>
      <c:spPr>
        <a:noFill/>
        <a:ln>
          <a:solidFill>
            <a:schemeClr val="tx1"/>
          </a:solidFill>
        </a:ln>
        <a:effectLst/>
      </c:spPr>
    </c:plotArea>
    <c:legend>
      <c:legendPos val="r"/>
      <c:layout>
        <c:manualLayout>
          <c:xMode val="edge"/>
          <c:yMode val="edge"/>
          <c:x val="0.44306903213185322"/>
          <c:y val="4.6330255961919246E-2"/>
          <c:w val="0.1412681566978041"/>
          <c:h val="4.085852677952468E-2"/>
        </c:manualLayout>
      </c:layout>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51351092691785"/>
          <c:y val="8.3493905091112319E-2"/>
          <c:w val="0.83788971381463595"/>
          <c:h val="0.7469681866390262"/>
        </c:manualLayout>
      </c:layout>
      <c:lineChart>
        <c:grouping val="standard"/>
        <c:varyColors val="0"/>
        <c:ser>
          <c:idx val="0"/>
          <c:order val="0"/>
          <c:tx>
            <c:v>Influent</c:v>
          </c:tx>
          <c:spPr>
            <a:ln w="28575" cap="rnd">
              <a:solidFill>
                <a:schemeClr val="bg2">
                  <a:lumMod val="90000"/>
                </a:schemeClr>
              </a:solidFill>
              <a:round/>
            </a:ln>
            <a:effectLst/>
          </c:spPr>
          <c:marker>
            <c:symbol val="triangle"/>
            <c:size val="5"/>
            <c:spPr>
              <a:solidFill>
                <a:schemeClr val="bg2">
                  <a:lumMod val="75000"/>
                </a:schemeClr>
              </a:solidFill>
              <a:ln w="9525">
                <a:solidFill>
                  <a:schemeClr val="bg2">
                    <a:lumMod val="75000"/>
                  </a:schemeClr>
                </a:solidFill>
              </a:ln>
              <a:effectLst/>
            </c:spPr>
          </c:marker>
          <c:cat>
            <c:numRef>
              <c:f>'Figures (2)'!$D$161:$J$161</c:f>
              <c:numCache>
                <c:formatCode>General</c:formatCode>
                <c:ptCount val="7"/>
                <c:pt idx="0">
                  <c:v>0</c:v>
                </c:pt>
                <c:pt idx="1">
                  <c:v>30</c:v>
                </c:pt>
                <c:pt idx="2">
                  <c:v>60</c:v>
                </c:pt>
                <c:pt idx="3">
                  <c:v>90</c:v>
                </c:pt>
                <c:pt idx="4">
                  <c:v>120</c:v>
                </c:pt>
                <c:pt idx="5">
                  <c:v>150</c:v>
                </c:pt>
                <c:pt idx="6">
                  <c:v>180</c:v>
                </c:pt>
              </c:numCache>
            </c:numRef>
          </c:cat>
          <c:val>
            <c:numRef>
              <c:f>'Figures (2)'!$D$162:$J$162</c:f>
              <c:numCache>
                <c:formatCode>General</c:formatCode>
                <c:ptCount val="7"/>
                <c:pt idx="0">
                  <c:v>10.019994981473234</c:v>
                </c:pt>
                <c:pt idx="1">
                  <c:v>9.4744249012653121</c:v>
                </c:pt>
                <c:pt idx="2">
                  <c:v>9.2663602808205354</c:v>
                </c:pt>
                <c:pt idx="3">
                  <c:v>8.5059360247999543</c:v>
                </c:pt>
                <c:pt idx="4">
                  <c:v>8.0115846894848417</c:v>
                </c:pt>
                <c:pt idx="5">
                  <c:v>7.7744258927059677</c:v>
                </c:pt>
                <c:pt idx="6">
                  <c:v>7.4507275696419697</c:v>
                </c:pt>
              </c:numCache>
            </c:numRef>
          </c:val>
          <c:smooth val="0"/>
          <c:extLst>
            <c:ext xmlns:c16="http://schemas.microsoft.com/office/drawing/2014/chart" uri="{C3380CC4-5D6E-409C-BE32-E72D297353CC}">
              <c16:uniqueId val="{00000000-95B1-4B5F-B7FB-A704551A4B1E}"/>
            </c:ext>
          </c:extLst>
        </c:ser>
        <c:ser>
          <c:idx val="1"/>
          <c:order val="1"/>
          <c:tx>
            <c:v>CBA</c:v>
          </c:tx>
          <c:spPr>
            <a:ln w="28575" cap="rnd">
              <a:solidFill>
                <a:schemeClr val="accent2">
                  <a:lumMod val="75000"/>
                </a:schemeClr>
              </a:solidFill>
              <a:round/>
            </a:ln>
            <a:effectLst/>
          </c:spPr>
          <c:marker>
            <c:symbol val="circle"/>
            <c:size val="5"/>
            <c:spPr>
              <a:solidFill>
                <a:schemeClr val="accent2">
                  <a:lumMod val="75000"/>
                  <a:alpha val="99000"/>
                </a:schemeClr>
              </a:solidFill>
              <a:ln w="9525">
                <a:solidFill>
                  <a:schemeClr val="accent2">
                    <a:lumMod val="75000"/>
                  </a:schemeClr>
                </a:solidFill>
              </a:ln>
              <a:effectLst/>
            </c:spPr>
          </c:marker>
          <c:cat>
            <c:numRef>
              <c:f>'Figures (2)'!$D$161:$J$161</c:f>
              <c:numCache>
                <c:formatCode>General</c:formatCode>
                <c:ptCount val="7"/>
                <c:pt idx="0">
                  <c:v>0</c:v>
                </c:pt>
                <c:pt idx="1">
                  <c:v>30</c:v>
                </c:pt>
                <c:pt idx="2">
                  <c:v>60</c:v>
                </c:pt>
                <c:pt idx="3">
                  <c:v>90</c:v>
                </c:pt>
                <c:pt idx="4">
                  <c:v>120</c:v>
                </c:pt>
                <c:pt idx="5">
                  <c:v>150</c:v>
                </c:pt>
                <c:pt idx="6">
                  <c:v>180</c:v>
                </c:pt>
              </c:numCache>
            </c:numRef>
          </c:cat>
          <c:val>
            <c:numRef>
              <c:f>'Figures (2)'!$D$163:$J$163</c:f>
              <c:numCache>
                <c:formatCode>General</c:formatCode>
                <c:ptCount val="7"/>
                <c:pt idx="0">
                  <c:v>4.2468632536653922E-2</c:v>
                </c:pt>
                <c:pt idx="1">
                  <c:v>0.15856810765824458</c:v>
                </c:pt>
                <c:pt idx="2">
                  <c:v>0.20845571905551136</c:v>
                </c:pt>
                <c:pt idx="3">
                  <c:v>0.76426801955243862</c:v>
                </c:pt>
                <c:pt idx="4">
                  <c:v>1.5869709173636359</c:v>
                </c:pt>
                <c:pt idx="5">
                  <c:v>2.285287901989407</c:v>
                </c:pt>
                <c:pt idx="6">
                  <c:v>2.4637798872975507</c:v>
                </c:pt>
              </c:numCache>
            </c:numRef>
          </c:val>
          <c:smooth val="0"/>
          <c:extLst>
            <c:ext xmlns:c16="http://schemas.microsoft.com/office/drawing/2014/chart" uri="{C3380CC4-5D6E-409C-BE32-E72D297353CC}">
              <c16:uniqueId val="{00000001-95B1-4B5F-B7FB-A704551A4B1E}"/>
            </c:ext>
          </c:extLst>
        </c:ser>
        <c:ser>
          <c:idx val="2"/>
          <c:order val="2"/>
          <c:tx>
            <c:v>PBA</c:v>
          </c:tx>
          <c:spPr>
            <a:ln w="28575" cap="rnd">
              <a:solidFill>
                <a:schemeClr val="accent5">
                  <a:lumMod val="50000"/>
                </a:schemeClr>
              </a:solidFill>
              <a:round/>
            </a:ln>
            <a:effectLst/>
          </c:spPr>
          <c:marker>
            <c:symbol val="x"/>
            <c:size val="5"/>
            <c:spPr>
              <a:solidFill>
                <a:schemeClr val="accent5">
                  <a:lumMod val="50000"/>
                </a:schemeClr>
              </a:solidFill>
              <a:ln w="9525">
                <a:solidFill>
                  <a:schemeClr val="accent5">
                    <a:lumMod val="50000"/>
                  </a:schemeClr>
                </a:solidFill>
              </a:ln>
              <a:effectLst/>
            </c:spPr>
          </c:marker>
          <c:cat>
            <c:numRef>
              <c:f>'Figures (2)'!$D$161:$J$161</c:f>
              <c:numCache>
                <c:formatCode>General</c:formatCode>
                <c:ptCount val="7"/>
                <c:pt idx="0">
                  <c:v>0</c:v>
                </c:pt>
                <c:pt idx="1">
                  <c:v>30</c:v>
                </c:pt>
                <c:pt idx="2">
                  <c:v>60</c:v>
                </c:pt>
                <c:pt idx="3">
                  <c:v>90</c:v>
                </c:pt>
                <c:pt idx="4">
                  <c:v>120</c:v>
                </c:pt>
                <c:pt idx="5">
                  <c:v>150</c:v>
                </c:pt>
                <c:pt idx="6">
                  <c:v>180</c:v>
                </c:pt>
              </c:numCache>
            </c:numRef>
          </c:cat>
          <c:val>
            <c:numRef>
              <c:f>'Figures (2)'!$D$164:$J$164</c:f>
              <c:numCache>
                <c:formatCode>General</c:formatCode>
                <c:ptCount val="7"/>
                <c:pt idx="0">
                  <c:v>0.46798932510063407</c:v>
                </c:pt>
                <c:pt idx="1">
                  <c:v>0.45787737462470501</c:v>
                </c:pt>
                <c:pt idx="2">
                  <c:v>0.71311574784269405</c:v>
                </c:pt>
                <c:pt idx="3">
                  <c:v>3.3111665324843527</c:v>
                </c:pt>
                <c:pt idx="4">
                  <c:v>5.2009557481316406</c:v>
                </c:pt>
                <c:pt idx="5">
                  <c:v>6.4756862109129649</c:v>
                </c:pt>
                <c:pt idx="6">
                  <c:v>6.3146671716383711</c:v>
                </c:pt>
              </c:numCache>
            </c:numRef>
          </c:val>
          <c:smooth val="0"/>
          <c:extLst>
            <c:ext xmlns:c16="http://schemas.microsoft.com/office/drawing/2014/chart" uri="{C3380CC4-5D6E-409C-BE32-E72D297353CC}">
              <c16:uniqueId val="{00000002-95B1-4B5F-B7FB-A704551A4B1E}"/>
            </c:ext>
          </c:extLst>
        </c:ser>
        <c:dLbls>
          <c:showLegendKey val="0"/>
          <c:showVal val="0"/>
          <c:showCatName val="0"/>
          <c:showSerName val="0"/>
          <c:showPercent val="0"/>
          <c:showBubbleSize val="0"/>
        </c:dLbls>
        <c:marker val="1"/>
        <c:smooth val="0"/>
        <c:axId val="344613151"/>
        <c:axId val="344612191"/>
      </c:lineChart>
      <c:catAx>
        <c:axId val="3446131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a:latin typeface="Arial" panose="020B0604020202020204" pitchFamily="34" charset="0"/>
                    <a:cs typeface="Arial" panose="020B0604020202020204" pitchFamily="34" charset="0"/>
                  </a:rPr>
                  <a:t>Elapsed time (min)</a:t>
                </a:r>
              </a:p>
            </c:rich>
          </c:tx>
          <c:layout>
            <c:manualLayout>
              <c:xMode val="edge"/>
              <c:yMode val="edge"/>
              <c:x val="0.44421512732371854"/>
              <c:y val="0.9175304579049541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44612191"/>
        <c:crosses val="autoZero"/>
        <c:auto val="1"/>
        <c:lblAlgn val="ctr"/>
        <c:lblOffset val="100"/>
        <c:noMultiLvlLbl val="0"/>
      </c:catAx>
      <c:valAx>
        <c:axId val="34461219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a:latin typeface="Arial" panose="020B0604020202020204" pitchFamily="34" charset="0"/>
                    <a:cs typeface="Arial" panose="020B0604020202020204" pitchFamily="34" charset="0"/>
                  </a:rPr>
                  <a:t>TIN Concentration (mg</a:t>
                </a:r>
                <a:r>
                  <a:rPr lang="en-US" sz="1100" b="1" baseline="0">
                    <a:latin typeface="Arial" panose="020B0604020202020204" pitchFamily="34" charset="0"/>
                    <a:cs typeface="Arial" panose="020B0604020202020204" pitchFamily="34" charset="0"/>
                  </a:rPr>
                  <a:t> N/L)</a:t>
                </a:r>
                <a:endParaRPr lang="en-US" sz="1100" b="1">
                  <a:latin typeface="Arial" panose="020B0604020202020204" pitchFamily="34" charset="0"/>
                  <a:cs typeface="Arial" panose="020B0604020202020204" pitchFamily="34" charset="0"/>
                </a:endParaRPr>
              </a:p>
            </c:rich>
          </c:tx>
          <c:layout>
            <c:manualLayout>
              <c:xMode val="edge"/>
              <c:yMode val="edge"/>
              <c:x val="1.4563126202736289E-2"/>
              <c:y val="0.2881688678835493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44613151"/>
        <c:crosses val="autoZero"/>
        <c:crossBetween val="between"/>
      </c:valAx>
      <c:spPr>
        <a:noFill/>
        <a:ln w="12700">
          <a:solidFill>
            <a:schemeClr val="tx1"/>
          </a:solidFill>
        </a:ln>
        <a:effectLst/>
      </c:spPr>
    </c:plotArea>
    <c:legend>
      <c:legendPos val="b"/>
      <c:layout>
        <c:manualLayout>
          <c:xMode val="edge"/>
          <c:yMode val="edge"/>
          <c:x val="0.64239963060173044"/>
          <c:y val="0.10284623797025372"/>
          <c:w val="0.28193998145279942"/>
          <c:h val="5.165974574164954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514159442053506"/>
          <c:y val="8.3493905091112319E-2"/>
          <c:w val="0.83788330376116116"/>
          <c:h val="0.7469681866390262"/>
        </c:manualLayout>
      </c:layout>
      <c:lineChart>
        <c:grouping val="standard"/>
        <c:varyColors val="0"/>
        <c:ser>
          <c:idx val="0"/>
          <c:order val="0"/>
          <c:tx>
            <c:v>Influent</c:v>
          </c:tx>
          <c:spPr>
            <a:ln w="28575" cap="rnd">
              <a:solidFill>
                <a:schemeClr val="accent3">
                  <a:lumMod val="60000"/>
                  <a:lumOff val="40000"/>
                </a:schemeClr>
              </a:solidFill>
              <a:round/>
            </a:ln>
            <a:effectLst/>
          </c:spPr>
          <c:marker>
            <c:symbol val="triangle"/>
            <c:size val="5"/>
            <c:spPr>
              <a:solidFill>
                <a:schemeClr val="bg2">
                  <a:lumMod val="75000"/>
                </a:schemeClr>
              </a:solidFill>
              <a:ln w="9525">
                <a:solidFill>
                  <a:schemeClr val="bg2">
                    <a:lumMod val="75000"/>
                  </a:schemeClr>
                </a:solidFill>
              </a:ln>
              <a:effectLst/>
            </c:spPr>
          </c:marker>
          <c:cat>
            <c:numRef>
              <c:f>'Figures (2)'!$R$161:$X$161</c:f>
              <c:numCache>
                <c:formatCode>General</c:formatCode>
                <c:ptCount val="7"/>
                <c:pt idx="0">
                  <c:v>0</c:v>
                </c:pt>
                <c:pt idx="1">
                  <c:v>30</c:v>
                </c:pt>
                <c:pt idx="2">
                  <c:v>60</c:v>
                </c:pt>
                <c:pt idx="3">
                  <c:v>90</c:v>
                </c:pt>
                <c:pt idx="4">
                  <c:v>120</c:v>
                </c:pt>
                <c:pt idx="5">
                  <c:v>150</c:v>
                </c:pt>
                <c:pt idx="6">
                  <c:v>180</c:v>
                </c:pt>
              </c:numCache>
            </c:numRef>
          </c:cat>
          <c:val>
            <c:numRef>
              <c:f>'Figures (2)'!$R$162:$X$162</c:f>
              <c:numCache>
                <c:formatCode>General</c:formatCode>
                <c:ptCount val="7"/>
                <c:pt idx="0">
                  <c:v>1.0042735042735043</c:v>
                </c:pt>
                <c:pt idx="1">
                  <c:v>0.94932844932844929</c:v>
                </c:pt>
                <c:pt idx="2">
                  <c:v>0.90659340659340659</c:v>
                </c:pt>
                <c:pt idx="3">
                  <c:v>0.83333333333333337</c:v>
                </c:pt>
                <c:pt idx="4">
                  <c:v>0.76617826617826612</c:v>
                </c:pt>
                <c:pt idx="5">
                  <c:v>0.71733821733821734</c:v>
                </c:pt>
                <c:pt idx="6">
                  <c:v>0.72344322344322343</c:v>
                </c:pt>
              </c:numCache>
            </c:numRef>
          </c:val>
          <c:smooth val="0"/>
          <c:extLst>
            <c:ext xmlns:c16="http://schemas.microsoft.com/office/drawing/2014/chart" uri="{C3380CC4-5D6E-409C-BE32-E72D297353CC}">
              <c16:uniqueId val="{00000000-765E-4A1E-9EF0-EAA58095C696}"/>
            </c:ext>
          </c:extLst>
        </c:ser>
        <c:ser>
          <c:idx val="1"/>
          <c:order val="1"/>
          <c:tx>
            <c:v>CBA</c:v>
          </c:tx>
          <c:spPr>
            <a:ln w="28575" cap="rnd">
              <a:solidFill>
                <a:schemeClr val="accent2"/>
              </a:solidFill>
              <a:round/>
            </a:ln>
            <a:effectLst/>
          </c:spPr>
          <c:marker>
            <c:symbol val="circle"/>
            <c:size val="5"/>
            <c:spPr>
              <a:solidFill>
                <a:schemeClr val="accent2">
                  <a:lumMod val="75000"/>
                  <a:alpha val="99000"/>
                </a:schemeClr>
              </a:solidFill>
              <a:ln w="9525">
                <a:solidFill>
                  <a:schemeClr val="accent2">
                    <a:lumMod val="75000"/>
                  </a:schemeClr>
                </a:solidFill>
              </a:ln>
              <a:effectLst/>
            </c:spPr>
          </c:marker>
          <c:cat>
            <c:numRef>
              <c:f>'Figures (2)'!$R$161:$X$161</c:f>
              <c:numCache>
                <c:formatCode>General</c:formatCode>
                <c:ptCount val="7"/>
                <c:pt idx="0">
                  <c:v>0</c:v>
                </c:pt>
                <c:pt idx="1">
                  <c:v>30</c:v>
                </c:pt>
                <c:pt idx="2">
                  <c:v>60</c:v>
                </c:pt>
                <c:pt idx="3">
                  <c:v>90</c:v>
                </c:pt>
                <c:pt idx="4">
                  <c:v>120</c:v>
                </c:pt>
                <c:pt idx="5">
                  <c:v>150</c:v>
                </c:pt>
                <c:pt idx="6">
                  <c:v>180</c:v>
                </c:pt>
              </c:numCache>
            </c:numRef>
          </c:cat>
          <c:val>
            <c:numRef>
              <c:f>'Figures (2)'!$R$163:$X$163</c:f>
              <c:numCache>
                <c:formatCode>General</c:formatCode>
                <c:ptCount val="7"/>
                <c:pt idx="0">
                  <c:v>0.52808302808302809</c:v>
                </c:pt>
                <c:pt idx="1">
                  <c:v>0.51587301587301582</c:v>
                </c:pt>
                <c:pt idx="2">
                  <c:v>0.50366300366300365</c:v>
                </c:pt>
                <c:pt idx="3">
                  <c:v>0.49145299145299137</c:v>
                </c:pt>
                <c:pt idx="4">
                  <c:v>0.5219780219780219</c:v>
                </c:pt>
                <c:pt idx="5">
                  <c:v>0.45482295482295487</c:v>
                </c:pt>
                <c:pt idx="6">
                  <c:v>0.46092796092796101</c:v>
                </c:pt>
              </c:numCache>
            </c:numRef>
          </c:val>
          <c:smooth val="0"/>
          <c:extLst>
            <c:ext xmlns:c16="http://schemas.microsoft.com/office/drawing/2014/chart" uri="{C3380CC4-5D6E-409C-BE32-E72D297353CC}">
              <c16:uniqueId val="{00000001-765E-4A1E-9EF0-EAA58095C696}"/>
            </c:ext>
          </c:extLst>
        </c:ser>
        <c:ser>
          <c:idx val="2"/>
          <c:order val="2"/>
          <c:tx>
            <c:v>PBA</c:v>
          </c:tx>
          <c:spPr>
            <a:ln w="28575" cap="rnd">
              <a:solidFill>
                <a:schemeClr val="accent5">
                  <a:lumMod val="50000"/>
                </a:schemeClr>
              </a:solidFill>
              <a:round/>
            </a:ln>
            <a:effectLst/>
          </c:spPr>
          <c:marker>
            <c:symbol val="x"/>
            <c:size val="5"/>
            <c:spPr>
              <a:solidFill>
                <a:schemeClr val="accent5">
                  <a:lumMod val="50000"/>
                  <a:alpha val="99000"/>
                </a:schemeClr>
              </a:solidFill>
              <a:ln w="9525">
                <a:solidFill>
                  <a:schemeClr val="accent5">
                    <a:lumMod val="50000"/>
                  </a:schemeClr>
                </a:solidFill>
              </a:ln>
              <a:effectLst/>
            </c:spPr>
          </c:marker>
          <c:cat>
            <c:numRef>
              <c:f>'Figures (2)'!$R$161:$X$161</c:f>
              <c:numCache>
                <c:formatCode>General</c:formatCode>
                <c:ptCount val="7"/>
                <c:pt idx="0">
                  <c:v>0</c:v>
                </c:pt>
                <c:pt idx="1">
                  <c:v>30</c:v>
                </c:pt>
                <c:pt idx="2">
                  <c:v>60</c:v>
                </c:pt>
                <c:pt idx="3">
                  <c:v>90</c:v>
                </c:pt>
                <c:pt idx="4">
                  <c:v>120</c:v>
                </c:pt>
                <c:pt idx="5">
                  <c:v>150</c:v>
                </c:pt>
                <c:pt idx="6">
                  <c:v>180</c:v>
                </c:pt>
              </c:numCache>
            </c:numRef>
          </c:cat>
          <c:val>
            <c:numRef>
              <c:f>'Figures (2)'!$R$164:$X$164</c:f>
              <c:numCache>
                <c:formatCode>General</c:formatCode>
                <c:ptCount val="7"/>
                <c:pt idx="0">
                  <c:v>0.75396825396825395</c:v>
                </c:pt>
                <c:pt idx="1">
                  <c:v>0.9432234432234432</c:v>
                </c:pt>
                <c:pt idx="2">
                  <c:v>0.96764346764346765</c:v>
                </c:pt>
                <c:pt idx="3">
                  <c:v>0.88827838827838823</c:v>
                </c:pt>
                <c:pt idx="4">
                  <c:v>0.80280830280830284</c:v>
                </c:pt>
                <c:pt idx="5">
                  <c:v>0.72344322344322343</c:v>
                </c:pt>
                <c:pt idx="6">
                  <c:v>0.70512820512820507</c:v>
                </c:pt>
              </c:numCache>
            </c:numRef>
          </c:val>
          <c:smooth val="0"/>
          <c:extLst>
            <c:ext xmlns:c16="http://schemas.microsoft.com/office/drawing/2014/chart" uri="{C3380CC4-5D6E-409C-BE32-E72D297353CC}">
              <c16:uniqueId val="{00000002-765E-4A1E-9EF0-EAA58095C696}"/>
            </c:ext>
          </c:extLst>
        </c:ser>
        <c:dLbls>
          <c:showLegendKey val="0"/>
          <c:showVal val="0"/>
          <c:showCatName val="0"/>
          <c:showSerName val="0"/>
          <c:showPercent val="0"/>
          <c:showBubbleSize val="0"/>
        </c:dLbls>
        <c:marker val="1"/>
        <c:smooth val="0"/>
        <c:axId val="344613151"/>
        <c:axId val="344612191"/>
      </c:lineChart>
      <c:catAx>
        <c:axId val="3446131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a:latin typeface="Arial" panose="020B0604020202020204" pitchFamily="34" charset="0"/>
                    <a:cs typeface="Arial" panose="020B0604020202020204" pitchFamily="34" charset="0"/>
                  </a:rPr>
                  <a:t>Elapsed time (min)</a:t>
                </a:r>
              </a:p>
            </c:rich>
          </c:tx>
          <c:layout>
            <c:manualLayout>
              <c:xMode val="edge"/>
              <c:yMode val="edge"/>
              <c:x val="0.44421512732371854"/>
              <c:y val="0.9175304579049541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44612191"/>
        <c:crosses val="autoZero"/>
        <c:auto val="1"/>
        <c:lblAlgn val="ctr"/>
        <c:lblOffset val="100"/>
        <c:noMultiLvlLbl val="0"/>
      </c:catAx>
      <c:valAx>
        <c:axId val="34461219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a:latin typeface="Arial" panose="020B0604020202020204" pitchFamily="34" charset="0"/>
                    <a:cs typeface="Arial" panose="020B0604020202020204" pitchFamily="34" charset="0"/>
                  </a:rPr>
                  <a:t>TP Concentration (mg P/L)</a:t>
                </a:r>
              </a:p>
            </c:rich>
          </c:tx>
          <c:layout>
            <c:manualLayout>
              <c:xMode val="edge"/>
              <c:yMode val="edge"/>
              <c:x val="1.4563128560126634E-2"/>
              <c:y val="0.27963806092294829"/>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44613151"/>
        <c:crosses val="autoZero"/>
        <c:crossBetween val="between"/>
      </c:valAx>
      <c:spPr>
        <a:noFill/>
        <a:ln w="12700">
          <a:solidFill>
            <a:schemeClr val="tx1"/>
          </a:solidFill>
        </a:ln>
        <a:effectLst/>
      </c:spPr>
    </c:plotArea>
    <c:legend>
      <c:legendPos val="b"/>
      <c:layout>
        <c:manualLayout>
          <c:xMode val="edge"/>
          <c:yMode val="edge"/>
          <c:x val="0.64239963060173044"/>
          <c:y val="0.10284623797025372"/>
          <c:w val="0.28279697676679305"/>
          <c:h val="5.0463921798758041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05355057701264"/>
          <c:y val="0.16588867016622924"/>
          <c:w val="0.74145429969855881"/>
          <c:h val="0.66043416447944003"/>
        </c:manualLayout>
      </c:layout>
      <c:barChart>
        <c:barDir val="col"/>
        <c:grouping val="clustered"/>
        <c:varyColors val="0"/>
        <c:ser>
          <c:idx val="0"/>
          <c:order val="0"/>
          <c:tx>
            <c:v>TIN</c:v>
          </c:tx>
          <c:spPr>
            <a:pattFill prst="pct20">
              <a:fgClr>
                <a:schemeClr val="accent5">
                  <a:lumMod val="50000"/>
                </a:schemeClr>
              </a:fgClr>
              <a:bgClr>
                <a:schemeClr val="bg1"/>
              </a:bgClr>
            </a:pattFill>
            <a:ln>
              <a:noFill/>
            </a:ln>
            <a:effectLst/>
          </c:spPr>
          <c:invertIfNegative val="0"/>
          <c:dPt>
            <c:idx val="0"/>
            <c:invertIfNegative val="0"/>
            <c:bubble3D val="0"/>
            <c:spPr>
              <a:pattFill prst="pct50">
                <a:fgClr>
                  <a:schemeClr val="accent5">
                    <a:lumMod val="50000"/>
                  </a:schemeClr>
                </a:fgClr>
                <a:bgClr>
                  <a:schemeClr val="bg1"/>
                </a:bgClr>
              </a:pattFill>
              <a:ln w="12700">
                <a:solidFill>
                  <a:schemeClr val="tx1"/>
                </a:solidFill>
              </a:ln>
              <a:effectLst/>
            </c:spPr>
            <c:extLst>
              <c:ext xmlns:c16="http://schemas.microsoft.com/office/drawing/2014/chart" uri="{C3380CC4-5D6E-409C-BE32-E72D297353CC}">
                <c16:uniqueId val="{00000001-BF4F-4497-A659-64BDFF676312}"/>
              </c:ext>
            </c:extLst>
          </c:dPt>
          <c:dPt>
            <c:idx val="1"/>
            <c:invertIfNegative val="0"/>
            <c:bubble3D val="0"/>
            <c:spPr>
              <a:pattFill prst="pct20">
                <a:fgClr>
                  <a:schemeClr val="accent3">
                    <a:lumMod val="75000"/>
                  </a:schemeClr>
                </a:fgClr>
                <a:bgClr>
                  <a:schemeClr val="bg1"/>
                </a:bgClr>
              </a:pattFill>
              <a:ln w="12700">
                <a:solidFill>
                  <a:schemeClr val="tx1"/>
                </a:solidFill>
              </a:ln>
              <a:effectLst/>
            </c:spPr>
            <c:extLst>
              <c:ext xmlns:c16="http://schemas.microsoft.com/office/drawing/2014/chart" uri="{C3380CC4-5D6E-409C-BE32-E72D297353CC}">
                <c16:uniqueId val="{00000003-BF4F-4497-A659-64BDFF67631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Tables!$G$48:$G$50</c:f>
              <c:numCache>
                <c:formatCode>0.00</c:formatCode>
                <c:ptCount val="3"/>
                <c:pt idx="0">
                  <c:v>38.207654205742067</c:v>
                </c:pt>
                <c:pt idx="1">
                  <c:v>33.638681199409163</c:v>
                </c:pt>
                <c:pt idx="2">
                  <c:v>36.416255194586057</c:v>
                </c:pt>
              </c:numCache>
            </c:numRef>
          </c:cat>
          <c:val>
            <c:numRef>
              <c:f>Tables!$K$48:$K$49</c:f>
              <c:numCache>
                <c:formatCode>0.00</c:formatCode>
                <c:ptCount val="2"/>
                <c:pt idx="0">
                  <c:v>70.153842088606922</c:v>
                </c:pt>
                <c:pt idx="1">
                  <c:v>54.591970925605636</c:v>
                </c:pt>
              </c:numCache>
            </c:numRef>
          </c:val>
          <c:extLst>
            <c:ext xmlns:c16="http://schemas.microsoft.com/office/drawing/2014/chart" uri="{C3380CC4-5D6E-409C-BE32-E72D297353CC}">
              <c16:uniqueId val="{00000004-BF4F-4497-A659-64BDFF676312}"/>
            </c:ext>
          </c:extLst>
        </c:ser>
        <c:dLbls>
          <c:dLblPos val="outEnd"/>
          <c:showLegendKey val="0"/>
          <c:showVal val="1"/>
          <c:showCatName val="0"/>
          <c:showSerName val="0"/>
          <c:showPercent val="0"/>
          <c:showBubbleSize val="0"/>
        </c:dLbls>
        <c:gapWidth val="219"/>
        <c:overlap val="-27"/>
        <c:axId val="36991087"/>
        <c:axId val="36992047"/>
      </c:barChart>
      <c:catAx>
        <c:axId val="36991087"/>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US" sz="1100" b="1">
                    <a:solidFill>
                      <a:sysClr val="windowText" lastClr="000000"/>
                    </a:solidFill>
                    <a:latin typeface="Arial" panose="020B0604020202020204" pitchFamily="34" charset="0"/>
                    <a:cs typeface="Arial" panose="020B0604020202020204" pitchFamily="34" charset="0"/>
                  </a:rPr>
                  <a:t>Unit</a:t>
                </a:r>
              </a:p>
            </c:rich>
          </c:tx>
          <c:layout>
            <c:manualLayout>
              <c:xMode val="edge"/>
              <c:yMode val="edge"/>
              <c:x val="0.50193241469816285"/>
              <c:y val="0.91085804899387579"/>
            </c:manualLayout>
          </c:layout>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title>
        <c:numFmt formatCode="0.00"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36992047"/>
        <c:crosses val="autoZero"/>
        <c:auto val="1"/>
        <c:lblAlgn val="ctr"/>
        <c:lblOffset val="100"/>
        <c:noMultiLvlLbl val="0"/>
      </c:catAx>
      <c:valAx>
        <c:axId val="36992047"/>
        <c:scaling>
          <c:orientation val="minMax"/>
        </c:scaling>
        <c:delete val="0"/>
        <c:axPos val="l"/>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sz="1100" b="1">
                    <a:solidFill>
                      <a:sysClr val="windowText" lastClr="000000"/>
                    </a:solidFill>
                    <a:latin typeface="Arial" panose="020B0604020202020204" pitchFamily="34" charset="0"/>
                    <a:cs typeface="Arial" panose="020B0604020202020204" pitchFamily="34" charset="0"/>
                  </a:rPr>
                  <a:t>TIN Overall</a:t>
                </a:r>
                <a:r>
                  <a:rPr lang="en-US" sz="1100" b="1" baseline="0">
                    <a:solidFill>
                      <a:sysClr val="windowText" lastClr="000000"/>
                    </a:solidFill>
                    <a:latin typeface="Arial" panose="020B0604020202020204" pitchFamily="34" charset="0"/>
                    <a:cs typeface="Arial" panose="020B0604020202020204" pitchFamily="34" charset="0"/>
                  </a:rPr>
                  <a:t> Average Load Reduction (%)</a:t>
                </a:r>
                <a:endParaRPr lang="en-US" sz="1100" b="1">
                  <a:solidFill>
                    <a:sysClr val="windowText" lastClr="000000"/>
                  </a:solidFill>
                  <a:latin typeface="Arial" panose="020B0604020202020204" pitchFamily="34" charset="0"/>
                  <a:cs typeface="Arial" panose="020B0604020202020204" pitchFamily="34" charset="0"/>
                </a:endParaRPr>
              </a:p>
            </c:rich>
          </c:tx>
          <c:layout>
            <c:manualLayout>
              <c:xMode val="edge"/>
              <c:yMode val="edge"/>
              <c:x val="3.7083333333333336E-2"/>
              <c:y val="0.1898000874890638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36991087"/>
        <c:crosses val="autoZero"/>
        <c:crossBetween val="between"/>
      </c:valAx>
      <c:spPr>
        <a:noFill/>
        <a:ln>
          <a:solidFill>
            <a:schemeClr val="tx1"/>
          </a:solidFill>
        </a:ln>
        <a:effectLst/>
      </c:spPr>
    </c:plotArea>
    <c:legend>
      <c:legendPos val="r"/>
      <c:layout>
        <c:manualLayout>
          <c:xMode val="edge"/>
          <c:yMode val="edge"/>
          <c:x val="0.81007414698162739"/>
          <c:y val="3.5647200349956255E-2"/>
          <c:w val="0.13944181977252842"/>
          <c:h val="0.10092782152230971"/>
        </c:manualLayout>
      </c:layout>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05355057701264"/>
          <c:y val="0.16588867016622924"/>
          <c:w val="0.74145429969855881"/>
          <c:h val="0.66043416447944003"/>
        </c:manualLayout>
      </c:layout>
      <c:barChart>
        <c:barDir val="col"/>
        <c:grouping val="clustered"/>
        <c:varyColors val="0"/>
        <c:ser>
          <c:idx val="0"/>
          <c:order val="0"/>
          <c:tx>
            <c:v>TP</c:v>
          </c:tx>
          <c:spPr>
            <a:pattFill prst="pct50">
              <a:fgClr>
                <a:schemeClr val="accent5">
                  <a:lumMod val="50000"/>
                </a:schemeClr>
              </a:fgClr>
              <a:bgClr>
                <a:schemeClr val="bg1"/>
              </a:bgClr>
            </a:pattFill>
            <a:ln>
              <a:noFill/>
            </a:ln>
            <a:effectLst/>
          </c:spPr>
          <c:invertIfNegative val="0"/>
          <c:dPt>
            <c:idx val="0"/>
            <c:invertIfNegative val="0"/>
            <c:bubble3D val="0"/>
            <c:spPr>
              <a:pattFill prst="pct50">
                <a:fgClr>
                  <a:schemeClr val="accent5">
                    <a:lumMod val="50000"/>
                  </a:schemeClr>
                </a:fgClr>
                <a:bgClr>
                  <a:schemeClr val="bg1"/>
                </a:bgClr>
              </a:pattFill>
              <a:ln w="12700">
                <a:solidFill>
                  <a:schemeClr val="tx1"/>
                </a:solidFill>
              </a:ln>
              <a:effectLst/>
            </c:spPr>
            <c:extLst>
              <c:ext xmlns:c16="http://schemas.microsoft.com/office/drawing/2014/chart" uri="{C3380CC4-5D6E-409C-BE32-E72D297353CC}">
                <c16:uniqueId val="{00000001-F0E3-429D-8ABE-62D4D725E257}"/>
              </c:ext>
            </c:extLst>
          </c:dPt>
          <c:dPt>
            <c:idx val="1"/>
            <c:invertIfNegative val="0"/>
            <c:bubble3D val="0"/>
            <c:spPr>
              <a:pattFill prst="pct20">
                <a:fgClr>
                  <a:schemeClr val="accent3">
                    <a:lumMod val="75000"/>
                  </a:schemeClr>
                </a:fgClr>
                <a:bgClr>
                  <a:schemeClr val="bg1"/>
                </a:bgClr>
              </a:pattFill>
              <a:ln w="12700">
                <a:solidFill>
                  <a:schemeClr val="tx1"/>
                </a:solidFill>
              </a:ln>
              <a:effectLst/>
            </c:spPr>
            <c:extLst>
              <c:ext xmlns:c16="http://schemas.microsoft.com/office/drawing/2014/chart" uri="{C3380CC4-5D6E-409C-BE32-E72D297353CC}">
                <c16:uniqueId val="{00000003-F0E3-429D-8ABE-62D4D725E25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Tables!$G$48:$G$50</c:f>
              <c:numCache>
                <c:formatCode>0.00</c:formatCode>
                <c:ptCount val="3"/>
                <c:pt idx="0">
                  <c:v>38.207654205742067</c:v>
                </c:pt>
                <c:pt idx="1">
                  <c:v>33.638681199409163</c:v>
                </c:pt>
                <c:pt idx="2">
                  <c:v>36.416255194586057</c:v>
                </c:pt>
              </c:numCache>
            </c:numRef>
          </c:cat>
          <c:val>
            <c:numRef>
              <c:f>Tables!$L$48:$L$49</c:f>
              <c:numCache>
                <c:formatCode>0.00</c:formatCode>
                <c:ptCount val="2"/>
                <c:pt idx="0">
                  <c:v>33.321102741924484</c:v>
                </c:pt>
                <c:pt idx="1">
                  <c:v>-35.170763126089199</c:v>
                </c:pt>
              </c:numCache>
            </c:numRef>
          </c:val>
          <c:extLst>
            <c:ext xmlns:c16="http://schemas.microsoft.com/office/drawing/2014/chart" uri="{C3380CC4-5D6E-409C-BE32-E72D297353CC}">
              <c16:uniqueId val="{00000004-F0E3-429D-8ABE-62D4D725E257}"/>
            </c:ext>
          </c:extLst>
        </c:ser>
        <c:dLbls>
          <c:dLblPos val="outEnd"/>
          <c:showLegendKey val="0"/>
          <c:showVal val="1"/>
          <c:showCatName val="0"/>
          <c:showSerName val="0"/>
          <c:showPercent val="0"/>
          <c:showBubbleSize val="0"/>
        </c:dLbls>
        <c:gapWidth val="219"/>
        <c:overlap val="-27"/>
        <c:axId val="36991087"/>
        <c:axId val="36992047"/>
      </c:barChart>
      <c:catAx>
        <c:axId val="36991087"/>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US" sz="1100" b="1">
                    <a:solidFill>
                      <a:sysClr val="windowText" lastClr="000000"/>
                    </a:solidFill>
                    <a:latin typeface="Arial" panose="020B0604020202020204" pitchFamily="34" charset="0"/>
                    <a:cs typeface="Arial" panose="020B0604020202020204" pitchFamily="34" charset="0"/>
                  </a:rPr>
                  <a:t>Unit</a:t>
                </a:r>
              </a:p>
            </c:rich>
          </c:tx>
          <c:layout>
            <c:manualLayout>
              <c:xMode val="edge"/>
              <c:yMode val="edge"/>
              <c:x val="0.50193241469816285"/>
              <c:y val="0.91085804899387579"/>
            </c:manualLayout>
          </c:layout>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title>
        <c:numFmt formatCode="0.00"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36992047"/>
        <c:crosses val="autoZero"/>
        <c:auto val="1"/>
        <c:lblAlgn val="ctr"/>
        <c:lblOffset val="100"/>
        <c:noMultiLvlLbl val="0"/>
      </c:catAx>
      <c:valAx>
        <c:axId val="36992047"/>
        <c:scaling>
          <c:orientation val="minMax"/>
        </c:scaling>
        <c:delete val="0"/>
        <c:axPos val="l"/>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sz="1100" b="1">
                    <a:solidFill>
                      <a:sysClr val="windowText" lastClr="000000"/>
                    </a:solidFill>
                    <a:latin typeface="Arial" panose="020B0604020202020204" pitchFamily="34" charset="0"/>
                    <a:cs typeface="Arial" panose="020B0604020202020204" pitchFamily="34" charset="0"/>
                  </a:rPr>
                  <a:t>TP</a:t>
                </a:r>
                <a:r>
                  <a:rPr lang="en-US" sz="1100" b="1" baseline="0">
                    <a:solidFill>
                      <a:sysClr val="windowText" lastClr="000000"/>
                    </a:solidFill>
                    <a:latin typeface="Arial" panose="020B0604020202020204" pitchFamily="34" charset="0"/>
                    <a:cs typeface="Arial" panose="020B0604020202020204" pitchFamily="34" charset="0"/>
                  </a:rPr>
                  <a:t> Overall Average Load Reduction (%)</a:t>
                </a:r>
                <a:endParaRPr lang="en-US" sz="1100" b="1">
                  <a:solidFill>
                    <a:sysClr val="windowText" lastClr="000000"/>
                  </a:solidFill>
                  <a:latin typeface="Arial" panose="020B0604020202020204" pitchFamily="34" charset="0"/>
                  <a:cs typeface="Arial" panose="020B0604020202020204" pitchFamily="34" charset="0"/>
                </a:endParaRPr>
              </a:p>
            </c:rich>
          </c:tx>
          <c:layout>
            <c:manualLayout>
              <c:xMode val="edge"/>
              <c:yMode val="edge"/>
              <c:x val="3.7083333333333336E-2"/>
              <c:y val="0.1898000874890638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36991087"/>
        <c:crosses val="autoZero"/>
        <c:crossBetween val="between"/>
      </c:valAx>
      <c:spPr>
        <a:noFill/>
        <a:ln>
          <a:solidFill>
            <a:schemeClr val="tx1"/>
          </a:solidFill>
        </a:ln>
        <a:effectLst/>
      </c:spPr>
    </c:plotArea>
    <c:legend>
      <c:legendPos val="r"/>
      <c:layout>
        <c:manualLayout>
          <c:xMode val="edge"/>
          <c:yMode val="edge"/>
          <c:x val="0.82867760279965008"/>
          <c:y val="4.1202755905511798E-2"/>
          <c:w val="0.11021128608923884"/>
          <c:h val="0.10092782152230971"/>
        </c:manualLayout>
      </c:layout>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898097609640181"/>
          <c:y val="8.3493905091112319E-2"/>
          <c:w val="0.84404384698741253"/>
          <c:h val="0.7469681866390262"/>
        </c:manualLayout>
      </c:layout>
      <c:lineChart>
        <c:grouping val="standard"/>
        <c:varyColors val="0"/>
        <c:ser>
          <c:idx val="0"/>
          <c:order val="0"/>
          <c:tx>
            <c:v>Influent</c:v>
          </c:tx>
          <c:spPr>
            <a:ln w="28575" cap="rnd">
              <a:solidFill>
                <a:schemeClr val="accent3">
                  <a:lumMod val="60000"/>
                  <a:lumOff val="40000"/>
                  <a:alpha val="98000"/>
                </a:schemeClr>
              </a:solidFill>
              <a:round/>
            </a:ln>
            <a:effectLst/>
          </c:spPr>
          <c:marker>
            <c:symbol val="triangle"/>
            <c:size val="5"/>
            <c:spPr>
              <a:solidFill>
                <a:schemeClr val="accent3">
                  <a:lumMod val="60000"/>
                  <a:lumOff val="40000"/>
                </a:schemeClr>
              </a:solidFill>
              <a:ln w="9525">
                <a:solidFill>
                  <a:schemeClr val="bg2">
                    <a:lumMod val="75000"/>
                  </a:schemeClr>
                </a:solidFill>
              </a:ln>
              <a:effectLst/>
            </c:spPr>
          </c:marker>
          <c:cat>
            <c:numRef>
              <c:f>'Figures (2)'!$D$196:$J$196</c:f>
              <c:numCache>
                <c:formatCode>General</c:formatCode>
                <c:ptCount val="7"/>
                <c:pt idx="0">
                  <c:v>0</c:v>
                </c:pt>
                <c:pt idx="1">
                  <c:v>30</c:v>
                </c:pt>
                <c:pt idx="2">
                  <c:v>60</c:v>
                </c:pt>
                <c:pt idx="3">
                  <c:v>90</c:v>
                </c:pt>
                <c:pt idx="4">
                  <c:v>120</c:v>
                </c:pt>
                <c:pt idx="5">
                  <c:v>150</c:v>
                </c:pt>
                <c:pt idx="6">
                  <c:v>180</c:v>
                </c:pt>
              </c:numCache>
            </c:numRef>
          </c:cat>
          <c:val>
            <c:numRef>
              <c:f>'Figures (2)'!$D$197:$J$197</c:f>
              <c:numCache>
                <c:formatCode>General</c:formatCode>
                <c:ptCount val="7"/>
                <c:pt idx="0">
                  <c:v>0.26743075453677173</c:v>
                </c:pt>
                <c:pt idx="1">
                  <c:v>0.36294173829990445</c:v>
                </c:pt>
                <c:pt idx="2">
                  <c:v>0.38204393505253109</c:v>
                </c:pt>
                <c:pt idx="3">
                  <c:v>0.30563514804202485</c:v>
                </c:pt>
                <c:pt idx="4">
                  <c:v>0.24832855778414517</c:v>
                </c:pt>
                <c:pt idx="5">
                  <c:v>0.21012416427889211</c:v>
                </c:pt>
                <c:pt idx="6">
                  <c:v>0.16236867239732572</c:v>
                </c:pt>
              </c:numCache>
            </c:numRef>
          </c:val>
          <c:smooth val="0"/>
          <c:extLst>
            <c:ext xmlns:c16="http://schemas.microsoft.com/office/drawing/2014/chart" uri="{C3380CC4-5D6E-409C-BE32-E72D297353CC}">
              <c16:uniqueId val="{00000000-4EB5-4C4D-AFBB-B1A6A870613F}"/>
            </c:ext>
          </c:extLst>
        </c:ser>
        <c:ser>
          <c:idx val="1"/>
          <c:order val="1"/>
          <c:tx>
            <c:v>CBA</c:v>
          </c:tx>
          <c:spPr>
            <a:ln w="28575" cap="rnd">
              <a:solidFill>
                <a:schemeClr val="accent2"/>
              </a:solidFill>
              <a:round/>
            </a:ln>
            <a:effectLst/>
          </c:spPr>
          <c:marker>
            <c:symbol val="circle"/>
            <c:size val="5"/>
            <c:spPr>
              <a:solidFill>
                <a:schemeClr val="accent2">
                  <a:lumMod val="75000"/>
                  <a:alpha val="99000"/>
                </a:schemeClr>
              </a:solidFill>
              <a:ln w="9525">
                <a:solidFill>
                  <a:schemeClr val="accent2">
                    <a:lumMod val="75000"/>
                  </a:schemeClr>
                </a:solidFill>
              </a:ln>
              <a:effectLst/>
            </c:spPr>
          </c:marker>
          <c:cat>
            <c:numRef>
              <c:f>'Figures (2)'!$D$196:$J$196</c:f>
              <c:numCache>
                <c:formatCode>General</c:formatCode>
                <c:ptCount val="7"/>
                <c:pt idx="0">
                  <c:v>0</c:v>
                </c:pt>
                <c:pt idx="1">
                  <c:v>30</c:v>
                </c:pt>
                <c:pt idx="2">
                  <c:v>60</c:v>
                </c:pt>
                <c:pt idx="3">
                  <c:v>90</c:v>
                </c:pt>
                <c:pt idx="4">
                  <c:v>120</c:v>
                </c:pt>
                <c:pt idx="5">
                  <c:v>150</c:v>
                </c:pt>
                <c:pt idx="6">
                  <c:v>180</c:v>
                </c:pt>
              </c:numCache>
            </c:numRef>
          </c:cat>
          <c:val>
            <c:numRef>
              <c:f>'Figures (2)'!$D$198:$J$198</c:f>
              <c:numCache>
                <c:formatCode>General</c:formatCode>
                <c:ptCount val="7"/>
                <c:pt idx="0">
                  <c:v>1.9102196752626553E-2</c:v>
                </c:pt>
                <c:pt idx="1">
                  <c:v>6.6857688634192933E-2</c:v>
                </c:pt>
                <c:pt idx="2">
                  <c:v>0.10506208213944605</c:v>
                </c:pt>
                <c:pt idx="3">
                  <c:v>0.18147086914995222</c:v>
                </c:pt>
                <c:pt idx="4">
                  <c:v>0.29608404966571156</c:v>
                </c:pt>
                <c:pt idx="5">
                  <c:v>0.42024832855778421</c:v>
                </c:pt>
                <c:pt idx="6">
                  <c:v>0.44890162368672404</c:v>
                </c:pt>
              </c:numCache>
            </c:numRef>
          </c:val>
          <c:smooth val="0"/>
          <c:extLst>
            <c:ext xmlns:c16="http://schemas.microsoft.com/office/drawing/2014/chart" uri="{C3380CC4-5D6E-409C-BE32-E72D297353CC}">
              <c16:uniqueId val="{00000001-4EB5-4C4D-AFBB-B1A6A870613F}"/>
            </c:ext>
          </c:extLst>
        </c:ser>
        <c:ser>
          <c:idx val="2"/>
          <c:order val="2"/>
          <c:tx>
            <c:v>PBA</c:v>
          </c:tx>
          <c:spPr>
            <a:ln w="28575" cap="rnd">
              <a:solidFill>
                <a:schemeClr val="accent5">
                  <a:lumMod val="50000"/>
                </a:schemeClr>
              </a:solidFill>
              <a:round/>
            </a:ln>
            <a:effectLst/>
          </c:spPr>
          <c:marker>
            <c:symbol val="x"/>
            <c:size val="5"/>
            <c:spPr>
              <a:solidFill>
                <a:schemeClr val="accent5">
                  <a:lumMod val="50000"/>
                </a:schemeClr>
              </a:solidFill>
              <a:ln w="9525">
                <a:solidFill>
                  <a:schemeClr val="accent5">
                    <a:lumMod val="50000"/>
                  </a:schemeClr>
                </a:solidFill>
              </a:ln>
              <a:effectLst/>
            </c:spPr>
          </c:marker>
          <c:cat>
            <c:numRef>
              <c:f>'Figures (2)'!$D$196:$J$196</c:f>
              <c:numCache>
                <c:formatCode>General</c:formatCode>
                <c:ptCount val="7"/>
                <c:pt idx="0">
                  <c:v>0</c:v>
                </c:pt>
                <c:pt idx="1">
                  <c:v>30</c:v>
                </c:pt>
                <c:pt idx="2">
                  <c:v>60</c:v>
                </c:pt>
                <c:pt idx="3">
                  <c:v>90</c:v>
                </c:pt>
                <c:pt idx="4">
                  <c:v>120</c:v>
                </c:pt>
                <c:pt idx="5">
                  <c:v>150</c:v>
                </c:pt>
                <c:pt idx="6">
                  <c:v>180</c:v>
                </c:pt>
              </c:numCache>
            </c:numRef>
          </c:cat>
          <c:val>
            <c:numRef>
              <c:f>'Figures (2)'!$D$199:$J$199</c:f>
              <c:numCache>
                <c:formatCode>General</c:formatCode>
                <c:ptCount val="7"/>
                <c:pt idx="0">
                  <c:v>6.6857688634192933E-2</c:v>
                </c:pt>
                <c:pt idx="1">
                  <c:v>6.6857688634192933E-2</c:v>
                </c:pt>
                <c:pt idx="2">
                  <c:v>7.6408787010506213E-2</c:v>
                </c:pt>
                <c:pt idx="3">
                  <c:v>0.11461318051575933</c:v>
                </c:pt>
                <c:pt idx="4">
                  <c:v>0.19102196752626555</c:v>
                </c:pt>
                <c:pt idx="5">
                  <c:v>0.25787965616045849</c:v>
                </c:pt>
                <c:pt idx="6">
                  <c:v>0.22922636103151867</c:v>
                </c:pt>
              </c:numCache>
            </c:numRef>
          </c:val>
          <c:smooth val="0"/>
          <c:extLst>
            <c:ext xmlns:c16="http://schemas.microsoft.com/office/drawing/2014/chart" uri="{C3380CC4-5D6E-409C-BE32-E72D297353CC}">
              <c16:uniqueId val="{00000002-4EB5-4C4D-AFBB-B1A6A870613F}"/>
            </c:ext>
          </c:extLst>
        </c:ser>
        <c:dLbls>
          <c:showLegendKey val="0"/>
          <c:showVal val="0"/>
          <c:showCatName val="0"/>
          <c:showSerName val="0"/>
          <c:showPercent val="0"/>
          <c:showBubbleSize val="0"/>
        </c:dLbls>
        <c:marker val="1"/>
        <c:smooth val="0"/>
        <c:axId val="344613151"/>
        <c:axId val="344612191"/>
      </c:lineChart>
      <c:catAx>
        <c:axId val="3446131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a:latin typeface="Arial" panose="020B0604020202020204" pitchFamily="34" charset="0"/>
                    <a:cs typeface="Arial" panose="020B0604020202020204" pitchFamily="34" charset="0"/>
                  </a:rPr>
                  <a:t>Elapsed time (min)</a:t>
                </a:r>
              </a:p>
            </c:rich>
          </c:tx>
          <c:layout>
            <c:manualLayout>
              <c:xMode val="edge"/>
              <c:yMode val="edge"/>
              <c:x val="0.44421512732371854"/>
              <c:y val="0.9175304579049541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44612191"/>
        <c:crosses val="autoZero"/>
        <c:auto val="1"/>
        <c:lblAlgn val="ctr"/>
        <c:lblOffset val="100"/>
        <c:noMultiLvlLbl val="0"/>
      </c:catAx>
      <c:valAx>
        <c:axId val="34461219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a:latin typeface="Arial" panose="020B0604020202020204" pitchFamily="34" charset="0"/>
                    <a:cs typeface="Arial" panose="020B0604020202020204" pitchFamily="34" charset="0"/>
                  </a:rPr>
                  <a:t>NH4-N Concentration (mg</a:t>
                </a:r>
                <a:r>
                  <a:rPr lang="en-US" sz="1100" b="1" baseline="0">
                    <a:latin typeface="Arial" panose="020B0604020202020204" pitchFamily="34" charset="0"/>
                    <a:cs typeface="Arial" panose="020B0604020202020204" pitchFamily="34" charset="0"/>
                  </a:rPr>
                  <a:t> NH4-N/L)</a:t>
                </a:r>
                <a:endParaRPr lang="en-US" sz="1100" b="1">
                  <a:latin typeface="Arial" panose="020B0604020202020204" pitchFamily="34" charset="0"/>
                  <a:cs typeface="Arial" panose="020B0604020202020204" pitchFamily="34" charset="0"/>
                </a:endParaRPr>
              </a:p>
            </c:rich>
          </c:tx>
          <c:layout>
            <c:manualLayout>
              <c:xMode val="edge"/>
              <c:yMode val="edge"/>
              <c:x val="1.7640192789124629E-2"/>
              <c:y val="0.2028607982775382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44613151"/>
        <c:crosses val="autoZero"/>
        <c:crossBetween val="between"/>
      </c:valAx>
      <c:spPr>
        <a:noFill/>
        <a:ln w="12700">
          <a:solidFill>
            <a:schemeClr val="tx1"/>
          </a:solidFill>
        </a:ln>
        <a:effectLst/>
      </c:spPr>
    </c:plotArea>
    <c:legend>
      <c:legendPos val="b"/>
      <c:layout>
        <c:manualLayout>
          <c:xMode val="edge"/>
          <c:yMode val="edge"/>
          <c:x val="0.64239963060173044"/>
          <c:y val="0.10284623797025372"/>
          <c:w val="0.28193998145279942"/>
          <c:h val="5.165974574164954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744713451648681"/>
          <c:y val="8.3493905091112319E-2"/>
          <c:w val="0.84557776366520931"/>
          <c:h val="0.7469681866390262"/>
        </c:manualLayout>
      </c:layout>
      <c:lineChart>
        <c:grouping val="standard"/>
        <c:varyColors val="0"/>
        <c:ser>
          <c:idx val="0"/>
          <c:order val="0"/>
          <c:tx>
            <c:v>Influent</c:v>
          </c:tx>
          <c:spPr>
            <a:ln w="28575" cap="rnd">
              <a:solidFill>
                <a:schemeClr val="accent3">
                  <a:lumMod val="60000"/>
                  <a:lumOff val="40000"/>
                </a:schemeClr>
              </a:solidFill>
              <a:round/>
            </a:ln>
            <a:effectLst/>
          </c:spPr>
          <c:marker>
            <c:symbol val="triangle"/>
            <c:size val="5"/>
            <c:spPr>
              <a:solidFill>
                <a:schemeClr val="accent3">
                  <a:lumMod val="60000"/>
                  <a:lumOff val="40000"/>
                </a:schemeClr>
              </a:solidFill>
              <a:ln w="9525">
                <a:solidFill>
                  <a:schemeClr val="bg2">
                    <a:lumMod val="75000"/>
                  </a:schemeClr>
                </a:solidFill>
              </a:ln>
              <a:effectLst/>
            </c:spPr>
          </c:marker>
          <c:cat>
            <c:numRef>
              <c:f>'Figures (2)'!$R$196:$X$196</c:f>
              <c:numCache>
                <c:formatCode>General</c:formatCode>
                <c:ptCount val="7"/>
                <c:pt idx="0">
                  <c:v>0</c:v>
                </c:pt>
                <c:pt idx="1">
                  <c:v>30</c:v>
                </c:pt>
                <c:pt idx="2">
                  <c:v>60</c:v>
                </c:pt>
                <c:pt idx="3">
                  <c:v>90</c:v>
                </c:pt>
                <c:pt idx="4">
                  <c:v>120</c:v>
                </c:pt>
                <c:pt idx="5">
                  <c:v>150</c:v>
                </c:pt>
                <c:pt idx="6">
                  <c:v>180</c:v>
                </c:pt>
              </c:numCache>
            </c:numRef>
          </c:cat>
          <c:val>
            <c:numRef>
              <c:f>'Figures (2)'!$R$197:$X$197</c:f>
              <c:numCache>
                <c:formatCode>General</c:formatCode>
                <c:ptCount val="7"/>
                <c:pt idx="0">
                  <c:v>0.31544688308436958</c:v>
                </c:pt>
                <c:pt idx="1">
                  <c:v>0.3096052741383627</c:v>
                </c:pt>
                <c:pt idx="2">
                  <c:v>0.3212884920303764</c:v>
                </c:pt>
                <c:pt idx="3">
                  <c:v>0.29792205624634899</c:v>
                </c:pt>
                <c:pt idx="4">
                  <c:v>0.29792205624634899</c:v>
                </c:pt>
                <c:pt idx="5">
                  <c:v>0.29208044730034222</c:v>
                </c:pt>
                <c:pt idx="6">
                  <c:v>0.28039722940832851</c:v>
                </c:pt>
              </c:numCache>
            </c:numRef>
          </c:val>
          <c:smooth val="0"/>
          <c:extLst>
            <c:ext xmlns:c16="http://schemas.microsoft.com/office/drawing/2014/chart" uri="{C3380CC4-5D6E-409C-BE32-E72D297353CC}">
              <c16:uniqueId val="{00000000-2C02-4CD2-94DE-7281E1D866BD}"/>
            </c:ext>
          </c:extLst>
        </c:ser>
        <c:ser>
          <c:idx val="1"/>
          <c:order val="1"/>
          <c:tx>
            <c:v>CBA</c:v>
          </c:tx>
          <c:spPr>
            <a:ln w="28575" cap="rnd">
              <a:solidFill>
                <a:schemeClr val="accent2"/>
              </a:solidFill>
              <a:round/>
            </a:ln>
            <a:effectLst/>
          </c:spPr>
          <c:marker>
            <c:symbol val="circle"/>
            <c:size val="5"/>
            <c:spPr>
              <a:solidFill>
                <a:schemeClr val="accent2">
                  <a:lumMod val="75000"/>
                  <a:alpha val="99000"/>
                </a:schemeClr>
              </a:solidFill>
              <a:ln w="9525">
                <a:solidFill>
                  <a:schemeClr val="accent2">
                    <a:lumMod val="75000"/>
                  </a:schemeClr>
                </a:solidFill>
              </a:ln>
              <a:effectLst/>
            </c:spPr>
          </c:marker>
          <c:cat>
            <c:numRef>
              <c:f>'Figures (2)'!$R$196:$X$196</c:f>
              <c:numCache>
                <c:formatCode>General</c:formatCode>
                <c:ptCount val="7"/>
                <c:pt idx="0">
                  <c:v>0</c:v>
                </c:pt>
                <c:pt idx="1">
                  <c:v>30</c:v>
                </c:pt>
                <c:pt idx="2">
                  <c:v>60</c:v>
                </c:pt>
                <c:pt idx="3">
                  <c:v>90</c:v>
                </c:pt>
                <c:pt idx="4">
                  <c:v>120</c:v>
                </c:pt>
                <c:pt idx="5">
                  <c:v>150</c:v>
                </c:pt>
                <c:pt idx="6">
                  <c:v>180</c:v>
                </c:pt>
              </c:numCache>
            </c:numRef>
          </c:cat>
          <c:val>
            <c:numRef>
              <c:f>'Figures (2)'!$R$198:$X$198</c:f>
              <c:numCache>
                <c:formatCode>General</c:formatCode>
                <c:ptCount val="7"/>
                <c:pt idx="0">
                  <c:v>2.3366435784027372E-2</c:v>
                </c:pt>
                <c:pt idx="1">
                  <c:v>4.0891262622047904E-2</c:v>
                </c:pt>
                <c:pt idx="2">
                  <c:v>5.2574480514061592E-2</c:v>
                </c:pt>
                <c:pt idx="3">
                  <c:v>0.22198113994826002</c:v>
                </c:pt>
                <c:pt idx="4">
                  <c:v>0.39138779938245849</c:v>
                </c:pt>
                <c:pt idx="5">
                  <c:v>0.62505215722273222</c:v>
                </c:pt>
                <c:pt idx="6">
                  <c:v>0.80030042560293746</c:v>
                </c:pt>
              </c:numCache>
            </c:numRef>
          </c:val>
          <c:smooth val="0"/>
          <c:extLst>
            <c:ext xmlns:c16="http://schemas.microsoft.com/office/drawing/2014/chart" uri="{C3380CC4-5D6E-409C-BE32-E72D297353CC}">
              <c16:uniqueId val="{00000001-2C02-4CD2-94DE-7281E1D866BD}"/>
            </c:ext>
          </c:extLst>
        </c:ser>
        <c:ser>
          <c:idx val="2"/>
          <c:order val="2"/>
          <c:tx>
            <c:v>PBA</c:v>
          </c:tx>
          <c:spPr>
            <a:ln w="28575" cap="rnd">
              <a:solidFill>
                <a:schemeClr val="accent5">
                  <a:lumMod val="50000"/>
                </a:schemeClr>
              </a:solidFill>
              <a:round/>
            </a:ln>
            <a:effectLst/>
          </c:spPr>
          <c:marker>
            <c:symbol val="x"/>
            <c:size val="5"/>
            <c:spPr>
              <a:solidFill>
                <a:schemeClr val="accent5">
                  <a:lumMod val="50000"/>
                  <a:alpha val="99000"/>
                </a:schemeClr>
              </a:solidFill>
              <a:ln w="9525">
                <a:solidFill>
                  <a:schemeClr val="accent5">
                    <a:lumMod val="50000"/>
                  </a:schemeClr>
                </a:solidFill>
              </a:ln>
              <a:effectLst/>
            </c:spPr>
          </c:marker>
          <c:cat>
            <c:numRef>
              <c:f>'Figures (2)'!$R$196:$X$196</c:f>
              <c:numCache>
                <c:formatCode>General</c:formatCode>
                <c:ptCount val="7"/>
                <c:pt idx="0">
                  <c:v>0</c:v>
                </c:pt>
                <c:pt idx="1">
                  <c:v>30</c:v>
                </c:pt>
                <c:pt idx="2">
                  <c:v>60</c:v>
                </c:pt>
                <c:pt idx="3">
                  <c:v>90</c:v>
                </c:pt>
                <c:pt idx="4">
                  <c:v>120</c:v>
                </c:pt>
                <c:pt idx="5">
                  <c:v>150</c:v>
                </c:pt>
                <c:pt idx="6">
                  <c:v>180</c:v>
                </c:pt>
              </c:numCache>
            </c:numRef>
          </c:cat>
          <c:val>
            <c:numRef>
              <c:f>'Figures (2)'!$R$199:$X$199</c:f>
              <c:numCache>
                <c:formatCode>General</c:formatCode>
                <c:ptCount val="7"/>
                <c:pt idx="0">
                  <c:v>0.19277309521822583</c:v>
                </c:pt>
                <c:pt idx="1">
                  <c:v>7.5940916298088967E-2</c:v>
                </c:pt>
                <c:pt idx="2">
                  <c:v>0.12851539681215055</c:v>
                </c:pt>
                <c:pt idx="3">
                  <c:v>0.50821997830259535</c:v>
                </c:pt>
                <c:pt idx="4">
                  <c:v>0.73604272719686226</c:v>
                </c:pt>
                <c:pt idx="5">
                  <c:v>0.95802386714512222</c:v>
                </c:pt>
                <c:pt idx="6">
                  <c:v>0.91713260452307444</c:v>
                </c:pt>
              </c:numCache>
            </c:numRef>
          </c:val>
          <c:smooth val="0"/>
          <c:extLst>
            <c:ext xmlns:c16="http://schemas.microsoft.com/office/drawing/2014/chart" uri="{C3380CC4-5D6E-409C-BE32-E72D297353CC}">
              <c16:uniqueId val="{00000002-2C02-4CD2-94DE-7281E1D866BD}"/>
            </c:ext>
          </c:extLst>
        </c:ser>
        <c:dLbls>
          <c:showLegendKey val="0"/>
          <c:showVal val="0"/>
          <c:showCatName val="0"/>
          <c:showSerName val="0"/>
          <c:showPercent val="0"/>
          <c:showBubbleSize val="0"/>
        </c:dLbls>
        <c:marker val="1"/>
        <c:smooth val="0"/>
        <c:axId val="344613151"/>
        <c:axId val="344612191"/>
      </c:lineChart>
      <c:catAx>
        <c:axId val="3446131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a:latin typeface="Arial" panose="020B0604020202020204" pitchFamily="34" charset="0"/>
                    <a:cs typeface="Arial" panose="020B0604020202020204" pitchFamily="34" charset="0"/>
                  </a:rPr>
                  <a:t>Elapsed time (min)</a:t>
                </a:r>
              </a:p>
            </c:rich>
          </c:tx>
          <c:layout>
            <c:manualLayout>
              <c:xMode val="edge"/>
              <c:yMode val="edge"/>
              <c:x val="0.44421512732371854"/>
              <c:y val="0.9175304579049541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44612191"/>
        <c:crosses val="autoZero"/>
        <c:auto val="1"/>
        <c:lblAlgn val="ctr"/>
        <c:lblOffset val="100"/>
        <c:noMultiLvlLbl val="0"/>
      </c:catAx>
      <c:valAx>
        <c:axId val="34461219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a:latin typeface="Arial" panose="020B0604020202020204" pitchFamily="34" charset="0"/>
                    <a:cs typeface="Arial" panose="020B0604020202020204" pitchFamily="34" charset="0"/>
                  </a:rPr>
                  <a:t>NO2-N Concentration (mg NO2-N/L)</a:t>
                </a:r>
              </a:p>
            </c:rich>
          </c:tx>
          <c:layout>
            <c:manualLayout>
              <c:xMode val="edge"/>
              <c:yMode val="edge"/>
              <c:x val="1.4563128560126634E-2"/>
              <c:y val="0.22276601451894085"/>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44613151"/>
        <c:crosses val="autoZero"/>
        <c:crossBetween val="between"/>
      </c:valAx>
      <c:spPr>
        <a:noFill/>
        <a:ln w="12700">
          <a:solidFill>
            <a:schemeClr val="tx1"/>
          </a:solidFill>
        </a:ln>
        <a:effectLst/>
      </c:spPr>
    </c:plotArea>
    <c:legend>
      <c:legendPos val="b"/>
      <c:layout>
        <c:manualLayout>
          <c:xMode val="edge"/>
          <c:yMode val="edge"/>
          <c:x val="0.64239963060173044"/>
          <c:y val="0.10284623797025372"/>
          <c:w val="0.28279697676679305"/>
          <c:h val="5.0463921798758041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359657597598433"/>
          <c:y val="8.3493905091112319E-2"/>
          <c:w val="0.83942824710783015"/>
          <c:h val="0.7469681866390262"/>
        </c:manualLayout>
      </c:layout>
      <c:lineChart>
        <c:grouping val="standard"/>
        <c:varyColors val="0"/>
        <c:ser>
          <c:idx val="0"/>
          <c:order val="0"/>
          <c:tx>
            <c:v>Influent</c:v>
          </c:tx>
          <c:spPr>
            <a:ln w="28575" cap="rnd">
              <a:solidFill>
                <a:schemeClr val="accent3">
                  <a:lumMod val="60000"/>
                  <a:lumOff val="40000"/>
                </a:schemeClr>
              </a:solidFill>
              <a:round/>
            </a:ln>
            <a:effectLst/>
          </c:spPr>
          <c:marker>
            <c:symbol val="triangle"/>
            <c:size val="5"/>
            <c:spPr>
              <a:solidFill>
                <a:schemeClr val="bg2">
                  <a:lumMod val="75000"/>
                </a:schemeClr>
              </a:solidFill>
              <a:ln w="9525">
                <a:solidFill>
                  <a:schemeClr val="bg2">
                    <a:lumMod val="75000"/>
                  </a:schemeClr>
                </a:solidFill>
              </a:ln>
              <a:effectLst/>
            </c:spPr>
          </c:marker>
          <c:cat>
            <c:numRef>
              <c:f>'Figures (2)'!$D$232:$J$232</c:f>
              <c:numCache>
                <c:formatCode>General</c:formatCode>
                <c:ptCount val="7"/>
                <c:pt idx="0">
                  <c:v>0</c:v>
                </c:pt>
                <c:pt idx="1">
                  <c:v>30</c:v>
                </c:pt>
                <c:pt idx="2">
                  <c:v>60</c:v>
                </c:pt>
                <c:pt idx="3">
                  <c:v>90</c:v>
                </c:pt>
                <c:pt idx="4">
                  <c:v>120</c:v>
                </c:pt>
                <c:pt idx="5">
                  <c:v>150</c:v>
                </c:pt>
                <c:pt idx="6">
                  <c:v>180</c:v>
                </c:pt>
              </c:numCache>
            </c:numRef>
          </c:cat>
          <c:val>
            <c:numRef>
              <c:f>'Figures (2)'!$D$233:$J$233</c:f>
              <c:numCache>
                <c:formatCode>General</c:formatCode>
                <c:ptCount val="7"/>
                <c:pt idx="0">
                  <c:v>9.4371173438520923</c:v>
                </c:pt>
                <c:pt idx="1">
                  <c:v>8.801877888827045</c:v>
                </c:pt>
                <c:pt idx="2">
                  <c:v>8.5630278537376281</c:v>
                </c:pt>
                <c:pt idx="3">
                  <c:v>7.9023788205115801</c:v>
                </c:pt>
                <c:pt idx="4">
                  <c:v>7.4653340754543471</c:v>
                </c:pt>
                <c:pt idx="5">
                  <c:v>7.2722212811267335</c:v>
                </c:pt>
                <c:pt idx="6">
                  <c:v>7.007961667836315</c:v>
                </c:pt>
              </c:numCache>
            </c:numRef>
          </c:val>
          <c:smooth val="0"/>
          <c:extLst>
            <c:ext xmlns:c16="http://schemas.microsoft.com/office/drawing/2014/chart" uri="{C3380CC4-5D6E-409C-BE32-E72D297353CC}">
              <c16:uniqueId val="{00000000-2AD8-4F20-B35A-B1C687ECF3AE}"/>
            </c:ext>
          </c:extLst>
        </c:ser>
        <c:ser>
          <c:idx val="1"/>
          <c:order val="1"/>
          <c:tx>
            <c:v>CBA</c:v>
          </c:tx>
          <c:spPr>
            <a:ln w="28575" cap="rnd">
              <a:solidFill>
                <a:schemeClr val="accent2"/>
              </a:solidFill>
              <a:round/>
            </a:ln>
            <a:effectLst/>
          </c:spPr>
          <c:marker>
            <c:symbol val="circle"/>
            <c:size val="5"/>
            <c:spPr>
              <a:solidFill>
                <a:schemeClr val="accent2">
                  <a:lumMod val="75000"/>
                  <a:alpha val="99000"/>
                </a:schemeClr>
              </a:solidFill>
              <a:ln w="9525">
                <a:solidFill>
                  <a:schemeClr val="accent2">
                    <a:lumMod val="75000"/>
                  </a:schemeClr>
                </a:solidFill>
              </a:ln>
              <a:effectLst/>
            </c:spPr>
          </c:marker>
          <c:cat>
            <c:numRef>
              <c:f>'Figures (2)'!$D$232:$J$232</c:f>
              <c:numCache>
                <c:formatCode>General</c:formatCode>
                <c:ptCount val="7"/>
                <c:pt idx="0">
                  <c:v>0</c:v>
                </c:pt>
                <c:pt idx="1">
                  <c:v>30</c:v>
                </c:pt>
                <c:pt idx="2">
                  <c:v>60</c:v>
                </c:pt>
                <c:pt idx="3">
                  <c:v>90</c:v>
                </c:pt>
                <c:pt idx="4">
                  <c:v>120</c:v>
                </c:pt>
                <c:pt idx="5">
                  <c:v>150</c:v>
                </c:pt>
                <c:pt idx="6">
                  <c:v>180</c:v>
                </c:pt>
              </c:numCache>
            </c:numRef>
          </c:cat>
          <c:val>
            <c:numRef>
              <c:f>'Figures (2)'!$D$234:$J$234</c:f>
              <c:numCache>
                <c:formatCode>General</c:formatCode>
                <c:ptCount val="7"/>
                <c:pt idx="0">
                  <c:v>0</c:v>
                </c:pt>
                <c:pt idx="1">
                  <c:v>5.0819156402003726E-2</c:v>
                </c:pt>
                <c:pt idx="2">
                  <c:v>5.0819156402003726E-2</c:v>
                </c:pt>
                <c:pt idx="3">
                  <c:v>0.3608160104542264</c:v>
                </c:pt>
                <c:pt idx="4">
                  <c:v>0.89949906831546589</c:v>
                </c:pt>
                <c:pt idx="5">
                  <c:v>1.2399874162088909</c:v>
                </c:pt>
                <c:pt idx="6">
                  <c:v>1.2145778380078891</c:v>
                </c:pt>
              </c:numCache>
            </c:numRef>
          </c:val>
          <c:smooth val="0"/>
          <c:extLst>
            <c:ext xmlns:c16="http://schemas.microsoft.com/office/drawing/2014/chart" uri="{C3380CC4-5D6E-409C-BE32-E72D297353CC}">
              <c16:uniqueId val="{00000001-2AD8-4F20-B35A-B1C687ECF3AE}"/>
            </c:ext>
          </c:extLst>
        </c:ser>
        <c:ser>
          <c:idx val="2"/>
          <c:order val="2"/>
          <c:tx>
            <c:v>PBA</c:v>
          </c:tx>
          <c:spPr>
            <a:ln w="28575" cap="rnd">
              <a:solidFill>
                <a:schemeClr val="accent5">
                  <a:lumMod val="50000"/>
                </a:schemeClr>
              </a:solidFill>
              <a:round/>
            </a:ln>
            <a:effectLst/>
          </c:spPr>
          <c:marker>
            <c:symbol val="x"/>
            <c:size val="5"/>
            <c:spPr>
              <a:solidFill>
                <a:schemeClr val="accent5">
                  <a:lumMod val="50000"/>
                </a:schemeClr>
              </a:solidFill>
              <a:ln w="9525">
                <a:solidFill>
                  <a:schemeClr val="accent5">
                    <a:lumMod val="50000"/>
                  </a:schemeClr>
                </a:solidFill>
              </a:ln>
              <a:effectLst/>
            </c:spPr>
          </c:marker>
          <c:cat>
            <c:numRef>
              <c:f>'Figures (2)'!$D$232:$J$232</c:f>
              <c:numCache>
                <c:formatCode>General</c:formatCode>
                <c:ptCount val="7"/>
                <c:pt idx="0">
                  <c:v>0</c:v>
                </c:pt>
                <c:pt idx="1">
                  <c:v>30</c:v>
                </c:pt>
                <c:pt idx="2">
                  <c:v>60</c:v>
                </c:pt>
                <c:pt idx="3">
                  <c:v>90</c:v>
                </c:pt>
                <c:pt idx="4">
                  <c:v>120</c:v>
                </c:pt>
                <c:pt idx="5">
                  <c:v>150</c:v>
                </c:pt>
                <c:pt idx="6">
                  <c:v>180</c:v>
                </c:pt>
              </c:numCache>
            </c:numRef>
          </c:cat>
          <c:val>
            <c:numRef>
              <c:f>'Figures (2)'!$D$235:$J$235</c:f>
              <c:numCache>
                <c:formatCode>General</c:formatCode>
                <c:ptCount val="7"/>
                <c:pt idx="0">
                  <c:v>0.20835854124821526</c:v>
                </c:pt>
                <c:pt idx="1">
                  <c:v>0.3150787696924231</c:v>
                </c:pt>
                <c:pt idx="2">
                  <c:v>0.50819156402003729</c:v>
                </c:pt>
                <c:pt idx="3">
                  <c:v>2.6883333736659978</c:v>
                </c:pt>
                <c:pt idx="4">
                  <c:v>4.2738910534085131</c:v>
                </c:pt>
                <c:pt idx="5">
                  <c:v>5.2597826876073848</c:v>
                </c:pt>
                <c:pt idx="6">
                  <c:v>5.1683082060837782</c:v>
                </c:pt>
              </c:numCache>
            </c:numRef>
          </c:val>
          <c:smooth val="0"/>
          <c:extLst>
            <c:ext xmlns:c16="http://schemas.microsoft.com/office/drawing/2014/chart" uri="{C3380CC4-5D6E-409C-BE32-E72D297353CC}">
              <c16:uniqueId val="{00000002-2AD8-4F20-B35A-B1C687ECF3AE}"/>
            </c:ext>
          </c:extLst>
        </c:ser>
        <c:dLbls>
          <c:showLegendKey val="0"/>
          <c:showVal val="0"/>
          <c:showCatName val="0"/>
          <c:showSerName val="0"/>
          <c:showPercent val="0"/>
          <c:showBubbleSize val="0"/>
        </c:dLbls>
        <c:marker val="1"/>
        <c:smooth val="0"/>
        <c:axId val="344613151"/>
        <c:axId val="344612191"/>
      </c:lineChart>
      <c:catAx>
        <c:axId val="3446131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a:latin typeface="Arial" panose="020B0604020202020204" pitchFamily="34" charset="0"/>
                    <a:cs typeface="Arial" panose="020B0604020202020204" pitchFamily="34" charset="0"/>
                  </a:rPr>
                  <a:t>Elapsed time (min)</a:t>
                </a:r>
              </a:p>
            </c:rich>
          </c:tx>
          <c:layout>
            <c:manualLayout>
              <c:xMode val="edge"/>
              <c:yMode val="edge"/>
              <c:x val="0.44421512732371854"/>
              <c:y val="0.9175304579049541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44612191"/>
        <c:crosses val="autoZero"/>
        <c:auto val="1"/>
        <c:lblAlgn val="ctr"/>
        <c:lblOffset val="100"/>
        <c:noMultiLvlLbl val="0"/>
      </c:catAx>
      <c:valAx>
        <c:axId val="34461219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a:latin typeface="Arial" panose="020B0604020202020204" pitchFamily="34" charset="0"/>
                    <a:cs typeface="Arial" panose="020B0604020202020204" pitchFamily="34" charset="0"/>
                  </a:rPr>
                  <a:t>NO3-N Concentration (mg</a:t>
                </a:r>
                <a:r>
                  <a:rPr lang="en-US" sz="1100" b="1" baseline="0">
                    <a:latin typeface="Arial" panose="020B0604020202020204" pitchFamily="34" charset="0"/>
                    <a:cs typeface="Arial" panose="020B0604020202020204" pitchFamily="34" charset="0"/>
                  </a:rPr>
                  <a:t> NO3-N/L)</a:t>
                </a:r>
                <a:endParaRPr lang="en-US" sz="1100" b="1">
                  <a:latin typeface="Arial" panose="020B0604020202020204" pitchFamily="34" charset="0"/>
                  <a:cs typeface="Arial" panose="020B0604020202020204" pitchFamily="34" charset="0"/>
                </a:endParaRPr>
              </a:p>
            </c:rich>
          </c:tx>
          <c:layout>
            <c:manualLayout>
              <c:xMode val="edge"/>
              <c:yMode val="edge"/>
              <c:x val="1.9178726082318801E-2"/>
              <c:y val="0.2028607982775382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44613151"/>
        <c:crosses val="autoZero"/>
        <c:crossBetween val="between"/>
      </c:valAx>
      <c:spPr>
        <a:noFill/>
        <a:ln w="12700">
          <a:solidFill>
            <a:schemeClr val="tx1"/>
          </a:solidFill>
        </a:ln>
        <a:effectLst/>
      </c:spPr>
    </c:plotArea>
    <c:legend>
      <c:legendPos val="b"/>
      <c:layout>
        <c:manualLayout>
          <c:xMode val="edge"/>
          <c:yMode val="edge"/>
          <c:x val="0.64239963060173044"/>
          <c:y val="0.10284623797025372"/>
          <c:w val="0.28193998145279942"/>
          <c:h val="5.165974574164954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514159442053506"/>
          <c:y val="8.3493905091112319E-2"/>
          <c:w val="0.83788330376116116"/>
          <c:h val="0.7469681866390262"/>
        </c:manualLayout>
      </c:layout>
      <c:lineChart>
        <c:grouping val="standard"/>
        <c:varyColors val="0"/>
        <c:ser>
          <c:idx val="0"/>
          <c:order val="0"/>
          <c:tx>
            <c:v>Influent</c:v>
          </c:tx>
          <c:spPr>
            <a:ln w="28575" cap="rnd">
              <a:solidFill>
                <a:schemeClr val="accent3">
                  <a:lumMod val="60000"/>
                  <a:lumOff val="40000"/>
                </a:schemeClr>
              </a:solidFill>
              <a:round/>
            </a:ln>
            <a:effectLst/>
          </c:spPr>
          <c:marker>
            <c:symbol val="triangle"/>
            <c:size val="5"/>
            <c:spPr>
              <a:solidFill>
                <a:schemeClr val="bg2">
                  <a:lumMod val="75000"/>
                </a:schemeClr>
              </a:solidFill>
              <a:ln w="9525">
                <a:solidFill>
                  <a:schemeClr val="bg2">
                    <a:lumMod val="75000"/>
                  </a:schemeClr>
                </a:solidFill>
              </a:ln>
              <a:effectLst/>
            </c:spPr>
          </c:marker>
          <c:cat>
            <c:numRef>
              <c:f>'Figures (2)'!$R$232:$X$232</c:f>
              <c:numCache>
                <c:formatCode>General</c:formatCode>
                <c:ptCount val="7"/>
                <c:pt idx="0">
                  <c:v>0</c:v>
                </c:pt>
                <c:pt idx="1">
                  <c:v>30</c:v>
                </c:pt>
                <c:pt idx="2">
                  <c:v>60</c:v>
                </c:pt>
                <c:pt idx="3">
                  <c:v>90</c:v>
                </c:pt>
                <c:pt idx="4">
                  <c:v>120</c:v>
                </c:pt>
                <c:pt idx="5">
                  <c:v>150</c:v>
                </c:pt>
                <c:pt idx="6">
                  <c:v>180</c:v>
                </c:pt>
              </c:numCache>
            </c:numRef>
          </c:cat>
          <c:val>
            <c:numRef>
              <c:f>'Figures (2)'!$R$233:$X$233</c:f>
              <c:numCache>
                <c:formatCode>General</c:formatCode>
                <c:ptCount val="7"/>
                <c:pt idx="0">
                  <c:v>1.0640732265446224</c:v>
                </c:pt>
                <c:pt idx="1">
                  <c:v>1.0032690421706441</c:v>
                </c:pt>
                <c:pt idx="2">
                  <c:v>0.97286694998365497</c:v>
                </c:pt>
                <c:pt idx="3">
                  <c:v>0.89686171951618177</c:v>
                </c:pt>
                <c:pt idx="4">
                  <c:v>0.86645962732919257</c:v>
                </c:pt>
                <c:pt idx="5">
                  <c:v>0.83605753514220338</c:v>
                </c:pt>
                <c:pt idx="6">
                  <c:v>0.80565544295521407</c:v>
                </c:pt>
              </c:numCache>
            </c:numRef>
          </c:val>
          <c:smooth val="0"/>
          <c:extLst>
            <c:ext xmlns:c16="http://schemas.microsoft.com/office/drawing/2014/chart" uri="{C3380CC4-5D6E-409C-BE32-E72D297353CC}">
              <c16:uniqueId val="{00000000-CA8A-4AEF-956D-5EA0DE99AA20}"/>
            </c:ext>
          </c:extLst>
        </c:ser>
        <c:ser>
          <c:idx val="1"/>
          <c:order val="1"/>
          <c:tx>
            <c:v>CBA</c:v>
          </c:tx>
          <c:spPr>
            <a:ln w="28575" cap="rnd">
              <a:solidFill>
                <a:schemeClr val="accent2"/>
              </a:solidFill>
              <a:round/>
            </a:ln>
            <a:effectLst/>
          </c:spPr>
          <c:marker>
            <c:symbol val="circle"/>
            <c:size val="5"/>
            <c:spPr>
              <a:solidFill>
                <a:schemeClr val="accent2">
                  <a:lumMod val="75000"/>
                  <a:alpha val="99000"/>
                </a:schemeClr>
              </a:solidFill>
              <a:ln w="9525">
                <a:solidFill>
                  <a:schemeClr val="accent2">
                    <a:lumMod val="75000"/>
                  </a:schemeClr>
                </a:solidFill>
              </a:ln>
              <a:effectLst/>
            </c:spPr>
          </c:marker>
          <c:cat>
            <c:numRef>
              <c:f>'Figures (2)'!$R$232:$X$232</c:f>
              <c:numCache>
                <c:formatCode>General</c:formatCode>
                <c:ptCount val="7"/>
                <c:pt idx="0">
                  <c:v>0</c:v>
                </c:pt>
                <c:pt idx="1">
                  <c:v>30</c:v>
                </c:pt>
                <c:pt idx="2">
                  <c:v>60</c:v>
                </c:pt>
                <c:pt idx="3">
                  <c:v>90</c:v>
                </c:pt>
                <c:pt idx="4">
                  <c:v>120</c:v>
                </c:pt>
                <c:pt idx="5">
                  <c:v>150</c:v>
                </c:pt>
                <c:pt idx="6">
                  <c:v>180</c:v>
                </c:pt>
              </c:numCache>
            </c:numRef>
          </c:cat>
          <c:val>
            <c:numRef>
              <c:f>'Figures (2)'!$R$234:$X$234</c:f>
              <c:numCache>
                <c:formatCode>General</c:formatCode>
                <c:ptCount val="7"/>
                <c:pt idx="0">
                  <c:v>0.76005230467473039</c:v>
                </c:pt>
                <c:pt idx="1">
                  <c:v>0.79045439686171948</c:v>
                </c:pt>
                <c:pt idx="2">
                  <c:v>0.72965021248774109</c:v>
                </c:pt>
                <c:pt idx="3">
                  <c:v>0.71444916639424649</c:v>
                </c:pt>
                <c:pt idx="4">
                  <c:v>0.71444916639424649</c:v>
                </c:pt>
                <c:pt idx="5">
                  <c:v>0.653644982020268</c:v>
                </c:pt>
                <c:pt idx="6">
                  <c:v>0.6080418437397842</c:v>
                </c:pt>
              </c:numCache>
            </c:numRef>
          </c:val>
          <c:smooth val="0"/>
          <c:extLst>
            <c:ext xmlns:c16="http://schemas.microsoft.com/office/drawing/2014/chart" uri="{C3380CC4-5D6E-409C-BE32-E72D297353CC}">
              <c16:uniqueId val="{00000001-CA8A-4AEF-956D-5EA0DE99AA20}"/>
            </c:ext>
          </c:extLst>
        </c:ser>
        <c:ser>
          <c:idx val="2"/>
          <c:order val="2"/>
          <c:tx>
            <c:v>PBA</c:v>
          </c:tx>
          <c:spPr>
            <a:ln w="28575" cap="rnd">
              <a:solidFill>
                <a:schemeClr val="accent5">
                  <a:lumMod val="50000"/>
                </a:schemeClr>
              </a:solidFill>
              <a:round/>
            </a:ln>
            <a:effectLst/>
          </c:spPr>
          <c:marker>
            <c:symbol val="x"/>
            <c:size val="5"/>
            <c:spPr>
              <a:solidFill>
                <a:schemeClr val="accent5">
                  <a:lumMod val="50000"/>
                  <a:alpha val="99000"/>
                </a:schemeClr>
              </a:solidFill>
              <a:ln w="9525">
                <a:solidFill>
                  <a:schemeClr val="accent5">
                    <a:lumMod val="50000"/>
                  </a:schemeClr>
                </a:solidFill>
              </a:ln>
              <a:effectLst/>
            </c:spPr>
          </c:marker>
          <c:cat>
            <c:numRef>
              <c:f>'Figures (2)'!$R$232:$X$232</c:f>
              <c:numCache>
                <c:formatCode>General</c:formatCode>
                <c:ptCount val="7"/>
                <c:pt idx="0">
                  <c:v>0</c:v>
                </c:pt>
                <c:pt idx="1">
                  <c:v>30</c:v>
                </c:pt>
                <c:pt idx="2">
                  <c:v>60</c:v>
                </c:pt>
                <c:pt idx="3">
                  <c:v>90</c:v>
                </c:pt>
                <c:pt idx="4">
                  <c:v>120</c:v>
                </c:pt>
                <c:pt idx="5">
                  <c:v>150</c:v>
                </c:pt>
                <c:pt idx="6">
                  <c:v>180</c:v>
                </c:pt>
              </c:numCache>
            </c:numRef>
          </c:cat>
          <c:val>
            <c:numRef>
              <c:f>'Figures (2)'!$R$235:$X$235</c:f>
              <c:numCache>
                <c:formatCode>General</c:formatCode>
                <c:ptCount val="7"/>
                <c:pt idx="0">
                  <c:v>1.0032690421706441</c:v>
                </c:pt>
                <c:pt idx="1">
                  <c:v>1.1704805491990846</c:v>
                </c:pt>
                <c:pt idx="2">
                  <c:v>1.1248774109186008</c:v>
                </c:pt>
                <c:pt idx="3">
                  <c:v>1.0184700882641387</c:v>
                </c:pt>
                <c:pt idx="4">
                  <c:v>0.94246485779666556</c:v>
                </c:pt>
                <c:pt idx="5">
                  <c:v>0.86645962732919257</c:v>
                </c:pt>
                <c:pt idx="6">
                  <c:v>0.80565544295521407</c:v>
                </c:pt>
              </c:numCache>
            </c:numRef>
          </c:val>
          <c:smooth val="0"/>
          <c:extLst>
            <c:ext xmlns:c16="http://schemas.microsoft.com/office/drawing/2014/chart" uri="{C3380CC4-5D6E-409C-BE32-E72D297353CC}">
              <c16:uniqueId val="{00000002-CA8A-4AEF-956D-5EA0DE99AA20}"/>
            </c:ext>
          </c:extLst>
        </c:ser>
        <c:dLbls>
          <c:showLegendKey val="0"/>
          <c:showVal val="0"/>
          <c:showCatName val="0"/>
          <c:showSerName val="0"/>
          <c:showPercent val="0"/>
          <c:showBubbleSize val="0"/>
        </c:dLbls>
        <c:marker val="1"/>
        <c:smooth val="0"/>
        <c:axId val="344613151"/>
        <c:axId val="344612191"/>
      </c:lineChart>
      <c:catAx>
        <c:axId val="3446131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a:latin typeface="Arial" panose="020B0604020202020204" pitchFamily="34" charset="0"/>
                    <a:cs typeface="Arial" panose="020B0604020202020204" pitchFamily="34" charset="0"/>
                  </a:rPr>
                  <a:t>Elapsed time (min)</a:t>
                </a:r>
              </a:p>
            </c:rich>
          </c:tx>
          <c:layout>
            <c:manualLayout>
              <c:xMode val="edge"/>
              <c:yMode val="edge"/>
              <c:x val="0.44421512732371854"/>
              <c:y val="0.9175304579049541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44612191"/>
        <c:crosses val="autoZero"/>
        <c:auto val="1"/>
        <c:lblAlgn val="ctr"/>
        <c:lblOffset val="100"/>
        <c:noMultiLvlLbl val="0"/>
      </c:catAx>
      <c:valAx>
        <c:axId val="34461219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a:latin typeface="Arial" panose="020B0604020202020204" pitchFamily="34" charset="0"/>
                    <a:cs typeface="Arial" panose="020B0604020202020204" pitchFamily="34" charset="0"/>
                  </a:rPr>
                  <a:t>PO4-P Concentration (mg PO4-P/L)</a:t>
                </a:r>
              </a:p>
            </c:rich>
          </c:tx>
          <c:layout>
            <c:manualLayout>
              <c:xMode val="edge"/>
              <c:yMode val="edge"/>
              <c:x val="1.7640912521745936E-2"/>
              <c:y val="0.2312968214795419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44613151"/>
        <c:crosses val="autoZero"/>
        <c:crossBetween val="between"/>
      </c:valAx>
      <c:spPr>
        <a:noFill/>
        <a:ln w="12700">
          <a:solidFill>
            <a:schemeClr val="tx1"/>
          </a:solidFill>
        </a:ln>
        <a:effectLst/>
      </c:spPr>
    </c:plotArea>
    <c:legend>
      <c:legendPos val="b"/>
      <c:layout>
        <c:manualLayout>
          <c:xMode val="edge"/>
          <c:yMode val="edge"/>
          <c:x val="0.64239963060173044"/>
          <c:y val="0.10284623797025372"/>
          <c:w val="0.28279697676679305"/>
          <c:h val="5.0463921798758041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667364256237268"/>
          <c:y val="8.6337587989340298E-2"/>
          <c:w val="0.83635118052144164"/>
          <c:h val="0.7469681866390262"/>
        </c:manualLayout>
      </c:layout>
      <c:lineChart>
        <c:grouping val="standard"/>
        <c:varyColors val="0"/>
        <c:ser>
          <c:idx val="0"/>
          <c:order val="0"/>
          <c:tx>
            <c:v>Influent</c:v>
          </c:tx>
          <c:spPr>
            <a:ln w="28575" cap="rnd">
              <a:solidFill>
                <a:schemeClr val="accent3">
                  <a:lumMod val="60000"/>
                  <a:lumOff val="40000"/>
                </a:schemeClr>
              </a:solidFill>
              <a:round/>
            </a:ln>
            <a:effectLst/>
          </c:spPr>
          <c:marker>
            <c:symbol val="triangle"/>
            <c:size val="5"/>
            <c:spPr>
              <a:solidFill>
                <a:schemeClr val="bg2">
                  <a:lumMod val="75000"/>
                </a:schemeClr>
              </a:solidFill>
              <a:ln w="9525">
                <a:solidFill>
                  <a:schemeClr val="bg2">
                    <a:lumMod val="75000"/>
                  </a:schemeClr>
                </a:solidFill>
              </a:ln>
              <a:effectLst/>
            </c:spPr>
          </c:marker>
          <c:cat>
            <c:numRef>
              <c:f>'Figures (2)'!$D$268:$J$268</c:f>
              <c:numCache>
                <c:formatCode>General</c:formatCode>
                <c:ptCount val="7"/>
                <c:pt idx="0">
                  <c:v>0</c:v>
                </c:pt>
                <c:pt idx="1">
                  <c:v>30</c:v>
                </c:pt>
                <c:pt idx="2">
                  <c:v>60</c:v>
                </c:pt>
                <c:pt idx="3">
                  <c:v>90</c:v>
                </c:pt>
                <c:pt idx="4">
                  <c:v>120</c:v>
                </c:pt>
                <c:pt idx="5">
                  <c:v>150</c:v>
                </c:pt>
                <c:pt idx="6">
                  <c:v>180</c:v>
                </c:pt>
              </c:numCache>
            </c:numRef>
          </c:cat>
          <c:val>
            <c:numRef>
              <c:f>'Figures (2)'!$D$269:$J$269</c:f>
              <c:numCache>
                <c:formatCode>General</c:formatCode>
                <c:ptCount val="7"/>
                <c:pt idx="0">
                  <c:v>138.03886925795052</c:v>
                </c:pt>
                <c:pt idx="1">
                  <c:v>135.31802120141342</c:v>
                </c:pt>
                <c:pt idx="2">
                  <c:v>141.62544169611309</c:v>
                </c:pt>
                <c:pt idx="3">
                  <c:v>132.49116607773851</c:v>
                </c:pt>
                <c:pt idx="4">
                  <c:v>133.07420494699647</c:v>
                </c:pt>
                <c:pt idx="5">
                  <c:v>135.35335689045934</c:v>
                </c:pt>
                <c:pt idx="6">
                  <c:v>133.93992932862193</c:v>
                </c:pt>
              </c:numCache>
            </c:numRef>
          </c:val>
          <c:smooth val="0"/>
          <c:extLst>
            <c:ext xmlns:c16="http://schemas.microsoft.com/office/drawing/2014/chart" uri="{C3380CC4-5D6E-409C-BE32-E72D297353CC}">
              <c16:uniqueId val="{00000000-5522-4B08-A306-41B09C053E66}"/>
            </c:ext>
          </c:extLst>
        </c:ser>
        <c:ser>
          <c:idx val="1"/>
          <c:order val="1"/>
          <c:tx>
            <c:v>CBA</c:v>
          </c:tx>
          <c:spPr>
            <a:ln w="28575" cap="rnd">
              <a:solidFill>
                <a:schemeClr val="accent2"/>
              </a:solidFill>
              <a:round/>
            </a:ln>
            <a:effectLst/>
          </c:spPr>
          <c:marker>
            <c:symbol val="circle"/>
            <c:size val="5"/>
            <c:spPr>
              <a:solidFill>
                <a:schemeClr val="accent2">
                  <a:lumMod val="75000"/>
                  <a:alpha val="99000"/>
                </a:schemeClr>
              </a:solidFill>
              <a:ln w="9525">
                <a:solidFill>
                  <a:schemeClr val="accent2">
                    <a:lumMod val="75000"/>
                  </a:schemeClr>
                </a:solidFill>
              </a:ln>
              <a:effectLst/>
            </c:spPr>
          </c:marker>
          <c:cat>
            <c:numRef>
              <c:f>'Figures (2)'!$D$268:$J$268</c:f>
              <c:numCache>
                <c:formatCode>General</c:formatCode>
                <c:ptCount val="7"/>
                <c:pt idx="0">
                  <c:v>0</c:v>
                </c:pt>
                <c:pt idx="1">
                  <c:v>30</c:v>
                </c:pt>
                <c:pt idx="2">
                  <c:v>60</c:v>
                </c:pt>
                <c:pt idx="3">
                  <c:v>90</c:v>
                </c:pt>
                <c:pt idx="4">
                  <c:v>120</c:v>
                </c:pt>
                <c:pt idx="5">
                  <c:v>150</c:v>
                </c:pt>
                <c:pt idx="6">
                  <c:v>180</c:v>
                </c:pt>
              </c:numCache>
            </c:numRef>
          </c:cat>
          <c:val>
            <c:numRef>
              <c:f>'Figures (2)'!$D$270:$J$270</c:f>
              <c:numCache>
                <c:formatCode>General</c:formatCode>
                <c:ptCount val="7"/>
                <c:pt idx="0">
                  <c:v>100.17667844522967</c:v>
                </c:pt>
                <c:pt idx="1">
                  <c:v>101.74911660777386</c:v>
                </c:pt>
                <c:pt idx="2">
                  <c:v>95.954063604240275</c:v>
                </c:pt>
                <c:pt idx="3">
                  <c:v>102.73851590106007</c:v>
                </c:pt>
                <c:pt idx="4">
                  <c:v>115.03533568904594</c:v>
                </c:pt>
                <c:pt idx="5">
                  <c:v>118.18021201413427</c:v>
                </c:pt>
                <c:pt idx="6">
                  <c:v>118.60424028268551</c:v>
                </c:pt>
              </c:numCache>
            </c:numRef>
          </c:val>
          <c:smooth val="0"/>
          <c:extLst>
            <c:ext xmlns:c16="http://schemas.microsoft.com/office/drawing/2014/chart" uri="{C3380CC4-5D6E-409C-BE32-E72D297353CC}">
              <c16:uniqueId val="{00000001-5522-4B08-A306-41B09C053E66}"/>
            </c:ext>
          </c:extLst>
        </c:ser>
        <c:ser>
          <c:idx val="2"/>
          <c:order val="2"/>
          <c:tx>
            <c:v>PBA</c:v>
          </c:tx>
          <c:spPr>
            <a:ln w="28575" cap="rnd">
              <a:solidFill>
                <a:schemeClr val="accent5">
                  <a:lumMod val="50000"/>
                </a:schemeClr>
              </a:solidFill>
              <a:round/>
            </a:ln>
            <a:effectLst/>
          </c:spPr>
          <c:marker>
            <c:symbol val="x"/>
            <c:size val="5"/>
            <c:spPr>
              <a:solidFill>
                <a:schemeClr val="accent5">
                  <a:lumMod val="50000"/>
                </a:schemeClr>
              </a:solidFill>
              <a:ln w="9525">
                <a:solidFill>
                  <a:schemeClr val="accent5">
                    <a:lumMod val="50000"/>
                  </a:schemeClr>
                </a:solidFill>
              </a:ln>
              <a:effectLst/>
            </c:spPr>
          </c:marker>
          <c:cat>
            <c:numRef>
              <c:f>'Figures (2)'!$D$268:$J$268</c:f>
              <c:numCache>
                <c:formatCode>General</c:formatCode>
                <c:ptCount val="7"/>
                <c:pt idx="0">
                  <c:v>0</c:v>
                </c:pt>
                <c:pt idx="1">
                  <c:v>30</c:v>
                </c:pt>
                <c:pt idx="2">
                  <c:v>60</c:v>
                </c:pt>
                <c:pt idx="3">
                  <c:v>90</c:v>
                </c:pt>
                <c:pt idx="4">
                  <c:v>120</c:v>
                </c:pt>
                <c:pt idx="5">
                  <c:v>150</c:v>
                </c:pt>
                <c:pt idx="6">
                  <c:v>180</c:v>
                </c:pt>
              </c:numCache>
            </c:numRef>
          </c:cat>
          <c:val>
            <c:numRef>
              <c:f>'Figures (2)'!$D$271:$J$271</c:f>
              <c:numCache>
                <c:formatCode>General</c:formatCode>
                <c:ptCount val="7"/>
                <c:pt idx="0">
                  <c:v>113.37455830388691</c:v>
                </c:pt>
                <c:pt idx="1">
                  <c:v>103.67491166077738</c:v>
                </c:pt>
                <c:pt idx="2">
                  <c:v>109.89399293286219</c:v>
                </c:pt>
                <c:pt idx="3">
                  <c:v>117.17314487632508</c:v>
                </c:pt>
                <c:pt idx="4">
                  <c:v>131.60777385159011</c:v>
                </c:pt>
                <c:pt idx="5">
                  <c:v>136.13074204946997</c:v>
                </c:pt>
                <c:pt idx="6">
                  <c:v>133.32155477031802</c:v>
                </c:pt>
              </c:numCache>
            </c:numRef>
          </c:val>
          <c:smooth val="0"/>
          <c:extLst>
            <c:ext xmlns:c16="http://schemas.microsoft.com/office/drawing/2014/chart" uri="{C3380CC4-5D6E-409C-BE32-E72D297353CC}">
              <c16:uniqueId val="{00000002-5522-4B08-A306-41B09C053E66}"/>
            </c:ext>
          </c:extLst>
        </c:ser>
        <c:dLbls>
          <c:showLegendKey val="0"/>
          <c:showVal val="0"/>
          <c:showCatName val="0"/>
          <c:showSerName val="0"/>
          <c:showPercent val="0"/>
          <c:showBubbleSize val="0"/>
        </c:dLbls>
        <c:marker val="1"/>
        <c:smooth val="0"/>
        <c:axId val="344613151"/>
        <c:axId val="344612191"/>
      </c:lineChart>
      <c:catAx>
        <c:axId val="3446131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a:latin typeface="Arial" panose="020B0604020202020204" pitchFamily="34" charset="0"/>
                    <a:cs typeface="Arial" panose="020B0604020202020204" pitchFamily="34" charset="0"/>
                  </a:rPr>
                  <a:t>Elapsed time (min)</a:t>
                </a:r>
              </a:p>
            </c:rich>
          </c:tx>
          <c:layout>
            <c:manualLayout>
              <c:xMode val="edge"/>
              <c:yMode val="edge"/>
              <c:x val="0.44421512732371854"/>
              <c:y val="0.9175304579049541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44612191"/>
        <c:crosses val="autoZero"/>
        <c:auto val="1"/>
        <c:lblAlgn val="ctr"/>
        <c:lblOffset val="100"/>
        <c:noMultiLvlLbl val="0"/>
      </c:catAx>
      <c:valAx>
        <c:axId val="34461219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a:latin typeface="Arial" panose="020B0604020202020204" pitchFamily="34" charset="0"/>
                    <a:cs typeface="Arial" panose="020B0604020202020204" pitchFamily="34" charset="0"/>
                  </a:rPr>
                  <a:t>SO4 Concentration (mg</a:t>
                </a:r>
                <a:r>
                  <a:rPr lang="en-US" sz="1100" b="1" baseline="0">
                    <a:latin typeface="Arial" panose="020B0604020202020204" pitchFamily="34" charset="0"/>
                    <a:cs typeface="Arial" panose="020B0604020202020204" pitchFamily="34" charset="0"/>
                  </a:rPr>
                  <a:t> SO4/L)</a:t>
                </a:r>
                <a:endParaRPr lang="en-US" sz="1100" b="1">
                  <a:latin typeface="Arial" panose="020B0604020202020204" pitchFamily="34" charset="0"/>
                  <a:cs typeface="Arial" panose="020B0604020202020204" pitchFamily="34" charset="0"/>
                </a:endParaRPr>
              </a:p>
            </c:rich>
          </c:tx>
          <c:layout>
            <c:manualLayout>
              <c:xMode val="edge"/>
              <c:yMode val="edge"/>
              <c:x val="1.4563126202736289E-2"/>
              <c:y val="0.23698402611994271"/>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44613151"/>
        <c:crosses val="autoZero"/>
        <c:crossBetween val="between"/>
      </c:valAx>
      <c:spPr>
        <a:noFill/>
        <a:ln w="12700">
          <a:solidFill>
            <a:schemeClr val="tx1"/>
          </a:solidFill>
        </a:ln>
        <a:effectLst/>
      </c:spPr>
    </c:plotArea>
    <c:legend>
      <c:legendPos val="b"/>
      <c:layout>
        <c:manualLayout>
          <c:xMode val="edge"/>
          <c:yMode val="edge"/>
          <c:x val="0.64239963060173044"/>
          <c:y val="0.10284623797025372"/>
          <c:w val="0.28193998145279942"/>
          <c:h val="5.165974574164954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898602649729645"/>
          <c:y val="8.3493905091112319E-2"/>
          <c:w val="0.84403887168439984"/>
          <c:h val="0.7469681866390262"/>
        </c:manualLayout>
      </c:layout>
      <c:lineChart>
        <c:grouping val="standard"/>
        <c:varyColors val="0"/>
        <c:ser>
          <c:idx val="0"/>
          <c:order val="0"/>
          <c:tx>
            <c:v>Influent</c:v>
          </c:tx>
          <c:spPr>
            <a:ln w="28575" cap="rnd">
              <a:solidFill>
                <a:schemeClr val="accent3">
                  <a:lumMod val="60000"/>
                  <a:lumOff val="40000"/>
                </a:schemeClr>
              </a:solidFill>
              <a:round/>
            </a:ln>
            <a:effectLst/>
          </c:spPr>
          <c:marker>
            <c:symbol val="triangle"/>
            <c:size val="5"/>
            <c:spPr>
              <a:solidFill>
                <a:schemeClr val="accent3">
                  <a:lumMod val="60000"/>
                  <a:lumOff val="40000"/>
                </a:schemeClr>
              </a:solidFill>
              <a:ln w="9525">
                <a:solidFill>
                  <a:schemeClr val="bg2">
                    <a:lumMod val="75000"/>
                  </a:schemeClr>
                </a:solidFill>
              </a:ln>
              <a:effectLst/>
            </c:spPr>
          </c:marker>
          <c:cat>
            <c:numRef>
              <c:f>'Figures (2)'!$R$268:$X$268</c:f>
              <c:numCache>
                <c:formatCode>General</c:formatCode>
                <c:ptCount val="7"/>
                <c:pt idx="0">
                  <c:v>0</c:v>
                </c:pt>
                <c:pt idx="1">
                  <c:v>30</c:v>
                </c:pt>
                <c:pt idx="2">
                  <c:v>60</c:v>
                </c:pt>
                <c:pt idx="3">
                  <c:v>90</c:v>
                </c:pt>
                <c:pt idx="4">
                  <c:v>120</c:v>
                </c:pt>
                <c:pt idx="5">
                  <c:v>150</c:v>
                </c:pt>
                <c:pt idx="6">
                  <c:v>180</c:v>
                </c:pt>
              </c:numCache>
            </c:numRef>
          </c:cat>
          <c:val>
            <c:numRef>
              <c:f>'Figures (2)'!$R$269:$X$269</c:f>
              <c:numCache>
                <c:formatCode>General</c:formatCode>
                <c:ptCount val="7"/>
                <c:pt idx="0">
                  <c:v>0</c:v>
                </c:pt>
                <c:pt idx="1">
                  <c:v>0</c:v>
                </c:pt>
                <c:pt idx="2">
                  <c:v>0</c:v>
                </c:pt>
                <c:pt idx="3">
                  <c:v>0</c:v>
                </c:pt>
                <c:pt idx="4">
                  <c:v>0</c:v>
                </c:pt>
                <c:pt idx="5">
                  <c:v>0</c:v>
                </c:pt>
                <c:pt idx="6">
                  <c:v>0</c:v>
                </c:pt>
              </c:numCache>
            </c:numRef>
          </c:val>
          <c:smooth val="0"/>
          <c:extLst>
            <c:ext xmlns:c16="http://schemas.microsoft.com/office/drawing/2014/chart" uri="{C3380CC4-5D6E-409C-BE32-E72D297353CC}">
              <c16:uniqueId val="{00000000-185A-4ADD-A537-7131AA076CC1}"/>
            </c:ext>
          </c:extLst>
        </c:ser>
        <c:ser>
          <c:idx val="1"/>
          <c:order val="1"/>
          <c:tx>
            <c:v>CBA</c:v>
          </c:tx>
          <c:spPr>
            <a:ln w="28575" cap="rnd">
              <a:solidFill>
                <a:schemeClr val="accent2"/>
              </a:solidFill>
              <a:round/>
            </a:ln>
            <a:effectLst/>
          </c:spPr>
          <c:marker>
            <c:symbol val="circle"/>
            <c:size val="5"/>
            <c:spPr>
              <a:solidFill>
                <a:schemeClr val="accent2">
                  <a:lumMod val="75000"/>
                  <a:alpha val="99000"/>
                </a:schemeClr>
              </a:solidFill>
              <a:ln w="9525">
                <a:solidFill>
                  <a:schemeClr val="accent2">
                    <a:lumMod val="75000"/>
                  </a:schemeClr>
                </a:solidFill>
              </a:ln>
              <a:effectLst/>
            </c:spPr>
          </c:marker>
          <c:cat>
            <c:numRef>
              <c:f>'Figures (2)'!$R$268:$X$268</c:f>
              <c:numCache>
                <c:formatCode>General</c:formatCode>
                <c:ptCount val="7"/>
                <c:pt idx="0">
                  <c:v>0</c:v>
                </c:pt>
                <c:pt idx="1">
                  <c:v>30</c:v>
                </c:pt>
                <c:pt idx="2">
                  <c:v>60</c:v>
                </c:pt>
                <c:pt idx="3">
                  <c:v>90</c:v>
                </c:pt>
                <c:pt idx="4">
                  <c:v>120</c:v>
                </c:pt>
                <c:pt idx="5">
                  <c:v>150</c:v>
                </c:pt>
                <c:pt idx="6">
                  <c:v>180</c:v>
                </c:pt>
              </c:numCache>
            </c:numRef>
          </c:cat>
          <c:val>
            <c:numRef>
              <c:f>'Figures (2)'!$R$270:$X$270</c:f>
              <c:numCache>
                <c:formatCode>General</c:formatCode>
                <c:ptCount val="7"/>
                <c:pt idx="0">
                  <c:v>0</c:v>
                </c:pt>
                <c:pt idx="1">
                  <c:v>0</c:v>
                </c:pt>
                <c:pt idx="2">
                  <c:v>0</c:v>
                </c:pt>
                <c:pt idx="3">
                  <c:v>0</c:v>
                </c:pt>
                <c:pt idx="4">
                  <c:v>0</c:v>
                </c:pt>
                <c:pt idx="5">
                  <c:v>0</c:v>
                </c:pt>
                <c:pt idx="6">
                  <c:v>0</c:v>
                </c:pt>
              </c:numCache>
            </c:numRef>
          </c:val>
          <c:smooth val="0"/>
          <c:extLst>
            <c:ext xmlns:c16="http://schemas.microsoft.com/office/drawing/2014/chart" uri="{C3380CC4-5D6E-409C-BE32-E72D297353CC}">
              <c16:uniqueId val="{00000001-185A-4ADD-A537-7131AA076CC1}"/>
            </c:ext>
          </c:extLst>
        </c:ser>
        <c:ser>
          <c:idx val="2"/>
          <c:order val="2"/>
          <c:tx>
            <c:v>PBA</c:v>
          </c:tx>
          <c:spPr>
            <a:ln w="28575" cap="rnd">
              <a:solidFill>
                <a:schemeClr val="accent5">
                  <a:lumMod val="50000"/>
                </a:schemeClr>
              </a:solidFill>
              <a:round/>
            </a:ln>
            <a:effectLst/>
          </c:spPr>
          <c:marker>
            <c:symbol val="x"/>
            <c:size val="5"/>
            <c:spPr>
              <a:solidFill>
                <a:schemeClr val="accent5">
                  <a:lumMod val="50000"/>
                  <a:alpha val="99000"/>
                </a:schemeClr>
              </a:solidFill>
              <a:ln w="9525">
                <a:solidFill>
                  <a:schemeClr val="accent5">
                    <a:lumMod val="50000"/>
                  </a:schemeClr>
                </a:solidFill>
              </a:ln>
              <a:effectLst/>
            </c:spPr>
          </c:marker>
          <c:cat>
            <c:numRef>
              <c:f>'Figures (2)'!$R$268:$X$268</c:f>
              <c:numCache>
                <c:formatCode>General</c:formatCode>
                <c:ptCount val="7"/>
                <c:pt idx="0">
                  <c:v>0</c:v>
                </c:pt>
                <c:pt idx="1">
                  <c:v>30</c:v>
                </c:pt>
                <c:pt idx="2">
                  <c:v>60</c:v>
                </c:pt>
                <c:pt idx="3">
                  <c:v>90</c:v>
                </c:pt>
                <c:pt idx="4">
                  <c:v>120</c:v>
                </c:pt>
                <c:pt idx="5">
                  <c:v>150</c:v>
                </c:pt>
                <c:pt idx="6">
                  <c:v>180</c:v>
                </c:pt>
              </c:numCache>
            </c:numRef>
          </c:cat>
          <c:val>
            <c:numRef>
              <c:f>'Figures (2)'!$R$271:$X$271</c:f>
              <c:numCache>
                <c:formatCode>General</c:formatCode>
                <c:ptCount val="7"/>
                <c:pt idx="0">
                  <c:v>0</c:v>
                </c:pt>
                <c:pt idx="1">
                  <c:v>0</c:v>
                </c:pt>
                <c:pt idx="2">
                  <c:v>0</c:v>
                </c:pt>
                <c:pt idx="3">
                  <c:v>0</c:v>
                </c:pt>
                <c:pt idx="4">
                  <c:v>0</c:v>
                </c:pt>
                <c:pt idx="5">
                  <c:v>0</c:v>
                </c:pt>
                <c:pt idx="6">
                  <c:v>0</c:v>
                </c:pt>
              </c:numCache>
            </c:numRef>
          </c:val>
          <c:smooth val="0"/>
          <c:extLst>
            <c:ext xmlns:c16="http://schemas.microsoft.com/office/drawing/2014/chart" uri="{C3380CC4-5D6E-409C-BE32-E72D297353CC}">
              <c16:uniqueId val="{00000002-185A-4ADD-A537-7131AA076CC1}"/>
            </c:ext>
          </c:extLst>
        </c:ser>
        <c:dLbls>
          <c:showLegendKey val="0"/>
          <c:showVal val="0"/>
          <c:showCatName val="0"/>
          <c:showSerName val="0"/>
          <c:showPercent val="0"/>
          <c:showBubbleSize val="0"/>
        </c:dLbls>
        <c:marker val="1"/>
        <c:smooth val="0"/>
        <c:axId val="344613151"/>
        <c:axId val="344612191"/>
      </c:lineChart>
      <c:catAx>
        <c:axId val="3446131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a:latin typeface="Arial" panose="020B0604020202020204" pitchFamily="34" charset="0"/>
                    <a:cs typeface="Arial" panose="020B0604020202020204" pitchFamily="34" charset="0"/>
                  </a:rPr>
                  <a:t>Elapsed time (min)</a:t>
                </a:r>
              </a:p>
            </c:rich>
          </c:tx>
          <c:layout>
            <c:manualLayout>
              <c:xMode val="edge"/>
              <c:yMode val="edge"/>
              <c:x val="0.44421512732371854"/>
              <c:y val="0.9175304579049541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44612191"/>
        <c:crosses val="autoZero"/>
        <c:auto val="1"/>
        <c:lblAlgn val="ctr"/>
        <c:lblOffset val="100"/>
        <c:noMultiLvlLbl val="0"/>
      </c:catAx>
      <c:valAx>
        <c:axId val="34461219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a:latin typeface="Arial" panose="020B0604020202020204" pitchFamily="34" charset="0"/>
                    <a:cs typeface="Arial" panose="020B0604020202020204" pitchFamily="34" charset="0"/>
                  </a:rPr>
                  <a:t>DO Concentration (mg O2/L)</a:t>
                </a:r>
              </a:p>
            </c:rich>
          </c:tx>
          <c:layout>
            <c:manualLayout>
              <c:xMode val="edge"/>
              <c:yMode val="edge"/>
              <c:x val="1.6102020540936283E-2"/>
              <c:y val="0.2540456400411449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44613151"/>
        <c:crosses val="autoZero"/>
        <c:crossBetween val="between"/>
      </c:valAx>
      <c:spPr>
        <a:noFill/>
        <a:ln w="12700">
          <a:solidFill>
            <a:schemeClr val="tx1"/>
          </a:solidFill>
        </a:ln>
        <a:effectLst/>
      </c:spPr>
    </c:plotArea>
    <c:legend>
      <c:legendPos val="b"/>
      <c:layout>
        <c:manualLayout>
          <c:xMode val="edge"/>
          <c:yMode val="edge"/>
          <c:x val="0.64239963060173044"/>
          <c:y val="0.10284623797025372"/>
          <c:w val="0.28279697676679305"/>
          <c:h val="5.0463921798758041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359657597598433"/>
          <c:y val="8.3493905091112319E-2"/>
          <c:w val="0.83942824710783015"/>
          <c:h val="0.7469681866390262"/>
        </c:manualLayout>
      </c:layout>
      <c:lineChart>
        <c:grouping val="standard"/>
        <c:varyColors val="0"/>
        <c:ser>
          <c:idx val="0"/>
          <c:order val="0"/>
          <c:tx>
            <c:v>Influent</c:v>
          </c:tx>
          <c:spPr>
            <a:ln w="28575" cap="rnd">
              <a:solidFill>
                <a:schemeClr val="accent3">
                  <a:lumMod val="60000"/>
                  <a:lumOff val="40000"/>
                </a:schemeClr>
              </a:solidFill>
              <a:round/>
            </a:ln>
            <a:effectLst/>
          </c:spPr>
          <c:marker>
            <c:symbol val="triangle"/>
            <c:size val="5"/>
            <c:spPr>
              <a:solidFill>
                <a:schemeClr val="accent3">
                  <a:lumMod val="60000"/>
                  <a:lumOff val="40000"/>
                </a:schemeClr>
              </a:solidFill>
              <a:ln w="9525">
                <a:solidFill>
                  <a:schemeClr val="bg2">
                    <a:lumMod val="75000"/>
                  </a:schemeClr>
                </a:solidFill>
              </a:ln>
              <a:effectLst/>
            </c:spPr>
          </c:marker>
          <c:cat>
            <c:numRef>
              <c:f>'Figures (2)'!$D$304:$J$304</c:f>
              <c:numCache>
                <c:formatCode>General</c:formatCode>
                <c:ptCount val="7"/>
                <c:pt idx="0">
                  <c:v>0</c:v>
                </c:pt>
                <c:pt idx="1">
                  <c:v>30</c:v>
                </c:pt>
                <c:pt idx="2">
                  <c:v>60</c:v>
                </c:pt>
                <c:pt idx="3">
                  <c:v>90</c:v>
                </c:pt>
                <c:pt idx="4">
                  <c:v>120</c:v>
                </c:pt>
                <c:pt idx="5">
                  <c:v>150</c:v>
                </c:pt>
                <c:pt idx="6">
                  <c:v>180</c:v>
                </c:pt>
              </c:numCache>
            </c:numRef>
          </c:cat>
          <c:val>
            <c:numRef>
              <c:f>'Figures (2)'!$D$305:$J$305</c:f>
              <c:numCache>
                <c:formatCode>General</c:formatCode>
                <c:ptCount val="7"/>
                <c:pt idx="0">
                  <c:v>7.41</c:v>
                </c:pt>
                <c:pt idx="1">
                  <c:v>7.35</c:v>
                </c:pt>
                <c:pt idx="2">
                  <c:v>7.33</c:v>
                </c:pt>
                <c:pt idx="3">
                  <c:v>7.36</c:v>
                </c:pt>
                <c:pt idx="4">
                  <c:v>7.34</c:v>
                </c:pt>
                <c:pt idx="5">
                  <c:v>7.41</c:v>
                </c:pt>
                <c:pt idx="6">
                  <c:v>7.43</c:v>
                </c:pt>
              </c:numCache>
            </c:numRef>
          </c:val>
          <c:smooth val="0"/>
          <c:extLst>
            <c:ext xmlns:c16="http://schemas.microsoft.com/office/drawing/2014/chart" uri="{C3380CC4-5D6E-409C-BE32-E72D297353CC}">
              <c16:uniqueId val="{00000000-B601-4B5C-A4CD-05215FC2966F}"/>
            </c:ext>
          </c:extLst>
        </c:ser>
        <c:ser>
          <c:idx val="1"/>
          <c:order val="1"/>
          <c:tx>
            <c:v>CBA</c:v>
          </c:tx>
          <c:spPr>
            <a:ln w="28575" cap="rnd">
              <a:solidFill>
                <a:schemeClr val="accent2"/>
              </a:solidFill>
              <a:round/>
            </a:ln>
            <a:effectLst/>
          </c:spPr>
          <c:marker>
            <c:symbol val="circle"/>
            <c:size val="5"/>
            <c:spPr>
              <a:solidFill>
                <a:schemeClr val="accent2">
                  <a:lumMod val="75000"/>
                  <a:alpha val="99000"/>
                </a:schemeClr>
              </a:solidFill>
              <a:ln w="9525">
                <a:solidFill>
                  <a:schemeClr val="accent2">
                    <a:lumMod val="75000"/>
                  </a:schemeClr>
                </a:solidFill>
              </a:ln>
              <a:effectLst/>
            </c:spPr>
          </c:marker>
          <c:cat>
            <c:numRef>
              <c:f>'Figures (2)'!$D$304:$J$304</c:f>
              <c:numCache>
                <c:formatCode>General</c:formatCode>
                <c:ptCount val="7"/>
                <c:pt idx="0">
                  <c:v>0</c:v>
                </c:pt>
                <c:pt idx="1">
                  <c:v>30</c:v>
                </c:pt>
                <c:pt idx="2">
                  <c:v>60</c:v>
                </c:pt>
                <c:pt idx="3">
                  <c:v>90</c:v>
                </c:pt>
                <c:pt idx="4">
                  <c:v>120</c:v>
                </c:pt>
                <c:pt idx="5">
                  <c:v>150</c:v>
                </c:pt>
                <c:pt idx="6">
                  <c:v>180</c:v>
                </c:pt>
              </c:numCache>
            </c:numRef>
          </c:cat>
          <c:val>
            <c:numRef>
              <c:f>'Figures (2)'!$D$306:$J$306</c:f>
              <c:numCache>
                <c:formatCode>General</c:formatCode>
                <c:ptCount val="7"/>
                <c:pt idx="0">
                  <c:v>7.2</c:v>
                </c:pt>
                <c:pt idx="1">
                  <c:v>7.14</c:v>
                </c:pt>
                <c:pt idx="2">
                  <c:v>7.14</c:v>
                </c:pt>
                <c:pt idx="3">
                  <c:v>7.12</c:v>
                </c:pt>
                <c:pt idx="4">
                  <c:v>7.23</c:v>
                </c:pt>
                <c:pt idx="5">
                  <c:v>7.15</c:v>
                </c:pt>
                <c:pt idx="6">
                  <c:v>7.17</c:v>
                </c:pt>
              </c:numCache>
            </c:numRef>
          </c:val>
          <c:smooth val="0"/>
          <c:extLst>
            <c:ext xmlns:c16="http://schemas.microsoft.com/office/drawing/2014/chart" uri="{C3380CC4-5D6E-409C-BE32-E72D297353CC}">
              <c16:uniqueId val="{00000001-B601-4B5C-A4CD-05215FC2966F}"/>
            </c:ext>
          </c:extLst>
        </c:ser>
        <c:ser>
          <c:idx val="2"/>
          <c:order val="2"/>
          <c:tx>
            <c:v>PBA</c:v>
          </c:tx>
          <c:spPr>
            <a:ln w="28575" cap="rnd">
              <a:solidFill>
                <a:schemeClr val="accent5">
                  <a:lumMod val="50000"/>
                </a:schemeClr>
              </a:solidFill>
              <a:round/>
            </a:ln>
            <a:effectLst/>
          </c:spPr>
          <c:marker>
            <c:symbol val="x"/>
            <c:size val="5"/>
            <c:spPr>
              <a:solidFill>
                <a:schemeClr val="accent5">
                  <a:lumMod val="50000"/>
                </a:schemeClr>
              </a:solidFill>
              <a:ln w="9525">
                <a:solidFill>
                  <a:schemeClr val="accent5">
                    <a:lumMod val="50000"/>
                  </a:schemeClr>
                </a:solidFill>
              </a:ln>
              <a:effectLst/>
            </c:spPr>
          </c:marker>
          <c:cat>
            <c:numRef>
              <c:f>'Figures (2)'!$D$304:$J$304</c:f>
              <c:numCache>
                <c:formatCode>General</c:formatCode>
                <c:ptCount val="7"/>
                <c:pt idx="0">
                  <c:v>0</c:v>
                </c:pt>
                <c:pt idx="1">
                  <c:v>30</c:v>
                </c:pt>
                <c:pt idx="2">
                  <c:v>60</c:v>
                </c:pt>
                <c:pt idx="3">
                  <c:v>90</c:v>
                </c:pt>
                <c:pt idx="4">
                  <c:v>120</c:v>
                </c:pt>
                <c:pt idx="5">
                  <c:v>150</c:v>
                </c:pt>
                <c:pt idx="6">
                  <c:v>180</c:v>
                </c:pt>
              </c:numCache>
            </c:numRef>
          </c:cat>
          <c:val>
            <c:numRef>
              <c:f>'Figures (2)'!$D$307:$J$307</c:f>
              <c:numCache>
                <c:formatCode>General</c:formatCode>
                <c:ptCount val="7"/>
                <c:pt idx="0">
                  <c:v>7.27</c:v>
                </c:pt>
                <c:pt idx="1">
                  <c:v>7.2</c:v>
                </c:pt>
                <c:pt idx="2">
                  <c:v>7.48</c:v>
                </c:pt>
                <c:pt idx="3">
                  <c:v>7.19</c:v>
                </c:pt>
                <c:pt idx="4">
                  <c:v>7.41</c:v>
                </c:pt>
                <c:pt idx="5">
                  <c:v>7.2</c:v>
                </c:pt>
                <c:pt idx="6">
                  <c:v>7.1</c:v>
                </c:pt>
              </c:numCache>
            </c:numRef>
          </c:val>
          <c:smooth val="0"/>
          <c:extLst>
            <c:ext xmlns:c16="http://schemas.microsoft.com/office/drawing/2014/chart" uri="{C3380CC4-5D6E-409C-BE32-E72D297353CC}">
              <c16:uniqueId val="{00000002-B601-4B5C-A4CD-05215FC2966F}"/>
            </c:ext>
          </c:extLst>
        </c:ser>
        <c:dLbls>
          <c:showLegendKey val="0"/>
          <c:showVal val="0"/>
          <c:showCatName val="0"/>
          <c:showSerName val="0"/>
          <c:showPercent val="0"/>
          <c:showBubbleSize val="0"/>
        </c:dLbls>
        <c:marker val="1"/>
        <c:smooth val="0"/>
        <c:axId val="344613151"/>
        <c:axId val="344612191"/>
      </c:lineChart>
      <c:catAx>
        <c:axId val="3446131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a:latin typeface="Arial" panose="020B0604020202020204" pitchFamily="34" charset="0"/>
                    <a:cs typeface="Arial" panose="020B0604020202020204" pitchFamily="34" charset="0"/>
                  </a:rPr>
                  <a:t>Elapsed time (min)</a:t>
                </a:r>
              </a:p>
            </c:rich>
          </c:tx>
          <c:layout>
            <c:manualLayout>
              <c:xMode val="edge"/>
              <c:yMode val="edge"/>
              <c:x val="0.44421512732371854"/>
              <c:y val="0.9175304579049541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44612191"/>
        <c:crosses val="autoZero"/>
        <c:auto val="1"/>
        <c:lblAlgn val="ctr"/>
        <c:lblOffset val="100"/>
        <c:noMultiLvlLbl val="0"/>
      </c:catAx>
      <c:valAx>
        <c:axId val="34461219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baseline="0">
                    <a:latin typeface="Arial" panose="020B0604020202020204" pitchFamily="34" charset="0"/>
                    <a:cs typeface="Arial" panose="020B0604020202020204" pitchFamily="34" charset="0"/>
                  </a:rPr>
                  <a:t>pH</a:t>
                </a:r>
                <a:endParaRPr lang="en-US" sz="1100" b="1">
                  <a:latin typeface="Arial" panose="020B0604020202020204" pitchFamily="34" charset="0"/>
                  <a:cs typeface="Arial" panose="020B0604020202020204" pitchFamily="34" charset="0"/>
                </a:endParaRPr>
              </a:p>
            </c:rich>
          </c:tx>
          <c:layout>
            <c:manualLayout>
              <c:xMode val="edge"/>
              <c:yMode val="edge"/>
              <c:x val="1.6101659495930461E-2"/>
              <c:y val="0.464472211735972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44613151"/>
        <c:crosses val="autoZero"/>
        <c:crossBetween val="between"/>
      </c:valAx>
      <c:spPr>
        <a:noFill/>
        <a:ln w="12700">
          <a:solidFill>
            <a:schemeClr val="tx1"/>
          </a:solidFill>
        </a:ln>
        <a:effectLst/>
      </c:spPr>
    </c:plotArea>
    <c:legend>
      <c:legendPos val="b"/>
      <c:layout>
        <c:manualLayout>
          <c:xMode val="edge"/>
          <c:yMode val="edge"/>
          <c:x val="0.64239963060173044"/>
          <c:y val="0.10284623797025372"/>
          <c:w val="0.28193998145279942"/>
          <c:h val="5.165974574164954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514719017106055"/>
          <c:y val="8.3493905091112319E-2"/>
          <c:w val="0.81787770801063553"/>
          <c:h val="0.7469681866390262"/>
        </c:manualLayout>
      </c:layout>
      <c:lineChart>
        <c:grouping val="standard"/>
        <c:varyColors val="0"/>
        <c:ser>
          <c:idx val="0"/>
          <c:order val="0"/>
          <c:tx>
            <c:v>Influent</c:v>
          </c:tx>
          <c:spPr>
            <a:ln w="28575" cap="rnd">
              <a:solidFill>
                <a:schemeClr val="accent3">
                  <a:lumMod val="60000"/>
                  <a:lumOff val="40000"/>
                </a:schemeClr>
              </a:solidFill>
              <a:round/>
            </a:ln>
            <a:effectLst/>
          </c:spPr>
          <c:marker>
            <c:symbol val="triangle"/>
            <c:size val="5"/>
            <c:spPr>
              <a:solidFill>
                <a:schemeClr val="bg2">
                  <a:lumMod val="75000"/>
                </a:schemeClr>
              </a:solidFill>
              <a:ln w="9525">
                <a:solidFill>
                  <a:schemeClr val="bg2">
                    <a:lumMod val="75000"/>
                  </a:schemeClr>
                </a:solidFill>
              </a:ln>
              <a:effectLst/>
            </c:spPr>
          </c:marker>
          <c:cat>
            <c:numRef>
              <c:f>'Figures (2)'!$R$304:$X$304</c:f>
              <c:numCache>
                <c:formatCode>General</c:formatCode>
                <c:ptCount val="7"/>
                <c:pt idx="0">
                  <c:v>0</c:v>
                </c:pt>
                <c:pt idx="1">
                  <c:v>30</c:v>
                </c:pt>
                <c:pt idx="2">
                  <c:v>60</c:v>
                </c:pt>
                <c:pt idx="3">
                  <c:v>90</c:v>
                </c:pt>
                <c:pt idx="4">
                  <c:v>120</c:v>
                </c:pt>
                <c:pt idx="5">
                  <c:v>150</c:v>
                </c:pt>
                <c:pt idx="6">
                  <c:v>180</c:v>
                </c:pt>
              </c:numCache>
            </c:numRef>
          </c:cat>
          <c:val>
            <c:numRef>
              <c:f>'Figures (2)'!$R$305:$X$305</c:f>
              <c:numCache>
                <c:formatCode>General</c:formatCode>
                <c:ptCount val="7"/>
                <c:pt idx="0">
                  <c:v>113.63636363636364</c:v>
                </c:pt>
                <c:pt idx="1">
                  <c:v>103.21100917431197</c:v>
                </c:pt>
                <c:pt idx="2">
                  <c:v>97.926267281105993</c:v>
                </c:pt>
                <c:pt idx="3">
                  <c:v>143.80530973451332</c:v>
                </c:pt>
                <c:pt idx="4">
                  <c:v>113.63636363636364</c:v>
                </c:pt>
                <c:pt idx="5">
                  <c:v>113.63636363636364</c:v>
                </c:pt>
                <c:pt idx="6">
                  <c:v>113.63636363636368</c:v>
                </c:pt>
              </c:numCache>
            </c:numRef>
          </c:val>
          <c:smooth val="0"/>
          <c:extLst>
            <c:ext xmlns:c16="http://schemas.microsoft.com/office/drawing/2014/chart" uri="{C3380CC4-5D6E-409C-BE32-E72D297353CC}">
              <c16:uniqueId val="{00000000-891D-444D-8E97-BC4B78C28D70}"/>
            </c:ext>
          </c:extLst>
        </c:ser>
        <c:ser>
          <c:idx val="1"/>
          <c:order val="1"/>
          <c:tx>
            <c:v>CBA</c:v>
          </c:tx>
          <c:spPr>
            <a:ln w="28575" cap="rnd">
              <a:solidFill>
                <a:schemeClr val="accent2"/>
              </a:solidFill>
              <a:round/>
            </a:ln>
            <a:effectLst/>
          </c:spPr>
          <c:marker>
            <c:symbol val="circle"/>
            <c:size val="5"/>
            <c:spPr>
              <a:solidFill>
                <a:schemeClr val="accent2">
                  <a:lumMod val="75000"/>
                  <a:alpha val="99000"/>
                </a:schemeClr>
              </a:solidFill>
              <a:ln w="9525">
                <a:solidFill>
                  <a:schemeClr val="accent2">
                    <a:lumMod val="75000"/>
                  </a:schemeClr>
                </a:solidFill>
              </a:ln>
              <a:effectLst/>
            </c:spPr>
          </c:marker>
          <c:cat>
            <c:numRef>
              <c:f>'Figures (2)'!$R$304:$X$304</c:f>
              <c:numCache>
                <c:formatCode>General</c:formatCode>
                <c:ptCount val="7"/>
                <c:pt idx="0">
                  <c:v>0</c:v>
                </c:pt>
                <c:pt idx="1">
                  <c:v>30</c:v>
                </c:pt>
                <c:pt idx="2">
                  <c:v>60</c:v>
                </c:pt>
                <c:pt idx="3">
                  <c:v>90</c:v>
                </c:pt>
                <c:pt idx="4">
                  <c:v>120</c:v>
                </c:pt>
                <c:pt idx="5">
                  <c:v>150</c:v>
                </c:pt>
                <c:pt idx="6">
                  <c:v>180</c:v>
                </c:pt>
              </c:numCache>
            </c:numRef>
          </c:cat>
          <c:val>
            <c:numRef>
              <c:f>'Figures (2)'!$R$306:$X$306</c:f>
              <c:numCache>
                <c:formatCode>General</c:formatCode>
                <c:ptCount val="7"/>
                <c:pt idx="0">
                  <c:v>133.92857142857139</c:v>
                </c:pt>
                <c:pt idx="1">
                  <c:v>181.62393162393155</c:v>
                </c:pt>
                <c:pt idx="2">
                  <c:v>133.92857142857153</c:v>
                </c:pt>
                <c:pt idx="3">
                  <c:v>190.67796610169498</c:v>
                </c:pt>
                <c:pt idx="4">
                  <c:v>228.21299879887897</c:v>
                </c:pt>
                <c:pt idx="5">
                  <c:v>265.74803149606299</c:v>
                </c:pt>
                <c:pt idx="6">
                  <c:v>163.04347826086959</c:v>
                </c:pt>
              </c:numCache>
            </c:numRef>
          </c:val>
          <c:smooth val="0"/>
          <c:extLst>
            <c:ext xmlns:c16="http://schemas.microsoft.com/office/drawing/2014/chart" uri="{C3380CC4-5D6E-409C-BE32-E72D297353CC}">
              <c16:uniqueId val="{00000001-891D-444D-8E97-BC4B78C28D70}"/>
            </c:ext>
          </c:extLst>
        </c:ser>
        <c:ser>
          <c:idx val="2"/>
          <c:order val="2"/>
          <c:tx>
            <c:v>PBA</c:v>
          </c:tx>
          <c:spPr>
            <a:ln w="28575" cap="rnd">
              <a:solidFill>
                <a:schemeClr val="accent5">
                  <a:lumMod val="50000"/>
                </a:schemeClr>
              </a:solidFill>
              <a:round/>
            </a:ln>
            <a:effectLst/>
          </c:spPr>
          <c:marker>
            <c:symbol val="x"/>
            <c:size val="5"/>
            <c:spPr>
              <a:solidFill>
                <a:schemeClr val="accent5">
                  <a:lumMod val="50000"/>
                  <a:alpha val="99000"/>
                </a:schemeClr>
              </a:solidFill>
              <a:ln w="9525">
                <a:solidFill>
                  <a:schemeClr val="accent5">
                    <a:lumMod val="50000"/>
                  </a:schemeClr>
                </a:solidFill>
              </a:ln>
              <a:effectLst/>
            </c:spPr>
          </c:marker>
          <c:cat>
            <c:numRef>
              <c:f>'Figures (2)'!$R$304:$X$304</c:f>
              <c:numCache>
                <c:formatCode>General</c:formatCode>
                <c:ptCount val="7"/>
                <c:pt idx="0">
                  <c:v>0</c:v>
                </c:pt>
                <c:pt idx="1">
                  <c:v>30</c:v>
                </c:pt>
                <c:pt idx="2">
                  <c:v>60</c:v>
                </c:pt>
                <c:pt idx="3">
                  <c:v>90</c:v>
                </c:pt>
                <c:pt idx="4">
                  <c:v>120</c:v>
                </c:pt>
                <c:pt idx="5">
                  <c:v>150</c:v>
                </c:pt>
                <c:pt idx="6">
                  <c:v>180</c:v>
                </c:pt>
              </c:numCache>
            </c:numRef>
          </c:cat>
          <c:val>
            <c:numRef>
              <c:f>'Figures (2)'!$R$307:$X$307</c:f>
              <c:numCache>
                <c:formatCode>General</c:formatCode>
                <c:ptCount val="7"/>
                <c:pt idx="0">
                  <c:v>108.447488584475</c:v>
                </c:pt>
                <c:pt idx="1">
                  <c:v>116.16068122917443</c:v>
                </c:pt>
                <c:pt idx="2">
                  <c:v>123.87387387387386</c:v>
                </c:pt>
                <c:pt idx="3">
                  <c:v>123.87387387387386</c:v>
                </c:pt>
                <c:pt idx="4">
                  <c:v>103.21100917431177</c:v>
                </c:pt>
                <c:pt idx="5">
                  <c:v>128.92376681614337</c:v>
                </c:pt>
                <c:pt idx="6">
                  <c:v>123.87387387387392</c:v>
                </c:pt>
              </c:numCache>
            </c:numRef>
          </c:val>
          <c:smooth val="0"/>
          <c:extLst>
            <c:ext xmlns:c16="http://schemas.microsoft.com/office/drawing/2014/chart" uri="{C3380CC4-5D6E-409C-BE32-E72D297353CC}">
              <c16:uniqueId val="{00000002-891D-444D-8E97-BC4B78C28D70}"/>
            </c:ext>
          </c:extLst>
        </c:ser>
        <c:dLbls>
          <c:showLegendKey val="0"/>
          <c:showVal val="0"/>
          <c:showCatName val="0"/>
          <c:showSerName val="0"/>
          <c:showPercent val="0"/>
          <c:showBubbleSize val="0"/>
        </c:dLbls>
        <c:marker val="1"/>
        <c:smooth val="0"/>
        <c:axId val="344613151"/>
        <c:axId val="344612191"/>
      </c:lineChart>
      <c:catAx>
        <c:axId val="3446131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a:latin typeface="Arial" panose="020B0604020202020204" pitchFamily="34" charset="0"/>
                    <a:cs typeface="Arial" panose="020B0604020202020204" pitchFamily="34" charset="0"/>
                  </a:rPr>
                  <a:t>Elapsed time (min)</a:t>
                </a:r>
              </a:p>
            </c:rich>
          </c:tx>
          <c:layout>
            <c:manualLayout>
              <c:xMode val="edge"/>
              <c:yMode val="edge"/>
              <c:x val="0.44421512732371854"/>
              <c:y val="0.9175304579049541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44612191"/>
        <c:crosses val="autoZero"/>
        <c:auto val="1"/>
        <c:lblAlgn val="ctr"/>
        <c:lblOffset val="100"/>
        <c:noMultiLvlLbl val="0"/>
      </c:catAx>
      <c:valAx>
        <c:axId val="34461219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a:latin typeface="Arial" panose="020B0604020202020204" pitchFamily="34" charset="0"/>
                    <a:cs typeface="Arial" panose="020B0604020202020204" pitchFamily="34" charset="0"/>
                  </a:rPr>
                  <a:t>Alkalinity as CaCo3 (mg CaCO3/L)</a:t>
                </a:r>
              </a:p>
            </c:rich>
          </c:tx>
          <c:layout>
            <c:manualLayout>
              <c:xMode val="edge"/>
              <c:yMode val="edge"/>
              <c:x val="1.7640912521745936E-2"/>
              <c:y val="0.2540456400411449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44613151"/>
        <c:crosses val="autoZero"/>
        <c:crossBetween val="between"/>
      </c:valAx>
      <c:spPr>
        <a:noFill/>
        <a:ln w="12700">
          <a:solidFill>
            <a:schemeClr val="tx1"/>
          </a:solidFill>
        </a:ln>
        <a:effectLst/>
      </c:spPr>
    </c:plotArea>
    <c:legend>
      <c:legendPos val="b"/>
      <c:layout>
        <c:manualLayout>
          <c:xMode val="edge"/>
          <c:yMode val="edge"/>
          <c:x val="0.64239963060173044"/>
          <c:y val="0.10284623797025372"/>
          <c:w val="0.28279697676679305"/>
          <c:h val="5.0463921798758041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744337561473187"/>
          <c:y val="8.3493985669139931E-2"/>
          <c:w val="0.82865851405547086"/>
          <c:h val="0.7469681866390262"/>
        </c:manualLayout>
      </c:layout>
      <c:lineChart>
        <c:grouping val="standard"/>
        <c:varyColors val="0"/>
        <c:ser>
          <c:idx val="0"/>
          <c:order val="0"/>
          <c:tx>
            <c:v>Influent</c:v>
          </c:tx>
          <c:spPr>
            <a:ln w="28575" cap="rnd">
              <a:solidFill>
                <a:schemeClr val="accent3">
                  <a:lumMod val="60000"/>
                  <a:lumOff val="40000"/>
                </a:schemeClr>
              </a:solidFill>
              <a:round/>
            </a:ln>
            <a:effectLst/>
          </c:spPr>
          <c:marker>
            <c:symbol val="triangle"/>
            <c:size val="5"/>
            <c:spPr>
              <a:solidFill>
                <a:schemeClr val="bg2">
                  <a:lumMod val="75000"/>
                </a:schemeClr>
              </a:solidFill>
              <a:ln w="9525">
                <a:solidFill>
                  <a:schemeClr val="bg2">
                    <a:lumMod val="75000"/>
                  </a:schemeClr>
                </a:solidFill>
              </a:ln>
              <a:effectLst/>
            </c:spPr>
          </c:marker>
          <c:cat>
            <c:numRef>
              <c:f>'Figures (2)'!$D$340:$J$340</c:f>
              <c:numCache>
                <c:formatCode>General</c:formatCode>
                <c:ptCount val="7"/>
                <c:pt idx="0">
                  <c:v>0</c:v>
                </c:pt>
                <c:pt idx="1">
                  <c:v>30</c:v>
                </c:pt>
                <c:pt idx="2">
                  <c:v>60</c:v>
                </c:pt>
                <c:pt idx="3">
                  <c:v>90</c:v>
                </c:pt>
                <c:pt idx="4">
                  <c:v>120</c:v>
                </c:pt>
                <c:pt idx="5">
                  <c:v>150</c:v>
                </c:pt>
                <c:pt idx="6">
                  <c:v>180</c:v>
                </c:pt>
              </c:numCache>
            </c:numRef>
          </c:cat>
          <c:val>
            <c:numRef>
              <c:f>'Figures (2)'!$D$341:$J$341</c:f>
              <c:numCache>
                <c:formatCode>General</c:formatCode>
                <c:ptCount val="7"/>
                <c:pt idx="0">
                  <c:v>37.73333333333332</c:v>
                </c:pt>
                <c:pt idx="1">
                  <c:v>38.399999999999991</c:v>
                </c:pt>
                <c:pt idx="2">
                  <c:v>35.73333333333332</c:v>
                </c:pt>
                <c:pt idx="3">
                  <c:v>37.399999999999991</c:v>
                </c:pt>
                <c:pt idx="4">
                  <c:v>35.399999999999984</c:v>
                </c:pt>
                <c:pt idx="5">
                  <c:v>37.066666666666656</c:v>
                </c:pt>
                <c:pt idx="6">
                  <c:v>36.066666666666656</c:v>
                </c:pt>
              </c:numCache>
            </c:numRef>
          </c:val>
          <c:smooth val="0"/>
          <c:extLst>
            <c:ext xmlns:c16="http://schemas.microsoft.com/office/drawing/2014/chart" uri="{C3380CC4-5D6E-409C-BE32-E72D297353CC}">
              <c16:uniqueId val="{00000000-109D-4212-B658-7EF322432F14}"/>
            </c:ext>
          </c:extLst>
        </c:ser>
        <c:ser>
          <c:idx val="1"/>
          <c:order val="1"/>
          <c:tx>
            <c:v>CBA</c:v>
          </c:tx>
          <c:spPr>
            <a:ln w="28575" cap="rnd">
              <a:solidFill>
                <a:schemeClr val="accent2"/>
              </a:solidFill>
              <a:round/>
            </a:ln>
            <a:effectLst/>
          </c:spPr>
          <c:marker>
            <c:symbol val="circle"/>
            <c:size val="5"/>
            <c:spPr>
              <a:solidFill>
                <a:schemeClr val="accent2">
                  <a:lumMod val="75000"/>
                  <a:alpha val="99000"/>
                </a:schemeClr>
              </a:solidFill>
              <a:ln w="9525">
                <a:solidFill>
                  <a:schemeClr val="accent2">
                    <a:lumMod val="75000"/>
                  </a:schemeClr>
                </a:solidFill>
              </a:ln>
              <a:effectLst/>
            </c:spPr>
          </c:marker>
          <c:cat>
            <c:numRef>
              <c:f>'Figures (2)'!$D$340:$J$340</c:f>
              <c:numCache>
                <c:formatCode>General</c:formatCode>
                <c:ptCount val="7"/>
                <c:pt idx="0">
                  <c:v>0</c:v>
                </c:pt>
                <c:pt idx="1">
                  <c:v>30</c:v>
                </c:pt>
                <c:pt idx="2">
                  <c:v>60</c:v>
                </c:pt>
                <c:pt idx="3">
                  <c:v>90</c:v>
                </c:pt>
                <c:pt idx="4">
                  <c:v>120</c:v>
                </c:pt>
                <c:pt idx="5">
                  <c:v>150</c:v>
                </c:pt>
                <c:pt idx="6">
                  <c:v>180</c:v>
                </c:pt>
              </c:numCache>
            </c:numRef>
          </c:cat>
          <c:val>
            <c:numRef>
              <c:f>'Figures (2)'!$D$342:$J$342</c:f>
              <c:numCache>
                <c:formatCode>General</c:formatCode>
                <c:ptCount val="7"/>
                <c:pt idx="0">
                  <c:v>34.399999999999984</c:v>
                </c:pt>
                <c:pt idx="1">
                  <c:v>45.066666666666663</c:v>
                </c:pt>
                <c:pt idx="2">
                  <c:v>34.399999999999984</c:v>
                </c:pt>
                <c:pt idx="3">
                  <c:v>32.399999999999984</c:v>
                </c:pt>
                <c:pt idx="4">
                  <c:v>37.73333333333332</c:v>
                </c:pt>
                <c:pt idx="5">
                  <c:v>32.73333333333332</c:v>
                </c:pt>
                <c:pt idx="6">
                  <c:v>35.399999999999984</c:v>
                </c:pt>
              </c:numCache>
            </c:numRef>
          </c:val>
          <c:smooth val="0"/>
          <c:extLst>
            <c:ext xmlns:c16="http://schemas.microsoft.com/office/drawing/2014/chart" uri="{C3380CC4-5D6E-409C-BE32-E72D297353CC}">
              <c16:uniqueId val="{00000001-109D-4212-B658-7EF322432F14}"/>
            </c:ext>
          </c:extLst>
        </c:ser>
        <c:ser>
          <c:idx val="2"/>
          <c:order val="2"/>
          <c:tx>
            <c:v>PBA</c:v>
          </c:tx>
          <c:spPr>
            <a:ln w="28575" cap="rnd">
              <a:solidFill>
                <a:schemeClr val="accent5">
                  <a:lumMod val="50000"/>
                </a:schemeClr>
              </a:solidFill>
              <a:round/>
            </a:ln>
            <a:effectLst/>
          </c:spPr>
          <c:marker>
            <c:symbol val="x"/>
            <c:size val="5"/>
            <c:spPr>
              <a:solidFill>
                <a:schemeClr val="accent5">
                  <a:lumMod val="50000"/>
                </a:schemeClr>
              </a:solidFill>
              <a:ln w="9525">
                <a:solidFill>
                  <a:schemeClr val="accent5">
                    <a:lumMod val="50000"/>
                  </a:schemeClr>
                </a:solidFill>
              </a:ln>
              <a:effectLst/>
            </c:spPr>
          </c:marker>
          <c:cat>
            <c:numRef>
              <c:f>'Figures (2)'!$D$340:$J$340</c:f>
              <c:numCache>
                <c:formatCode>General</c:formatCode>
                <c:ptCount val="7"/>
                <c:pt idx="0">
                  <c:v>0</c:v>
                </c:pt>
                <c:pt idx="1">
                  <c:v>30</c:v>
                </c:pt>
                <c:pt idx="2">
                  <c:v>60</c:v>
                </c:pt>
                <c:pt idx="3">
                  <c:v>90</c:v>
                </c:pt>
                <c:pt idx="4">
                  <c:v>120</c:v>
                </c:pt>
                <c:pt idx="5">
                  <c:v>150</c:v>
                </c:pt>
                <c:pt idx="6">
                  <c:v>180</c:v>
                </c:pt>
              </c:numCache>
            </c:numRef>
          </c:cat>
          <c:val>
            <c:numRef>
              <c:f>'Figures (2)'!$D$343:$J$343</c:f>
              <c:numCache>
                <c:formatCode>General</c:formatCode>
                <c:ptCount val="7"/>
                <c:pt idx="0">
                  <c:v>37.73333333333332</c:v>
                </c:pt>
                <c:pt idx="1">
                  <c:v>44.066666666666663</c:v>
                </c:pt>
                <c:pt idx="2">
                  <c:v>38.399999999999991</c:v>
                </c:pt>
                <c:pt idx="3">
                  <c:v>35.73333333333332</c:v>
                </c:pt>
                <c:pt idx="4">
                  <c:v>37.066666666666656</c:v>
                </c:pt>
                <c:pt idx="5">
                  <c:v>34.066666666666649</c:v>
                </c:pt>
                <c:pt idx="6">
                  <c:v>37.399999999999991</c:v>
                </c:pt>
              </c:numCache>
            </c:numRef>
          </c:val>
          <c:smooth val="0"/>
          <c:extLst>
            <c:ext xmlns:c16="http://schemas.microsoft.com/office/drawing/2014/chart" uri="{C3380CC4-5D6E-409C-BE32-E72D297353CC}">
              <c16:uniqueId val="{00000002-109D-4212-B658-7EF322432F14}"/>
            </c:ext>
          </c:extLst>
        </c:ser>
        <c:dLbls>
          <c:showLegendKey val="0"/>
          <c:showVal val="0"/>
          <c:showCatName val="0"/>
          <c:showSerName val="0"/>
          <c:showPercent val="0"/>
          <c:showBubbleSize val="0"/>
        </c:dLbls>
        <c:marker val="1"/>
        <c:smooth val="0"/>
        <c:axId val="344613151"/>
        <c:axId val="344612191"/>
      </c:lineChart>
      <c:catAx>
        <c:axId val="3446131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a:latin typeface="Arial" panose="020B0604020202020204" pitchFamily="34" charset="0"/>
                    <a:cs typeface="Arial" panose="020B0604020202020204" pitchFamily="34" charset="0"/>
                  </a:rPr>
                  <a:t>Elapsed time (min)</a:t>
                </a:r>
              </a:p>
            </c:rich>
          </c:tx>
          <c:layout>
            <c:manualLayout>
              <c:xMode val="edge"/>
              <c:yMode val="edge"/>
              <c:x val="0.44421512732371854"/>
              <c:y val="0.9175304579049541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44612191"/>
        <c:crosses val="autoZero"/>
        <c:auto val="1"/>
        <c:lblAlgn val="ctr"/>
        <c:lblOffset val="100"/>
        <c:noMultiLvlLbl val="0"/>
      </c:catAx>
      <c:valAx>
        <c:axId val="34461219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a:latin typeface="Arial" panose="020B0604020202020204" pitchFamily="34" charset="0"/>
                    <a:cs typeface="Arial" panose="020B0604020202020204" pitchFamily="34" charset="0"/>
                  </a:rPr>
                  <a:t>COD Concentration (mg</a:t>
                </a:r>
                <a:r>
                  <a:rPr lang="en-US" sz="1100" b="1" baseline="0">
                    <a:latin typeface="Arial" panose="020B0604020202020204" pitchFamily="34" charset="0"/>
                    <a:cs typeface="Arial" panose="020B0604020202020204" pitchFamily="34" charset="0"/>
                  </a:rPr>
                  <a:t> COD/L)</a:t>
                </a:r>
                <a:endParaRPr lang="en-US" sz="1100" b="1">
                  <a:latin typeface="Arial" panose="020B0604020202020204" pitchFamily="34" charset="0"/>
                  <a:cs typeface="Arial" panose="020B0604020202020204" pitchFamily="34" charset="0"/>
                </a:endParaRPr>
              </a:p>
            </c:rich>
          </c:tx>
          <c:layout>
            <c:manualLayout>
              <c:xMode val="edge"/>
              <c:yMode val="edge"/>
              <c:x val="2.3794325961901317E-2"/>
              <c:y val="0.2881688678835493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44613151"/>
        <c:crosses val="autoZero"/>
        <c:crossBetween val="between"/>
      </c:valAx>
      <c:spPr>
        <a:noFill/>
        <a:ln w="12700">
          <a:solidFill>
            <a:schemeClr val="tx1"/>
          </a:solidFill>
        </a:ln>
        <a:effectLst/>
      </c:spPr>
    </c:plotArea>
    <c:legend>
      <c:legendPos val="b"/>
      <c:layout>
        <c:manualLayout>
          <c:xMode val="edge"/>
          <c:yMode val="edge"/>
          <c:x val="0.64239963060173044"/>
          <c:y val="0.10284623797025372"/>
          <c:w val="0.28193998145279942"/>
          <c:h val="5.165974574164954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196652823677538"/>
          <c:y val="3.5104712041884818E-2"/>
          <c:w val="0.79935495316637917"/>
          <c:h val="0.81216391144824174"/>
        </c:manualLayout>
      </c:layout>
      <c:scatterChart>
        <c:scatterStyle val="lineMarker"/>
        <c:varyColors val="0"/>
        <c:ser>
          <c:idx val="0"/>
          <c:order val="0"/>
          <c:tx>
            <c:v>CBA</c:v>
          </c:tx>
          <c:spPr>
            <a:ln w="25400" cap="rnd">
              <a:noFill/>
              <a:round/>
            </a:ln>
            <a:effectLst/>
          </c:spPr>
          <c:marker>
            <c:symbol val="circle"/>
            <c:size val="5"/>
            <c:spPr>
              <a:solidFill>
                <a:schemeClr val="accent1"/>
              </a:solidFill>
              <a:ln w="9525">
                <a:solidFill>
                  <a:schemeClr val="lt1">
                    <a:shade val="50000"/>
                    <a:alpha val="96000"/>
                  </a:schemeClr>
                </a:solidFill>
              </a:ln>
              <a:effectLst/>
            </c:spPr>
          </c:marker>
          <c:trendline>
            <c:spPr>
              <a:ln w="19050" cap="rnd">
                <a:solidFill>
                  <a:schemeClr val="accent1"/>
                </a:solidFill>
                <a:prstDash val="sysDot"/>
              </a:ln>
              <a:effectLst/>
            </c:spPr>
            <c:trendlineType val="log"/>
            <c:dispRSqr val="1"/>
            <c:dispEq val="1"/>
            <c:trendlineLbl>
              <c:layout>
                <c:manualLayout>
                  <c:x val="9.3368085715536453E-2"/>
                  <c:y val="0.15181576452158141"/>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(Tables!$L$7,Tables!$L$9:$L$11,Tables!$L$13:$L$21)</c:f>
              <c:numCache>
                <c:formatCode>0</c:formatCode>
                <c:ptCount val="13"/>
                <c:pt idx="0">
                  <c:v>11.463033303860691</c:v>
                </c:pt>
                <c:pt idx="1">
                  <c:v>4.3185769243539243</c:v>
                </c:pt>
                <c:pt idx="2">
                  <c:v>9.5163532907919564</c:v>
                </c:pt>
                <c:pt idx="3">
                  <c:v>7.2751729743718849</c:v>
                </c:pt>
                <c:pt idx="4">
                  <c:v>12.779881990629313</c:v>
                </c:pt>
                <c:pt idx="5">
                  <c:v>6.8638739267581546</c:v>
                </c:pt>
                <c:pt idx="6">
                  <c:v>22.276381646484616</c:v>
                </c:pt>
                <c:pt idx="7">
                  <c:v>12.268034109123516</c:v>
                </c:pt>
                <c:pt idx="8">
                  <c:v>15.521534927625003</c:v>
                </c:pt>
                <c:pt idx="9">
                  <c:v>15.94673135133872</c:v>
                </c:pt>
                <c:pt idx="10">
                  <c:v>41.633698056524921</c:v>
                </c:pt>
                <c:pt idx="11">
                  <c:v>38.482042787905641</c:v>
                </c:pt>
                <c:pt idx="12">
                  <c:v>18.578838122852588</c:v>
                </c:pt>
              </c:numCache>
            </c:numRef>
          </c:xVal>
          <c:yVal>
            <c:numRef>
              <c:f>(Tables!$AA$7,Tables!$AA$9:$AA$11,Tables!$AA$13:$AA$21)</c:f>
              <c:numCache>
                <c:formatCode>0</c:formatCode>
                <c:ptCount val="13"/>
                <c:pt idx="0">
                  <c:v>8.8616234124233468</c:v>
                </c:pt>
                <c:pt idx="1">
                  <c:v>3.5270438114336242</c:v>
                </c:pt>
                <c:pt idx="2">
                  <c:v>6.7372405653436473</c:v>
                </c:pt>
                <c:pt idx="3">
                  <c:v>6.9070009791207676</c:v>
                </c:pt>
                <c:pt idx="4">
                  <c:v>8.9684887595339902</c:v>
                </c:pt>
                <c:pt idx="5">
                  <c:v>3.8392850485897498</c:v>
                </c:pt>
                <c:pt idx="6">
                  <c:v>13.031727432717187</c:v>
                </c:pt>
                <c:pt idx="7">
                  <c:v>8.2736551548035813</c:v>
                </c:pt>
                <c:pt idx="8">
                  <c:v>10.678165135981654</c:v>
                </c:pt>
                <c:pt idx="9">
                  <c:v>12.33198822148792</c:v>
                </c:pt>
                <c:pt idx="10">
                  <c:v>14.165941893201225</c:v>
                </c:pt>
                <c:pt idx="11">
                  <c:v>14.950336212944144</c:v>
                </c:pt>
                <c:pt idx="12">
                  <c:v>8.3338972964284519</c:v>
                </c:pt>
              </c:numCache>
            </c:numRef>
          </c:yVal>
          <c:smooth val="0"/>
          <c:extLst>
            <c:ext xmlns:c16="http://schemas.microsoft.com/office/drawing/2014/chart" uri="{C3380CC4-5D6E-409C-BE32-E72D297353CC}">
              <c16:uniqueId val="{00000001-4D79-4067-A80F-1F9C8A8BCA3B}"/>
            </c:ext>
          </c:extLst>
        </c:ser>
        <c:dLbls>
          <c:showLegendKey val="0"/>
          <c:showVal val="0"/>
          <c:showCatName val="0"/>
          <c:showSerName val="0"/>
          <c:showPercent val="0"/>
          <c:showBubbleSize val="0"/>
        </c:dLbls>
        <c:axId val="2116130544"/>
        <c:axId val="2116129104"/>
        <c:extLst>
          <c:ext xmlns:c15="http://schemas.microsoft.com/office/drawing/2012/chart" uri="{02D57815-91ED-43cb-92C2-25804820EDAC}">
            <c15:filteredScatterSeries>
              <c15:ser>
                <c:idx val="1"/>
                <c:order val="1"/>
                <c:tx>
                  <c:v>PBA</c:v>
                </c:tx>
                <c:spPr>
                  <a:ln w="25400" cap="rnd">
                    <a:noFill/>
                    <a:round/>
                  </a:ln>
                  <a:effectLst/>
                </c:spPr>
                <c:marker>
                  <c:symbol val="circle"/>
                  <c:size val="5"/>
                  <c:spPr>
                    <a:solidFill>
                      <a:schemeClr val="accent2"/>
                    </a:solidFill>
                    <a:ln w="9525">
                      <a:solidFill>
                        <a:schemeClr val="lt1">
                          <a:shade val="50000"/>
                          <a:alpha val="96000"/>
                        </a:schemeClr>
                      </a:solidFill>
                    </a:ln>
                    <a:effectLst/>
                  </c:spPr>
                </c:marker>
                <c:trendline>
                  <c:spPr>
                    <a:ln w="19050" cap="rnd">
                      <a:solidFill>
                        <a:schemeClr val="accent2"/>
                      </a:solidFill>
                      <a:prstDash val="sysDot"/>
                    </a:ln>
                    <a:effectLst/>
                  </c:spPr>
                  <c:trendlineType val="log"/>
                  <c:dispRSqr val="1"/>
                  <c:dispEq val="1"/>
                  <c:trendlineLbl>
                    <c:layout>
                      <c:manualLayout>
                        <c:x val="-0.21345394482748084"/>
                        <c:y val="-1.8250608071896771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extLst>
                      <c:ext uri="{02D57815-91ED-43cb-92C2-25804820EDAC}">
                        <c15:formulaRef>
                          <c15:sqref>(Tables!$N$7,Tables!$N$9:$N$21)</c15:sqref>
                        </c15:formulaRef>
                      </c:ext>
                    </c:extLst>
                    <c:numCache>
                      <c:formatCode>0</c:formatCode>
                      <c:ptCount val="14"/>
                      <c:pt idx="0">
                        <c:v>11.463033303860691</c:v>
                      </c:pt>
                      <c:pt idx="1">
                        <c:v>4.3185769243539243</c:v>
                      </c:pt>
                      <c:pt idx="2">
                        <c:v>9.5163532907919564</c:v>
                      </c:pt>
                      <c:pt idx="3">
                        <c:v>7.2751729743718849</c:v>
                      </c:pt>
                      <c:pt idx="4">
                        <c:v>14.563983122658572</c:v>
                      </c:pt>
                      <c:pt idx="5">
                        <c:v>12.779881990629313</c:v>
                      </c:pt>
                      <c:pt idx="6">
                        <c:v>6.8638739267581546</c:v>
                      </c:pt>
                      <c:pt idx="7">
                        <c:v>22.276381646484616</c:v>
                      </c:pt>
                      <c:pt idx="8">
                        <c:v>12.268034109123516</c:v>
                      </c:pt>
                      <c:pt idx="9">
                        <c:v>15.521534927625003</c:v>
                      </c:pt>
                      <c:pt idx="10">
                        <c:v>15.94673135133872</c:v>
                      </c:pt>
                      <c:pt idx="11">
                        <c:v>41.633698056524921</c:v>
                      </c:pt>
                      <c:pt idx="12">
                        <c:v>38.482042787905641</c:v>
                      </c:pt>
                      <c:pt idx="13">
                        <c:v>18.578838122852588</c:v>
                      </c:pt>
                    </c:numCache>
                  </c:numRef>
                </c:xVal>
                <c:yVal>
                  <c:numRef>
                    <c:extLst>
                      <c:ext uri="{02D57815-91ED-43cb-92C2-25804820EDAC}">
                        <c15:formulaRef>
                          <c15:sqref>(Tables!$AP$7,Tables!$AP$9:$AP$21)</c15:sqref>
                        </c15:formulaRef>
                      </c:ext>
                    </c:extLst>
                    <c:numCache>
                      <c:formatCode>0</c:formatCode>
                      <c:ptCount val="14"/>
                      <c:pt idx="0">
                        <c:v>7.2205336533375286</c:v>
                      </c:pt>
                      <c:pt idx="1">
                        <c:v>3.8071759361296516</c:v>
                      </c:pt>
                      <c:pt idx="2">
                        <c:v>5.9348519977906236</c:v>
                      </c:pt>
                      <c:pt idx="3">
                        <c:v>4.3318675020045871</c:v>
                      </c:pt>
                      <c:pt idx="4">
                        <c:v>7.9813107879532037</c:v>
                      </c:pt>
                      <c:pt idx="5">
                        <c:v>7.2660257115595517</c:v>
                      </c:pt>
                      <c:pt idx="6">
                        <c:v>1.8323273744603112</c:v>
                      </c:pt>
                      <c:pt idx="7">
                        <c:v>6.3946504143075504</c:v>
                      </c:pt>
                      <c:pt idx="8">
                        <c:v>5.2037089182687373</c:v>
                      </c:pt>
                      <c:pt idx="9">
                        <c:v>4.7613490490007884</c:v>
                      </c:pt>
                      <c:pt idx="10">
                        <c:v>12.655793357240899</c:v>
                      </c:pt>
                      <c:pt idx="11">
                        <c:v>12.300491898027222</c:v>
                      </c:pt>
                      <c:pt idx="12">
                        <c:v>11.265355806959796</c:v>
                      </c:pt>
                      <c:pt idx="13">
                        <c:v>3.6978149576766848</c:v>
                      </c:pt>
                    </c:numCache>
                  </c:numRef>
                </c:yVal>
                <c:smooth val="0"/>
                <c:extLst>
                  <c:ext xmlns:c16="http://schemas.microsoft.com/office/drawing/2014/chart" uri="{C3380CC4-5D6E-409C-BE32-E72D297353CC}">
                    <c16:uniqueId val="{00000003-4D79-4067-A80F-1F9C8A8BCA3B}"/>
                  </c:ext>
                </c:extLst>
              </c15:ser>
            </c15:filteredScatterSeries>
          </c:ext>
        </c:extLst>
      </c:scatterChart>
      <c:valAx>
        <c:axId val="2116130544"/>
        <c:scaling>
          <c:orientation val="minMax"/>
        </c:scaling>
        <c:delete val="0"/>
        <c:axPos val="b"/>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100" b="1" i="0" u="none" strike="noStrike" kern="1200" baseline="0">
                    <a:solidFill>
                      <a:sysClr val="windowText" lastClr="000000">
                        <a:lumMod val="65000"/>
                        <a:lumOff val="35000"/>
                      </a:sysClr>
                    </a:solidFill>
                    <a:latin typeface="+mn-lt"/>
                    <a:ea typeface="+mn-ea"/>
                    <a:cs typeface="+mn-cs"/>
                  </a:defRPr>
                </a:pPr>
                <a:r>
                  <a:rPr lang="en-US" sz="1100" b="1"/>
                  <a:t>Total</a:t>
                </a:r>
                <a:r>
                  <a:rPr lang="en-US" sz="1100" b="1" baseline="0"/>
                  <a:t> Nitrogen Loading Rate</a:t>
                </a:r>
                <a:r>
                  <a:rPr lang="en-US" sz="1100" b="1" i="0" u="none" strike="noStrike" kern="1200" baseline="0">
                    <a:solidFill>
                      <a:sysClr val="windowText" lastClr="000000">
                        <a:lumMod val="65000"/>
                        <a:lumOff val="35000"/>
                      </a:sysClr>
                    </a:solidFill>
                  </a:rPr>
                  <a:t> (mg/L-day)</a:t>
                </a:r>
              </a:p>
            </c:rich>
          </c:tx>
          <c:layout>
            <c:manualLayout>
              <c:xMode val="edge"/>
              <c:yMode val="edge"/>
              <c:x val="0.35418314581412569"/>
              <c:y val="0.93081151832460729"/>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100" b="1" i="0" u="none" strike="noStrike" kern="1200" baseline="0">
                  <a:solidFill>
                    <a:sysClr val="windowText" lastClr="000000">
                      <a:lumMod val="65000"/>
                      <a:lumOff val="35000"/>
                    </a:sysClr>
                  </a:solidFill>
                  <a:latin typeface="+mn-lt"/>
                  <a:ea typeface="+mn-ea"/>
                  <a:cs typeface="+mn-cs"/>
                </a:defRPr>
              </a:pPr>
              <a:endParaRPr lang="en-US"/>
            </a:p>
          </c:txPr>
        </c:title>
        <c:numFmt formatCode="0"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2116129104"/>
        <c:crosses val="autoZero"/>
        <c:crossBetween val="midCat"/>
      </c:valAx>
      <c:valAx>
        <c:axId val="2116129104"/>
        <c:scaling>
          <c:orientation val="minMax"/>
          <c:min val="0"/>
        </c:scaling>
        <c:delete val="0"/>
        <c:axPos val="l"/>
        <c:title>
          <c:tx>
            <c:rich>
              <a:bodyPr rot="-54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r>
                  <a:rPr lang="en-US" sz="1050" b="1" i="0" u="none" strike="noStrike" kern="1200" baseline="0">
                    <a:solidFill>
                      <a:sysClr val="windowText" lastClr="000000">
                        <a:lumMod val="65000"/>
                        <a:lumOff val="35000"/>
                      </a:sysClr>
                    </a:solidFill>
                  </a:rPr>
                  <a:t>Total Nitrogen Removal Rate (mg/L-day)</a:t>
                </a:r>
              </a:p>
            </c:rich>
          </c:tx>
          <c:layout>
            <c:manualLayout>
              <c:xMode val="edge"/>
              <c:yMode val="edge"/>
              <c:x val="2.3907016439514643E-2"/>
              <c:y val="0.23424289895700209"/>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2116130544"/>
        <c:crosses val="autoZero"/>
        <c:crossBetween val="midCat"/>
      </c:valAx>
      <c:spPr>
        <a:noFill/>
        <a:ln>
          <a:noFill/>
        </a:ln>
        <a:effectLst/>
      </c:spPr>
    </c:plotArea>
    <c:legend>
      <c:legendPos val="r"/>
      <c:legendEntry>
        <c:idx val="1"/>
        <c:delete val="1"/>
      </c:legendEntry>
      <c:layout>
        <c:manualLayout>
          <c:xMode val="edge"/>
          <c:yMode val="edge"/>
          <c:x val="0.13934680186206741"/>
          <c:y val="3.9593931648596287E-2"/>
          <c:w val="0.13725603731909589"/>
          <c:h val="7.002679638867130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196652823677538"/>
          <c:y val="3.5104712041884818E-2"/>
          <c:w val="0.79935495316637917"/>
          <c:h val="0.81216391144824174"/>
        </c:manualLayout>
      </c:layout>
      <c:scatterChart>
        <c:scatterStyle val="lineMarker"/>
        <c:varyColors val="0"/>
        <c:ser>
          <c:idx val="0"/>
          <c:order val="0"/>
          <c:tx>
            <c:v>CBA</c:v>
          </c:tx>
          <c:spPr>
            <a:ln w="25400" cap="rnd">
              <a:noFill/>
              <a:round/>
            </a:ln>
            <a:effectLst/>
          </c:spPr>
          <c:marker>
            <c:symbol val="circle"/>
            <c:size val="5"/>
            <c:spPr>
              <a:solidFill>
                <a:schemeClr val="accent1"/>
              </a:solidFill>
              <a:ln w="9525">
                <a:solidFill>
                  <a:schemeClr val="lt1">
                    <a:shade val="50000"/>
                    <a:alpha val="96000"/>
                  </a:schemeClr>
                </a:solidFill>
              </a:ln>
              <a:effectLst/>
            </c:spPr>
          </c:marker>
          <c:trendline>
            <c:spPr>
              <a:ln w="19050" cap="rnd">
                <a:solidFill>
                  <a:schemeClr val="accent1"/>
                </a:solidFill>
                <a:prstDash val="sysDot"/>
              </a:ln>
              <a:effectLst/>
            </c:spPr>
            <c:trendlineType val="linear"/>
            <c:dispRSqr val="1"/>
            <c:dispEq val="1"/>
            <c:trendlineLbl>
              <c:layout>
                <c:manualLayout>
                  <c:x val="9.3368085715536453E-2"/>
                  <c:y val="0.15181576452158141"/>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(Tables!$L$7,Tables!$L$9:$L$11,Tables!$L$13:$L$21)</c:f>
              <c:numCache>
                <c:formatCode>0</c:formatCode>
                <c:ptCount val="13"/>
                <c:pt idx="0">
                  <c:v>11.463033303860691</c:v>
                </c:pt>
                <c:pt idx="1">
                  <c:v>4.3185769243539243</c:v>
                </c:pt>
                <c:pt idx="2">
                  <c:v>9.5163532907919564</c:v>
                </c:pt>
                <c:pt idx="3">
                  <c:v>7.2751729743718849</c:v>
                </c:pt>
                <c:pt idx="4">
                  <c:v>12.779881990629313</c:v>
                </c:pt>
                <c:pt idx="5">
                  <c:v>6.8638739267581546</c:v>
                </c:pt>
                <c:pt idx="6">
                  <c:v>22.276381646484616</c:v>
                </c:pt>
                <c:pt idx="7">
                  <c:v>12.268034109123516</c:v>
                </c:pt>
                <c:pt idx="8">
                  <c:v>15.521534927625003</c:v>
                </c:pt>
                <c:pt idx="9">
                  <c:v>15.94673135133872</c:v>
                </c:pt>
                <c:pt idx="10">
                  <c:v>41.633698056524921</c:v>
                </c:pt>
                <c:pt idx="11">
                  <c:v>38.482042787905641</c:v>
                </c:pt>
                <c:pt idx="12">
                  <c:v>18.578838122852588</c:v>
                </c:pt>
              </c:numCache>
            </c:numRef>
          </c:xVal>
          <c:yVal>
            <c:numRef>
              <c:f>(Tables!$AA$7,Tables!$AA$9:$AA$11,Tables!$AA$13:$AA$21)</c:f>
              <c:numCache>
                <c:formatCode>0</c:formatCode>
                <c:ptCount val="13"/>
                <c:pt idx="0">
                  <c:v>8.8616234124233468</c:v>
                </c:pt>
                <c:pt idx="1">
                  <c:v>3.5270438114336242</c:v>
                </c:pt>
                <c:pt idx="2">
                  <c:v>6.7372405653436473</c:v>
                </c:pt>
                <c:pt idx="3">
                  <c:v>6.9070009791207676</c:v>
                </c:pt>
                <c:pt idx="4">
                  <c:v>8.9684887595339902</c:v>
                </c:pt>
                <c:pt idx="5">
                  <c:v>3.8392850485897498</c:v>
                </c:pt>
                <c:pt idx="6">
                  <c:v>13.031727432717187</c:v>
                </c:pt>
                <c:pt idx="7">
                  <c:v>8.2736551548035813</c:v>
                </c:pt>
                <c:pt idx="8">
                  <c:v>10.678165135981654</c:v>
                </c:pt>
                <c:pt idx="9">
                  <c:v>12.33198822148792</c:v>
                </c:pt>
                <c:pt idx="10">
                  <c:v>14.165941893201225</c:v>
                </c:pt>
                <c:pt idx="11">
                  <c:v>14.950336212944144</c:v>
                </c:pt>
                <c:pt idx="12">
                  <c:v>8.3338972964284519</c:v>
                </c:pt>
              </c:numCache>
            </c:numRef>
          </c:yVal>
          <c:smooth val="0"/>
          <c:extLst>
            <c:ext xmlns:c16="http://schemas.microsoft.com/office/drawing/2014/chart" uri="{C3380CC4-5D6E-409C-BE32-E72D297353CC}">
              <c16:uniqueId val="{00000001-934B-428B-8325-2D21B291271C}"/>
            </c:ext>
          </c:extLst>
        </c:ser>
        <c:dLbls>
          <c:showLegendKey val="0"/>
          <c:showVal val="0"/>
          <c:showCatName val="0"/>
          <c:showSerName val="0"/>
          <c:showPercent val="0"/>
          <c:showBubbleSize val="0"/>
        </c:dLbls>
        <c:axId val="2116130544"/>
        <c:axId val="2116129104"/>
        <c:extLst>
          <c:ext xmlns:c15="http://schemas.microsoft.com/office/drawing/2012/chart" uri="{02D57815-91ED-43cb-92C2-25804820EDAC}">
            <c15:filteredScatterSeries>
              <c15:ser>
                <c:idx val="1"/>
                <c:order val="1"/>
                <c:tx>
                  <c:v>PBA</c:v>
                </c:tx>
                <c:spPr>
                  <a:ln w="25400" cap="rnd">
                    <a:noFill/>
                    <a:round/>
                  </a:ln>
                  <a:effectLst/>
                </c:spPr>
                <c:marker>
                  <c:symbol val="circle"/>
                  <c:size val="5"/>
                  <c:spPr>
                    <a:solidFill>
                      <a:schemeClr val="accent2"/>
                    </a:solidFill>
                    <a:ln w="9525">
                      <a:solidFill>
                        <a:schemeClr val="lt1">
                          <a:shade val="50000"/>
                          <a:alpha val="96000"/>
                        </a:schemeClr>
                      </a:solidFill>
                    </a:ln>
                    <a:effectLst/>
                  </c:spPr>
                </c:marker>
                <c:trendline>
                  <c:spPr>
                    <a:ln w="19050" cap="rnd">
                      <a:solidFill>
                        <a:schemeClr val="accent2"/>
                      </a:solidFill>
                      <a:prstDash val="sysDot"/>
                    </a:ln>
                    <a:effectLst/>
                  </c:spPr>
                  <c:trendlineType val="linear"/>
                  <c:dispRSqr val="1"/>
                  <c:dispEq val="1"/>
                  <c:trendlineLbl>
                    <c:layout>
                      <c:manualLayout>
                        <c:x val="-9.6803590066273912E-2"/>
                        <c:y val="-3.462402605433483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extLst>
                      <c:ext uri="{02D57815-91ED-43cb-92C2-25804820EDAC}">
                        <c15:formulaRef>
                          <c15:sqref>(Tables!$N$7,Tables!$N$9:$N$21)</c15:sqref>
                        </c15:formulaRef>
                      </c:ext>
                    </c:extLst>
                    <c:numCache>
                      <c:formatCode>0</c:formatCode>
                      <c:ptCount val="14"/>
                      <c:pt idx="0">
                        <c:v>11.463033303860691</c:v>
                      </c:pt>
                      <c:pt idx="1">
                        <c:v>4.3185769243539243</c:v>
                      </c:pt>
                      <c:pt idx="2">
                        <c:v>9.5163532907919564</c:v>
                      </c:pt>
                      <c:pt idx="3">
                        <c:v>7.2751729743718849</c:v>
                      </c:pt>
                      <c:pt idx="4">
                        <c:v>14.563983122658572</c:v>
                      </c:pt>
                      <c:pt idx="5">
                        <c:v>12.779881990629313</c:v>
                      </c:pt>
                      <c:pt idx="6">
                        <c:v>6.8638739267581546</c:v>
                      </c:pt>
                      <c:pt idx="7">
                        <c:v>22.276381646484616</c:v>
                      </c:pt>
                      <c:pt idx="8">
                        <c:v>12.268034109123516</c:v>
                      </c:pt>
                      <c:pt idx="9">
                        <c:v>15.521534927625003</c:v>
                      </c:pt>
                      <c:pt idx="10">
                        <c:v>15.94673135133872</c:v>
                      </c:pt>
                      <c:pt idx="11">
                        <c:v>41.633698056524921</c:v>
                      </c:pt>
                      <c:pt idx="12">
                        <c:v>38.482042787905641</c:v>
                      </c:pt>
                      <c:pt idx="13">
                        <c:v>18.578838122852588</c:v>
                      </c:pt>
                    </c:numCache>
                  </c:numRef>
                </c:xVal>
                <c:yVal>
                  <c:numRef>
                    <c:extLst>
                      <c:ext uri="{02D57815-91ED-43cb-92C2-25804820EDAC}">
                        <c15:formulaRef>
                          <c15:sqref>(Tables!$AP$7,Tables!$AP$9:$AP$21)</c15:sqref>
                        </c15:formulaRef>
                      </c:ext>
                    </c:extLst>
                    <c:numCache>
                      <c:formatCode>0</c:formatCode>
                      <c:ptCount val="14"/>
                      <c:pt idx="0">
                        <c:v>7.2205336533375286</c:v>
                      </c:pt>
                      <c:pt idx="1">
                        <c:v>3.8071759361296516</c:v>
                      </c:pt>
                      <c:pt idx="2">
                        <c:v>5.9348519977906236</c:v>
                      </c:pt>
                      <c:pt idx="3">
                        <c:v>4.3318675020045871</c:v>
                      </c:pt>
                      <c:pt idx="4">
                        <c:v>7.9813107879532037</c:v>
                      </c:pt>
                      <c:pt idx="5">
                        <c:v>7.2660257115595517</c:v>
                      </c:pt>
                      <c:pt idx="6">
                        <c:v>1.8323273744603112</c:v>
                      </c:pt>
                      <c:pt idx="7">
                        <c:v>6.3946504143075504</c:v>
                      </c:pt>
                      <c:pt idx="8">
                        <c:v>5.2037089182687373</c:v>
                      </c:pt>
                      <c:pt idx="9">
                        <c:v>4.7613490490007884</c:v>
                      </c:pt>
                      <c:pt idx="10">
                        <c:v>12.655793357240899</c:v>
                      </c:pt>
                      <c:pt idx="11">
                        <c:v>12.300491898027222</c:v>
                      </c:pt>
                      <c:pt idx="12">
                        <c:v>11.265355806959796</c:v>
                      </c:pt>
                      <c:pt idx="13">
                        <c:v>3.6978149576766848</c:v>
                      </c:pt>
                    </c:numCache>
                  </c:numRef>
                </c:yVal>
                <c:smooth val="0"/>
                <c:extLst>
                  <c:ext xmlns:c16="http://schemas.microsoft.com/office/drawing/2014/chart" uri="{C3380CC4-5D6E-409C-BE32-E72D297353CC}">
                    <c16:uniqueId val="{00000003-934B-428B-8325-2D21B291271C}"/>
                  </c:ext>
                </c:extLst>
              </c15:ser>
            </c15:filteredScatterSeries>
          </c:ext>
        </c:extLst>
      </c:scatterChart>
      <c:valAx>
        <c:axId val="2116130544"/>
        <c:scaling>
          <c:orientation val="minMax"/>
        </c:scaling>
        <c:delete val="0"/>
        <c:axPos val="b"/>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100" b="1" i="0" u="none" strike="noStrike" kern="1200" baseline="0">
                    <a:solidFill>
                      <a:sysClr val="windowText" lastClr="000000">
                        <a:lumMod val="65000"/>
                        <a:lumOff val="35000"/>
                      </a:sysClr>
                    </a:solidFill>
                    <a:latin typeface="+mn-lt"/>
                    <a:ea typeface="+mn-ea"/>
                    <a:cs typeface="+mn-cs"/>
                  </a:defRPr>
                </a:pPr>
                <a:r>
                  <a:rPr lang="en-US" sz="1100" b="1"/>
                  <a:t>Total</a:t>
                </a:r>
                <a:r>
                  <a:rPr lang="en-US" sz="1100" b="1" baseline="0"/>
                  <a:t> Nitrogen Loading Rate</a:t>
                </a:r>
                <a:r>
                  <a:rPr lang="en-US" sz="1100" b="1" i="0" u="none" strike="noStrike" kern="1200" baseline="0">
                    <a:solidFill>
                      <a:sysClr val="windowText" lastClr="000000">
                        <a:lumMod val="65000"/>
                        <a:lumOff val="35000"/>
                      </a:sysClr>
                    </a:solidFill>
                  </a:rPr>
                  <a:t> (mg/L-day)</a:t>
                </a:r>
              </a:p>
            </c:rich>
          </c:tx>
          <c:layout>
            <c:manualLayout>
              <c:xMode val="edge"/>
              <c:yMode val="edge"/>
              <c:x val="0.35418314581412569"/>
              <c:y val="0.93081151832460729"/>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100" b="1" i="0" u="none" strike="noStrike" kern="1200" baseline="0">
                  <a:solidFill>
                    <a:sysClr val="windowText" lastClr="000000">
                      <a:lumMod val="65000"/>
                      <a:lumOff val="35000"/>
                    </a:sysClr>
                  </a:solidFill>
                  <a:latin typeface="+mn-lt"/>
                  <a:ea typeface="+mn-ea"/>
                  <a:cs typeface="+mn-cs"/>
                </a:defRPr>
              </a:pPr>
              <a:endParaRPr lang="en-US"/>
            </a:p>
          </c:txPr>
        </c:title>
        <c:numFmt formatCode="0"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2116129104"/>
        <c:crosses val="autoZero"/>
        <c:crossBetween val="midCat"/>
      </c:valAx>
      <c:valAx>
        <c:axId val="2116129104"/>
        <c:scaling>
          <c:orientation val="minMax"/>
          <c:min val="0"/>
        </c:scaling>
        <c:delete val="0"/>
        <c:axPos val="l"/>
        <c:title>
          <c:tx>
            <c:rich>
              <a:bodyPr rot="-54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r>
                  <a:rPr lang="en-US" sz="1050" b="1" i="0" u="none" strike="noStrike" kern="1200" baseline="0">
                    <a:solidFill>
                      <a:sysClr val="windowText" lastClr="000000">
                        <a:lumMod val="65000"/>
                        <a:lumOff val="35000"/>
                      </a:sysClr>
                    </a:solidFill>
                  </a:rPr>
                  <a:t>Total Nitrogen Removal Rate (mg/L-day)</a:t>
                </a:r>
              </a:p>
            </c:rich>
          </c:tx>
          <c:layout>
            <c:manualLayout>
              <c:xMode val="edge"/>
              <c:yMode val="edge"/>
              <c:x val="2.3907016439514643E-2"/>
              <c:y val="0.23424289895700209"/>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2116130544"/>
        <c:crosses val="autoZero"/>
        <c:crossBetween val="midCat"/>
      </c:valAx>
      <c:spPr>
        <a:noFill/>
        <a:ln>
          <a:noFill/>
        </a:ln>
        <a:effectLst/>
      </c:spPr>
    </c:plotArea>
    <c:legend>
      <c:legendPos val="r"/>
      <c:legendEntry>
        <c:idx val="1"/>
        <c:delete val="1"/>
      </c:legendEntry>
      <c:layout>
        <c:manualLayout>
          <c:xMode val="edge"/>
          <c:yMode val="edge"/>
          <c:x val="0.13934680186206741"/>
          <c:y val="3.9593931648596287E-2"/>
          <c:w val="0.13725603731909589"/>
          <c:h val="7.002679638867130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196652823677538"/>
          <c:y val="3.5104712041884818E-2"/>
          <c:w val="0.79935495316637917"/>
          <c:h val="0.81216391144824174"/>
        </c:manualLayout>
      </c:layout>
      <c:scatterChart>
        <c:scatterStyle val="lineMarker"/>
        <c:varyColors val="0"/>
        <c:ser>
          <c:idx val="1"/>
          <c:order val="1"/>
          <c:tx>
            <c:v>PBA</c:v>
          </c:tx>
          <c:spPr>
            <a:ln w="25400" cap="rnd">
              <a:noFill/>
              <a:round/>
            </a:ln>
            <a:effectLst/>
          </c:spPr>
          <c:marker>
            <c:symbol val="circle"/>
            <c:size val="5"/>
            <c:spPr>
              <a:solidFill>
                <a:schemeClr val="accent2"/>
              </a:solidFill>
              <a:ln w="9525">
                <a:solidFill>
                  <a:schemeClr val="lt1">
                    <a:shade val="50000"/>
                    <a:alpha val="96000"/>
                  </a:schemeClr>
                </a:solidFill>
              </a:ln>
              <a:effectLst/>
            </c:spPr>
          </c:marker>
          <c:trendline>
            <c:spPr>
              <a:ln w="19050" cap="rnd">
                <a:solidFill>
                  <a:schemeClr val="accent2"/>
                </a:solidFill>
                <a:prstDash val="sysDot"/>
              </a:ln>
              <a:effectLst/>
            </c:spPr>
            <c:trendlineType val="log"/>
            <c:dispRSqr val="1"/>
            <c:dispEq val="1"/>
            <c:trendlineLbl>
              <c:layout>
                <c:manualLayout>
                  <c:x val="-0.21345394482748084"/>
                  <c:y val="-1.8250608071896771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(Tables!$N$7,Tables!$N$9:$N$17,Tables!$N$19:$N$20)</c:f>
              <c:numCache>
                <c:formatCode>0</c:formatCode>
                <c:ptCount val="12"/>
                <c:pt idx="0">
                  <c:v>11.463033303860691</c:v>
                </c:pt>
                <c:pt idx="1">
                  <c:v>4.3185769243539243</c:v>
                </c:pt>
                <c:pt idx="2">
                  <c:v>9.5163532907919564</c:v>
                </c:pt>
                <c:pt idx="3">
                  <c:v>7.2751729743718849</c:v>
                </c:pt>
                <c:pt idx="4">
                  <c:v>14.563983122658572</c:v>
                </c:pt>
                <c:pt idx="5">
                  <c:v>12.779881990629313</c:v>
                </c:pt>
                <c:pt idx="6">
                  <c:v>6.8638739267581546</c:v>
                </c:pt>
                <c:pt idx="7">
                  <c:v>22.276381646484616</c:v>
                </c:pt>
                <c:pt idx="8">
                  <c:v>12.268034109123516</c:v>
                </c:pt>
                <c:pt idx="9">
                  <c:v>15.521534927625003</c:v>
                </c:pt>
                <c:pt idx="10">
                  <c:v>41.633698056524921</c:v>
                </c:pt>
                <c:pt idx="11">
                  <c:v>38.482042787905641</c:v>
                </c:pt>
              </c:numCache>
            </c:numRef>
          </c:xVal>
          <c:yVal>
            <c:numRef>
              <c:f>(Tables!$AP$7,Tables!$AP$9:$AP$17,Tables!$AP$19:$AP$20)</c:f>
              <c:numCache>
                <c:formatCode>0</c:formatCode>
                <c:ptCount val="12"/>
                <c:pt idx="0">
                  <c:v>7.2205336533375286</c:v>
                </c:pt>
                <c:pt idx="1">
                  <c:v>3.8071759361296516</c:v>
                </c:pt>
                <c:pt idx="2">
                  <c:v>5.9348519977906236</c:v>
                </c:pt>
                <c:pt idx="3">
                  <c:v>4.3318675020045871</c:v>
                </c:pt>
                <c:pt idx="4">
                  <c:v>7.9813107879532037</c:v>
                </c:pt>
                <c:pt idx="5">
                  <c:v>7.2660257115595517</c:v>
                </c:pt>
                <c:pt idx="6">
                  <c:v>1.8323273744603112</c:v>
                </c:pt>
                <c:pt idx="7">
                  <c:v>6.3946504143075504</c:v>
                </c:pt>
                <c:pt idx="8">
                  <c:v>5.2037089182687373</c:v>
                </c:pt>
                <c:pt idx="9">
                  <c:v>4.7613490490007884</c:v>
                </c:pt>
                <c:pt idx="10">
                  <c:v>12.300491898027222</c:v>
                </c:pt>
                <c:pt idx="11">
                  <c:v>11.265355806959796</c:v>
                </c:pt>
              </c:numCache>
            </c:numRef>
          </c:yVal>
          <c:smooth val="0"/>
          <c:extLst xmlns:c15="http://schemas.microsoft.com/office/drawing/2012/chart">
            <c:ext xmlns:c16="http://schemas.microsoft.com/office/drawing/2014/chart" uri="{C3380CC4-5D6E-409C-BE32-E72D297353CC}">
              <c16:uniqueId val="{00000001-71FB-42F6-A51F-F1AE15545ABA}"/>
            </c:ext>
          </c:extLst>
        </c:ser>
        <c:dLbls>
          <c:showLegendKey val="0"/>
          <c:showVal val="0"/>
          <c:showCatName val="0"/>
          <c:showSerName val="0"/>
          <c:showPercent val="0"/>
          <c:showBubbleSize val="0"/>
        </c:dLbls>
        <c:axId val="2116130544"/>
        <c:axId val="2116129104"/>
        <c:extLst>
          <c:ext xmlns:c15="http://schemas.microsoft.com/office/drawing/2012/chart" uri="{02D57815-91ED-43cb-92C2-25804820EDAC}">
            <c15:filteredScatterSeries>
              <c15:ser>
                <c:idx val="0"/>
                <c:order val="0"/>
                <c:tx>
                  <c:v>CBA</c:v>
                </c:tx>
                <c:spPr>
                  <a:ln w="25400" cap="rnd">
                    <a:noFill/>
                    <a:round/>
                  </a:ln>
                  <a:effectLst/>
                </c:spPr>
                <c:marker>
                  <c:symbol val="circle"/>
                  <c:size val="5"/>
                  <c:spPr>
                    <a:solidFill>
                      <a:schemeClr val="accent1"/>
                    </a:solidFill>
                    <a:ln w="9525">
                      <a:solidFill>
                        <a:schemeClr val="lt1">
                          <a:shade val="50000"/>
                          <a:alpha val="96000"/>
                        </a:schemeClr>
                      </a:solidFill>
                    </a:ln>
                    <a:effectLst/>
                  </c:spPr>
                </c:marker>
                <c:trendline>
                  <c:spPr>
                    <a:ln w="19050" cap="rnd">
                      <a:solidFill>
                        <a:schemeClr val="accent1"/>
                      </a:solidFill>
                      <a:prstDash val="sysDot"/>
                    </a:ln>
                    <a:effectLst/>
                  </c:spPr>
                  <c:trendlineType val="log"/>
                  <c:dispRSqr val="1"/>
                  <c:dispEq val="1"/>
                  <c:trendlineLbl>
                    <c:layout>
                      <c:manualLayout>
                        <c:x val="9.3368085715536453E-2"/>
                        <c:y val="0.15181576452158141"/>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extLst>
                      <c:ext uri="{02D57815-91ED-43cb-92C2-25804820EDAC}">
                        <c15:formulaRef>
                          <c15:sqref>(Tables!$L$7,Tables!$L$9:$L$21)</c15:sqref>
                        </c15:formulaRef>
                      </c:ext>
                    </c:extLst>
                    <c:numCache>
                      <c:formatCode>0</c:formatCode>
                      <c:ptCount val="14"/>
                      <c:pt idx="0">
                        <c:v>11.463033303860691</c:v>
                      </c:pt>
                      <c:pt idx="1">
                        <c:v>4.3185769243539243</c:v>
                      </c:pt>
                      <c:pt idx="2">
                        <c:v>9.5163532907919564</c:v>
                      </c:pt>
                      <c:pt idx="3">
                        <c:v>7.2751729743718849</c:v>
                      </c:pt>
                      <c:pt idx="4">
                        <c:v>14.563983122658572</c:v>
                      </c:pt>
                      <c:pt idx="5">
                        <c:v>12.779881990629313</c:v>
                      </c:pt>
                      <c:pt idx="6">
                        <c:v>6.8638739267581546</c:v>
                      </c:pt>
                      <c:pt idx="7">
                        <c:v>22.276381646484616</c:v>
                      </c:pt>
                      <c:pt idx="8">
                        <c:v>12.268034109123516</c:v>
                      </c:pt>
                      <c:pt idx="9">
                        <c:v>15.521534927625003</c:v>
                      </c:pt>
                      <c:pt idx="10">
                        <c:v>15.94673135133872</c:v>
                      </c:pt>
                      <c:pt idx="11">
                        <c:v>41.633698056524921</c:v>
                      </c:pt>
                      <c:pt idx="12">
                        <c:v>38.482042787905641</c:v>
                      </c:pt>
                      <c:pt idx="13">
                        <c:v>18.578838122852588</c:v>
                      </c:pt>
                    </c:numCache>
                  </c:numRef>
                </c:xVal>
                <c:yVal>
                  <c:numRef>
                    <c:extLst>
                      <c:ext uri="{02D57815-91ED-43cb-92C2-25804820EDAC}">
                        <c15:formulaRef>
                          <c15:sqref>(Tables!$AA$7,Tables!$AA$9:$AA$21)</c15:sqref>
                        </c15:formulaRef>
                      </c:ext>
                    </c:extLst>
                    <c:numCache>
                      <c:formatCode>0</c:formatCode>
                      <c:ptCount val="14"/>
                      <c:pt idx="0">
                        <c:v>8.8616234124233468</c:v>
                      </c:pt>
                      <c:pt idx="1">
                        <c:v>3.5270438114336242</c:v>
                      </c:pt>
                      <c:pt idx="2">
                        <c:v>6.7372405653436473</c:v>
                      </c:pt>
                      <c:pt idx="3">
                        <c:v>6.9070009791207676</c:v>
                      </c:pt>
                      <c:pt idx="4">
                        <c:v>13.334814724793901</c:v>
                      </c:pt>
                      <c:pt idx="5">
                        <c:v>8.9684887595339902</c:v>
                      </c:pt>
                      <c:pt idx="6">
                        <c:v>3.8392850485897498</c:v>
                      </c:pt>
                      <c:pt idx="7">
                        <c:v>13.031727432717187</c:v>
                      </c:pt>
                      <c:pt idx="8">
                        <c:v>8.2736551548035813</c:v>
                      </c:pt>
                      <c:pt idx="9">
                        <c:v>10.678165135981654</c:v>
                      </c:pt>
                      <c:pt idx="10">
                        <c:v>12.33198822148792</c:v>
                      </c:pt>
                      <c:pt idx="11">
                        <c:v>14.165941893201225</c:v>
                      </c:pt>
                      <c:pt idx="12">
                        <c:v>14.950336212944144</c:v>
                      </c:pt>
                      <c:pt idx="13">
                        <c:v>8.3338972964284519</c:v>
                      </c:pt>
                    </c:numCache>
                  </c:numRef>
                </c:yVal>
                <c:smooth val="0"/>
                <c:extLst>
                  <c:ext xmlns:c16="http://schemas.microsoft.com/office/drawing/2014/chart" uri="{C3380CC4-5D6E-409C-BE32-E72D297353CC}">
                    <c16:uniqueId val="{00000003-71FB-42F6-A51F-F1AE15545ABA}"/>
                  </c:ext>
                </c:extLst>
              </c15:ser>
            </c15:filteredScatterSeries>
          </c:ext>
        </c:extLst>
      </c:scatterChart>
      <c:valAx>
        <c:axId val="2116130544"/>
        <c:scaling>
          <c:orientation val="minMax"/>
        </c:scaling>
        <c:delete val="0"/>
        <c:axPos val="b"/>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100" b="1" i="0" u="none" strike="noStrike" kern="1200" baseline="0">
                    <a:solidFill>
                      <a:sysClr val="windowText" lastClr="000000">
                        <a:lumMod val="65000"/>
                        <a:lumOff val="35000"/>
                      </a:sysClr>
                    </a:solidFill>
                    <a:latin typeface="+mn-lt"/>
                    <a:ea typeface="+mn-ea"/>
                    <a:cs typeface="+mn-cs"/>
                  </a:defRPr>
                </a:pPr>
                <a:r>
                  <a:rPr lang="en-US" sz="1100" b="1"/>
                  <a:t>Total</a:t>
                </a:r>
                <a:r>
                  <a:rPr lang="en-US" sz="1100" b="1" baseline="0"/>
                  <a:t> Nitrogen Loading Rate</a:t>
                </a:r>
                <a:r>
                  <a:rPr lang="en-US" sz="1100" b="1" i="0" u="none" strike="noStrike" kern="1200" baseline="0">
                    <a:solidFill>
                      <a:sysClr val="windowText" lastClr="000000">
                        <a:lumMod val="65000"/>
                        <a:lumOff val="35000"/>
                      </a:sysClr>
                    </a:solidFill>
                  </a:rPr>
                  <a:t> (mg/L-day)</a:t>
                </a:r>
              </a:p>
            </c:rich>
          </c:tx>
          <c:layout>
            <c:manualLayout>
              <c:xMode val="edge"/>
              <c:yMode val="edge"/>
              <c:x val="0.35418314581412569"/>
              <c:y val="0.93081151832460729"/>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100" b="1" i="0" u="none" strike="noStrike" kern="1200" baseline="0">
                  <a:solidFill>
                    <a:sysClr val="windowText" lastClr="000000">
                      <a:lumMod val="65000"/>
                      <a:lumOff val="35000"/>
                    </a:sysClr>
                  </a:solidFill>
                  <a:latin typeface="+mn-lt"/>
                  <a:ea typeface="+mn-ea"/>
                  <a:cs typeface="+mn-cs"/>
                </a:defRPr>
              </a:pPr>
              <a:endParaRPr lang="en-US"/>
            </a:p>
          </c:txPr>
        </c:title>
        <c:numFmt formatCode="0"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2116129104"/>
        <c:crosses val="autoZero"/>
        <c:crossBetween val="midCat"/>
      </c:valAx>
      <c:valAx>
        <c:axId val="2116129104"/>
        <c:scaling>
          <c:orientation val="minMax"/>
          <c:min val="0"/>
        </c:scaling>
        <c:delete val="0"/>
        <c:axPos val="l"/>
        <c:title>
          <c:tx>
            <c:rich>
              <a:bodyPr rot="-54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r>
                  <a:rPr lang="en-US" sz="1050" b="1" i="0" u="none" strike="noStrike" kern="1200" baseline="0">
                    <a:solidFill>
                      <a:sysClr val="windowText" lastClr="000000">
                        <a:lumMod val="65000"/>
                        <a:lumOff val="35000"/>
                      </a:sysClr>
                    </a:solidFill>
                  </a:rPr>
                  <a:t>Total Nitrogen Removal Rate (mg/L-day)</a:t>
                </a:r>
              </a:p>
            </c:rich>
          </c:tx>
          <c:layout>
            <c:manualLayout>
              <c:xMode val="edge"/>
              <c:yMode val="edge"/>
              <c:x val="2.3907016439514643E-2"/>
              <c:y val="0.23424289895700209"/>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2116130544"/>
        <c:crosses val="autoZero"/>
        <c:crossBetween val="midCat"/>
      </c:valAx>
      <c:spPr>
        <a:noFill/>
        <a:ln>
          <a:noFill/>
        </a:ln>
        <a:effectLst/>
      </c:spPr>
    </c:plotArea>
    <c:legend>
      <c:legendPos val="r"/>
      <c:layout>
        <c:manualLayout>
          <c:xMode val="edge"/>
          <c:yMode val="edge"/>
          <c:x val="0.13934680186206741"/>
          <c:y val="3.9593931648596287E-2"/>
          <c:w val="0.13725603731909589"/>
          <c:h val="7.002679638867130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196652823677538"/>
          <c:y val="3.5104712041884818E-2"/>
          <c:w val="0.79935495316637917"/>
          <c:h val="0.81216391144824174"/>
        </c:manualLayout>
      </c:layout>
      <c:scatterChart>
        <c:scatterStyle val="lineMarker"/>
        <c:varyColors val="0"/>
        <c:ser>
          <c:idx val="1"/>
          <c:order val="1"/>
          <c:tx>
            <c:v>PBA</c:v>
          </c:tx>
          <c:spPr>
            <a:ln w="25400" cap="rnd">
              <a:noFill/>
              <a:round/>
            </a:ln>
            <a:effectLst/>
          </c:spPr>
          <c:marker>
            <c:symbol val="circle"/>
            <c:size val="5"/>
            <c:spPr>
              <a:solidFill>
                <a:schemeClr val="accent2"/>
              </a:solidFill>
              <a:ln w="9525">
                <a:solidFill>
                  <a:schemeClr val="lt1">
                    <a:shade val="50000"/>
                    <a:alpha val="96000"/>
                  </a:schemeClr>
                </a:solidFill>
              </a:ln>
              <a:effectLst/>
            </c:spPr>
          </c:marker>
          <c:trendline>
            <c:spPr>
              <a:ln w="19050" cap="rnd">
                <a:solidFill>
                  <a:schemeClr val="accent2"/>
                </a:solidFill>
                <a:prstDash val="sysDot"/>
              </a:ln>
              <a:effectLst/>
            </c:spPr>
            <c:trendlineType val="linear"/>
            <c:dispRSqr val="1"/>
            <c:dispEq val="1"/>
            <c:trendlineLbl>
              <c:layout>
                <c:manualLayout>
                  <c:x val="-9.6803590066273912E-2"/>
                  <c:y val="-3.462402605433483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(Tables!$N$7,Tables!$N$9:$N$17,Tables!$N$19:$N$20)</c:f>
              <c:numCache>
                <c:formatCode>0</c:formatCode>
                <c:ptCount val="12"/>
                <c:pt idx="0">
                  <c:v>11.463033303860691</c:v>
                </c:pt>
                <c:pt idx="1">
                  <c:v>4.3185769243539243</c:v>
                </c:pt>
                <c:pt idx="2">
                  <c:v>9.5163532907919564</c:v>
                </c:pt>
                <c:pt idx="3">
                  <c:v>7.2751729743718849</c:v>
                </c:pt>
                <c:pt idx="4">
                  <c:v>14.563983122658572</c:v>
                </c:pt>
                <c:pt idx="5">
                  <c:v>12.779881990629313</c:v>
                </c:pt>
                <c:pt idx="6">
                  <c:v>6.8638739267581546</c:v>
                </c:pt>
                <c:pt idx="7">
                  <c:v>22.276381646484616</c:v>
                </c:pt>
                <c:pt idx="8">
                  <c:v>12.268034109123516</c:v>
                </c:pt>
                <c:pt idx="9">
                  <c:v>15.521534927625003</c:v>
                </c:pt>
                <c:pt idx="10">
                  <c:v>41.633698056524921</c:v>
                </c:pt>
                <c:pt idx="11">
                  <c:v>38.482042787905641</c:v>
                </c:pt>
              </c:numCache>
            </c:numRef>
          </c:xVal>
          <c:yVal>
            <c:numRef>
              <c:f>(Tables!$AP$7,Tables!$AP$9:$AP$17,Tables!$AP$19:$AP$20)</c:f>
              <c:numCache>
                <c:formatCode>0</c:formatCode>
                <c:ptCount val="12"/>
                <c:pt idx="0">
                  <c:v>7.2205336533375286</c:v>
                </c:pt>
                <c:pt idx="1">
                  <c:v>3.8071759361296516</c:v>
                </c:pt>
                <c:pt idx="2">
                  <c:v>5.9348519977906236</c:v>
                </c:pt>
                <c:pt idx="3">
                  <c:v>4.3318675020045871</c:v>
                </c:pt>
                <c:pt idx="4">
                  <c:v>7.9813107879532037</c:v>
                </c:pt>
                <c:pt idx="5">
                  <c:v>7.2660257115595517</c:v>
                </c:pt>
                <c:pt idx="6">
                  <c:v>1.8323273744603112</c:v>
                </c:pt>
                <c:pt idx="7">
                  <c:v>6.3946504143075504</c:v>
                </c:pt>
                <c:pt idx="8">
                  <c:v>5.2037089182687373</c:v>
                </c:pt>
                <c:pt idx="9">
                  <c:v>4.7613490490007884</c:v>
                </c:pt>
                <c:pt idx="10">
                  <c:v>12.300491898027222</c:v>
                </c:pt>
                <c:pt idx="11">
                  <c:v>11.265355806959796</c:v>
                </c:pt>
              </c:numCache>
            </c:numRef>
          </c:yVal>
          <c:smooth val="0"/>
          <c:extLst>
            <c:ext xmlns:c16="http://schemas.microsoft.com/office/drawing/2014/chart" uri="{C3380CC4-5D6E-409C-BE32-E72D297353CC}">
              <c16:uniqueId val="{00000001-F960-4B25-AD52-4C441912F795}"/>
            </c:ext>
          </c:extLst>
        </c:ser>
        <c:dLbls>
          <c:showLegendKey val="0"/>
          <c:showVal val="0"/>
          <c:showCatName val="0"/>
          <c:showSerName val="0"/>
          <c:showPercent val="0"/>
          <c:showBubbleSize val="0"/>
        </c:dLbls>
        <c:axId val="2116130544"/>
        <c:axId val="2116129104"/>
        <c:extLst>
          <c:ext xmlns:c15="http://schemas.microsoft.com/office/drawing/2012/chart" uri="{02D57815-91ED-43cb-92C2-25804820EDAC}">
            <c15:filteredScatterSeries>
              <c15:ser>
                <c:idx val="0"/>
                <c:order val="0"/>
                <c:tx>
                  <c:v>CBA</c:v>
                </c:tx>
                <c:spPr>
                  <a:ln w="25400" cap="rnd">
                    <a:noFill/>
                    <a:round/>
                  </a:ln>
                  <a:effectLst/>
                </c:spPr>
                <c:marker>
                  <c:symbol val="circle"/>
                  <c:size val="5"/>
                  <c:spPr>
                    <a:solidFill>
                      <a:schemeClr val="accent1"/>
                    </a:solidFill>
                    <a:ln w="9525">
                      <a:solidFill>
                        <a:schemeClr val="lt1">
                          <a:shade val="50000"/>
                          <a:alpha val="96000"/>
                        </a:schemeClr>
                      </a:solidFill>
                    </a:ln>
                    <a:effectLst/>
                  </c:spPr>
                </c:marker>
                <c:trendline>
                  <c:spPr>
                    <a:ln w="19050" cap="rnd">
                      <a:solidFill>
                        <a:schemeClr val="accent1"/>
                      </a:solidFill>
                      <a:prstDash val="sysDot"/>
                    </a:ln>
                    <a:effectLst/>
                  </c:spPr>
                  <c:trendlineType val="linear"/>
                  <c:dispRSqr val="1"/>
                  <c:dispEq val="1"/>
                  <c:trendlineLbl>
                    <c:layout>
                      <c:manualLayout>
                        <c:x val="9.3368085715536453E-2"/>
                        <c:y val="0.15181576452158141"/>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extLst>
                      <c:ext uri="{02D57815-91ED-43cb-92C2-25804820EDAC}">
                        <c15:formulaRef>
                          <c15:sqref>(Tables!$L$7,Tables!$L$9:$L$21)</c15:sqref>
                        </c15:formulaRef>
                      </c:ext>
                    </c:extLst>
                    <c:numCache>
                      <c:formatCode>0</c:formatCode>
                      <c:ptCount val="14"/>
                      <c:pt idx="0">
                        <c:v>11.463033303860691</c:v>
                      </c:pt>
                      <c:pt idx="1">
                        <c:v>4.3185769243539243</c:v>
                      </c:pt>
                      <c:pt idx="2">
                        <c:v>9.5163532907919564</c:v>
                      </c:pt>
                      <c:pt idx="3">
                        <c:v>7.2751729743718849</c:v>
                      </c:pt>
                      <c:pt idx="4">
                        <c:v>14.563983122658572</c:v>
                      </c:pt>
                      <c:pt idx="5">
                        <c:v>12.779881990629313</c:v>
                      </c:pt>
                      <c:pt idx="6">
                        <c:v>6.8638739267581546</c:v>
                      </c:pt>
                      <c:pt idx="7">
                        <c:v>22.276381646484616</c:v>
                      </c:pt>
                      <c:pt idx="8">
                        <c:v>12.268034109123516</c:v>
                      </c:pt>
                      <c:pt idx="9">
                        <c:v>15.521534927625003</c:v>
                      </c:pt>
                      <c:pt idx="10">
                        <c:v>15.94673135133872</c:v>
                      </c:pt>
                      <c:pt idx="11">
                        <c:v>41.633698056524921</c:v>
                      </c:pt>
                      <c:pt idx="12">
                        <c:v>38.482042787905641</c:v>
                      </c:pt>
                      <c:pt idx="13">
                        <c:v>18.578838122852588</c:v>
                      </c:pt>
                    </c:numCache>
                  </c:numRef>
                </c:xVal>
                <c:yVal>
                  <c:numRef>
                    <c:extLst>
                      <c:ext uri="{02D57815-91ED-43cb-92C2-25804820EDAC}">
                        <c15:formulaRef>
                          <c15:sqref>(Tables!$AA$7,Tables!$AA$9:$AA$21)</c15:sqref>
                        </c15:formulaRef>
                      </c:ext>
                    </c:extLst>
                    <c:numCache>
                      <c:formatCode>0</c:formatCode>
                      <c:ptCount val="14"/>
                      <c:pt idx="0">
                        <c:v>8.8616234124233468</c:v>
                      </c:pt>
                      <c:pt idx="1">
                        <c:v>3.5270438114336242</c:v>
                      </c:pt>
                      <c:pt idx="2">
                        <c:v>6.7372405653436473</c:v>
                      </c:pt>
                      <c:pt idx="3">
                        <c:v>6.9070009791207676</c:v>
                      </c:pt>
                      <c:pt idx="4">
                        <c:v>13.334814724793901</c:v>
                      </c:pt>
                      <c:pt idx="5">
                        <c:v>8.9684887595339902</c:v>
                      </c:pt>
                      <c:pt idx="6">
                        <c:v>3.8392850485897498</c:v>
                      </c:pt>
                      <c:pt idx="7">
                        <c:v>13.031727432717187</c:v>
                      </c:pt>
                      <c:pt idx="8">
                        <c:v>8.2736551548035813</c:v>
                      </c:pt>
                      <c:pt idx="9">
                        <c:v>10.678165135981654</c:v>
                      </c:pt>
                      <c:pt idx="10">
                        <c:v>12.33198822148792</c:v>
                      </c:pt>
                      <c:pt idx="11">
                        <c:v>14.165941893201225</c:v>
                      </c:pt>
                      <c:pt idx="12">
                        <c:v>14.950336212944144</c:v>
                      </c:pt>
                      <c:pt idx="13">
                        <c:v>8.3338972964284519</c:v>
                      </c:pt>
                    </c:numCache>
                  </c:numRef>
                </c:yVal>
                <c:smooth val="0"/>
                <c:extLst>
                  <c:ext xmlns:c16="http://schemas.microsoft.com/office/drawing/2014/chart" uri="{C3380CC4-5D6E-409C-BE32-E72D297353CC}">
                    <c16:uniqueId val="{00000003-F960-4B25-AD52-4C441912F795}"/>
                  </c:ext>
                </c:extLst>
              </c15:ser>
            </c15:filteredScatterSeries>
          </c:ext>
        </c:extLst>
      </c:scatterChart>
      <c:valAx>
        <c:axId val="2116130544"/>
        <c:scaling>
          <c:orientation val="minMax"/>
        </c:scaling>
        <c:delete val="0"/>
        <c:axPos val="b"/>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100" b="1" i="0" u="none" strike="noStrike" kern="1200" baseline="0">
                    <a:solidFill>
                      <a:sysClr val="windowText" lastClr="000000">
                        <a:lumMod val="65000"/>
                        <a:lumOff val="35000"/>
                      </a:sysClr>
                    </a:solidFill>
                    <a:latin typeface="+mn-lt"/>
                    <a:ea typeface="+mn-ea"/>
                    <a:cs typeface="+mn-cs"/>
                  </a:defRPr>
                </a:pPr>
                <a:r>
                  <a:rPr lang="en-US" sz="1100" b="1"/>
                  <a:t>Total</a:t>
                </a:r>
                <a:r>
                  <a:rPr lang="en-US" sz="1100" b="1" baseline="0"/>
                  <a:t> Nitrogen Loading Rate</a:t>
                </a:r>
                <a:r>
                  <a:rPr lang="en-US" sz="1100" b="1" i="0" u="none" strike="noStrike" kern="1200" baseline="0">
                    <a:solidFill>
                      <a:sysClr val="windowText" lastClr="000000">
                        <a:lumMod val="65000"/>
                        <a:lumOff val="35000"/>
                      </a:sysClr>
                    </a:solidFill>
                  </a:rPr>
                  <a:t> (mg/L-day)</a:t>
                </a:r>
              </a:p>
            </c:rich>
          </c:tx>
          <c:layout>
            <c:manualLayout>
              <c:xMode val="edge"/>
              <c:yMode val="edge"/>
              <c:x val="0.35418314581412569"/>
              <c:y val="0.93081151832460729"/>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100" b="1" i="0" u="none" strike="noStrike" kern="1200" baseline="0">
                  <a:solidFill>
                    <a:sysClr val="windowText" lastClr="000000">
                      <a:lumMod val="65000"/>
                      <a:lumOff val="35000"/>
                    </a:sysClr>
                  </a:solidFill>
                  <a:latin typeface="+mn-lt"/>
                  <a:ea typeface="+mn-ea"/>
                  <a:cs typeface="+mn-cs"/>
                </a:defRPr>
              </a:pPr>
              <a:endParaRPr lang="en-US"/>
            </a:p>
          </c:txPr>
        </c:title>
        <c:numFmt formatCode="0"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2116129104"/>
        <c:crosses val="autoZero"/>
        <c:crossBetween val="midCat"/>
      </c:valAx>
      <c:valAx>
        <c:axId val="2116129104"/>
        <c:scaling>
          <c:orientation val="minMax"/>
          <c:min val="0"/>
        </c:scaling>
        <c:delete val="0"/>
        <c:axPos val="l"/>
        <c:title>
          <c:tx>
            <c:rich>
              <a:bodyPr rot="-54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r>
                  <a:rPr lang="en-US" sz="1050" b="1" i="0" u="none" strike="noStrike" kern="1200" baseline="0">
                    <a:solidFill>
                      <a:sysClr val="windowText" lastClr="000000">
                        <a:lumMod val="65000"/>
                        <a:lumOff val="35000"/>
                      </a:sysClr>
                    </a:solidFill>
                  </a:rPr>
                  <a:t>Total Nitrogen Removal Rate (mg/L-day)</a:t>
                </a:r>
              </a:p>
            </c:rich>
          </c:tx>
          <c:layout>
            <c:manualLayout>
              <c:xMode val="edge"/>
              <c:yMode val="edge"/>
              <c:x val="2.3907016439514643E-2"/>
              <c:y val="0.23424289895700209"/>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2116130544"/>
        <c:crosses val="autoZero"/>
        <c:crossBetween val="midCat"/>
      </c:valAx>
      <c:spPr>
        <a:noFill/>
        <a:ln>
          <a:noFill/>
        </a:ln>
        <a:effectLst/>
      </c:spPr>
    </c:plotArea>
    <c:legend>
      <c:legendPos val="r"/>
      <c:legendEntry>
        <c:idx val="1"/>
        <c:delete val="1"/>
      </c:legendEntry>
      <c:layout>
        <c:manualLayout>
          <c:xMode val="edge"/>
          <c:yMode val="edge"/>
          <c:x val="0.13934680186206741"/>
          <c:y val="3.9593931648596287E-2"/>
          <c:w val="0.13725603731909589"/>
          <c:h val="7.002679638867130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196652823677538"/>
          <c:y val="3.5104712041884818E-2"/>
          <c:w val="0.79935495316637917"/>
          <c:h val="0.81216391144824174"/>
        </c:manualLayout>
      </c:layout>
      <c:scatterChart>
        <c:scatterStyle val="lineMarker"/>
        <c:varyColors val="0"/>
        <c:ser>
          <c:idx val="0"/>
          <c:order val="0"/>
          <c:tx>
            <c:v>CBA</c:v>
          </c:tx>
          <c:spPr>
            <a:ln w="25400" cap="rnd">
              <a:noFill/>
              <a:round/>
            </a:ln>
            <a:effectLst/>
          </c:spPr>
          <c:marker>
            <c:symbol val="circle"/>
            <c:size val="5"/>
            <c:spPr>
              <a:solidFill>
                <a:schemeClr val="accent1"/>
              </a:solidFill>
              <a:ln w="9525">
                <a:solidFill>
                  <a:schemeClr val="lt1">
                    <a:shade val="50000"/>
                    <a:alpha val="96000"/>
                  </a:schemeClr>
                </a:solidFill>
              </a:ln>
              <a:effectLst/>
            </c:spPr>
          </c:marker>
          <c:trendline>
            <c:spPr>
              <a:ln w="19050" cap="rnd">
                <a:solidFill>
                  <a:schemeClr val="accent1"/>
                </a:solidFill>
                <a:prstDash val="sysDot"/>
              </a:ln>
              <a:effectLst/>
            </c:spPr>
            <c:trendlineType val="log"/>
            <c:dispRSqr val="1"/>
            <c:dispEq val="1"/>
            <c:trendlineLbl>
              <c:layout>
                <c:manualLayout>
                  <c:x val="9.3368085715536453E-2"/>
                  <c:y val="0.15181576452158141"/>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(Tables!$L$7,Tables!$L$9:$L$24)</c:f>
              <c:numCache>
                <c:formatCode>0</c:formatCode>
                <c:ptCount val="17"/>
                <c:pt idx="0">
                  <c:v>11.463033303860691</c:v>
                </c:pt>
                <c:pt idx="1">
                  <c:v>4.3185769243539243</c:v>
                </c:pt>
                <c:pt idx="2">
                  <c:v>9.5163532907919564</c:v>
                </c:pt>
                <c:pt idx="3">
                  <c:v>7.2751729743718849</c:v>
                </c:pt>
                <c:pt idx="4">
                  <c:v>14.563983122658572</c:v>
                </c:pt>
                <c:pt idx="5">
                  <c:v>12.779881990629313</c:v>
                </c:pt>
                <c:pt idx="6">
                  <c:v>6.8638739267581546</c:v>
                </c:pt>
                <c:pt idx="7">
                  <c:v>22.276381646484616</c:v>
                </c:pt>
                <c:pt idx="8">
                  <c:v>12.268034109123516</c:v>
                </c:pt>
                <c:pt idx="9">
                  <c:v>15.521534927625003</c:v>
                </c:pt>
                <c:pt idx="10">
                  <c:v>15.94673135133872</c:v>
                </c:pt>
                <c:pt idx="11">
                  <c:v>41.633698056524921</c:v>
                </c:pt>
                <c:pt idx="12">
                  <c:v>38.482042787905641</c:v>
                </c:pt>
                <c:pt idx="13">
                  <c:v>18.578838122852588</c:v>
                </c:pt>
                <c:pt idx="14">
                  <c:v>24.228024844964612</c:v>
                </c:pt>
                <c:pt idx="15">
                  <c:v>34.247540692474068</c:v>
                </c:pt>
                <c:pt idx="16">
                  <c:v>34.258393952384573</c:v>
                </c:pt>
              </c:numCache>
            </c:numRef>
          </c:xVal>
          <c:yVal>
            <c:numRef>
              <c:f>(Tables!$AA$7,Tables!$AA$9:$AA$24)</c:f>
              <c:numCache>
                <c:formatCode>0</c:formatCode>
                <c:ptCount val="17"/>
                <c:pt idx="0">
                  <c:v>8.8616234124233468</c:v>
                </c:pt>
                <c:pt idx="1">
                  <c:v>3.5270438114336242</c:v>
                </c:pt>
                <c:pt idx="2">
                  <c:v>6.7372405653436473</c:v>
                </c:pt>
                <c:pt idx="3">
                  <c:v>6.9070009791207676</c:v>
                </c:pt>
                <c:pt idx="4">
                  <c:v>13.334814724793901</c:v>
                </c:pt>
                <c:pt idx="5">
                  <c:v>8.9684887595339902</c:v>
                </c:pt>
                <c:pt idx="6">
                  <c:v>3.8392850485897498</c:v>
                </c:pt>
                <c:pt idx="7">
                  <c:v>13.031727432717187</c:v>
                </c:pt>
                <c:pt idx="8">
                  <c:v>8.2736551548035813</c:v>
                </c:pt>
                <c:pt idx="9">
                  <c:v>10.678165135981654</c:v>
                </c:pt>
                <c:pt idx="10">
                  <c:v>12.33198822148792</c:v>
                </c:pt>
                <c:pt idx="11">
                  <c:v>14.165941893201225</c:v>
                </c:pt>
                <c:pt idx="12">
                  <c:v>14.950336212944144</c:v>
                </c:pt>
                <c:pt idx="13">
                  <c:v>8.3338972964284519</c:v>
                </c:pt>
                <c:pt idx="14">
                  <c:v>18.254347854264939</c:v>
                </c:pt>
                <c:pt idx="15">
                  <c:v>30.193447937081974</c:v>
                </c:pt>
                <c:pt idx="16">
                  <c:v>30.006179565549857</c:v>
                </c:pt>
              </c:numCache>
            </c:numRef>
          </c:yVal>
          <c:smooth val="0"/>
          <c:extLst>
            <c:ext xmlns:c16="http://schemas.microsoft.com/office/drawing/2014/chart" uri="{C3380CC4-5D6E-409C-BE32-E72D297353CC}">
              <c16:uniqueId val="{00000001-CF76-4E94-9C0A-A6B84632A28B}"/>
            </c:ext>
          </c:extLst>
        </c:ser>
        <c:ser>
          <c:idx val="1"/>
          <c:order val="1"/>
          <c:tx>
            <c:v>PBA</c:v>
          </c:tx>
          <c:spPr>
            <a:ln w="25400" cap="rnd">
              <a:noFill/>
              <a:round/>
            </a:ln>
            <a:effectLst/>
          </c:spPr>
          <c:marker>
            <c:symbol val="circle"/>
            <c:size val="5"/>
            <c:spPr>
              <a:solidFill>
                <a:schemeClr val="accent2"/>
              </a:solidFill>
              <a:ln w="9525">
                <a:solidFill>
                  <a:schemeClr val="lt1">
                    <a:shade val="50000"/>
                    <a:alpha val="96000"/>
                  </a:schemeClr>
                </a:solidFill>
              </a:ln>
              <a:effectLst/>
            </c:spPr>
          </c:marker>
          <c:trendline>
            <c:spPr>
              <a:ln w="19050" cap="rnd">
                <a:solidFill>
                  <a:schemeClr val="accent2"/>
                </a:solidFill>
                <a:prstDash val="sysDot"/>
              </a:ln>
              <a:effectLst/>
            </c:spPr>
            <c:trendlineType val="log"/>
            <c:dispRSqr val="1"/>
            <c:dispEq val="1"/>
            <c:trendlineLbl>
              <c:layout>
                <c:manualLayout>
                  <c:x val="-0.21345394482748084"/>
                  <c:y val="-1.8250608071896771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(Tables!$N$7,Tables!$N$9:$N$24)</c:f>
              <c:numCache>
                <c:formatCode>0</c:formatCode>
                <c:ptCount val="17"/>
                <c:pt idx="0">
                  <c:v>11.463033303860691</c:v>
                </c:pt>
                <c:pt idx="1">
                  <c:v>4.3185769243539243</c:v>
                </c:pt>
                <c:pt idx="2">
                  <c:v>9.5163532907919564</c:v>
                </c:pt>
                <c:pt idx="3">
                  <c:v>7.2751729743718849</c:v>
                </c:pt>
                <c:pt idx="4">
                  <c:v>14.563983122658572</c:v>
                </c:pt>
                <c:pt idx="5">
                  <c:v>12.779881990629313</c:v>
                </c:pt>
                <c:pt idx="6">
                  <c:v>6.8638739267581546</c:v>
                </c:pt>
                <c:pt idx="7">
                  <c:v>22.276381646484616</c:v>
                </c:pt>
                <c:pt idx="8">
                  <c:v>12.268034109123516</c:v>
                </c:pt>
                <c:pt idx="9">
                  <c:v>15.521534927625003</c:v>
                </c:pt>
                <c:pt idx="10">
                  <c:v>15.94673135133872</c:v>
                </c:pt>
                <c:pt idx="11">
                  <c:v>41.633698056524921</c:v>
                </c:pt>
                <c:pt idx="12">
                  <c:v>38.482042787905641</c:v>
                </c:pt>
                <c:pt idx="13">
                  <c:v>18.578838122852588</c:v>
                </c:pt>
                <c:pt idx="14">
                  <c:v>24.228024844964612</c:v>
                </c:pt>
                <c:pt idx="15">
                  <c:v>34.247540692474068</c:v>
                </c:pt>
                <c:pt idx="16">
                  <c:v>34.258393952384573</c:v>
                </c:pt>
              </c:numCache>
            </c:numRef>
          </c:xVal>
          <c:yVal>
            <c:numRef>
              <c:f>(Tables!$AP$7,Tables!$AP$9:$AP$24)</c:f>
              <c:numCache>
                <c:formatCode>0</c:formatCode>
                <c:ptCount val="17"/>
                <c:pt idx="0">
                  <c:v>7.2205336533375286</c:v>
                </c:pt>
                <c:pt idx="1">
                  <c:v>3.8071759361296516</c:v>
                </c:pt>
                <c:pt idx="2">
                  <c:v>5.9348519977906236</c:v>
                </c:pt>
                <c:pt idx="3">
                  <c:v>4.3318675020045871</c:v>
                </c:pt>
                <c:pt idx="4">
                  <c:v>7.9813107879532037</c:v>
                </c:pt>
                <c:pt idx="5">
                  <c:v>7.2660257115595517</c:v>
                </c:pt>
                <c:pt idx="6">
                  <c:v>1.8323273744603112</c:v>
                </c:pt>
                <c:pt idx="7">
                  <c:v>6.3946504143075504</c:v>
                </c:pt>
                <c:pt idx="8">
                  <c:v>5.2037089182687373</c:v>
                </c:pt>
                <c:pt idx="9">
                  <c:v>4.7613490490007884</c:v>
                </c:pt>
                <c:pt idx="10">
                  <c:v>12.655793357240899</c:v>
                </c:pt>
                <c:pt idx="11">
                  <c:v>12.300491898027222</c:v>
                </c:pt>
                <c:pt idx="12">
                  <c:v>11.265355806959796</c:v>
                </c:pt>
                <c:pt idx="13">
                  <c:v>3.6978149576766848</c:v>
                </c:pt>
                <c:pt idx="14">
                  <c:v>21.542941201873326</c:v>
                </c:pt>
                <c:pt idx="15">
                  <c:v>29.038523299085835</c:v>
                </c:pt>
                <c:pt idx="16">
                  <c:v>21.268432992790068</c:v>
                </c:pt>
              </c:numCache>
            </c:numRef>
          </c:yVal>
          <c:smooth val="0"/>
          <c:extLst>
            <c:ext xmlns:c16="http://schemas.microsoft.com/office/drawing/2014/chart" uri="{C3380CC4-5D6E-409C-BE32-E72D297353CC}">
              <c16:uniqueId val="{00000003-CF76-4E94-9C0A-A6B84632A28B}"/>
            </c:ext>
          </c:extLst>
        </c:ser>
        <c:dLbls>
          <c:showLegendKey val="0"/>
          <c:showVal val="0"/>
          <c:showCatName val="0"/>
          <c:showSerName val="0"/>
          <c:showPercent val="0"/>
          <c:showBubbleSize val="0"/>
        </c:dLbls>
        <c:axId val="2116130544"/>
        <c:axId val="2116129104"/>
      </c:scatterChart>
      <c:valAx>
        <c:axId val="2116130544"/>
        <c:scaling>
          <c:orientation val="minMax"/>
        </c:scaling>
        <c:delete val="0"/>
        <c:axPos val="b"/>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100" b="1" i="0" u="none" strike="noStrike" kern="1200" baseline="0">
                    <a:solidFill>
                      <a:sysClr val="windowText" lastClr="000000">
                        <a:lumMod val="65000"/>
                        <a:lumOff val="35000"/>
                      </a:sysClr>
                    </a:solidFill>
                    <a:latin typeface="+mn-lt"/>
                    <a:ea typeface="+mn-ea"/>
                    <a:cs typeface="+mn-cs"/>
                  </a:defRPr>
                </a:pPr>
                <a:r>
                  <a:rPr lang="en-US" sz="1100" b="1"/>
                  <a:t>Total</a:t>
                </a:r>
                <a:r>
                  <a:rPr lang="en-US" sz="1100" b="1" baseline="0"/>
                  <a:t> Nitrogen Loading Rate</a:t>
                </a:r>
                <a:r>
                  <a:rPr lang="en-US" sz="1100" b="1" i="0" u="none" strike="noStrike" kern="1200" baseline="0">
                    <a:solidFill>
                      <a:sysClr val="windowText" lastClr="000000">
                        <a:lumMod val="65000"/>
                        <a:lumOff val="35000"/>
                      </a:sysClr>
                    </a:solidFill>
                  </a:rPr>
                  <a:t> (mg/L-day)</a:t>
                </a:r>
              </a:p>
            </c:rich>
          </c:tx>
          <c:layout>
            <c:manualLayout>
              <c:xMode val="edge"/>
              <c:yMode val="edge"/>
              <c:x val="0.35418314581412569"/>
              <c:y val="0.93081151832460729"/>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100" b="1" i="0" u="none" strike="noStrike" kern="1200" baseline="0">
                  <a:solidFill>
                    <a:sysClr val="windowText" lastClr="000000">
                      <a:lumMod val="65000"/>
                      <a:lumOff val="35000"/>
                    </a:sysClr>
                  </a:solidFill>
                  <a:latin typeface="+mn-lt"/>
                  <a:ea typeface="+mn-ea"/>
                  <a:cs typeface="+mn-cs"/>
                </a:defRPr>
              </a:pPr>
              <a:endParaRPr lang="en-US"/>
            </a:p>
          </c:txPr>
        </c:title>
        <c:numFmt formatCode="0"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2116129104"/>
        <c:crosses val="autoZero"/>
        <c:crossBetween val="midCat"/>
      </c:valAx>
      <c:valAx>
        <c:axId val="2116129104"/>
        <c:scaling>
          <c:orientation val="minMax"/>
          <c:min val="0"/>
        </c:scaling>
        <c:delete val="0"/>
        <c:axPos val="l"/>
        <c:title>
          <c:tx>
            <c:rich>
              <a:bodyPr rot="-54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r>
                  <a:rPr lang="en-US" sz="1050" b="1" i="0" u="none" strike="noStrike" kern="1200" baseline="0">
                    <a:solidFill>
                      <a:sysClr val="windowText" lastClr="000000">
                        <a:lumMod val="65000"/>
                        <a:lumOff val="35000"/>
                      </a:sysClr>
                    </a:solidFill>
                  </a:rPr>
                  <a:t>Total Nitrogen Removal Rate (mg/L-day)</a:t>
                </a:r>
              </a:p>
            </c:rich>
          </c:tx>
          <c:layout>
            <c:manualLayout>
              <c:xMode val="edge"/>
              <c:yMode val="edge"/>
              <c:x val="2.3907016439514643E-2"/>
              <c:y val="0.23424289895700209"/>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2116130544"/>
        <c:crosses val="autoZero"/>
        <c:crossBetween val="midCat"/>
      </c:valAx>
      <c:spPr>
        <a:noFill/>
        <a:ln>
          <a:noFill/>
        </a:ln>
        <a:effectLst/>
      </c:spPr>
    </c:plotArea>
    <c:legend>
      <c:legendPos val="r"/>
      <c:legendEntry>
        <c:idx val="2"/>
        <c:delete val="1"/>
      </c:legendEntry>
      <c:legendEntry>
        <c:idx val="3"/>
        <c:delete val="1"/>
      </c:legendEntry>
      <c:layout>
        <c:manualLayout>
          <c:xMode val="edge"/>
          <c:yMode val="edge"/>
          <c:x val="0.13934680186206741"/>
          <c:y val="3.9593931648596287E-2"/>
          <c:w val="0.13725603731909589"/>
          <c:h val="7.002679638867130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'Organized Data'!$Y$80</c:f>
              <c:strCache>
                <c:ptCount val="1"/>
                <c:pt idx="0">
                  <c:v>Concentration (mg/L)</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'Organized Data'!$X$81:$X$87</c:f>
              <c:numCache>
                <c:formatCode>General</c:formatCode>
                <c:ptCount val="7"/>
                <c:pt idx="0">
                  <c:v>0</c:v>
                </c:pt>
                <c:pt idx="1">
                  <c:v>30</c:v>
                </c:pt>
                <c:pt idx="2">
                  <c:v>60</c:v>
                </c:pt>
                <c:pt idx="3">
                  <c:v>90</c:v>
                </c:pt>
                <c:pt idx="4">
                  <c:v>120</c:v>
                </c:pt>
                <c:pt idx="5">
                  <c:v>150</c:v>
                </c:pt>
                <c:pt idx="6">
                  <c:v>180</c:v>
                </c:pt>
              </c:numCache>
            </c:numRef>
          </c:xVal>
          <c:yVal>
            <c:numRef>
              <c:f>'Organized Data'!$Y$81:$Y$87</c:f>
              <c:numCache>
                <c:formatCode>0.00</c:formatCode>
                <c:ptCount val="7"/>
                <c:pt idx="0">
                  <c:v>9.5510983763132766E-3</c:v>
                </c:pt>
                <c:pt idx="1">
                  <c:v>2.2285896211397645E-2</c:v>
                </c:pt>
                <c:pt idx="2">
                  <c:v>3.5020694046482018E-2</c:v>
                </c:pt>
                <c:pt idx="3">
                  <c:v>6.0490289716650741E-2</c:v>
                </c:pt>
                <c:pt idx="4">
                  <c:v>9.8694683221903848E-2</c:v>
                </c:pt>
                <c:pt idx="5">
                  <c:v>0.15597525223369632</c:v>
                </c:pt>
                <c:pt idx="6">
                  <c:v>0.18459732186733149</c:v>
                </c:pt>
              </c:numCache>
            </c:numRef>
          </c:yVal>
          <c:smooth val="1"/>
          <c:extLst>
            <c:ext xmlns:c16="http://schemas.microsoft.com/office/drawing/2014/chart" uri="{C3380CC4-5D6E-409C-BE32-E72D297353CC}">
              <c16:uniqueId val="{00000000-9FB8-4FB1-A436-3AA631BD720C}"/>
            </c:ext>
          </c:extLst>
        </c:ser>
        <c:dLbls>
          <c:showLegendKey val="0"/>
          <c:showVal val="0"/>
          <c:showCatName val="0"/>
          <c:showSerName val="0"/>
          <c:showPercent val="0"/>
          <c:showBubbleSize val="0"/>
        </c:dLbls>
        <c:axId val="2121599999"/>
        <c:axId val="2121597599"/>
      </c:scatterChart>
      <c:valAx>
        <c:axId val="21215999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597599"/>
        <c:crosses val="autoZero"/>
        <c:crossBetween val="midCat"/>
      </c:valAx>
      <c:valAx>
        <c:axId val="212159759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599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'NH4-N'!$Y$80</c:f>
              <c:strCache>
                <c:ptCount val="1"/>
                <c:pt idx="0">
                  <c:v>Concentration (mg/L)</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'NH4-N'!$X$81:$X$87</c:f>
              <c:numCache>
                <c:formatCode>General</c:formatCode>
                <c:ptCount val="7"/>
                <c:pt idx="0">
                  <c:v>0</c:v>
                </c:pt>
                <c:pt idx="1">
                  <c:v>30</c:v>
                </c:pt>
                <c:pt idx="2">
                  <c:v>60</c:v>
                </c:pt>
                <c:pt idx="3">
                  <c:v>90</c:v>
                </c:pt>
                <c:pt idx="4">
                  <c:v>120</c:v>
                </c:pt>
                <c:pt idx="5">
                  <c:v>150</c:v>
                </c:pt>
                <c:pt idx="6">
                  <c:v>180</c:v>
                </c:pt>
              </c:numCache>
            </c:numRef>
          </c:xVal>
          <c:yVal>
            <c:numRef>
              <c:f>'NH4-N'!$Y$81:$Y$87</c:f>
              <c:numCache>
                <c:formatCode>0.00</c:formatCode>
                <c:ptCount val="7"/>
                <c:pt idx="0">
                  <c:v>9.5510983763132766E-3</c:v>
                </c:pt>
                <c:pt idx="1">
                  <c:v>2.2285896211397645E-2</c:v>
                </c:pt>
                <c:pt idx="2">
                  <c:v>3.5020694046482018E-2</c:v>
                </c:pt>
                <c:pt idx="3">
                  <c:v>6.0490289716650741E-2</c:v>
                </c:pt>
                <c:pt idx="4">
                  <c:v>9.8694683221903848E-2</c:v>
                </c:pt>
                <c:pt idx="5">
                  <c:v>0.15597525223369632</c:v>
                </c:pt>
                <c:pt idx="6">
                  <c:v>0.18459732186733149</c:v>
                </c:pt>
              </c:numCache>
            </c:numRef>
          </c:yVal>
          <c:smooth val="1"/>
          <c:extLst>
            <c:ext xmlns:c16="http://schemas.microsoft.com/office/drawing/2014/chart" uri="{C3380CC4-5D6E-409C-BE32-E72D297353CC}">
              <c16:uniqueId val="{00000000-11E7-493E-93A7-6B6D8E428FFD}"/>
            </c:ext>
          </c:extLst>
        </c:ser>
        <c:dLbls>
          <c:showLegendKey val="0"/>
          <c:showVal val="0"/>
          <c:showCatName val="0"/>
          <c:showSerName val="0"/>
          <c:showPercent val="0"/>
          <c:showBubbleSize val="0"/>
        </c:dLbls>
        <c:axId val="2121599999"/>
        <c:axId val="2121597599"/>
      </c:scatterChart>
      <c:valAx>
        <c:axId val="21215999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597599"/>
        <c:crosses val="autoZero"/>
        <c:crossBetween val="midCat"/>
      </c:valAx>
      <c:valAx>
        <c:axId val="212159759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599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'NO2-N'!$Y$80</c:f>
              <c:strCache>
                <c:ptCount val="1"/>
                <c:pt idx="0">
                  <c:v>Concentration (mg/L)</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'NO2-N'!$X$81:$X$87</c:f>
              <c:numCache>
                <c:formatCode>General</c:formatCode>
                <c:ptCount val="7"/>
                <c:pt idx="0">
                  <c:v>0</c:v>
                </c:pt>
                <c:pt idx="1">
                  <c:v>30</c:v>
                </c:pt>
                <c:pt idx="2">
                  <c:v>60</c:v>
                </c:pt>
                <c:pt idx="3">
                  <c:v>90</c:v>
                </c:pt>
                <c:pt idx="4">
                  <c:v>120</c:v>
                </c:pt>
                <c:pt idx="5">
                  <c:v>150</c:v>
                </c:pt>
                <c:pt idx="6">
                  <c:v>180</c:v>
                </c:pt>
              </c:numCache>
            </c:numRef>
          </c:xVal>
          <c:yVal>
            <c:numRef>
              <c:f>'NO2-N'!$Y$81:$Y$87</c:f>
              <c:numCache>
                <c:formatCode>0.00</c:formatCode>
                <c:ptCount val="7"/>
                <c:pt idx="0">
                  <c:v>1.748769009964795E-2</c:v>
                </c:pt>
                <c:pt idx="1">
                  <c:v>1.3630420874015968E-2</c:v>
                </c:pt>
                <c:pt idx="2">
                  <c:v>2.5264123114866217E-2</c:v>
                </c:pt>
                <c:pt idx="3">
                  <c:v>7.9798185523720935E-2</c:v>
                </c:pt>
                <c:pt idx="4">
                  <c:v>0.23687792360078097</c:v>
                </c:pt>
                <c:pt idx="5">
                  <c:v>0.39602865378775193</c:v>
                </c:pt>
                <c:pt idx="6">
                  <c:v>0.5763386596081399</c:v>
                </c:pt>
              </c:numCache>
            </c:numRef>
          </c:yVal>
          <c:smooth val="1"/>
          <c:extLst>
            <c:ext xmlns:c16="http://schemas.microsoft.com/office/drawing/2014/chart" uri="{C3380CC4-5D6E-409C-BE32-E72D297353CC}">
              <c16:uniqueId val="{00000000-A143-4292-B6D3-BBD65E700D7F}"/>
            </c:ext>
          </c:extLst>
        </c:ser>
        <c:dLbls>
          <c:showLegendKey val="0"/>
          <c:showVal val="0"/>
          <c:showCatName val="0"/>
          <c:showSerName val="0"/>
          <c:showPercent val="0"/>
          <c:showBubbleSize val="0"/>
        </c:dLbls>
        <c:axId val="2121599999"/>
        <c:axId val="2121597599"/>
      </c:scatterChart>
      <c:valAx>
        <c:axId val="21215999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597599"/>
        <c:crosses val="autoZero"/>
        <c:crossBetween val="midCat"/>
      </c:valAx>
      <c:valAx>
        <c:axId val="212159759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599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'NO3-N'!$Y$80</c:f>
              <c:strCache>
                <c:ptCount val="1"/>
                <c:pt idx="0">
                  <c:v>Concentration (mg/L)</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'NO3-N'!$X$81:$X$87</c:f>
              <c:numCache>
                <c:formatCode>General</c:formatCode>
                <c:ptCount val="7"/>
                <c:pt idx="0">
                  <c:v>0</c:v>
                </c:pt>
                <c:pt idx="1">
                  <c:v>30</c:v>
                </c:pt>
                <c:pt idx="2">
                  <c:v>60</c:v>
                </c:pt>
                <c:pt idx="3">
                  <c:v>90</c:v>
                </c:pt>
                <c:pt idx="4">
                  <c:v>120</c:v>
                </c:pt>
                <c:pt idx="5">
                  <c:v>150</c:v>
                </c:pt>
                <c:pt idx="6">
                  <c:v>180</c:v>
                </c:pt>
              </c:numCache>
            </c:numRef>
          </c:xVal>
          <c:yVal>
            <c:numRef>
              <c:f>'NO3-N'!$Y$81:$Y$87</c:f>
              <c:numCache>
                <c:formatCode>0.00</c:formatCode>
                <c:ptCount val="7"/>
                <c:pt idx="0">
                  <c:v>0</c:v>
                </c:pt>
                <c:pt idx="1">
                  <c:v>1.693971880066791E-2</c:v>
                </c:pt>
                <c:pt idx="2">
                  <c:v>3.4345962442867882E-2</c:v>
                </c:pt>
                <c:pt idx="3">
                  <c:v>0.12027200348474214</c:v>
                </c:pt>
                <c:pt idx="4">
                  <c:v>0.50079601754994896</c:v>
                </c:pt>
                <c:pt idx="5">
                  <c:v>1.1333146712091138</c:v>
                </c:pt>
                <c:pt idx="6">
                  <c:v>1.3954327811557068</c:v>
                </c:pt>
              </c:numCache>
            </c:numRef>
          </c:yVal>
          <c:smooth val="1"/>
          <c:extLst>
            <c:ext xmlns:c16="http://schemas.microsoft.com/office/drawing/2014/chart" uri="{C3380CC4-5D6E-409C-BE32-E72D297353CC}">
              <c16:uniqueId val="{00000000-3131-4D1A-9E1F-4C7B8EC306AD}"/>
            </c:ext>
          </c:extLst>
        </c:ser>
        <c:dLbls>
          <c:showLegendKey val="0"/>
          <c:showVal val="0"/>
          <c:showCatName val="0"/>
          <c:showSerName val="0"/>
          <c:showPercent val="0"/>
          <c:showBubbleSize val="0"/>
        </c:dLbls>
        <c:axId val="2121599999"/>
        <c:axId val="2121597599"/>
      </c:scatterChart>
      <c:valAx>
        <c:axId val="21215999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597599"/>
        <c:crosses val="autoZero"/>
        <c:crossBetween val="midCat"/>
      </c:valAx>
      <c:valAx>
        <c:axId val="212159759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599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'PO4-P'!$Y$80</c:f>
              <c:strCache>
                <c:ptCount val="1"/>
                <c:pt idx="0">
                  <c:v>Concentration (mg/L)</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'PO4-P'!$X$81:$X$87</c:f>
              <c:numCache>
                <c:formatCode>General</c:formatCode>
                <c:ptCount val="7"/>
                <c:pt idx="0">
                  <c:v>0</c:v>
                </c:pt>
                <c:pt idx="1">
                  <c:v>30</c:v>
                </c:pt>
                <c:pt idx="2">
                  <c:v>60</c:v>
                </c:pt>
                <c:pt idx="3">
                  <c:v>90</c:v>
                </c:pt>
                <c:pt idx="4">
                  <c:v>120</c:v>
                </c:pt>
                <c:pt idx="5">
                  <c:v>150</c:v>
                </c:pt>
                <c:pt idx="6">
                  <c:v>180</c:v>
                </c:pt>
              </c:numCache>
            </c:numRef>
          </c:xVal>
          <c:yVal>
            <c:numRef>
              <c:f>'PO4-P'!$Y$81:$Y$87</c:f>
              <c:numCache>
                <c:formatCode>0.00</c:formatCode>
                <c:ptCount val="7"/>
                <c:pt idx="0">
                  <c:v>0.53340346482840206</c:v>
                </c:pt>
                <c:pt idx="1">
                  <c:v>0.45020500546473396</c:v>
                </c:pt>
                <c:pt idx="2">
                  <c:v>0.43882838241201866</c:v>
                </c:pt>
                <c:pt idx="3">
                  <c:v>0.44265280545279789</c:v>
                </c:pt>
                <c:pt idx="4">
                  <c:v>0.41597849023696548</c:v>
                </c:pt>
                <c:pt idx="5">
                  <c:v>0.44016762080536004</c:v>
                </c:pt>
                <c:pt idx="6">
                  <c:v>0.42941229391450425</c:v>
                </c:pt>
              </c:numCache>
            </c:numRef>
          </c:yVal>
          <c:smooth val="1"/>
          <c:extLst>
            <c:ext xmlns:c16="http://schemas.microsoft.com/office/drawing/2014/chart" uri="{C3380CC4-5D6E-409C-BE32-E72D297353CC}">
              <c16:uniqueId val="{00000000-8A48-487F-A794-BEC2FB8CC00C}"/>
            </c:ext>
          </c:extLst>
        </c:ser>
        <c:dLbls>
          <c:showLegendKey val="0"/>
          <c:showVal val="0"/>
          <c:showCatName val="0"/>
          <c:showSerName val="0"/>
          <c:showPercent val="0"/>
          <c:showBubbleSize val="0"/>
        </c:dLbls>
        <c:axId val="2121599999"/>
        <c:axId val="2121597599"/>
      </c:scatterChart>
      <c:valAx>
        <c:axId val="21215999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597599"/>
        <c:crosses val="autoZero"/>
        <c:crossBetween val="midCat"/>
      </c:valAx>
      <c:valAx>
        <c:axId val="212159759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599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'SO4'!$Y$80</c:f>
              <c:strCache>
                <c:ptCount val="1"/>
                <c:pt idx="0">
                  <c:v>Concentration (mg/L)</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'SO4'!$X$81:$X$87</c:f>
              <c:numCache>
                <c:formatCode>General</c:formatCode>
                <c:ptCount val="7"/>
                <c:pt idx="0">
                  <c:v>0</c:v>
                </c:pt>
                <c:pt idx="1">
                  <c:v>30</c:v>
                </c:pt>
                <c:pt idx="2">
                  <c:v>60</c:v>
                </c:pt>
                <c:pt idx="3">
                  <c:v>90</c:v>
                </c:pt>
                <c:pt idx="4">
                  <c:v>120</c:v>
                </c:pt>
                <c:pt idx="5">
                  <c:v>150</c:v>
                </c:pt>
                <c:pt idx="6">
                  <c:v>180</c:v>
                </c:pt>
              </c:numCache>
            </c:numRef>
          </c:xVal>
          <c:yVal>
            <c:numRef>
              <c:f>'SO4'!$Y$81:$Y$87</c:f>
              <c:numCache>
                <c:formatCode>0.00</c:formatCode>
                <c:ptCount val="7"/>
                <c:pt idx="0">
                  <c:v>52.665283822502914</c:v>
                </c:pt>
                <c:pt idx="1">
                  <c:v>40.777032527157594</c:v>
                </c:pt>
                <c:pt idx="2">
                  <c:v>40.406624074011823</c:v>
                </c:pt>
                <c:pt idx="3">
                  <c:v>45.051991776757006</c:v>
                </c:pt>
                <c:pt idx="4">
                  <c:v>65.955632321642426</c:v>
                </c:pt>
                <c:pt idx="5">
                  <c:v>82.303308873206106</c:v>
                </c:pt>
                <c:pt idx="6">
                  <c:v>91.286285652892943</c:v>
                </c:pt>
              </c:numCache>
            </c:numRef>
          </c:yVal>
          <c:smooth val="1"/>
          <c:extLst>
            <c:ext xmlns:c16="http://schemas.microsoft.com/office/drawing/2014/chart" uri="{C3380CC4-5D6E-409C-BE32-E72D297353CC}">
              <c16:uniqueId val="{00000000-9750-4A5F-A7D6-3025C3768743}"/>
            </c:ext>
          </c:extLst>
        </c:ser>
        <c:dLbls>
          <c:showLegendKey val="0"/>
          <c:showVal val="0"/>
          <c:showCatName val="0"/>
          <c:showSerName val="0"/>
          <c:showPercent val="0"/>
          <c:showBubbleSize val="0"/>
        </c:dLbls>
        <c:axId val="2121599999"/>
        <c:axId val="2121597599"/>
      </c:scatterChart>
      <c:valAx>
        <c:axId val="21215999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597599"/>
        <c:crosses val="autoZero"/>
        <c:crossBetween val="midCat"/>
      </c:valAx>
      <c:valAx>
        <c:axId val="212159759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599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TIN!$AB$80</c:f>
              <c:strCache>
                <c:ptCount val="1"/>
                <c:pt idx="0">
                  <c:v>Concentration (mg/L)</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TIN!$AA$81:$AA$87</c:f>
              <c:numCache>
                <c:formatCode>General</c:formatCode>
                <c:ptCount val="7"/>
                <c:pt idx="0">
                  <c:v>0</c:v>
                </c:pt>
                <c:pt idx="1">
                  <c:v>30</c:v>
                </c:pt>
                <c:pt idx="2">
                  <c:v>60</c:v>
                </c:pt>
                <c:pt idx="3">
                  <c:v>90</c:v>
                </c:pt>
                <c:pt idx="4">
                  <c:v>120</c:v>
                </c:pt>
                <c:pt idx="5">
                  <c:v>150</c:v>
                </c:pt>
                <c:pt idx="6">
                  <c:v>180</c:v>
                </c:pt>
              </c:numCache>
            </c:numRef>
          </c:xVal>
          <c:yVal>
            <c:numRef>
              <c:f>TIN!$AB$81:$AB$87</c:f>
              <c:numCache>
                <c:formatCode>0.00</c:formatCode>
                <c:ptCount val="7"/>
                <c:pt idx="0">
                  <c:v>2.7038788475961223E-2</c:v>
                </c:pt>
                <c:pt idx="1">
                  <c:v>5.285603588608153E-2</c:v>
                </c:pt>
                <c:pt idx="2">
                  <c:v>9.4630779604216106E-2</c:v>
                </c:pt>
                <c:pt idx="3">
                  <c:v>0.26056047872511379</c:v>
                </c:pt>
                <c:pt idx="4">
                  <c:v>0.83636862437263382</c:v>
                </c:pt>
                <c:pt idx="5">
                  <c:v>1.6853185772305619</c:v>
                </c:pt>
                <c:pt idx="6">
                  <c:v>2.1563687626311783</c:v>
                </c:pt>
              </c:numCache>
            </c:numRef>
          </c:yVal>
          <c:smooth val="1"/>
          <c:extLst>
            <c:ext xmlns:c16="http://schemas.microsoft.com/office/drawing/2014/chart" uri="{C3380CC4-5D6E-409C-BE32-E72D297353CC}">
              <c16:uniqueId val="{00000000-0E16-468B-BF70-9F6B683B9BC9}"/>
            </c:ext>
          </c:extLst>
        </c:ser>
        <c:dLbls>
          <c:showLegendKey val="0"/>
          <c:showVal val="0"/>
          <c:showCatName val="0"/>
          <c:showSerName val="0"/>
          <c:showPercent val="0"/>
          <c:showBubbleSize val="0"/>
        </c:dLbls>
        <c:axId val="2121599999"/>
        <c:axId val="2121597599"/>
      </c:scatterChart>
      <c:valAx>
        <c:axId val="21215999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597599"/>
        <c:crosses val="autoZero"/>
        <c:crossBetween val="midCat"/>
      </c:valAx>
      <c:valAx>
        <c:axId val="212159759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599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TIN!$J$95</c:f>
              <c:strCache>
                <c:ptCount val="1"/>
                <c:pt idx="0">
                  <c:v>NLR</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TIN!$I$96:$I$146</c:f>
              <c:numCache>
                <c:formatCode>General</c:formatCode>
                <c:ptCount val="51"/>
                <c:pt idx="3">
                  <c:v>4.3602065981322082E-2</c:v>
                </c:pt>
                <c:pt idx="5">
                  <c:v>1.735420134978263E-2</c:v>
                </c:pt>
                <c:pt idx="12">
                  <c:v>1.6574706122713743E-2</c:v>
                </c:pt>
                <c:pt idx="13">
                  <c:v>1.6992344314839442E-2</c:v>
                </c:pt>
                <c:pt idx="14">
                  <c:v>3.2805810200874315E-2</c:v>
                </c:pt>
                <c:pt idx="21">
                  <c:v>8.8255756410892065E-3</c:v>
                </c:pt>
                <c:pt idx="22">
                  <c:v>3.7781059342925812E-3</c:v>
                </c:pt>
                <c:pt idx="23">
                  <c:v>1.282406649272301E-2</c:v>
                </c:pt>
                <c:pt idx="30">
                  <c:v>1.380120998470092E-2</c:v>
                </c:pt>
                <c:pt idx="31">
                  <c:v>1.7812151526213071E-2</c:v>
                </c:pt>
                <c:pt idx="32">
                  <c:v>2.0570878987481046E-2</c:v>
                </c:pt>
                <c:pt idx="39">
                  <c:v>1.3940207214154787E-2</c:v>
                </c:pt>
                <c:pt idx="40">
                  <c:v>1.4712102188541928E-2</c:v>
                </c:pt>
                <c:pt idx="41">
                  <c:v>8.2010964106420878E-3</c:v>
                </c:pt>
                <c:pt idx="48">
                  <c:v>7.6124784982190274E-2</c:v>
                </c:pt>
                <c:pt idx="49">
                  <c:v>0.12591354949688371</c:v>
                </c:pt>
                <c:pt idx="50">
                  <c:v>0.1251325977679773</c:v>
                </c:pt>
              </c:numCache>
            </c:numRef>
          </c:xVal>
          <c:yVal>
            <c:numRef>
              <c:f>TIN!$J$96:$J$146</c:f>
              <c:numCache>
                <c:formatCode>General</c:formatCode>
                <c:ptCount val="51"/>
                <c:pt idx="3">
                  <c:v>5.6401847742742782E-2</c:v>
                </c:pt>
                <c:pt idx="5">
                  <c:v>2.1248801403263597E-2</c:v>
                </c:pt>
                <c:pt idx="12">
                  <c:v>2.3411774839414708E-2</c:v>
                </c:pt>
                <c:pt idx="13">
                  <c:v>1.7898107225442765E-2</c:v>
                </c:pt>
                <c:pt idx="14">
                  <c:v>3.582976411380611E-2</c:v>
                </c:pt>
                <c:pt idx="21">
                  <c:v>1.2576234214776823E-2</c:v>
                </c:pt>
                <c:pt idx="22">
                  <c:v>6.7544979043550422E-3</c:v>
                </c:pt>
                <c:pt idx="23">
                  <c:v>2.1921406883832331E-2</c:v>
                </c:pt>
                <c:pt idx="30">
                  <c:v>2.0464197706038727E-2</c:v>
                </c:pt>
                <c:pt idx="31">
                  <c:v>2.5891333251501437E-2</c:v>
                </c:pt>
                <c:pt idx="32">
                  <c:v>2.6600599593718983E-2</c:v>
                </c:pt>
                <c:pt idx="39">
                  <c:v>4.0970263917153187E-2</c:v>
                </c:pt>
                <c:pt idx="40">
                  <c:v>3.7868830363114579E-2</c:v>
                </c:pt>
                <c:pt idx="41">
                  <c:v>1.82827838193452E-2</c:v>
                </c:pt>
                <c:pt idx="48">
                  <c:v>0.10103637755731604</c:v>
                </c:pt>
                <c:pt idx="49">
                  <c:v>0.14282003894071085</c:v>
                </c:pt>
                <c:pt idx="50">
                  <c:v>0.14286529950458518</c:v>
                </c:pt>
              </c:numCache>
            </c:numRef>
          </c:yVal>
          <c:smooth val="0"/>
          <c:extLst>
            <c:ext xmlns:c16="http://schemas.microsoft.com/office/drawing/2014/chart" uri="{C3380CC4-5D6E-409C-BE32-E72D297353CC}">
              <c16:uniqueId val="{00000000-296A-4791-A8B1-1E98FB0C5F7A}"/>
            </c:ext>
          </c:extLst>
        </c:ser>
        <c:dLbls>
          <c:showLegendKey val="0"/>
          <c:showVal val="0"/>
          <c:showCatName val="0"/>
          <c:showSerName val="0"/>
          <c:showPercent val="0"/>
          <c:showBubbleSize val="0"/>
        </c:dLbls>
        <c:axId val="2116204464"/>
        <c:axId val="2116202064"/>
      </c:scatterChart>
      <c:valAx>
        <c:axId val="211620446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NRR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6202064"/>
        <c:crosses val="autoZero"/>
        <c:crossBetween val="midCat"/>
      </c:valAx>
      <c:valAx>
        <c:axId val="21162020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NLR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620446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DO!$Y$80</c:f>
              <c:strCache>
                <c:ptCount val="1"/>
                <c:pt idx="0">
                  <c:v>Concentration (mg/L)</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DO!$X$81:$X$87</c:f>
              <c:numCache>
                <c:formatCode>General</c:formatCode>
                <c:ptCount val="7"/>
                <c:pt idx="0">
                  <c:v>0</c:v>
                </c:pt>
                <c:pt idx="1">
                  <c:v>30</c:v>
                </c:pt>
                <c:pt idx="2">
                  <c:v>60</c:v>
                </c:pt>
                <c:pt idx="3">
                  <c:v>90</c:v>
                </c:pt>
                <c:pt idx="4">
                  <c:v>120</c:v>
                </c:pt>
                <c:pt idx="5">
                  <c:v>150</c:v>
                </c:pt>
                <c:pt idx="6">
                  <c:v>180</c:v>
                </c:pt>
              </c:numCache>
            </c:numRef>
          </c:xVal>
          <c:yVal>
            <c:numRef>
              <c:f>DO!$Y$81:$Y$87</c:f>
              <c:numCache>
                <c:formatCode>0.00</c:formatCode>
                <c:ptCount val="7"/>
                <c:pt idx="0">
                  <c:v>0</c:v>
                </c:pt>
                <c:pt idx="1">
                  <c:v>0</c:v>
                </c:pt>
                <c:pt idx="2">
                  <c:v>0</c:v>
                </c:pt>
                <c:pt idx="3">
                  <c:v>0</c:v>
                </c:pt>
                <c:pt idx="4">
                  <c:v>0</c:v>
                </c:pt>
                <c:pt idx="5">
                  <c:v>0</c:v>
                </c:pt>
                <c:pt idx="6">
                  <c:v>0</c:v>
                </c:pt>
              </c:numCache>
            </c:numRef>
          </c:yVal>
          <c:smooth val="1"/>
          <c:extLst>
            <c:ext xmlns:c16="http://schemas.microsoft.com/office/drawing/2014/chart" uri="{C3380CC4-5D6E-409C-BE32-E72D297353CC}">
              <c16:uniqueId val="{00000000-96C0-41CF-809C-FBFB7CCEE21A}"/>
            </c:ext>
          </c:extLst>
        </c:ser>
        <c:dLbls>
          <c:showLegendKey val="0"/>
          <c:showVal val="0"/>
          <c:showCatName val="0"/>
          <c:showSerName val="0"/>
          <c:showPercent val="0"/>
          <c:showBubbleSize val="0"/>
        </c:dLbls>
        <c:axId val="2121599999"/>
        <c:axId val="2121597599"/>
      </c:scatterChart>
      <c:valAx>
        <c:axId val="21215999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597599"/>
        <c:crosses val="autoZero"/>
        <c:crossBetween val="midCat"/>
      </c:valAx>
      <c:valAx>
        <c:axId val="212159759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599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pH!$Y$80</c:f>
              <c:strCache>
                <c:ptCount val="1"/>
                <c:pt idx="0">
                  <c:v>Concentration (mg/L)</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pH!$X$81:$X$87</c:f>
              <c:numCache>
                <c:formatCode>General</c:formatCode>
                <c:ptCount val="7"/>
                <c:pt idx="0">
                  <c:v>0</c:v>
                </c:pt>
                <c:pt idx="1">
                  <c:v>30</c:v>
                </c:pt>
                <c:pt idx="2">
                  <c:v>60</c:v>
                </c:pt>
                <c:pt idx="3">
                  <c:v>90</c:v>
                </c:pt>
                <c:pt idx="4">
                  <c:v>120</c:v>
                </c:pt>
                <c:pt idx="5">
                  <c:v>150</c:v>
                </c:pt>
                <c:pt idx="6">
                  <c:v>180</c:v>
                </c:pt>
              </c:numCache>
            </c:numRef>
          </c:xVal>
          <c:yVal>
            <c:numRef>
              <c:f>pH!$Y$81:$Y$87</c:f>
              <c:numCache>
                <c:formatCode>0.00</c:formatCode>
                <c:ptCount val="7"/>
                <c:pt idx="0">
                  <c:v>7.07</c:v>
                </c:pt>
                <c:pt idx="1">
                  <c:v>7.0366666666666662</c:v>
                </c:pt>
                <c:pt idx="2">
                  <c:v>7.0066666666666668</c:v>
                </c:pt>
                <c:pt idx="3">
                  <c:v>7.0166666666666666</c:v>
                </c:pt>
                <c:pt idx="4">
                  <c:v>7.0366666666666662</c:v>
                </c:pt>
                <c:pt idx="5">
                  <c:v>7.0533333333333337</c:v>
                </c:pt>
                <c:pt idx="6">
                  <c:v>7.1099999999999994</c:v>
                </c:pt>
              </c:numCache>
            </c:numRef>
          </c:yVal>
          <c:smooth val="1"/>
          <c:extLst>
            <c:ext xmlns:c16="http://schemas.microsoft.com/office/drawing/2014/chart" uri="{C3380CC4-5D6E-409C-BE32-E72D297353CC}">
              <c16:uniqueId val="{00000000-A422-45F4-903F-B1C346B01D80}"/>
            </c:ext>
          </c:extLst>
        </c:ser>
        <c:dLbls>
          <c:showLegendKey val="0"/>
          <c:showVal val="0"/>
          <c:showCatName val="0"/>
          <c:showSerName val="0"/>
          <c:showPercent val="0"/>
          <c:showBubbleSize val="0"/>
        </c:dLbls>
        <c:axId val="2121599999"/>
        <c:axId val="2121597599"/>
      </c:scatterChart>
      <c:valAx>
        <c:axId val="21215999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597599"/>
        <c:crosses val="autoZero"/>
        <c:crossBetween val="midCat"/>
      </c:valAx>
      <c:valAx>
        <c:axId val="212159759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599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Alkalinity!$Y$80</c:f>
              <c:strCache>
                <c:ptCount val="1"/>
                <c:pt idx="0">
                  <c:v>Concentration (mg/L)</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Alkalinity!$X$81:$X$87</c:f>
              <c:numCache>
                <c:formatCode>General</c:formatCode>
                <c:ptCount val="7"/>
                <c:pt idx="0">
                  <c:v>0</c:v>
                </c:pt>
                <c:pt idx="1">
                  <c:v>30</c:v>
                </c:pt>
                <c:pt idx="2">
                  <c:v>60</c:v>
                </c:pt>
                <c:pt idx="3">
                  <c:v>90</c:v>
                </c:pt>
                <c:pt idx="4">
                  <c:v>120</c:v>
                </c:pt>
                <c:pt idx="5">
                  <c:v>150</c:v>
                </c:pt>
                <c:pt idx="6">
                  <c:v>180</c:v>
                </c:pt>
              </c:numCache>
            </c:numRef>
          </c:xVal>
          <c:yVal>
            <c:numRef>
              <c:f>Alkalinity!$Y$81:$Y$87</c:f>
              <c:numCache>
                <c:formatCode>0.00</c:formatCode>
                <c:ptCount val="7"/>
                <c:pt idx="0">
                  <c:v>187.93202764976965</c:v>
                </c:pt>
                <c:pt idx="1">
                  <c:v>216.36786880689326</c:v>
                </c:pt>
                <c:pt idx="2">
                  <c:v>184.73279142165345</c:v>
                </c:pt>
                <c:pt idx="3">
                  <c:v>212.40398386557317</c:v>
                </c:pt>
                <c:pt idx="4">
                  <c:v>217.82949363084757</c:v>
                </c:pt>
                <c:pt idx="5">
                  <c:v>223.9672206659618</c:v>
                </c:pt>
                <c:pt idx="6">
                  <c:v>175.37841248867099</c:v>
                </c:pt>
              </c:numCache>
            </c:numRef>
          </c:yVal>
          <c:smooth val="1"/>
          <c:extLst>
            <c:ext xmlns:c16="http://schemas.microsoft.com/office/drawing/2014/chart" uri="{C3380CC4-5D6E-409C-BE32-E72D297353CC}">
              <c16:uniqueId val="{00000000-56A7-4962-AC56-C2A0995F5432}"/>
            </c:ext>
          </c:extLst>
        </c:ser>
        <c:dLbls>
          <c:showLegendKey val="0"/>
          <c:showVal val="0"/>
          <c:showCatName val="0"/>
          <c:showSerName val="0"/>
          <c:showPercent val="0"/>
          <c:showBubbleSize val="0"/>
        </c:dLbls>
        <c:axId val="2121599999"/>
        <c:axId val="2121597599"/>
      </c:scatterChart>
      <c:valAx>
        <c:axId val="21215999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597599"/>
        <c:crosses val="autoZero"/>
        <c:crossBetween val="midCat"/>
      </c:valAx>
      <c:valAx>
        <c:axId val="212159759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599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COD!$Y$80</c:f>
              <c:strCache>
                <c:ptCount val="1"/>
                <c:pt idx="0">
                  <c:v>Concentration (mg/L)</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COD!$X$81:$X$87</c:f>
              <c:numCache>
                <c:formatCode>General</c:formatCode>
                <c:ptCount val="7"/>
                <c:pt idx="0">
                  <c:v>0</c:v>
                </c:pt>
                <c:pt idx="1">
                  <c:v>30</c:v>
                </c:pt>
                <c:pt idx="2">
                  <c:v>60</c:v>
                </c:pt>
                <c:pt idx="3">
                  <c:v>90</c:v>
                </c:pt>
                <c:pt idx="4">
                  <c:v>120</c:v>
                </c:pt>
                <c:pt idx="5">
                  <c:v>150</c:v>
                </c:pt>
                <c:pt idx="6">
                  <c:v>180</c:v>
                </c:pt>
              </c:numCache>
            </c:numRef>
          </c:xVal>
          <c:yVal>
            <c:numRef>
              <c:f>COD!$Y$81:$Y$87</c:f>
              <c:numCache>
                <c:formatCode>0.00</c:formatCode>
                <c:ptCount val="7"/>
                <c:pt idx="0">
                  <c:v>32.066666666666649</c:v>
                </c:pt>
                <c:pt idx="1">
                  <c:v>36.399999999999984</c:v>
                </c:pt>
                <c:pt idx="2">
                  <c:v>30.733333333333317</c:v>
                </c:pt>
                <c:pt idx="3">
                  <c:v>30.733333333333317</c:v>
                </c:pt>
                <c:pt idx="4">
                  <c:v>33.177777777777763</c:v>
                </c:pt>
                <c:pt idx="5">
                  <c:v>29.844444444444424</c:v>
                </c:pt>
                <c:pt idx="6">
                  <c:v>31.288888888888874</c:v>
                </c:pt>
              </c:numCache>
            </c:numRef>
          </c:yVal>
          <c:smooth val="1"/>
          <c:extLst>
            <c:ext xmlns:c16="http://schemas.microsoft.com/office/drawing/2014/chart" uri="{C3380CC4-5D6E-409C-BE32-E72D297353CC}">
              <c16:uniqueId val="{00000000-CFEA-452B-920E-89FA96279211}"/>
            </c:ext>
          </c:extLst>
        </c:ser>
        <c:dLbls>
          <c:showLegendKey val="0"/>
          <c:showVal val="0"/>
          <c:showCatName val="0"/>
          <c:showSerName val="0"/>
          <c:showPercent val="0"/>
          <c:showBubbleSize val="0"/>
        </c:dLbls>
        <c:axId val="2121599999"/>
        <c:axId val="2121597599"/>
      </c:scatterChart>
      <c:valAx>
        <c:axId val="21215999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597599"/>
        <c:crosses val="autoZero"/>
        <c:crossBetween val="midCat"/>
      </c:valAx>
      <c:valAx>
        <c:axId val="212159759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599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TP!$AB$80</c:f>
              <c:strCache>
                <c:ptCount val="1"/>
                <c:pt idx="0">
                  <c:v>Concentration (mg/L)</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TP!$AA$81:$AA$87</c:f>
              <c:numCache>
                <c:formatCode>General</c:formatCode>
                <c:ptCount val="7"/>
                <c:pt idx="0">
                  <c:v>0</c:v>
                </c:pt>
                <c:pt idx="1">
                  <c:v>30</c:v>
                </c:pt>
                <c:pt idx="2">
                  <c:v>60</c:v>
                </c:pt>
                <c:pt idx="3">
                  <c:v>90</c:v>
                </c:pt>
                <c:pt idx="4">
                  <c:v>120</c:v>
                </c:pt>
                <c:pt idx="5">
                  <c:v>150</c:v>
                </c:pt>
                <c:pt idx="6">
                  <c:v>180</c:v>
                </c:pt>
              </c:numCache>
            </c:numRef>
          </c:xVal>
          <c:yVal>
            <c:numRef>
              <c:f>TP!$AB$81:$AB$87</c:f>
              <c:numCache>
                <c:formatCode>0.00</c:formatCode>
                <c:ptCount val="7"/>
                <c:pt idx="0">
                  <c:v>0.49450549450549453</c:v>
                </c:pt>
                <c:pt idx="1">
                  <c:v>0.42429792429792429</c:v>
                </c:pt>
                <c:pt idx="2">
                  <c:v>0.45889295889295889</c:v>
                </c:pt>
                <c:pt idx="3">
                  <c:v>0.50569800569800571</c:v>
                </c:pt>
                <c:pt idx="4">
                  <c:v>0.47313797313797307</c:v>
                </c:pt>
                <c:pt idx="5">
                  <c:v>0.52197802197802201</c:v>
                </c:pt>
                <c:pt idx="6">
                  <c:v>0.53825803825803831</c:v>
                </c:pt>
              </c:numCache>
            </c:numRef>
          </c:yVal>
          <c:smooth val="1"/>
          <c:extLst>
            <c:ext xmlns:c16="http://schemas.microsoft.com/office/drawing/2014/chart" uri="{C3380CC4-5D6E-409C-BE32-E72D297353CC}">
              <c16:uniqueId val="{00000000-91C0-4BF2-B16C-868D30B62844}"/>
            </c:ext>
          </c:extLst>
        </c:ser>
        <c:dLbls>
          <c:showLegendKey val="0"/>
          <c:showVal val="0"/>
          <c:showCatName val="0"/>
          <c:showSerName val="0"/>
          <c:showPercent val="0"/>
          <c:showBubbleSize val="0"/>
        </c:dLbls>
        <c:axId val="2121599999"/>
        <c:axId val="2121597599"/>
      </c:scatterChart>
      <c:valAx>
        <c:axId val="21215999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597599"/>
        <c:crosses val="autoZero"/>
        <c:crossBetween val="midCat"/>
      </c:valAx>
      <c:valAx>
        <c:axId val="212159759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599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_xlchart.v1.1</cx:f>
      </cx:strDim>
      <cx:numDim type="val">
        <cx:f>_xlchart.v1.2</cx:f>
      </cx:numDim>
    </cx:data>
  </cx:chartData>
  <cx:chart>
    <cx:plotArea>
      <cx:plotAreaRegion>
        <cx:plotSurface>
          <cx:spPr>
            <a:ln w="12700">
              <a:solidFill>
                <a:schemeClr val="tx1"/>
              </a:solidFill>
            </a:ln>
          </cx:spPr>
        </cx:plotSurface>
        <cx:series layoutId="boxWhisker" uniqueId="{7A3AB037-6007-476D-84CF-72E83D2309E0}" formatIdx="0">
          <cx:tx>
            <cx:txData>
              <cx:f>_xlchart.v1.0</cx:f>
              <cx:v>High HLR, Lower Outlet Height, No Plants</cx:v>
            </cx:txData>
          </cx:tx>
          <cx:spPr>
            <a:noFill/>
            <a:ln w="19050">
              <a:solidFill>
                <a:schemeClr val="accent6">
                  <a:lumMod val="75000"/>
                </a:schemeClr>
              </a:solidFill>
            </a:ln>
          </cx:spPr>
          <cx:dataId val="0"/>
          <cx:layoutPr>
            <cx:visibility meanLine="0" meanMarker="1" nonoutliers="1" outliers="1"/>
            <cx:statistics quartileMethod="inclusive"/>
          </cx:layoutPr>
        </cx:series>
      </cx:plotAreaRegion>
      <cx:axis id="0">
        <cx:catScaling gapWidth="1"/>
        <cx:tickLabels/>
        <cx:numFmt formatCode="General" sourceLinked="0"/>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axis id="1">
        <cx:valScaling max="5"/>
        <cx:tickLabels/>
        <cx:txPr>
          <a:bodyPr spcFirstLastPara="1" vertOverflow="ellipsis" horzOverflow="overflow" wrap="square" lIns="0" tIns="0" rIns="0" bIns="0" anchor="ctr" anchorCtr="1"/>
          <a:lstStyle/>
          <a:p>
            <a:pPr algn="ctr" rtl="0">
              <a:defRPr sz="1100" b="0">
                <a:solidFill>
                  <a:schemeClr val="bg1"/>
                </a:solidFill>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chemeClr val="bg1"/>
              </a:solidFill>
              <a:latin typeface="Arial" panose="020B0604020202020204" pitchFamily="34" charset="0"/>
              <a:cs typeface="Arial" panose="020B0604020202020204" pitchFamily="34" charset="0"/>
            </a:endParaRPr>
          </a:p>
        </cx:txPr>
      </cx:axis>
    </cx:plotArea>
    <cx:legend pos="t" align="ctr" overlay="0">
      <cx:txPr>
        <a:bodyPr spcFirstLastPara="1" vertOverflow="ellipsis" horzOverflow="overflow" wrap="square" lIns="0" tIns="0" rIns="0" bIns="0" anchor="ctr" anchorCtr="1"/>
        <a:lstStyle/>
        <a:p>
          <a:pPr algn="ctr" rtl="0">
            <a:defRPr sz="110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_xlchart.v1.5</cx:f>
      </cx:numDim>
    </cx:data>
  </cx:chartData>
  <cx:chart>
    <cx:plotArea>
      <cx:plotAreaRegion>
        <cx:plotSurface>
          <cx:spPr>
            <a:ln w="12700">
              <a:solidFill>
                <a:schemeClr val="tx1"/>
              </a:solidFill>
            </a:ln>
          </cx:spPr>
        </cx:plotSurface>
        <cx:series layoutId="boxWhisker" uniqueId="{00000001-9A42-48F6-866E-743DBEC5BA3A}" formatIdx="1">
          <cx:tx>
            <cx:txData>
              <cx:f>_xlchart.v1.3</cx:f>
              <cx:v>Medium HLR, Lower Outlet Height, No Plants</cx:v>
            </cx:txData>
          </cx:tx>
          <cx:spPr>
            <a:noFill/>
            <a:ln w="19050">
              <a:solidFill>
                <a:srgbClr val="C00000"/>
              </a:solidFill>
            </a:ln>
          </cx:spPr>
          <cx:dataId val="0"/>
          <cx:layoutPr>
            <cx:visibility meanLine="0" meanMarker="1" nonoutliers="1" outliers="1"/>
            <cx:statistics quartileMethod="inclusive"/>
          </cx:layoutPr>
        </cx:series>
      </cx:plotAreaRegion>
      <cx:axis id="0">
        <cx:catScaling gapWidth="1"/>
        <cx:tickLabels/>
        <cx:numFmt formatCode="General" sourceLinked="0"/>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axis id="1">
        <cx:valScaling max="5"/>
        <cx:tickLabels/>
        <cx:txPr>
          <a:bodyPr spcFirstLastPara="1" vertOverflow="ellipsis" horzOverflow="overflow" wrap="square" lIns="0" tIns="0" rIns="0" bIns="0" anchor="ctr" anchorCtr="1"/>
          <a:lstStyle/>
          <a:p>
            <a:pPr algn="ctr" rtl="0">
              <a:defRPr sz="1100" b="0">
                <a:solidFill>
                  <a:schemeClr val="bg1"/>
                </a:solidFill>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chemeClr val="bg1"/>
              </a:solidFill>
              <a:latin typeface="Arial" panose="020B0604020202020204" pitchFamily="34" charset="0"/>
              <a:cs typeface="Arial" panose="020B0604020202020204" pitchFamily="34" charset="0"/>
            </a:endParaRPr>
          </a:p>
        </cx:txPr>
      </cx:axis>
    </cx:plotArea>
    <cx:legend pos="t" align="ctr" overlay="0">
      <cx:txPr>
        <a:bodyPr spcFirstLastPara="1" vertOverflow="ellipsis" horzOverflow="overflow" wrap="square" lIns="0" tIns="0" rIns="0" bIns="0" anchor="ctr" anchorCtr="1"/>
        <a:lstStyle/>
        <a:p>
          <a:pPr algn="ctr" rtl="0">
            <a:defRPr sz="110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val">
        <cx:f>_xlchart.v1.7</cx:f>
      </cx:numDim>
    </cx:data>
  </cx:chartData>
  <cx:chart>
    <cx:plotArea>
      <cx:plotAreaRegion>
        <cx:plotSurface>
          <cx:spPr>
            <a:ln w="12700">
              <a:solidFill>
                <a:schemeClr val="tx1"/>
              </a:solidFill>
            </a:ln>
          </cx:spPr>
        </cx:plotSurface>
        <cx:series layoutId="boxWhisker" uniqueId="{7A3AB037-6007-476D-84CF-72E83D2309E0}" formatIdx="0">
          <cx:tx>
            <cx:txData>
              <cx:f>_xlchart.v1.8</cx:f>
              <cx:v>Low HLR, Lower Outlet Height, No Plants</cx:v>
            </cx:txData>
          </cx:tx>
          <cx:spPr>
            <a:noFill/>
            <a:ln w="19050">
              <a:solidFill>
                <a:schemeClr val="accent5">
                  <a:lumMod val="50000"/>
                </a:schemeClr>
              </a:solidFill>
            </a:ln>
          </cx:spPr>
          <cx:dataId val="0"/>
          <cx:layoutPr>
            <cx:visibility meanLine="0" meanMarker="1" nonoutliers="1" outliers="1"/>
            <cx:statistics quartileMethod="inclusive"/>
          </cx:layoutPr>
        </cx:series>
      </cx:plotAreaRegion>
      <cx:axis id="0">
        <cx:catScaling gapWidth="1"/>
        <cx:tickLabels/>
        <cx:numFmt formatCode="General" sourceLinked="0"/>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axis id="1">
        <cx:valScaling max="5"/>
        <cx:title>
          <cx:tx>
            <cx:txData>
              <cx:v>TIN Concentrations (mg N/L)</cx:v>
            </cx:txData>
          </cx:tx>
          <cx:txPr>
            <a:bodyPr spcFirstLastPara="1" vertOverflow="ellipsis" horzOverflow="overflow" wrap="square" lIns="0" tIns="0" rIns="0" bIns="0" anchor="ctr" anchorCtr="1"/>
            <a:lstStyle/>
            <a:p>
              <a:pPr algn="ctr" rtl="0">
                <a:defRPr sz="1100" b="1">
                  <a:latin typeface="Arial" panose="020B0604020202020204" pitchFamily="34" charset="0"/>
                  <a:ea typeface="Arial" panose="020B0604020202020204" pitchFamily="34" charset="0"/>
                  <a:cs typeface="Arial" panose="020B0604020202020204" pitchFamily="34" charset="0"/>
                </a:defRPr>
              </a:pPr>
              <a:r>
                <a:rPr lang="en-US" sz="1100" b="1" i="0" u="none" strike="noStrike" baseline="0">
                  <a:solidFill>
                    <a:sysClr val="windowText" lastClr="000000">
                      <a:lumMod val="65000"/>
                      <a:lumOff val="35000"/>
                    </a:sysClr>
                  </a:solidFill>
                  <a:latin typeface="Arial" panose="020B0604020202020204" pitchFamily="34" charset="0"/>
                  <a:cs typeface="Arial" panose="020B0604020202020204" pitchFamily="34" charset="0"/>
                </a:rPr>
                <a:t>TIN Concentrations (mg N/L)</a:t>
              </a:r>
            </a:p>
          </cx:txPr>
        </cx:title>
        <cx:tickLabels/>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plotArea>
    <cx:legend pos="t" align="ctr" overlay="0">
      <cx:txPr>
        <a:bodyPr spcFirstLastPara="1" vertOverflow="ellipsis" horzOverflow="overflow" wrap="square" lIns="0" tIns="0" rIns="0" bIns="0" anchor="ctr" anchorCtr="1"/>
        <a:lstStyle/>
        <a:p>
          <a:pPr algn="ctr" rtl="0">
            <a:defRPr sz="110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_xlchart.v1.10</cx:f>
      </cx:strDim>
      <cx:numDim type="val">
        <cx:f>_xlchart.v1.11</cx:f>
      </cx:numDim>
    </cx:data>
  </cx:chartData>
  <cx:chart>
    <cx:plotArea>
      <cx:plotAreaRegion>
        <cx:plotSurface>
          <cx:spPr>
            <a:ln w="12700">
              <a:solidFill>
                <a:schemeClr val="tx1"/>
              </a:solidFill>
            </a:ln>
          </cx:spPr>
        </cx:plotSurface>
        <cx:series layoutId="boxWhisker" uniqueId="{7A3AB037-6007-476D-84CF-72E83D2309E0}" formatIdx="0">
          <cx:tx>
            <cx:txData>
              <cx:f>_xlchart.v1.9</cx:f>
              <cx:v>High HLR, Lower Outlet Height, Yes Plants</cx:v>
            </cx:txData>
          </cx:tx>
          <cx:spPr>
            <a:noFill/>
            <a:ln w="19050">
              <a:solidFill>
                <a:schemeClr val="accent6">
                  <a:lumMod val="75000"/>
                </a:schemeClr>
              </a:solidFill>
            </a:ln>
          </cx:spPr>
          <cx:dataId val="0"/>
          <cx:layoutPr>
            <cx:visibility meanLine="0" meanMarker="1" nonoutliers="1" outliers="1"/>
            <cx:statistics quartileMethod="inclusive"/>
          </cx:layoutPr>
        </cx:series>
      </cx:plotAreaRegion>
      <cx:axis id="0">
        <cx:catScaling gapWidth="1"/>
        <cx:tickLabels/>
        <cx:numFmt formatCode="General" sourceLinked="0"/>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axis id="1">
        <cx:valScaling max="5"/>
        <cx:tickLabels/>
        <cx:txPr>
          <a:bodyPr spcFirstLastPara="1" vertOverflow="ellipsis" horzOverflow="overflow" wrap="square" lIns="0" tIns="0" rIns="0" bIns="0" anchor="ctr" anchorCtr="1"/>
          <a:lstStyle/>
          <a:p>
            <a:pPr algn="ctr" rtl="0">
              <a:defRPr sz="1100" b="0">
                <a:solidFill>
                  <a:schemeClr val="bg1"/>
                </a:solidFill>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chemeClr val="bg1"/>
              </a:solidFill>
              <a:latin typeface="Arial" panose="020B0604020202020204" pitchFamily="34" charset="0"/>
              <a:cs typeface="Arial" panose="020B0604020202020204" pitchFamily="34" charset="0"/>
            </a:endParaRPr>
          </a:p>
        </cx:txPr>
      </cx:axis>
    </cx:plotArea>
    <cx:legend pos="t" align="ctr" overlay="0">
      <cx:txPr>
        <a:bodyPr spcFirstLastPara="1" vertOverflow="ellipsis" horzOverflow="overflow" wrap="square" lIns="0" tIns="0" rIns="0" bIns="0" anchor="ctr" anchorCtr="1"/>
        <a:lstStyle/>
        <a:p>
          <a:pPr algn="ctr" rtl="0">
            <a:defRPr sz="110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_xlchart.v1.22</cx:f>
      </cx:strDim>
      <cx:numDim type="val">
        <cx:f>_xlchart.v1.23</cx:f>
      </cx:numDim>
    </cx:data>
  </cx:chartData>
  <cx:chart>
    <cx:plotArea>
      <cx:plotAreaRegion>
        <cx:plotSurface>
          <cx:spPr>
            <a:ln w="12700">
              <a:solidFill>
                <a:schemeClr val="tx1"/>
              </a:solidFill>
            </a:ln>
          </cx:spPr>
        </cx:plotSurface>
        <cx:series layoutId="boxWhisker" uniqueId="{00000001-9A42-48F6-866E-743DBEC5BA3A}" formatIdx="1">
          <cx:tx>
            <cx:txData>
              <cx:f>_xlchart.v1.21</cx:f>
              <cx:v>High HLR, Upper Outlet Height, No Plants</cx:v>
            </cx:txData>
          </cx:tx>
          <cx:spPr>
            <a:noFill/>
            <a:ln w="19050">
              <a:solidFill>
                <a:srgbClr val="C00000"/>
              </a:solidFill>
            </a:ln>
          </cx:spPr>
          <cx:dataId val="0"/>
          <cx:layoutPr>
            <cx:visibility meanLine="0" meanMarker="1" nonoutliers="1" outliers="1"/>
            <cx:statistics quartileMethod="inclusive"/>
          </cx:layoutPr>
        </cx:series>
      </cx:plotAreaRegion>
      <cx:axis id="0">
        <cx:catScaling gapWidth="1"/>
        <cx:tickLabels/>
        <cx:numFmt formatCode="General" sourceLinked="0"/>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axis id="1">
        <cx:valScaling max="5"/>
        <cx:tickLabels/>
        <cx:txPr>
          <a:bodyPr spcFirstLastPara="1" vertOverflow="ellipsis" horzOverflow="overflow" wrap="square" lIns="0" tIns="0" rIns="0" bIns="0" anchor="ctr" anchorCtr="1"/>
          <a:lstStyle/>
          <a:p>
            <a:pPr algn="ctr" rtl="0">
              <a:defRPr sz="1100" b="0">
                <a:solidFill>
                  <a:schemeClr val="bg1"/>
                </a:solidFill>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chemeClr val="bg1"/>
              </a:solidFill>
              <a:latin typeface="Arial" panose="020B0604020202020204" pitchFamily="34" charset="0"/>
              <a:cs typeface="Arial" panose="020B0604020202020204" pitchFamily="34" charset="0"/>
            </a:endParaRPr>
          </a:p>
        </cx:txPr>
      </cx:axis>
    </cx:plotArea>
    <cx:legend pos="t" align="ctr" overlay="0">
      <cx:txPr>
        <a:bodyPr spcFirstLastPara="1" vertOverflow="ellipsis" horzOverflow="overflow" wrap="square" lIns="0" tIns="0" rIns="0" bIns="0" anchor="ctr" anchorCtr="1"/>
        <a:lstStyle/>
        <a:p>
          <a:pPr algn="ctr" rtl="0">
            <a:defRPr sz="110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strDim type="cat">
        <cx:f>_xlchart.v1.34</cx:f>
      </cx:strDim>
      <cx:numDim type="val">
        <cx:f>_xlchart.v1.35</cx:f>
      </cx:numDim>
    </cx:data>
  </cx:chartData>
  <cx:chart>
    <cx:plotArea>
      <cx:plotAreaRegion>
        <cx:plotSurface>
          <cx:spPr>
            <a:ln w="12700">
              <a:solidFill>
                <a:schemeClr val="tx1"/>
              </a:solidFill>
            </a:ln>
          </cx:spPr>
        </cx:plotSurface>
        <cx:series layoutId="boxWhisker" uniqueId="{7A3AB037-6007-476D-84CF-72E83D2309E0}" formatIdx="0">
          <cx:tx>
            <cx:txData>
              <cx:f>_xlchart.v1.33</cx:f>
              <cx:v>High HLR, Lower Outlet Height, No Plants</cx:v>
            </cx:txData>
          </cx:tx>
          <cx:spPr>
            <a:noFill/>
            <a:ln w="19050">
              <a:solidFill>
                <a:schemeClr val="accent5">
                  <a:lumMod val="50000"/>
                </a:schemeClr>
              </a:solidFill>
            </a:ln>
          </cx:spPr>
          <cx:dataId val="0"/>
          <cx:layoutPr>
            <cx:visibility meanLine="0" meanMarker="1" nonoutliers="1" outliers="1"/>
            <cx:statistics quartileMethod="inclusive"/>
          </cx:layoutPr>
        </cx:series>
      </cx:plotAreaRegion>
      <cx:axis id="0">
        <cx:catScaling gapWidth="1"/>
        <cx:tickLabels/>
        <cx:numFmt formatCode="General" sourceLinked="0"/>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axis id="1">
        <cx:valScaling max="5"/>
        <cx:title>
          <cx:tx>
            <cx:txData>
              <cx:v>TIN Concentrations (mg N/L)</cx:v>
            </cx:txData>
          </cx:tx>
          <cx:txPr>
            <a:bodyPr spcFirstLastPara="1" vertOverflow="ellipsis" horzOverflow="overflow" wrap="square" lIns="0" tIns="0" rIns="0" bIns="0" anchor="ctr" anchorCtr="1"/>
            <a:lstStyle/>
            <a:p>
              <a:pPr algn="ctr" rtl="0">
                <a:defRPr sz="1100" b="1">
                  <a:latin typeface="Arial" panose="020B0604020202020204" pitchFamily="34" charset="0"/>
                  <a:ea typeface="Arial" panose="020B0604020202020204" pitchFamily="34" charset="0"/>
                  <a:cs typeface="Arial" panose="020B0604020202020204" pitchFamily="34" charset="0"/>
                </a:defRPr>
              </a:pPr>
              <a:r>
                <a:rPr lang="en-US" sz="1100" b="1" i="0" u="none" strike="noStrike" baseline="0">
                  <a:solidFill>
                    <a:sysClr val="windowText" lastClr="000000">
                      <a:lumMod val="65000"/>
                      <a:lumOff val="35000"/>
                    </a:sysClr>
                  </a:solidFill>
                  <a:latin typeface="Arial" panose="020B0604020202020204" pitchFamily="34" charset="0"/>
                  <a:cs typeface="Arial" panose="020B0604020202020204" pitchFamily="34" charset="0"/>
                </a:rPr>
                <a:t>TIN Concentrations (mg N/L)</a:t>
              </a:r>
            </a:p>
          </cx:txPr>
        </cx:title>
        <cx:tickLabels/>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plotArea>
    <cx:legend pos="t" align="ctr" overlay="0">
      <cx:txPr>
        <a:bodyPr spcFirstLastPara="1" vertOverflow="ellipsis" horzOverflow="overflow" wrap="square" lIns="0" tIns="0" rIns="0" bIns="0" anchor="ctr" anchorCtr="1"/>
        <a:lstStyle/>
        <a:p>
          <a:pPr algn="ctr" rtl="0">
            <a:defRPr sz="110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strDim type="cat">
        <cx:f>_xlchart.v1.16</cx:f>
      </cx:strDim>
      <cx:numDim type="val">
        <cx:f>_xlchart.v1.17</cx:f>
      </cx:numDim>
    </cx:data>
  </cx:chartData>
  <cx:chart>
    <cx:plotArea>
      <cx:plotAreaRegion>
        <cx:plotSurface>
          <cx:spPr>
            <a:ln w="12700">
              <a:solidFill>
                <a:schemeClr val="tx1"/>
              </a:solidFill>
            </a:ln>
          </cx:spPr>
        </cx:plotSurface>
        <cx:series layoutId="boxWhisker" uniqueId="{7A3AB037-6007-476D-84CF-72E83D2309E0}" formatIdx="0">
          <cx:tx>
            <cx:txData>
              <cx:f>_xlchart.v1.15</cx:f>
              <cx:v>Medium HLR, Upper Outlet Height, Yes Plants</cx:v>
            </cx:txData>
          </cx:tx>
          <cx:spPr>
            <a:noFill/>
            <a:ln w="19050">
              <a:solidFill>
                <a:srgbClr val="F76015"/>
              </a:solidFill>
            </a:ln>
          </cx:spPr>
          <cx:dataId val="0"/>
          <cx:layoutPr>
            <cx:visibility meanLine="0" meanMarker="1" nonoutliers="1" outliers="1"/>
            <cx:statistics quartileMethod="inclusive"/>
          </cx:layoutPr>
        </cx:series>
      </cx:plotAreaRegion>
      <cx:axis id="0">
        <cx:catScaling gapWidth="1"/>
        <cx:tickLabels/>
        <cx:numFmt formatCode="General" sourceLinked="0"/>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axis id="1">
        <cx:valScaling/>
        <cx:title>
          <cx:tx>
            <cx:txData>
              <cx:v>TIN Concentrations (mg N/L)</cx:v>
            </cx:txData>
          </cx:tx>
          <cx:txPr>
            <a:bodyPr spcFirstLastPara="1" vertOverflow="ellipsis" horzOverflow="overflow" wrap="square" lIns="0" tIns="0" rIns="0" bIns="0" anchor="ctr" anchorCtr="1"/>
            <a:lstStyle/>
            <a:p>
              <a:pPr algn="ctr" rtl="0">
                <a:defRPr sz="1100" b="1">
                  <a:latin typeface="Arial" panose="020B0604020202020204" pitchFamily="34" charset="0"/>
                  <a:ea typeface="Arial" panose="020B0604020202020204" pitchFamily="34" charset="0"/>
                  <a:cs typeface="Arial" panose="020B0604020202020204" pitchFamily="34" charset="0"/>
                </a:defRPr>
              </a:pPr>
              <a:r>
                <a:rPr lang="en-US" sz="1100" b="1" i="0" u="none" strike="noStrike" baseline="0">
                  <a:solidFill>
                    <a:sysClr val="windowText" lastClr="000000">
                      <a:lumMod val="65000"/>
                      <a:lumOff val="35000"/>
                    </a:sysClr>
                  </a:solidFill>
                  <a:latin typeface="Arial" panose="020B0604020202020204" pitchFamily="34" charset="0"/>
                  <a:cs typeface="Arial" panose="020B0604020202020204" pitchFamily="34" charset="0"/>
                </a:rPr>
                <a:t>TIN Concentrations (mg N/L)</a:t>
              </a:r>
            </a:p>
          </cx:txPr>
        </cx:title>
        <cx:tickLabels/>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plotArea>
    <cx:legend pos="t" align="ctr" overlay="0">
      <cx:txPr>
        <a:bodyPr spcFirstLastPara="1" vertOverflow="ellipsis" horzOverflow="overflow" wrap="square" lIns="0" tIns="0" rIns="0" bIns="0" anchor="ctr" anchorCtr="1"/>
        <a:lstStyle/>
        <a:p>
          <a:pPr algn="ctr" rtl="0">
            <a:defRPr sz="110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8.xml><?xml version="1.0" encoding="utf-8"?>
<cx:chartSpace xmlns:a="http://schemas.openxmlformats.org/drawingml/2006/main" xmlns:r="http://schemas.openxmlformats.org/officeDocument/2006/relationships" xmlns:cx="http://schemas.microsoft.com/office/drawing/2014/chartex">
  <cx:chartData>
    <cx:data id="0">
      <cx:strDim type="cat">
        <cx:f>_xlchart.v1.25</cx:f>
      </cx:strDim>
      <cx:numDim type="val">
        <cx:f>_xlchart.v1.26</cx:f>
      </cx:numDim>
    </cx:data>
  </cx:chartData>
  <cx:chart>
    <cx:plotArea>
      <cx:plotAreaRegion>
        <cx:plotSurface>
          <cx:spPr>
            <a:ln w="12700">
              <a:solidFill>
                <a:schemeClr val="tx1"/>
              </a:solidFill>
            </a:ln>
          </cx:spPr>
        </cx:plotSurface>
        <cx:series layoutId="boxWhisker" uniqueId="{7A3AB037-6007-476D-84CF-72E83D2309E0}" formatIdx="0">
          <cx:tx>
            <cx:txData>
              <cx:f>_xlchart.v1.24</cx:f>
              <cx:v>High HLR, Lower Outlet Height, No Plants</cx:v>
            </cx:txData>
          </cx:tx>
          <cx:spPr>
            <a:noFill/>
            <a:ln w="19050">
              <a:solidFill>
                <a:schemeClr val="accent6">
                  <a:lumMod val="75000"/>
                </a:schemeClr>
              </a:solidFill>
            </a:ln>
          </cx:spPr>
          <cx:dataId val="0"/>
          <cx:layoutPr>
            <cx:visibility meanLine="0" meanMarker="1" nonoutliers="1" outliers="1"/>
            <cx:statistics quartileMethod="inclusive"/>
          </cx:layoutPr>
        </cx:series>
      </cx:plotAreaRegion>
      <cx:axis id="0">
        <cx:catScaling gapWidth="1"/>
        <cx:tickLabels/>
        <cx:numFmt formatCode="General" sourceLinked="0"/>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axis id="1">
        <cx:valScaling max="5"/>
        <cx:tickLabels/>
        <cx:txPr>
          <a:bodyPr spcFirstLastPara="1" vertOverflow="ellipsis" horzOverflow="overflow" wrap="square" lIns="0" tIns="0" rIns="0" bIns="0" anchor="ctr" anchorCtr="1"/>
          <a:lstStyle/>
          <a:p>
            <a:pPr algn="ctr" rtl="0">
              <a:defRPr sz="1100" b="0">
                <a:solidFill>
                  <a:schemeClr val="bg1"/>
                </a:solidFill>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chemeClr val="bg1"/>
              </a:solidFill>
              <a:latin typeface="Arial" panose="020B0604020202020204" pitchFamily="34" charset="0"/>
              <a:cs typeface="Arial" panose="020B0604020202020204" pitchFamily="34" charset="0"/>
            </a:endParaRPr>
          </a:p>
        </cx:txPr>
      </cx:axis>
    </cx:plotArea>
    <cx:legend pos="t" align="ctr" overlay="0">
      <cx:txPr>
        <a:bodyPr spcFirstLastPara="1" vertOverflow="ellipsis" horzOverflow="overflow" wrap="square" lIns="0" tIns="0" rIns="0" bIns="0" anchor="ctr" anchorCtr="1"/>
        <a:lstStyle/>
        <a:p>
          <a:pPr algn="ctr" rtl="0">
            <a:defRPr sz="110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9.xml><?xml version="1.0" encoding="utf-8"?>
<cx:chartSpace xmlns:a="http://schemas.openxmlformats.org/drawingml/2006/main" xmlns:r="http://schemas.openxmlformats.org/officeDocument/2006/relationships" xmlns:cx="http://schemas.microsoft.com/office/drawing/2014/chartex">
  <cx:chartData>
    <cx:data id="0">
      <cx:strDim type="cat">
        <cx:f>_xlchart.v1.28</cx:f>
      </cx:strDim>
      <cx:numDim type="val">
        <cx:f>_xlchart.v1.29</cx:f>
      </cx:numDim>
    </cx:data>
  </cx:chartData>
  <cx:chart>
    <cx:plotArea>
      <cx:plotAreaRegion>
        <cx:plotSurface>
          <cx:spPr>
            <a:ln w="12700">
              <a:solidFill>
                <a:schemeClr val="tx1"/>
              </a:solidFill>
            </a:ln>
          </cx:spPr>
        </cx:plotSurface>
        <cx:series layoutId="boxWhisker" uniqueId="{00000001-9A42-48F6-866E-743DBEC5BA3A}" formatIdx="1">
          <cx:tx>
            <cx:txData>
              <cx:f>_xlchart.v1.27</cx:f>
              <cx:v>Medium HLR, Lower Outlet Height, No Plants</cx:v>
            </cx:txData>
          </cx:tx>
          <cx:spPr>
            <a:noFill/>
            <a:ln w="19050">
              <a:solidFill>
                <a:srgbClr val="C00000"/>
              </a:solidFill>
            </a:ln>
          </cx:spPr>
          <cx:dataId val="0"/>
          <cx:layoutPr>
            <cx:visibility meanLine="0" meanMarker="1" nonoutliers="1" outliers="1"/>
            <cx:statistics quartileMethod="inclusive"/>
          </cx:layoutPr>
        </cx:series>
      </cx:plotAreaRegion>
      <cx:axis id="0">
        <cx:catScaling gapWidth="1"/>
        <cx:tickLabels/>
        <cx:numFmt formatCode="General" sourceLinked="0"/>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axis id="1">
        <cx:valScaling max="5"/>
        <cx:tickLabels/>
        <cx:txPr>
          <a:bodyPr spcFirstLastPara="1" vertOverflow="ellipsis" horzOverflow="overflow" wrap="square" lIns="0" tIns="0" rIns="0" bIns="0" anchor="ctr" anchorCtr="1"/>
          <a:lstStyle/>
          <a:p>
            <a:pPr algn="ctr" rtl="0">
              <a:defRPr sz="1100" b="0">
                <a:solidFill>
                  <a:schemeClr val="bg1"/>
                </a:solidFill>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chemeClr val="bg1"/>
              </a:solidFill>
              <a:latin typeface="Arial" panose="020B0604020202020204" pitchFamily="34" charset="0"/>
              <a:cs typeface="Arial" panose="020B0604020202020204" pitchFamily="34" charset="0"/>
            </a:endParaRPr>
          </a:p>
        </cx:txPr>
      </cx:axis>
    </cx:plotArea>
    <cx:legend pos="t" align="ctr" overlay="0">
      <cx:txPr>
        <a:bodyPr spcFirstLastPara="1" vertOverflow="ellipsis" horzOverflow="overflow" wrap="square" lIns="0" tIns="0" rIns="0" bIns="0" anchor="ctr" anchorCtr="1"/>
        <a:lstStyle/>
        <a:p>
          <a:pPr algn="ctr" rtl="0">
            <a:defRPr sz="110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10.xml><?xml version="1.0" encoding="utf-8"?>
<cx:chartSpace xmlns:a="http://schemas.openxmlformats.org/drawingml/2006/main" xmlns:r="http://schemas.openxmlformats.org/officeDocument/2006/relationships" xmlns:cx="http://schemas.microsoft.com/office/drawing/2014/chartex">
  <cx:chartData>
    <cx:data id="0">
      <cx:strDim type="cat">
        <cx:f>_xlchart.v1.39</cx:f>
      </cx:strDim>
      <cx:numDim type="val">
        <cx:f>_xlchart.v1.40</cx:f>
      </cx:numDim>
    </cx:data>
  </cx:chartData>
  <cx:chart>
    <cx:plotArea>
      <cx:plotAreaRegion>
        <cx:plotSurface>
          <cx:spPr>
            <a:ln w="12700">
              <a:solidFill>
                <a:schemeClr val="tx1"/>
              </a:solidFill>
            </a:ln>
          </cx:spPr>
        </cx:plotSurface>
        <cx:series layoutId="boxWhisker" uniqueId="{7A3AB037-6007-476D-84CF-72E83D2309E0}" formatIdx="0">
          <cx:tx>
            <cx:txData>
              <cx:f>_xlchart.v1.41</cx:f>
              <cx:v>Low HLR, Lower Outlet Height, No Plants</cx:v>
            </cx:txData>
          </cx:tx>
          <cx:spPr>
            <a:noFill/>
            <a:ln w="19050">
              <a:solidFill>
                <a:schemeClr val="accent5">
                  <a:lumMod val="50000"/>
                </a:schemeClr>
              </a:solidFill>
            </a:ln>
          </cx:spPr>
          <cx:dataId val="0"/>
          <cx:layoutPr>
            <cx:visibility meanLine="0" meanMarker="1" nonoutliers="1" outliers="1"/>
            <cx:statistics quartileMethod="inclusive"/>
          </cx:layoutPr>
        </cx:series>
      </cx:plotAreaRegion>
      <cx:axis id="0">
        <cx:catScaling gapWidth="1"/>
        <cx:tickLabels/>
        <cx:numFmt formatCode="General" sourceLinked="0"/>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axis id="1">
        <cx:valScaling max="5"/>
        <cx:title>
          <cx:tx>
            <cx:txData>
              <cx:v>TP Concentrations (mg P/L)</cx:v>
            </cx:txData>
          </cx:tx>
          <cx:txPr>
            <a:bodyPr spcFirstLastPara="1" vertOverflow="ellipsis" horzOverflow="overflow" wrap="square" lIns="0" tIns="0" rIns="0" bIns="0" anchor="ctr" anchorCtr="1"/>
            <a:lstStyle/>
            <a:p>
              <a:pPr algn="ctr" rtl="0">
                <a:defRPr sz="1100" b="1">
                  <a:latin typeface="Arial" panose="020B0604020202020204" pitchFamily="34" charset="0"/>
                  <a:ea typeface="Arial" panose="020B0604020202020204" pitchFamily="34" charset="0"/>
                  <a:cs typeface="Arial" panose="020B0604020202020204" pitchFamily="34" charset="0"/>
                </a:defRPr>
              </a:pPr>
              <a:r>
                <a:rPr lang="en-US" sz="1100" b="1" i="0" u="none" strike="noStrike" baseline="0">
                  <a:solidFill>
                    <a:sysClr val="windowText" lastClr="000000">
                      <a:lumMod val="65000"/>
                      <a:lumOff val="35000"/>
                    </a:sysClr>
                  </a:solidFill>
                  <a:latin typeface="Arial" panose="020B0604020202020204" pitchFamily="34" charset="0"/>
                  <a:cs typeface="Arial" panose="020B0604020202020204" pitchFamily="34" charset="0"/>
                </a:rPr>
                <a:t>TP Concentrations (mg P/L)</a:t>
              </a:r>
            </a:p>
          </cx:txPr>
        </cx:title>
        <cx:tickLabels/>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plotArea>
    <cx:legend pos="t" align="ctr" overlay="0">
      <cx:txPr>
        <a:bodyPr spcFirstLastPara="1" vertOverflow="ellipsis" horzOverflow="overflow" wrap="square" lIns="0" tIns="0" rIns="0" bIns="0" anchor="ctr" anchorCtr="1"/>
        <a:lstStyle/>
        <a:p>
          <a:pPr algn="ctr" rtl="0">
            <a:defRPr sz="110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11.xml><?xml version="1.0" encoding="utf-8"?>
<cx:chartSpace xmlns:a="http://schemas.openxmlformats.org/drawingml/2006/main" xmlns:r="http://schemas.openxmlformats.org/officeDocument/2006/relationships" xmlns:cx="http://schemas.microsoft.com/office/drawing/2014/chartex">
  <cx:chartData>
    <cx:data id="0">
      <cx:strDim type="cat">
        <cx:f>_xlchart.v1.31</cx:f>
      </cx:strDim>
      <cx:numDim type="val">
        <cx:f>_xlchart.v1.32</cx:f>
      </cx:numDim>
    </cx:data>
  </cx:chartData>
  <cx:chart>
    <cx:plotArea>
      <cx:plotAreaRegion>
        <cx:plotSurface>
          <cx:spPr>
            <a:ln w="12700">
              <a:solidFill>
                <a:schemeClr val="tx1"/>
              </a:solidFill>
            </a:ln>
          </cx:spPr>
        </cx:plotSurface>
        <cx:series layoutId="boxWhisker" uniqueId="{7A3AB037-6007-476D-84CF-72E83D2309E0}" formatIdx="0">
          <cx:tx>
            <cx:txData>
              <cx:f>_xlchart.v1.30</cx:f>
              <cx:v>High HLR, Lower Outlet Height, Yes Plants</cx:v>
            </cx:txData>
          </cx:tx>
          <cx:spPr>
            <a:noFill/>
            <a:ln w="19050">
              <a:solidFill>
                <a:schemeClr val="accent6">
                  <a:lumMod val="75000"/>
                </a:schemeClr>
              </a:solidFill>
            </a:ln>
          </cx:spPr>
          <cx:dataId val="0"/>
          <cx:layoutPr>
            <cx:visibility meanLine="0" meanMarker="1" nonoutliers="1" outliers="1"/>
            <cx:statistics quartileMethod="inclusive"/>
          </cx:layoutPr>
        </cx:series>
      </cx:plotAreaRegion>
      <cx:axis id="0">
        <cx:catScaling gapWidth="1"/>
        <cx:tickLabels/>
        <cx:numFmt formatCode="General" sourceLinked="0"/>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axis id="1">
        <cx:valScaling max="5"/>
        <cx:tickLabels/>
        <cx:txPr>
          <a:bodyPr spcFirstLastPara="1" vertOverflow="ellipsis" horzOverflow="overflow" wrap="square" lIns="0" tIns="0" rIns="0" bIns="0" anchor="ctr" anchorCtr="1"/>
          <a:lstStyle/>
          <a:p>
            <a:pPr algn="ctr" rtl="0">
              <a:defRPr sz="1100" b="0">
                <a:solidFill>
                  <a:schemeClr val="bg1"/>
                </a:solidFill>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chemeClr val="bg1"/>
              </a:solidFill>
              <a:latin typeface="Arial" panose="020B0604020202020204" pitchFamily="34" charset="0"/>
              <a:cs typeface="Arial" panose="020B0604020202020204" pitchFamily="34" charset="0"/>
            </a:endParaRPr>
          </a:p>
        </cx:txPr>
      </cx:axis>
    </cx:plotArea>
    <cx:legend pos="t" align="ctr" overlay="0">
      <cx:txPr>
        <a:bodyPr spcFirstLastPara="1" vertOverflow="ellipsis" horzOverflow="overflow" wrap="square" lIns="0" tIns="0" rIns="0" bIns="0" anchor="ctr" anchorCtr="1"/>
        <a:lstStyle/>
        <a:p>
          <a:pPr algn="ctr" rtl="0">
            <a:defRPr sz="110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12.xml><?xml version="1.0" encoding="utf-8"?>
<cx:chartSpace xmlns:a="http://schemas.openxmlformats.org/drawingml/2006/main" xmlns:r="http://schemas.openxmlformats.org/officeDocument/2006/relationships" xmlns:cx="http://schemas.microsoft.com/office/drawing/2014/chartex">
  <cx:chartData>
    <cx:data id="0">
      <cx:strDim type="cat">
        <cx:f>_xlchart.v1.37</cx:f>
      </cx:strDim>
      <cx:numDim type="val">
        <cx:f>_xlchart.v1.38</cx:f>
      </cx:numDim>
    </cx:data>
  </cx:chartData>
  <cx:chart>
    <cx:plotArea>
      <cx:plotAreaRegion>
        <cx:plotSurface>
          <cx:spPr>
            <a:ln w="12700">
              <a:solidFill>
                <a:schemeClr val="tx1"/>
              </a:solidFill>
            </a:ln>
          </cx:spPr>
        </cx:plotSurface>
        <cx:series layoutId="boxWhisker" uniqueId="{00000001-9A42-48F6-866E-743DBEC5BA3A}" formatIdx="1">
          <cx:tx>
            <cx:txData>
              <cx:f>_xlchart.v1.36</cx:f>
              <cx:v>High HLR, Upper Outlet Height, No Plants</cx:v>
            </cx:txData>
          </cx:tx>
          <cx:spPr>
            <a:noFill/>
            <a:ln w="19050">
              <a:solidFill>
                <a:srgbClr val="C00000"/>
              </a:solidFill>
            </a:ln>
          </cx:spPr>
          <cx:dataId val="0"/>
          <cx:layoutPr>
            <cx:visibility meanLine="0" meanMarker="1" nonoutliers="1" outliers="1"/>
            <cx:statistics quartileMethod="inclusive"/>
          </cx:layoutPr>
        </cx:series>
      </cx:plotAreaRegion>
      <cx:axis id="0">
        <cx:catScaling gapWidth="1"/>
        <cx:tickLabels/>
        <cx:numFmt formatCode="General" sourceLinked="0"/>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axis id="1">
        <cx:valScaling max="5"/>
        <cx:tickLabels/>
        <cx:txPr>
          <a:bodyPr spcFirstLastPara="1" vertOverflow="ellipsis" horzOverflow="overflow" wrap="square" lIns="0" tIns="0" rIns="0" bIns="0" anchor="ctr" anchorCtr="1"/>
          <a:lstStyle/>
          <a:p>
            <a:pPr algn="ctr" rtl="0">
              <a:defRPr sz="1100" b="0">
                <a:solidFill>
                  <a:schemeClr val="bg1"/>
                </a:solidFill>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chemeClr val="bg1"/>
              </a:solidFill>
              <a:latin typeface="Arial" panose="020B0604020202020204" pitchFamily="34" charset="0"/>
              <a:cs typeface="Arial" panose="020B0604020202020204" pitchFamily="34" charset="0"/>
            </a:endParaRPr>
          </a:p>
        </cx:txPr>
      </cx:axis>
    </cx:plotArea>
    <cx:legend pos="t" align="ctr" overlay="0">
      <cx:txPr>
        <a:bodyPr spcFirstLastPara="1" vertOverflow="ellipsis" horzOverflow="overflow" wrap="square" lIns="0" tIns="0" rIns="0" bIns="0" anchor="ctr" anchorCtr="1"/>
        <a:lstStyle/>
        <a:p>
          <a:pPr algn="ctr" rtl="0">
            <a:defRPr sz="110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13.xml><?xml version="1.0" encoding="utf-8"?>
<cx:chartSpace xmlns:a="http://schemas.openxmlformats.org/drawingml/2006/main" xmlns:r="http://schemas.openxmlformats.org/officeDocument/2006/relationships" xmlns:cx="http://schemas.microsoft.com/office/drawing/2014/chartex">
  <cx:chartData>
    <cx:data id="0">
      <cx:strDim type="cat">
        <cx:f>_xlchart.v1.19</cx:f>
      </cx:strDim>
      <cx:numDim type="val">
        <cx:f>_xlchart.v1.20</cx:f>
      </cx:numDim>
    </cx:data>
  </cx:chartData>
  <cx:chart>
    <cx:plotArea>
      <cx:plotAreaRegion>
        <cx:plotSurface>
          <cx:spPr>
            <a:ln w="12700">
              <a:solidFill>
                <a:schemeClr val="tx1"/>
              </a:solidFill>
            </a:ln>
          </cx:spPr>
        </cx:plotSurface>
        <cx:series layoutId="boxWhisker" uniqueId="{7A3AB037-6007-476D-84CF-72E83D2309E0}" formatIdx="0">
          <cx:tx>
            <cx:txData>
              <cx:f>_xlchart.v1.18</cx:f>
              <cx:v>High HLR, Lower Outlet Height, No Plants</cx:v>
            </cx:txData>
          </cx:tx>
          <cx:spPr>
            <a:noFill/>
            <a:ln w="19050">
              <a:solidFill>
                <a:schemeClr val="accent5">
                  <a:lumMod val="50000"/>
                </a:schemeClr>
              </a:solidFill>
            </a:ln>
          </cx:spPr>
          <cx:dataId val="0"/>
          <cx:layoutPr>
            <cx:visibility meanLine="0" meanMarker="1" nonoutliers="1" outliers="1"/>
            <cx:statistics quartileMethod="inclusive"/>
          </cx:layoutPr>
        </cx:series>
      </cx:plotAreaRegion>
      <cx:axis id="0">
        <cx:catScaling gapWidth="1"/>
        <cx:tickLabels/>
        <cx:numFmt formatCode="General" sourceLinked="0"/>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axis id="1">
        <cx:valScaling max="5"/>
        <cx:title>
          <cx:tx>
            <cx:txData>
              <cx:v>TP Concentrations (mg P/L)</cx:v>
            </cx:txData>
          </cx:tx>
          <cx:txPr>
            <a:bodyPr spcFirstLastPara="1" vertOverflow="ellipsis" horzOverflow="overflow" wrap="square" lIns="0" tIns="0" rIns="0" bIns="0" anchor="ctr" anchorCtr="1"/>
            <a:lstStyle/>
            <a:p>
              <a:pPr algn="ctr" rtl="0">
                <a:defRPr sz="1100" b="1">
                  <a:latin typeface="Arial" panose="020B0604020202020204" pitchFamily="34" charset="0"/>
                  <a:ea typeface="Arial" panose="020B0604020202020204" pitchFamily="34" charset="0"/>
                  <a:cs typeface="Arial" panose="020B0604020202020204" pitchFamily="34" charset="0"/>
                </a:defRPr>
              </a:pPr>
              <a:r>
                <a:rPr lang="en-US" sz="1100" b="1" i="0" u="none" strike="noStrike" baseline="0">
                  <a:solidFill>
                    <a:sysClr val="windowText" lastClr="000000">
                      <a:lumMod val="65000"/>
                      <a:lumOff val="35000"/>
                    </a:sysClr>
                  </a:solidFill>
                  <a:latin typeface="Arial" panose="020B0604020202020204" pitchFamily="34" charset="0"/>
                  <a:cs typeface="Arial" panose="020B0604020202020204" pitchFamily="34" charset="0"/>
                </a:rPr>
                <a:t>TP Concentrations (mg P/L)</a:t>
              </a:r>
            </a:p>
          </cx:txPr>
        </cx:title>
        <cx:tickLabels/>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plotArea>
    <cx:legend pos="t" align="ctr" overlay="0">
      <cx:txPr>
        <a:bodyPr spcFirstLastPara="1" vertOverflow="ellipsis" horzOverflow="overflow" wrap="square" lIns="0" tIns="0" rIns="0" bIns="0" anchor="ctr" anchorCtr="1"/>
        <a:lstStyle/>
        <a:p>
          <a:pPr algn="ctr" rtl="0">
            <a:defRPr sz="110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14.xml><?xml version="1.0" encoding="utf-8"?>
<cx:chartSpace xmlns:a="http://schemas.openxmlformats.org/drawingml/2006/main" xmlns:r="http://schemas.openxmlformats.org/officeDocument/2006/relationships" xmlns:cx="http://schemas.microsoft.com/office/drawing/2014/chartex">
  <cx:chartData>
    <cx:data id="0">
      <cx:strDim type="cat">
        <cx:f>_xlchart.v1.13</cx:f>
      </cx:strDim>
      <cx:numDim type="val">
        <cx:f>_xlchart.v1.14</cx:f>
      </cx:numDim>
    </cx:data>
  </cx:chartData>
  <cx:chart>
    <cx:plotArea>
      <cx:plotAreaRegion>
        <cx:plotSurface>
          <cx:spPr>
            <a:ln w="12700">
              <a:solidFill>
                <a:schemeClr val="tx1"/>
              </a:solidFill>
            </a:ln>
          </cx:spPr>
        </cx:plotSurface>
        <cx:series layoutId="boxWhisker" uniqueId="{7A3AB037-6007-476D-84CF-72E83D2309E0}" formatIdx="0">
          <cx:tx>
            <cx:txData>
              <cx:f>_xlchart.v1.12</cx:f>
              <cx:v>Medium HLR, Upper Outlet Height, Yes Plants</cx:v>
            </cx:txData>
          </cx:tx>
          <cx:spPr>
            <a:noFill/>
            <a:ln w="19050">
              <a:solidFill>
                <a:srgbClr val="F76015"/>
              </a:solidFill>
            </a:ln>
          </cx:spPr>
          <cx:dataId val="0"/>
          <cx:layoutPr>
            <cx:visibility meanLine="0" meanMarker="1" nonoutliers="1" outliers="1"/>
            <cx:statistics quartileMethod="inclusive"/>
          </cx:layoutPr>
        </cx:series>
      </cx:plotAreaRegion>
      <cx:axis id="0">
        <cx:catScaling gapWidth="1"/>
        <cx:tickLabels/>
        <cx:numFmt formatCode="General" sourceLinked="0"/>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axis id="1">
        <cx:valScaling max="2"/>
        <cx:title>
          <cx:tx>
            <cx:txData>
              <cx:v>TP Concentrations (mg P/L)</cx:v>
            </cx:txData>
          </cx:tx>
          <cx:txPr>
            <a:bodyPr spcFirstLastPara="1" vertOverflow="ellipsis" horzOverflow="overflow" wrap="square" lIns="0" tIns="0" rIns="0" bIns="0" anchor="ctr" anchorCtr="1"/>
            <a:lstStyle/>
            <a:p>
              <a:pPr algn="ctr" rtl="0">
                <a:defRPr sz="1100" b="1">
                  <a:latin typeface="Arial" panose="020B0604020202020204" pitchFamily="34" charset="0"/>
                  <a:ea typeface="Arial" panose="020B0604020202020204" pitchFamily="34" charset="0"/>
                  <a:cs typeface="Arial" panose="020B0604020202020204" pitchFamily="34" charset="0"/>
                </a:defRPr>
              </a:pPr>
              <a:r>
                <a:rPr lang="en-US" sz="1100" b="1" i="0" u="none" strike="noStrike" baseline="0">
                  <a:solidFill>
                    <a:sysClr val="windowText" lastClr="000000">
                      <a:lumMod val="65000"/>
                      <a:lumOff val="35000"/>
                    </a:sysClr>
                  </a:solidFill>
                  <a:latin typeface="Arial" panose="020B0604020202020204" pitchFamily="34" charset="0"/>
                  <a:cs typeface="Arial" panose="020B0604020202020204" pitchFamily="34" charset="0"/>
                </a:rPr>
                <a:t>TP Concentrations (mg P/L)</a:t>
              </a:r>
            </a:p>
          </cx:txPr>
        </cx:title>
        <cx:tickLabels/>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plotArea>
    <cx:legend pos="t" align="ctr" overlay="0">
      <cx:txPr>
        <a:bodyPr spcFirstLastPara="1" vertOverflow="ellipsis" horzOverflow="overflow" wrap="square" lIns="0" tIns="0" rIns="0" bIns="0" anchor="ctr" anchorCtr="1"/>
        <a:lstStyle/>
        <a:p>
          <a:pPr algn="ctr" rtl="0">
            <a:defRPr sz="110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15.xml><?xml version="1.0" encoding="utf-8"?>
<cx:chartSpace xmlns:a="http://schemas.openxmlformats.org/drawingml/2006/main" xmlns:r="http://schemas.openxmlformats.org/officeDocument/2006/relationships" xmlns:cx="http://schemas.microsoft.com/office/drawing/2014/chartex">
  <cx:chartData>
    <cx:data id="0">
      <cx:strDim type="cat">
        <cx:f>_xlchart.v1.66</cx:f>
      </cx:strDim>
      <cx:numDim type="val">
        <cx:f>_xlchart.v1.67</cx:f>
      </cx:numDim>
    </cx:data>
  </cx:chartData>
  <cx:chart>
    <cx:plotArea>
      <cx:plotAreaRegion>
        <cx:plotSurface>
          <cx:spPr>
            <a:ln w="12700">
              <a:solidFill>
                <a:schemeClr val="tx1"/>
              </a:solidFill>
            </a:ln>
          </cx:spPr>
        </cx:plotSurface>
        <cx:series layoutId="boxWhisker" uniqueId="{7A3AB037-6007-476D-84CF-72E83D2309E0}" formatIdx="0">
          <cx:spPr>
            <a:noFill/>
            <a:ln w="19050">
              <a:solidFill>
                <a:schemeClr val="accent6">
                  <a:lumMod val="75000"/>
                </a:schemeClr>
              </a:solidFill>
            </a:ln>
          </cx:spPr>
          <cx:dataId val="0"/>
          <cx:layoutPr>
            <cx:visibility meanLine="0" meanMarker="1" nonoutliers="1" outliers="1"/>
            <cx:statistics quartileMethod="inclusive"/>
          </cx:layoutPr>
        </cx:series>
      </cx:plotAreaRegion>
      <cx:axis id="0">
        <cx:catScaling gapWidth="1"/>
        <cx:tickLabels/>
        <cx:numFmt formatCode="General" sourceLinked="0"/>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axis id="1">
        <cx:valScaling max="5"/>
        <cx:tickLabels/>
        <cx:txPr>
          <a:bodyPr spcFirstLastPara="1" vertOverflow="ellipsis" horzOverflow="overflow" wrap="square" lIns="0" tIns="0" rIns="0" bIns="0" anchor="ctr" anchorCtr="1"/>
          <a:lstStyle/>
          <a:p>
            <a:pPr algn="ctr" rtl="0">
              <a:defRPr sz="1100" b="0">
                <a:solidFill>
                  <a:schemeClr val="bg1"/>
                </a:solidFill>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chemeClr val="bg1"/>
              </a:solidFill>
              <a:latin typeface="Arial" panose="020B0604020202020204" pitchFamily="34" charset="0"/>
              <a:cs typeface="Arial" panose="020B0604020202020204" pitchFamily="34" charset="0"/>
            </a:endParaRPr>
          </a:p>
        </cx:txPr>
      </cx:axis>
    </cx:plotArea>
    <cx:legend pos="t" align="ctr" overlay="0">
      <cx:txPr>
        <a:bodyPr spcFirstLastPara="1" vertOverflow="ellipsis" horzOverflow="overflow" wrap="square" lIns="0" tIns="0" rIns="0" bIns="0" anchor="ctr" anchorCtr="1"/>
        <a:lstStyle/>
        <a:p>
          <a:pPr algn="ctr" rtl="0">
            <a:defRPr sz="110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16.xml><?xml version="1.0" encoding="utf-8"?>
<cx:chartSpace xmlns:a="http://schemas.openxmlformats.org/drawingml/2006/main" xmlns:r="http://schemas.openxmlformats.org/officeDocument/2006/relationships" xmlns:cx="http://schemas.microsoft.com/office/drawing/2014/chartex">
  <cx:chartData>
    <cx:data id="0">
      <cx:strDim type="cat">
        <cx:f>_xlchart.v1.68</cx:f>
      </cx:strDim>
      <cx:numDim type="val">
        <cx:f>_xlchart.v1.69</cx:f>
      </cx:numDim>
    </cx:data>
  </cx:chartData>
  <cx:chart>
    <cx:plotArea>
      <cx:plotAreaRegion>
        <cx:plotSurface>
          <cx:spPr>
            <a:ln w="12700">
              <a:solidFill>
                <a:schemeClr val="tx1"/>
              </a:solidFill>
            </a:ln>
          </cx:spPr>
        </cx:plotSurface>
        <cx:series layoutId="boxWhisker" uniqueId="{00000001-9A42-48F6-866E-743DBEC5BA3A}" formatIdx="1">
          <cx:spPr>
            <a:noFill/>
            <a:ln w="19050">
              <a:solidFill>
                <a:srgbClr val="C00000"/>
              </a:solidFill>
            </a:ln>
          </cx:spPr>
          <cx:dataId val="0"/>
          <cx:layoutPr>
            <cx:visibility meanLine="0" meanMarker="1" nonoutliers="1" outliers="1"/>
            <cx:statistics quartileMethod="inclusive"/>
          </cx:layoutPr>
        </cx:series>
      </cx:plotAreaRegion>
      <cx:axis id="0">
        <cx:catScaling gapWidth="1"/>
        <cx:tickLabels/>
        <cx:numFmt formatCode="General" sourceLinked="0"/>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axis id="1">
        <cx:valScaling max="5"/>
        <cx:tickLabels/>
        <cx:txPr>
          <a:bodyPr spcFirstLastPara="1" vertOverflow="ellipsis" horzOverflow="overflow" wrap="square" lIns="0" tIns="0" rIns="0" bIns="0" anchor="ctr" anchorCtr="1"/>
          <a:lstStyle/>
          <a:p>
            <a:pPr algn="ctr" rtl="0">
              <a:defRPr sz="1100" b="0">
                <a:solidFill>
                  <a:schemeClr val="bg1"/>
                </a:solidFill>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chemeClr val="bg1"/>
              </a:solidFill>
              <a:latin typeface="Arial" panose="020B0604020202020204" pitchFamily="34" charset="0"/>
              <a:cs typeface="Arial" panose="020B0604020202020204" pitchFamily="34" charset="0"/>
            </a:endParaRPr>
          </a:p>
        </cx:txPr>
      </cx:axis>
    </cx:plotArea>
    <cx:legend pos="t" align="ctr" overlay="0">
      <cx:txPr>
        <a:bodyPr spcFirstLastPara="1" vertOverflow="ellipsis" horzOverflow="overflow" wrap="square" lIns="0" tIns="0" rIns="0" bIns="0" anchor="ctr" anchorCtr="1"/>
        <a:lstStyle/>
        <a:p>
          <a:pPr algn="ctr" rtl="0">
            <a:defRPr sz="110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17.xml><?xml version="1.0" encoding="utf-8"?>
<cx:chartSpace xmlns:a="http://schemas.openxmlformats.org/drawingml/2006/main" xmlns:r="http://schemas.openxmlformats.org/officeDocument/2006/relationships" xmlns:cx="http://schemas.microsoft.com/office/drawing/2014/chartex">
  <cx:chartData>
    <cx:data id="0">
      <cx:strDim type="cat">
        <cx:f>_xlchart.v1.64</cx:f>
      </cx:strDim>
      <cx:numDim type="val">
        <cx:f>_xlchart.v1.65</cx:f>
      </cx:numDim>
    </cx:data>
  </cx:chartData>
  <cx:chart>
    <cx:plotArea>
      <cx:plotAreaRegion>
        <cx:plotSurface>
          <cx:spPr>
            <a:ln w="12700">
              <a:solidFill>
                <a:schemeClr val="tx1"/>
              </a:solidFill>
            </a:ln>
          </cx:spPr>
        </cx:plotSurface>
        <cx:series layoutId="boxWhisker" uniqueId="{7A3AB037-6007-476D-84CF-72E83D2309E0}" formatIdx="0">
          <cx:spPr>
            <a:noFill/>
            <a:ln w="19050">
              <a:solidFill>
                <a:schemeClr val="accent5">
                  <a:lumMod val="50000"/>
                </a:schemeClr>
              </a:solidFill>
            </a:ln>
          </cx:spPr>
          <cx:dataId val="0"/>
          <cx:layoutPr>
            <cx:visibility meanLine="0" meanMarker="1" nonoutliers="1" outliers="1"/>
            <cx:statistics quartileMethod="inclusive"/>
          </cx:layoutPr>
        </cx:series>
      </cx:plotAreaRegion>
      <cx:axis id="0">
        <cx:catScaling gapWidth="1"/>
        <cx:tickLabels/>
        <cx:numFmt formatCode="General" sourceLinked="0"/>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axis id="1">
        <cx:valScaling max="5"/>
        <cx:title>
          <cx:tx>
            <cx:txData>
              <cx:v>TIN Concentrations (mg N/L)</cx:v>
            </cx:txData>
          </cx:tx>
          <cx:txPr>
            <a:bodyPr spcFirstLastPara="1" vertOverflow="ellipsis" horzOverflow="overflow" wrap="square" lIns="0" tIns="0" rIns="0" bIns="0" anchor="ctr" anchorCtr="1"/>
            <a:lstStyle/>
            <a:p>
              <a:pPr algn="ctr" rtl="0">
                <a:defRPr sz="1100" b="1">
                  <a:latin typeface="Arial" panose="020B0604020202020204" pitchFamily="34" charset="0"/>
                  <a:ea typeface="Arial" panose="020B0604020202020204" pitchFamily="34" charset="0"/>
                  <a:cs typeface="Arial" panose="020B0604020202020204" pitchFamily="34" charset="0"/>
                </a:defRPr>
              </a:pPr>
              <a:r>
                <a:rPr lang="en-US" sz="1100" b="1" i="0" u="none" strike="noStrike" baseline="0">
                  <a:solidFill>
                    <a:sysClr val="windowText" lastClr="000000">
                      <a:lumMod val="65000"/>
                      <a:lumOff val="35000"/>
                    </a:sysClr>
                  </a:solidFill>
                  <a:latin typeface="Arial" panose="020B0604020202020204" pitchFamily="34" charset="0"/>
                  <a:cs typeface="Arial" panose="020B0604020202020204" pitchFamily="34" charset="0"/>
                </a:rPr>
                <a:t>TIN Concentrations (mg N/L)</a:t>
              </a:r>
            </a:p>
          </cx:txPr>
        </cx:title>
        <cx:tickLabels/>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plotArea>
    <cx:legend pos="t" align="ctr" overlay="0">
      <cx:txPr>
        <a:bodyPr spcFirstLastPara="1" vertOverflow="ellipsis" horzOverflow="overflow" wrap="square" lIns="0" tIns="0" rIns="0" bIns="0" anchor="ctr" anchorCtr="1"/>
        <a:lstStyle/>
        <a:p>
          <a:pPr algn="ctr" rtl="0">
            <a:defRPr sz="110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18.xml><?xml version="1.0" encoding="utf-8"?>
<cx:chartSpace xmlns:a="http://schemas.openxmlformats.org/drawingml/2006/main" xmlns:r="http://schemas.openxmlformats.org/officeDocument/2006/relationships" xmlns:cx="http://schemas.microsoft.com/office/drawing/2014/chartex">
  <cx:chartData>
    <cx:data id="0">
      <cx:strDim type="cat">
        <cx:f>_xlchart.v1.48</cx:f>
      </cx:strDim>
      <cx:numDim type="val">
        <cx:f>_xlchart.v1.49</cx:f>
      </cx:numDim>
    </cx:data>
  </cx:chartData>
  <cx:chart>
    <cx:plotArea>
      <cx:plotAreaRegion>
        <cx:plotSurface>
          <cx:spPr>
            <a:ln w="12700">
              <a:solidFill>
                <a:schemeClr val="tx1"/>
              </a:solidFill>
            </a:ln>
          </cx:spPr>
        </cx:plotSurface>
        <cx:series layoutId="boxWhisker" uniqueId="{7A3AB037-6007-476D-84CF-72E83D2309E0}" formatIdx="0">
          <cx:spPr>
            <a:noFill/>
            <a:ln w="19050">
              <a:solidFill>
                <a:schemeClr val="accent6">
                  <a:lumMod val="75000"/>
                </a:schemeClr>
              </a:solidFill>
            </a:ln>
          </cx:spPr>
          <cx:dataId val="0"/>
          <cx:layoutPr>
            <cx:visibility meanLine="0" meanMarker="1" nonoutliers="1" outliers="1"/>
            <cx:statistics quartileMethod="inclusive"/>
          </cx:layoutPr>
        </cx:series>
      </cx:plotAreaRegion>
      <cx:axis id="0">
        <cx:catScaling gapWidth="1"/>
        <cx:tickLabels/>
        <cx:numFmt formatCode="General" sourceLinked="0"/>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axis id="1">
        <cx:valScaling max="5"/>
        <cx:tickLabels/>
        <cx:txPr>
          <a:bodyPr spcFirstLastPara="1" vertOverflow="ellipsis" horzOverflow="overflow" wrap="square" lIns="0" tIns="0" rIns="0" bIns="0" anchor="ctr" anchorCtr="1"/>
          <a:lstStyle/>
          <a:p>
            <a:pPr algn="ctr" rtl="0">
              <a:defRPr sz="1100" b="0">
                <a:solidFill>
                  <a:schemeClr val="bg1"/>
                </a:solidFill>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chemeClr val="bg1"/>
              </a:solidFill>
              <a:latin typeface="Arial" panose="020B0604020202020204" pitchFamily="34" charset="0"/>
              <a:cs typeface="Arial" panose="020B0604020202020204" pitchFamily="34" charset="0"/>
            </a:endParaRPr>
          </a:p>
        </cx:txPr>
      </cx:axis>
    </cx:plotArea>
    <cx:legend pos="t" align="ctr" overlay="0">
      <cx:txPr>
        <a:bodyPr spcFirstLastPara="1" vertOverflow="ellipsis" horzOverflow="overflow" wrap="square" lIns="0" tIns="0" rIns="0" bIns="0" anchor="ctr" anchorCtr="1"/>
        <a:lstStyle/>
        <a:p>
          <a:pPr algn="ctr" rtl="0">
            <a:defRPr sz="110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19.xml><?xml version="1.0" encoding="utf-8"?>
<cx:chartSpace xmlns:a="http://schemas.openxmlformats.org/drawingml/2006/main" xmlns:r="http://schemas.openxmlformats.org/officeDocument/2006/relationships" xmlns:cx="http://schemas.microsoft.com/office/drawing/2014/chartex">
  <cx:chartData>
    <cx:data id="0">
      <cx:strDim type="cat">
        <cx:f>_xlchart.v1.42</cx:f>
      </cx:strDim>
      <cx:numDim type="val">
        <cx:f>_xlchart.v1.43</cx:f>
      </cx:numDim>
    </cx:data>
  </cx:chartData>
  <cx:chart>
    <cx:plotArea>
      <cx:plotAreaRegion>
        <cx:plotSurface>
          <cx:spPr>
            <a:ln w="12700">
              <a:solidFill>
                <a:schemeClr val="tx1"/>
              </a:solidFill>
            </a:ln>
          </cx:spPr>
        </cx:plotSurface>
        <cx:series layoutId="boxWhisker" uniqueId="{00000001-9A42-48F6-866E-743DBEC5BA3A}" formatIdx="1">
          <cx:spPr>
            <a:noFill/>
            <a:ln w="19050">
              <a:solidFill>
                <a:srgbClr val="C00000"/>
              </a:solidFill>
            </a:ln>
          </cx:spPr>
          <cx:dataId val="0"/>
          <cx:layoutPr>
            <cx:visibility meanLine="0" meanMarker="1" nonoutliers="1" outliers="1"/>
            <cx:statistics quartileMethod="inclusive"/>
          </cx:layoutPr>
        </cx:series>
      </cx:plotAreaRegion>
      <cx:axis id="0">
        <cx:catScaling gapWidth="1"/>
        <cx:tickLabels/>
        <cx:numFmt formatCode="General" sourceLinked="0"/>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axis id="1">
        <cx:valScaling max="5"/>
        <cx:tickLabels/>
        <cx:txPr>
          <a:bodyPr spcFirstLastPara="1" vertOverflow="ellipsis" horzOverflow="overflow" wrap="square" lIns="0" tIns="0" rIns="0" bIns="0" anchor="ctr" anchorCtr="1"/>
          <a:lstStyle/>
          <a:p>
            <a:pPr algn="ctr" rtl="0">
              <a:defRPr sz="1100" b="0">
                <a:solidFill>
                  <a:schemeClr val="bg1"/>
                </a:solidFill>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chemeClr val="bg1"/>
              </a:solidFill>
              <a:latin typeface="Arial" panose="020B0604020202020204" pitchFamily="34" charset="0"/>
              <a:cs typeface="Arial" panose="020B0604020202020204" pitchFamily="34" charset="0"/>
            </a:endParaRPr>
          </a:p>
        </cx:txPr>
      </cx:axis>
    </cx:plotArea>
    <cx:legend pos="t" align="ctr" overlay="0">
      <cx:txPr>
        <a:bodyPr spcFirstLastPara="1" vertOverflow="ellipsis" horzOverflow="overflow" wrap="square" lIns="0" tIns="0" rIns="0" bIns="0" anchor="ctr" anchorCtr="1"/>
        <a:lstStyle/>
        <a:p>
          <a:pPr algn="ctr" rtl="0">
            <a:defRPr sz="110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20.xml><?xml version="1.0" encoding="utf-8"?>
<cx:chartSpace xmlns:a="http://schemas.openxmlformats.org/drawingml/2006/main" xmlns:r="http://schemas.openxmlformats.org/officeDocument/2006/relationships" xmlns:cx="http://schemas.microsoft.com/office/drawing/2014/chartex">
  <cx:chartData>
    <cx:data id="0">
      <cx:strDim type="cat">
        <cx:f>_xlchart.v1.56</cx:f>
      </cx:strDim>
      <cx:numDim type="val">
        <cx:f>_xlchart.v1.57</cx:f>
      </cx:numDim>
    </cx:data>
  </cx:chartData>
  <cx:chart>
    <cx:plotArea>
      <cx:plotAreaRegion>
        <cx:plotSurface>
          <cx:spPr>
            <a:ln w="12700">
              <a:solidFill>
                <a:schemeClr val="tx1"/>
              </a:solidFill>
            </a:ln>
          </cx:spPr>
        </cx:plotSurface>
        <cx:series layoutId="boxWhisker" uniqueId="{7A3AB037-6007-476D-84CF-72E83D2309E0}" formatIdx="0">
          <cx:spPr>
            <a:noFill/>
            <a:ln w="19050">
              <a:solidFill>
                <a:schemeClr val="accent5">
                  <a:lumMod val="50000"/>
                </a:schemeClr>
              </a:solidFill>
            </a:ln>
          </cx:spPr>
          <cx:dataId val="0"/>
          <cx:layoutPr>
            <cx:visibility meanLine="0" meanMarker="1" nonoutliers="1" outliers="1"/>
            <cx:statistics quartileMethod="inclusive"/>
          </cx:layoutPr>
        </cx:series>
      </cx:plotAreaRegion>
      <cx:axis id="0">
        <cx:catScaling gapWidth="1"/>
        <cx:tickLabels/>
        <cx:numFmt formatCode="General" sourceLinked="0"/>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axis id="1">
        <cx:valScaling max="5"/>
        <cx:title>
          <cx:tx>
            <cx:txData>
              <cx:v>TIN Concentrations (mg N/L)</cx:v>
            </cx:txData>
          </cx:tx>
          <cx:txPr>
            <a:bodyPr spcFirstLastPara="1" vertOverflow="ellipsis" horzOverflow="overflow" wrap="square" lIns="0" tIns="0" rIns="0" bIns="0" anchor="ctr" anchorCtr="1"/>
            <a:lstStyle/>
            <a:p>
              <a:pPr algn="ctr" rtl="0">
                <a:defRPr sz="1100" b="1">
                  <a:latin typeface="Arial" panose="020B0604020202020204" pitchFamily="34" charset="0"/>
                  <a:ea typeface="Arial" panose="020B0604020202020204" pitchFamily="34" charset="0"/>
                  <a:cs typeface="Arial" panose="020B0604020202020204" pitchFamily="34" charset="0"/>
                </a:defRPr>
              </a:pPr>
              <a:r>
                <a:rPr lang="en-US" sz="1100" b="1" i="0" u="none" strike="noStrike" baseline="0">
                  <a:solidFill>
                    <a:sysClr val="windowText" lastClr="000000">
                      <a:lumMod val="65000"/>
                      <a:lumOff val="35000"/>
                    </a:sysClr>
                  </a:solidFill>
                  <a:latin typeface="Arial" panose="020B0604020202020204" pitchFamily="34" charset="0"/>
                  <a:cs typeface="Arial" panose="020B0604020202020204" pitchFamily="34" charset="0"/>
                </a:rPr>
                <a:t>TIN Concentrations (mg N/L)</a:t>
              </a:r>
            </a:p>
          </cx:txPr>
        </cx:title>
        <cx:tickLabels/>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plotArea>
    <cx:legend pos="t" align="ctr" overlay="0">
      <cx:txPr>
        <a:bodyPr spcFirstLastPara="1" vertOverflow="ellipsis" horzOverflow="overflow" wrap="square" lIns="0" tIns="0" rIns="0" bIns="0" anchor="ctr" anchorCtr="1"/>
        <a:lstStyle/>
        <a:p>
          <a:pPr algn="ctr" rtl="0">
            <a:defRPr sz="110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21.xml><?xml version="1.0" encoding="utf-8"?>
<cx:chartSpace xmlns:a="http://schemas.openxmlformats.org/drawingml/2006/main" xmlns:r="http://schemas.openxmlformats.org/officeDocument/2006/relationships" xmlns:cx="http://schemas.microsoft.com/office/drawing/2014/chartex">
  <cx:chartData>
    <cx:data id="0">
      <cx:strDim type="cat">
        <cx:f>_xlchart.v1.60</cx:f>
      </cx:strDim>
      <cx:numDim type="val">
        <cx:f>_xlchart.v1.61</cx:f>
      </cx:numDim>
    </cx:data>
  </cx:chartData>
  <cx:chart>
    <cx:plotArea>
      <cx:plotAreaRegion>
        <cx:plotSurface>
          <cx:spPr>
            <a:ln w="12700">
              <a:solidFill>
                <a:schemeClr val="tx1"/>
              </a:solidFill>
            </a:ln>
          </cx:spPr>
        </cx:plotSurface>
        <cx:series layoutId="boxWhisker" uniqueId="{7A3AB037-6007-476D-84CF-72E83D2309E0}" formatIdx="0">
          <cx:spPr>
            <a:noFill/>
            <a:ln w="19050">
              <a:solidFill>
                <a:srgbClr val="F76015"/>
              </a:solidFill>
            </a:ln>
          </cx:spPr>
          <cx:dataId val="0"/>
          <cx:layoutPr>
            <cx:visibility meanLine="0" meanMarker="1" nonoutliers="1" outliers="1"/>
            <cx:statistics quartileMethod="inclusive"/>
          </cx:layoutPr>
        </cx:series>
      </cx:plotAreaRegion>
      <cx:axis id="0">
        <cx:catScaling gapWidth="1"/>
        <cx:tickLabels/>
        <cx:numFmt formatCode="General" sourceLinked="0"/>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axis id="1">
        <cx:valScaling/>
        <cx:title>
          <cx:tx>
            <cx:txData>
              <cx:v>TIN Concentrations (mg N/L)</cx:v>
            </cx:txData>
          </cx:tx>
          <cx:txPr>
            <a:bodyPr spcFirstLastPara="1" vertOverflow="ellipsis" horzOverflow="overflow" wrap="square" lIns="0" tIns="0" rIns="0" bIns="0" anchor="ctr" anchorCtr="1"/>
            <a:lstStyle/>
            <a:p>
              <a:pPr algn="ctr" rtl="0">
                <a:defRPr sz="1100" b="1">
                  <a:latin typeface="Arial" panose="020B0604020202020204" pitchFamily="34" charset="0"/>
                  <a:ea typeface="Arial" panose="020B0604020202020204" pitchFamily="34" charset="0"/>
                  <a:cs typeface="Arial" panose="020B0604020202020204" pitchFamily="34" charset="0"/>
                </a:defRPr>
              </a:pPr>
              <a:r>
                <a:rPr lang="en-US" sz="1100" b="1" i="0" u="none" strike="noStrike" baseline="0">
                  <a:solidFill>
                    <a:sysClr val="windowText" lastClr="000000">
                      <a:lumMod val="65000"/>
                      <a:lumOff val="35000"/>
                    </a:sysClr>
                  </a:solidFill>
                  <a:latin typeface="Arial" panose="020B0604020202020204" pitchFamily="34" charset="0"/>
                  <a:cs typeface="Arial" panose="020B0604020202020204" pitchFamily="34" charset="0"/>
                </a:rPr>
                <a:t>TIN Concentrations (mg N/L)</a:t>
              </a:r>
            </a:p>
          </cx:txPr>
        </cx:title>
        <cx:tickLabels/>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plotArea>
    <cx:legend pos="t" align="ctr" overlay="0">
      <cx:txPr>
        <a:bodyPr spcFirstLastPara="1" vertOverflow="ellipsis" horzOverflow="overflow" wrap="square" lIns="0" tIns="0" rIns="0" bIns="0" anchor="ctr" anchorCtr="1"/>
        <a:lstStyle/>
        <a:p>
          <a:pPr algn="ctr" rtl="0">
            <a:defRPr sz="110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22.xml><?xml version="1.0" encoding="utf-8"?>
<cx:chartSpace xmlns:a="http://schemas.openxmlformats.org/drawingml/2006/main" xmlns:r="http://schemas.openxmlformats.org/officeDocument/2006/relationships" xmlns:cx="http://schemas.microsoft.com/office/drawing/2014/chartex">
  <cx:chartData>
    <cx:data id="0">
      <cx:strDim type="cat">
        <cx:f>_xlchart.v1.52</cx:f>
      </cx:strDim>
      <cx:numDim type="val">
        <cx:f>_xlchart.v1.53</cx:f>
      </cx:numDim>
    </cx:data>
  </cx:chartData>
  <cx:chart>
    <cx:plotArea>
      <cx:plotAreaRegion>
        <cx:plotSurface>
          <cx:spPr>
            <a:ln w="12700">
              <a:solidFill>
                <a:schemeClr val="tx1"/>
              </a:solidFill>
            </a:ln>
          </cx:spPr>
        </cx:plotSurface>
        <cx:series layoutId="boxWhisker" uniqueId="{7A3AB037-6007-476D-84CF-72E83D2309E0}" formatIdx="0">
          <cx:spPr>
            <a:noFill/>
            <a:ln w="19050">
              <a:solidFill>
                <a:schemeClr val="accent6">
                  <a:lumMod val="75000"/>
                </a:schemeClr>
              </a:solidFill>
            </a:ln>
          </cx:spPr>
          <cx:dataId val="0"/>
          <cx:layoutPr>
            <cx:visibility meanLine="0" meanMarker="1" nonoutliers="1" outliers="1"/>
            <cx:statistics quartileMethod="inclusive"/>
          </cx:layoutPr>
        </cx:series>
      </cx:plotAreaRegion>
      <cx:axis id="0">
        <cx:catScaling gapWidth="1"/>
        <cx:tickLabels/>
        <cx:numFmt formatCode="General" sourceLinked="0"/>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axis id="1">
        <cx:valScaling max="5"/>
        <cx:tickLabels/>
        <cx:txPr>
          <a:bodyPr spcFirstLastPara="1" vertOverflow="ellipsis" horzOverflow="overflow" wrap="square" lIns="0" tIns="0" rIns="0" bIns="0" anchor="ctr" anchorCtr="1"/>
          <a:lstStyle/>
          <a:p>
            <a:pPr algn="ctr" rtl="0">
              <a:defRPr sz="1100" b="0">
                <a:solidFill>
                  <a:schemeClr val="bg1"/>
                </a:solidFill>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chemeClr val="bg1"/>
              </a:solidFill>
              <a:latin typeface="Arial" panose="020B0604020202020204" pitchFamily="34" charset="0"/>
              <a:cs typeface="Arial" panose="020B0604020202020204" pitchFamily="34" charset="0"/>
            </a:endParaRPr>
          </a:p>
        </cx:txPr>
      </cx:axis>
    </cx:plotArea>
    <cx:legend pos="t" align="ctr" overlay="0">
      <cx:txPr>
        <a:bodyPr spcFirstLastPara="1" vertOverflow="ellipsis" horzOverflow="overflow" wrap="square" lIns="0" tIns="0" rIns="0" bIns="0" anchor="ctr" anchorCtr="1"/>
        <a:lstStyle/>
        <a:p>
          <a:pPr algn="ctr" rtl="0">
            <a:defRPr sz="110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23.xml><?xml version="1.0" encoding="utf-8"?>
<cx:chartSpace xmlns:a="http://schemas.openxmlformats.org/drawingml/2006/main" xmlns:r="http://schemas.openxmlformats.org/officeDocument/2006/relationships" xmlns:cx="http://schemas.microsoft.com/office/drawing/2014/chartex">
  <cx:chartData>
    <cx:data id="0">
      <cx:strDim type="cat">
        <cx:f>_xlchart.v1.62</cx:f>
      </cx:strDim>
      <cx:numDim type="val">
        <cx:f>_xlchart.v1.63</cx:f>
      </cx:numDim>
    </cx:data>
  </cx:chartData>
  <cx:chart>
    <cx:plotArea>
      <cx:plotAreaRegion>
        <cx:plotSurface>
          <cx:spPr>
            <a:ln w="12700">
              <a:solidFill>
                <a:schemeClr val="tx1"/>
              </a:solidFill>
            </a:ln>
          </cx:spPr>
        </cx:plotSurface>
        <cx:series layoutId="boxWhisker" uniqueId="{00000001-9A42-48F6-866E-743DBEC5BA3A}" formatIdx="1">
          <cx:spPr>
            <a:noFill/>
            <a:ln w="19050">
              <a:solidFill>
                <a:srgbClr val="C00000"/>
              </a:solidFill>
            </a:ln>
          </cx:spPr>
          <cx:dataId val="0"/>
          <cx:layoutPr>
            <cx:visibility meanLine="0" meanMarker="1" nonoutliers="1" outliers="1"/>
            <cx:statistics quartileMethod="inclusive"/>
          </cx:layoutPr>
        </cx:series>
      </cx:plotAreaRegion>
      <cx:axis id="0">
        <cx:catScaling gapWidth="1"/>
        <cx:tickLabels/>
        <cx:numFmt formatCode="General" sourceLinked="0"/>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axis id="1">
        <cx:valScaling max="5"/>
        <cx:tickLabels/>
        <cx:txPr>
          <a:bodyPr spcFirstLastPara="1" vertOverflow="ellipsis" horzOverflow="overflow" wrap="square" lIns="0" tIns="0" rIns="0" bIns="0" anchor="ctr" anchorCtr="1"/>
          <a:lstStyle/>
          <a:p>
            <a:pPr algn="ctr" rtl="0">
              <a:defRPr sz="1100" b="0">
                <a:solidFill>
                  <a:schemeClr val="bg1"/>
                </a:solidFill>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chemeClr val="bg1"/>
              </a:solidFill>
              <a:latin typeface="Arial" panose="020B0604020202020204" pitchFamily="34" charset="0"/>
              <a:cs typeface="Arial" panose="020B0604020202020204" pitchFamily="34" charset="0"/>
            </a:endParaRPr>
          </a:p>
        </cx:txPr>
      </cx:axis>
    </cx:plotArea>
    <cx:legend pos="t" align="ctr" overlay="0">
      <cx:txPr>
        <a:bodyPr spcFirstLastPara="1" vertOverflow="ellipsis" horzOverflow="overflow" wrap="square" lIns="0" tIns="0" rIns="0" bIns="0" anchor="ctr" anchorCtr="1"/>
        <a:lstStyle/>
        <a:p>
          <a:pPr algn="ctr" rtl="0">
            <a:defRPr sz="110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24.xml><?xml version="1.0" encoding="utf-8"?>
<cx:chartSpace xmlns:a="http://schemas.openxmlformats.org/drawingml/2006/main" xmlns:r="http://schemas.openxmlformats.org/officeDocument/2006/relationships" xmlns:cx="http://schemas.microsoft.com/office/drawing/2014/chartex">
  <cx:chartData>
    <cx:data id="0">
      <cx:strDim type="cat">
        <cx:f>_xlchart.v1.50</cx:f>
      </cx:strDim>
      <cx:numDim type="val">
        <cx:f>_xlchart.v1.51</cx:f>
      </cx:numDim>
    </cx:data>
  </cx:chartData>
  <cx:chart>
    <cx:plotArea>
      <cx:plotAreaRegion>
        <cx:plotSurface>
          <cx:spPr>
            <a:ln w="12700">
              <a:solidFill>
                <a:schemeClr val="tx1"/>
              </a:solidFill>
            </a:ln>
          </cx:spPr>
        </cx:plotSurface>
        <cx:series layoutId="boxWhisker" uniqueId="{7A3AB037-6007-476D-84CF-72E83D2309E0}" formatIdx="0">
          <cx:spPr>
            <a:noFill/>
            <a:ln w="19050">
              <a:solidFill>
                <a:schemeClr val="accent5">
                  <a:lumMod val="50000"/>
                </a:schemeClr>
              </a:solidFill>
            </a:ln>
          </cx:spPr>
          <cx:dataId val="0"/>
          <cx:layoutPr>
            <cx:visibility meanLine="0" meanMarker="1" nonoutliers="1" outliers="1"/>
            <cx:statistics quartileMethod="inclusive"/>
          </cx:layoutPr>
        </cx:series>
      </cx:plotAreaRegion>
      <cx:axis id="0">
        <cx:catScaling gapWidth="1"/>
        <cx:tickLabels/>
        <cx:numFmt formatCode="General" sourceLinked="0"/>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axis id="1">
        <cx:valScaling max="5"/>
        <cx:title>
          <cx:tx>
            <cx:txData>
              <cx:v>TP Concentrations (mg P/L)</cx:v>
            </cx:txData>
          </cx:tx>
          <cx:txPr>
            <a:bodyPr spcFirstLastPara="1" vertOverflow="ellipsis" horzOverflow="overflow" wrap="square" lIns="0" tIns="0" rIns="0" bIns="0" anchor="ctr" anchorCtr="1"/>
            <a:lstStyle/>
            <a:p>
              <a:pPr algn="ctr" rtl="0">
                <a:defRPr sz="1100" b="1">
                  <a:latin typeface="Arial" panose="020B0604020202020204" pitchFamily="34" charset="0"/>
                  <a:ea typeface="Arial" panose="020B0604020202020204" pitchFamily="34" charset="0"/>
                  <a:cs typeface="Arial" panose="020B0604020202020204" pitchFamily="34" charset="0"/>
                </a:defRPr>
              </a:pPr>
              <a:r>
                <a:rPr lang="en-US" sz="1100" b="1" i="0" u="none" strike="noStrike" baseline="0">
                  <a:solidFill>
                    <a:sysClr val="windowText" lastClr="000000">
                      <a:lumMod val="65000"/>
                      <a:lumOff val="35000"/>
                    </a:sysClr>
                  </a:solidFill>
                  <a:latin typeface="Arial" panose="020B0604020202020204" pitchFamily="34" charset="0"/>
                  <a:cs typeface="Arial" panose="020B0604020202020204" pitchFamily="34" charset="0"/>
                </a:rPr>
                <a:t>TP Concentrations (mg P/L)</a:t>
              </a:r>
            </a:p>
          </cx:txPr>
        </cx:title>
        <cx:tickLabels/>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plotArea>
    <cx:legend pos="t" align="ctr" overlay="0">
      <cx:txPr>
        <a:bodyPr spcFirstLastPara="1" vertOverflow="ellipsis" horzOverflow="overflow" wrap="square" lIns="0" tIns="0" rIns="0" bIns="0" anchor="ctr" anchorCtr="1"/>
        <a:lstStyle/>
        <a:p>
          <a:pPr algn="ctr" rtl="0">
            <a:defRPr sz="110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25.xml><?xml version="1.0" encoding="utf-8"?>
<cx:chartSpace xmlns:a="http://schemas.openxmlformats.org/drawingml/2006/main" xmlns:r="http://schemas.openxmlformats.org/officeDocument/2006/relationships" xmlns:cx="http://schemas.microsoft.com/office/drawing/2014/chartex">
  <cx:chartData>
    <cx:data id="0">
      <cx:strDim type="cat">
        <cx:f>_xlchart.v1.58</cx:f>
      </cx:strDim>
      <cx:numDim type="val">
        <cx:f>_xlchart.v1.59</cx:f>
      </cx:numDim>
    </cx:data>
  </cx:chartData>
  <cx:chart>
    <cx:plotArea>
      <cx:plotAreaRegion>
        <cx:plotSurface>
          <cx:spPr>
            <a:ln w="12700">
              <a:solidFill>
                <a:schemeClr val="tx1"/>
              </a:solidFill>
            </a:ln>
          </cx:spPr>
        </cx:plotSurface>
        <cx:series layoutId="boxWhisker" uniqueId="{7A3AB037-6007-476D-84CF-72E83D2309E0}" formatIdx="0">
          <cx:spPr>
            <a:noFill/>
            <a:ln w="19050">
              <a:solidFill>
                <a:schemeClr val="accent6">
                  <a:lumMod val="75000"/>
                </a:schemeClr>
              </a:solidFill>
            </a:ln>
          </cx:spPr>
          <cx:dataId val="0"/>
          <cx:layoutPr>
            <cx:visibility meanLine="0" meanMarker="1" nonoutliers="1" outliers="1"/>
            <cx:statistics quartileMethod="inclusive"/>
          </cx:layoutPr>
        </cx:series>
      </cx:plotAreaRegion>
      <cx:axis id="0">
        <cx:catScaling gapWidth="1"/>
        <cx:tickLabels/>
        <cx:numFmt formatCode="General" sourceLinked="0"/>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axis id="1">
        <cx:valScaling max="5"/>
        <cx:tickLabels/>
        <cx:txPr>
          <a:bodyPr spcFirstLastPara="1" vertOverflow="ellipsis" horzOverflow="overflow" wrap="square" lIns="0" tIns="0" rIns="0" bIns="0" anchor="ctr" anchorCtr="1"/>
          <a:lstStyle/>
          <a:p>
            <a:pPr algn="ctr" rtl="0">
              <a:defRPr sz="1100" b="0">
                <a:solidFill>
                  <a:schemeClr val="bg1"/>
                </a:solidFill>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chemeClr val="bg1"/>
              </a:solidFill>
              <a:latin typeface="Arial" panose="020B0604020202020204" pitchFamily="34" charset="0"/>
              <a:cs typeface="Arial" panose="020B0604020202020204" pitchFamily="34" charset="0"/>
            </a:endParaRPr>
          </a:p>
        </cx:txPr>
      </cx:axis>
    </cx:plotArea>
    <cx:legend pos="t" align="ctr" overlay="0">
      <cx:txPr>
        <a:bodyPr spcFirstLastPara="1" vertOverflow="ellipsis" horzOverflow="overflow" wrap="square" lIns="0" tIns="0" rIns="0" bIns="0" anchor="ctr" anchorCtr="1"/>
        <a:lstStyle/>
        <a:p>
          <a:pPr algn="ctr" rtl="0">
            <a:defRPr sz="110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26.xml><?xml version="1.0" encoding="utf-8"?>
<cx:chartSpace xmlns:a="http://schemas.openxmlformats.org/drawingml/2006/main" xmlns:r="http://schemas.openxmlformats.org/officeDocument/2006/relationships" xmlns:cx="http://schemas.microsoft.com/office/drawing/2014/chartex">
  <cx:chartData>
    <cx:data id="0">
      <cx:strDim type="cat">
        <cx:f>_xlchart.v1.46</cx:f>
      </cx:strDim>
      <cx:numDim type="val">
        <cx:f>_xlchart.v1.47</cx:f>
      </cx:numDim>
    </cx:data>
  </cx:chartData>
  <cx:chart>
    <cx:plotArea>
      <cx:plotAreaRegion>
        <cx:plotSurface>
          <cx:spPr>
            <a:ln w="12700">
              <a:solidFill>
                <a:schemeClr val="tx1"/>
              </a:solidFill>
            </a:ln>
          </cx:spPr>
        </cx:plotSurface>
        <cx:series layoutId="boxWhisker" uniqueId="{00000001-9A42-48F6-866E-743DBEC5BA3A}" formatIdx="1">
          <cx:spPr>
            <a:noFill/>
            <a:ln w="19050">
              <a:solidFill>
                <a:srgbClr val="C00000"/>
              </a:solidFill>
            </a:ln>
          </cx:spPr>
          <cx:dataId val="0"/>
          <cx:layoutPr>
            <cx:visibility meanLine="0" meanMarker="1" nonoutliers="1" outliers="1"/>
            <cx:statistics quartileMethod="inclusive"/>
          </cx:layoutPr>
        </cx:series>
      </cx:plotAreaRegion>
      <cx:axis id="0">
        <cx:catScaling gapWidth="1"/>
        <cx:tickLabels/>
        <cx:numFmt formatCode="General" sourceLinked="0"/>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axis id="1">
        <cx:valScaling max="5"/>
        <cx:tickLabels/>
        <cx:txPr>
          <a:bodyPr spcFirstLastPara="1" vertOverflow="ellipsis" horzOverflow="overflow" wrap="square" lIns="0" tIns="0" rIns="0" bIns="0" anchor="ctr" anchorCtr="1"/>
          <a:lstStyle/>
          <a:p>
            <a:pPr algn="ctr" rtl="0">
              <a:defRPr sz="1100" b="0">
                <a:solidFill>
                  <a:schemeClr val="bg1"/>
                </a:solidFill>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chemeClr val="bg1"/>
              </a:solidFill>
              <a:latin typeface="Arial" panose="020B0604020202020204" pitchFamily="34" charset="0"/>
              <a:cs typeface="Arial" panose="020B0604020202020204" pitchFamily="34" charset="0"/>
            </a:endParaRPr>
          </a:p>
        </cx:txPr>
      </cx:axis>
    </cx:plotArea>
    <cx:legend pos="t" align="ctr" overlay="0">
      <cx:txPr>
        <a:bodyPr spcFirstLastPara="1" vertOverflow="ellipsis" horzOverflow="overflow" wrap="square" lIns="0" tIns="0" rIns="0" bIns="0" anchor="ctr" anchorCtr="1"/>
        <a:lstStyle/>
        <a:p>
          <a:pPr algn="ctr" rtl="0">
            <a:defRPr sz="110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27.xml><?xml version="1.0" encoding="utf-8"?>
<cx:chartSpace xmlns:a="http://schemas.openxmlformats.org/drawingml/2006/main" xmlns:r="http://schemas.openxmlformats.org/officeDocument/2006/relationships" xmlns:cx="http://schemas.microsoft.com/office/drawing/2014/chartex">
  <cx:chartData>
    <cx:data id="0">
      <cx:strDim type="cat">
        <cx:f>_xlchart.v1.44</cx:f>
      </cx:strDim>
      <cx:numDim type="val">
        <cx:f>_xlchart.v1.45</cx:f>
      </cx:numDim>
    </cx:data>
  </cx:chartData>
  <cx:chart>
    <cx:plotArea>
      <cx:plotAreaRegion>
        <cx:plotSurface>
          <cx:spPr>
            <a:ln w="12700">
              <a:solidFill>
                <a:schemeClr val="tx1"/>
              </a:solidFill>
            </a:ln>
          </cx:spPr>
        </cx:plotSurface>
        <cx:series layoutId="boxWhisker" uniqueId="{7A3AB037-6007-476D-84CF-72E83D2309E0}" formatIdx="0">
          <cx:spPr>
            <a:noFill/>
            <a:ln w="19050">
              <a:solidFill>
                <a:schemeClr val="accent5">
                  <a:lumMod val="50000"/>
                </a:schemeClr>
              </a:solidFill>
            </a:ln>
          </cx:spPr>
          <cx:dataId val="0"/>
          <cx:layoutPr>
            <cx:visibility meanLine="0" meanMarker="1" nonoutliers="1" outliers="1"/>
            <cx:statistics quartileMethod="inclusive"/>
          </cx:layoutPr>
        </cx:series>
      </cx:plotAreaRegion>
      <cx:axis id="0">
        <cx:catScaling gapWidth="1"/>
        <cx:tickLabels/>
        <cx:numFmt formatCode="General" sourceLinked="0"/>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axis id="1">
        <cx:valScaling max="5"/>
        <cx:title>
          <cx:tx>
            <cx:txData>
              <cx:v>TP Concentrations (mg P/L)</cx:v>
            </cx:txData>
          </cx:tx>
          <cx:txPr>
            <a:bodyPr spcFirstLastPara="1" vertOverflow="ellipsis" horzOverflow="overflow" wrap="square" lIns="0" tIns="0" rIns="0" bIns="0" anchor="ctr" anchorCtr="1"/>
            <a:lstStyle/>
            <a:p>
              <a:pPr algn="ctr" rtl="0">
                <a:defRPr sz="1100" b="1">
                  <a:latin typeface="Arial" panose="020B0604020202020204" pitchFamily="34" charset="0"/>
                  <a:ea typeface="Arial" panose="020B0604020202020204" pitchFamily="34" charset="0"/>
                  <a:cs typeface="Arial" panose="020B0604020202020204" pitchFamily="34" charset="0"/>
                </a:defRPr>
              </a:pPr>
              <a:r>
                <a:rPr lang="en-US" sz="1100" b="1" i="0" u="none" strike="noStrike" baseline="0">
                  <a:solidFill>
                    <a:sysClr val="windowText" lastClr="000000">
                      <a:lumMod val="65000"/>
                      <a:lumOff val="35000"/>
                    </a:sysClr>
                  </a:solidFill>
                  <a:latin typeface="Arial" panose="020B0604020202020204" pitchFamily="34" charset="0"/>
                  <a:cs typeface="Arial" panose="020B0604020202020204" pitchFamily="34" charset="0"/>
                </a:rPr>
                <a:t>TP Concentrations (mg P/L)</a:t>
              </a:r>
            </a:p>
          </cx:txPr>
        </cx:title>
        <cx:tickLabels/>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plotArea>
    <cx:legend pos="t" align="ctr" overlay="0">
      <cx:txPr>
        <a:bodyPr spcFirstLastPara="1" vertOverflow="ellipsis" horzOverflow="overflow" wrap="square" lIns="0" tIns="0" rIns="0" bIns="0" anchor="ctr" anchorCtr="1"/>
        <a:lstStyle/>
        <a:p>
          <a:pPr algn="ctr" rtl="0">
            <a:defRPr sz="110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28.xml><?xml version="1.0" encoding="utf-8"?>
<cx:chartSpace xmlns:a="http://schemas.openxmlformats.org/drawingml/2006/main" xmlns:r="http://schemas.openxmlformats.org/officeDocument/2006/relationships" xmlns:cx="http://schemas.microsoft.com/office/drawing/2014/chartex">
  <cx:chartData>
    <cx:data id="0">
      <cx:strDim type="cat">
        <cx:f>_xlchart.v1.54</cx:f>
      </cx:strDim>
      <cx:numDim type="val">
        <cx:f>_xlchart.v1.55</cx:f>
      </cx:numDim>
    </cx:data>
  </cx:chartData>
  <cx:chart>
    <cx:plotArea>
      <cx:plotAreaRegion>
        <cx:plotSurface>
          <cx:spPr>
            <a:ln w="12700">
              <a:solidFill>
                <a:schemeClr val="tx1"/>
              </a:solidFill>
            </a:ln>
          </cx:spPr>
        </cx:plotSurface>
        <cx:series layoutId="boxWhisker" uniqueId="{7A3AB037-6007-476D-84CF-72E83D2309E0}" formatIdx="0">
          <cx:spPr>
            <a:noFill/>
            <a:ln w="19050">
              <a:solidFill>
                <a:srgbClr val="F76015"/>
              </a:solidFill>
            </a:ln>
          </cx:spPr>
          <cx:dataId val="0"/>
          <cx:layoutPr>
            <cx:visibility meanLine="0" meanMarker="1" nonoutliers="1" outliers="1"/>
            <cx:statistics quartileMethod="inclusive"/>
          </cx:layoutPr>
        </cx:series>
      </cx:plotAreaRegion>
      <cx:axis id="0">
        <cx:catScaling gapWidth="1"/>
        <cx:tickLabels/>
        <cx:numFmt formatCode="General" sourceLinked="0"/>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axis id="1">
        <cx:valScaling max="2"/>
        <cx:title>
          <cx:tx>
            <cx:txData>
              <cx:v>TP Concentrations (mg P/L)</cx:v>
            </cx:txData>
          </cx:tx>
          <cx:txPr>
            <a:bodyPr spcFirstLastPara="1" vertOverflow="ellipsis" horzOverflow="overflow" wrap="square" lIns="0" tIns="0" rIns="0" bIns="0" anchor="ctr" anchorCtr="1"/>
            <a:lstStyle/>
            <a:p>
              <a:pPr algn="ctr" rtl="0">
                <a:defRPr sz="1100" b="1">
                  <a:latin typeface="Arial" panose="020B0604020202020204" pitchFamily="34" charset="0"/>
                  <a:ea typeface="Arial" panose="020B0604020202020204" pitchFamily="34" charset="0"/>
                  <a:cs typeface="Arial" panose="020B0604020202020204" pitchFamily="34" charset="0"/>
                </a:defRPr>
              </a:pPr>
              <a:r>
                <a:rPr lang="en-US" sz="1100" b="1" i="0" u="none" strike="noStrike" baseline="0">
                  <a:solidFill>
                    <a:sysClr val="windowText" lastClr="000000">
                      <a:lumMod val="65000"/>
                      <a:lumOff val="35000"/>
                    </a:sysClr>
                  </a:solidFill>
                  <a:latin typeface="Arial" panose="020B0604020202020204" pitchFamily="34" charset="0"/>
                  <a:cs typeface="Arial" panose="020B0604020202020204" pitchFamily="34" charset="0"/>
                </a:rPr>
                <a:t>TP Concentrations (mg P/L)</a:t>
              </a:r>
            </a:p>
          </cx:txPr>
        </cx:title>
        <cx:tickLabels/>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plotArea>
    <cx:legend pos="t" align="ctr" overlay="0">
      <cx:txPr>
        <a:bodyPr spcFirstLastPara="1" vertOverflow="ellipsis" horzOverflow="overflow" wrap="square" lIns="0" tIns="0" rIns="0" bIns="0" anchor="ctr" anchorCtr="1"/>
        <a:lstStyle/>
        <a:p>
          <a:pPr algn="ctr" rtl="0">
            <a:defRPr sz="110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29.xml><?xml version="1.0" encoding="utf-8"?>
<cx:chartSpace xmlns:a="http://schemas.openxmlformats.org/drawingml/2006/main" xmlns:r="http://schemas.openxmlformats.org/officeDocument/2006/relationships" xmlns:cx="http://schemas.microsoft.com/office/drawing/2014/chartex">
  <cx:chartData>
    <cx:data id="0">
      <cx:numDim type="val">
        <cx:f dir="row">_xlchart.v1.98</cx:f>
      </cx:numDim>
    </cx:data>
    <cx:data id="1">
      <cx:numDim type="val">
        <cx:f dir="row">_xlchart.v1.99</cx:f>
      </cx:numDim>
    </cx:data>
    <cx:data id="2">
      <cx:numDim type="val">
        <cx:f dir="row">_xlchart.v1.97</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Low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_xlchart.v1.95</cx:f>
              <cx:v>Low HLR, Lower Outlet Height, No Plants</cx:v>
            </cx:txData>
          </cx:tx>
          <cx:dataId val="0"/>
          <cx:layoutPr>
            <cx:visibility nonoutliers="0"/>
            <cx:statistics quartileMethod="exclusive"/>
          </cx:layoutPr>
        </cx:series>
        <cx:series layoutId="boxWhisker" uniqueId="{0000000A-53AA-3F4B-9ECC-192F2119BD00}">
          <cx:tx>
            <cx:txData>
              <cx:f>_xlchart.v1.96</cx:f>
              <cx:v>Low HLR, Lower Outlet Height, No Plants</cx:v>
            </cx:txData>
          </cx:tx>
          <cx:dataId val="1"/>
          <cx:layoutPr>
            <cx:visibility nonoutliers="0"/>
            <cx:statistics quartileMethod="exclusive"/>
          </cx:layoutPr>
        </cx:series>
        <cx:series layoutId="boxWhisker" uniqueId="{0000000B-53AA-3F4B-9ECC-192F2119BD00}">
          <cx:tx>
            <cx:txData>
              <cx:f>_xlchart.v1.94</cx:f>
              <cx:v>Low HLR, Lower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30.xml><?xml version="1.0" encoding="utf-8"?>
<cx:chartSpace xmlns:a="http://schemas.openxmlformats.org/drawingml/2006/main" xmlns:r="http://schemas.openxmlformats.org/officeDocument/2006/relationships" xmlns:cx="http://schemas.microsoft.com/office/drawing/2014/chartex">
  <cx:chartData>
    <cx:data id="0">
      <cx:numDim type="val">
        <cx:f dir="row">_xlchart.v1.91</cx:f>
      </cx:numDim>
    </cx:data>
    <cx:data id="1">
      <cx:numDim type="val">
        <cx:f dir="row">_xlchart.v1.92</cx:f>
      </cx:numDim>
    </cx:data>
    <cx:data id="2">
      <cx:numDim type="val">
        <cx:f dir="row">_xlchart.v1.93</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Medium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_xlchart.v1.88</cx:f>
              <cx:v>Medium HLR, Lower Outlet Height, No Plants</cx:v>
            </cx:txData>
          </cx:tx>
          <cx:dataId val="0"/>
          <cx:layoutPr>
            <cx:visibility nonoutliers="0"/>
            <cx:statistics quartileMethod="exclusive"/>
          </cx:layoutPr>
        </cx:series>
        <cx:series layoutId="boxWhisker" uniqueId="{0000000A-53AA-3F4B-9ECC-192F2119BD00}">
          <cx:tx>
            <cx:txData>
              <cx:f>_xlchart.v1.89</cx:f>
              <cx:v>Medium HLR, Lower Outlet Height, No Plants</cx:v>
            </cx:txData>
          </cx:tx>
          <cx:dataId val="1"/>
          <cx:layoutPr>
            <cx:visibility nonoutliers="0"/>
            <cx:statistics quartileMethod="exclusive"/>
          </cx:layoutPr>
        </cx:series>
        <cx:series layoutId="boxWhisker" uniqueId="{0000000B-53AA-3F4B-9ECC-192F2119BD00}">
          <cx:tx>
            <cx:txData>
              <cx:f>_xlchart.v1.90</cx:f>
              <cx:v>Medium HLR, Lower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31.xml><?xml version="1.0" encoding="utf-8"?>
<cx:chartSpace xmlns:a="http://schemas.openxmlformats.org/drawingml/2006/main" xmlns:r="http://schemas.openxmlformats.org/officeDocument/2006/relationships" xmlns:cx="http://schemas.microsoft.com/office/drawing/2014/chartex">
  <cx:chartData>
    <cx:data id="0">
      <cx:numDim type="val">
        <cx:f dir="row">_xlchart.v1.105</cx:f>
      </cx:numDim>
    </cx:data>
    <cx:data id="1">
      <cx:numDim type="val">
        <cx:f dir="row">_xlchart.v1.100</cx:f>
      </cx:numDim>
    </cx:data>
    <cx:data id="2">
      <cx:numDim type="val">
        <cx:f dir="row">_xlchart.v1.101</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_xlchart.v1.102</cx:f>
              <cx:v>High HLR, Lower Outlet Height, No Plants</cx:v>
            </cx:txData>
          </cx:tx>
          <cx:dataId val="0"/>
          <cx:layoutPr>
            <cx:visibility nonoutliers="0"/>
            <cx:statistics quartileMethod="exclusive"/>
          </cx:layoutPr>
        </cx:series>
        <cx:series layoutId="boxWhisker" uniqueId="{0000000A-53AA-3F4B-9ECC-192F2119BD00}">
          <cx:tx>
            <cx:txData>
              <cx:f>_xlchart.v1.103</cx:f>
              <cx:v>High HLR, Lower Outlet Height, No Plants</cx:v>
            </cx:txData>
          </cx:tx>
          <cx:dataId val="1"/>
          <cx:layoutPr>
            <cx:visibility nonoutliers="0"/>
            <cx:statistics quartileMethod="exclusive"/>
          </cx:layoutPr>
        </cx:series>
        <cx:series layoutId="boxWhisker" uniqueId="{0000000B-53AA-3F4B-9ECC-192F2119BD00}">
          <cx:tx>
            <cx:txData>
              <cx:f>_xlchart.v1.104</cx:f>
              <cx:v>High HLR, Lower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32.xml><?xml version="1.0" encoding="utf-8"?>
<cx:chartSpace xmlns:a="http://schemas.openxmlformats.org/drawingml/2006/main" xmlns:r="http://schemas.openxmlformats.org/officeDocument/2006/relationships" xmlns:cx="http://schemas.microsoft.com/office/drawing/2014/chartex">
  <cx:chartData>
    <cx:data id="0">
      <cx:numDim type="val">
        <cx:f dir="row">_xlchart.v1.85</cx:f>
      </cx:numDim>
    </cx:data>
    <cx:data id="1">
      <cx:numDim type="val">
        <cx:f dir="row">_xlchart.v1.86</cx:f>
      </cx:numDim>
    </cx:data>
    <cx:data id="2">
      <cx:numDim type="val">
        <cx:f dir="row">_xlchart.v1.87</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Upper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_xlchart.v1.82</cx:f>
              <cx:v>High HLR, Upper Outlet Height, No Plants</cx:v>
            </cx:txData>
          </cx:tx>
          <cx:dataId val="0"/>
          <cx:layoutPr>
            <cx:visibility nonoutliers="0"/>
            <cx:statistics quartileMethod="exclusive"/>
          </cx:layoutPr>
        </cx:series>
        <cx:series layoutId="boxWhisker" uniqueId="{0000000A-53AA-3F4B-9ECC-192F2119BD00}">
          <cx:tx>
            <cx:txData>
              <cx:f>_xlchart.v1.83</cx:f>
              <cx:v>High HLR, Upper Outlet Height, No Plants</cx:v>
            </cx:txData>
          </cx:tx>
          <cx:dataId val="1"/>
          <cx:layoutPr>
            <cx:visibility nonoutliers="0"/>
            <cx:statistics quartileMethod="exclusive"/>
          </cx:layoutPr>
        </cx:series>
        <cx:series layoutId="boxWhisker" uniqueId="{0000000B-53AA-3F4B-9ECC-192F2119BD00}">
          <cx:tx>
            <cx:txData>
              <cx:f>_xlchart.v1.84</cx:f>
              <cx:v>High HLR, Upper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33.xml><?xml version="1.0" encoding="utf-8"?>
<cx:chartSpace xmlns:a="http://schemas.openxmlformats.org/drawingml/2006/main" xmlns:r="http://schemas.openxmlformats.org/officeDocument/2006/relationships" xmlns:cx="http://schemas.microsoft.com/office/drawing/2014/chartex">
  <cx:chartData>
    <cx:data id="0">
      <cx:numDim type="val">
        <cx:f dir="row">_xlchart.v1.73</cx:f>
      </cx:numDim>
    </cx:data>
    <cx:data id="1">
      <cx:numDim type="val">
        <cx:f dir="row">_xlchart.v1.74</cx:f>
      </cx:numDim>
    </cx:data>
    <cx:data id="2">
      <cx:numDim type="val">
        <cx:f dir="row">_xlchart.v1.75</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Lower Outlet Height, Yes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_xlchart.v1.70</cx:f>
              <cx:v>High HLR, Lower Outlet Height, Yes Plants</cx:v>
            </cx:txData>
          </cx:tx>
          <cx:dataId val="0"/>
          <cx:layoutPr>
            <cx:visibility nonoutliers="0"/>
            <cx:statistics quartileMethod="exclusive"/>
          </cx:layoutPr>
        </cx:series>
        <cx:series layoutId="boxWhisker" uniqueId="{0000000A-53AA-3F4B-9ECC-192F2119BD00}">
          <cx:tx>
            <cx:txData>
              <cx:f>_xlchart.v1.71</cx:f>
              <cx:v>High HLR, Lower Outlet Height, Yes Plants</cx:v>
            </cx:txData>
          </cx:tx>
          <cx:dataId val="1"/>
          <cx:layoutPr>
            <cx:visibility nonoutliers="0"/>
            <cx:statistics quartileMethod="exclusive"/>
          </cx:layoutPr>
        </cx:series>
        <cx:series layoutId="boxWhisker" uniqueId="{0000000B-53AA-3F4B-9ECC-192F2119BD00}">
          <cx:tx>
            <cx:txData>
              <cx:f>_xlchart.v1.72</cx:f>
              <cx:v>High HLR, Lower Outlet Height, Yes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34.xml><?xml version="1.0" encoding="utf-8"?>
<cx:chartSpace xmlns:a="http://schemas.openxmlformats.org/drawingml/2006/main" xmlns:r="http://schemas.openxmlformats.org/officeDocument/2006/relationships" xmlns:cx="http://schemas.microsoft.com/office/drawing/2014/chartex">
  <cx:chartData>
    <cx:data id="0">
      <cx:numDim type="val">
        <cx:f dir="row">_xlchart.v1.79</cx:f>
      </cx:numDim>
    </cx:data>
    <cx:data id="1">
      <cx:numDim type="val">
        <cx:f dir="row">_xlchart.v1.80</cx:f>
      </cx:numDim>
    </cx:data>
    <cx:data id="2">
      <cx:numDim type="val">
        <cx:f dir="row">_xlchart.v1.81</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Upper Outlet Height, Yes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_xlchart.v1.76</cx:f>
              <cx:v>Medium HLR, Upper Outlet Height, Yes Plants</cx:v>
            </cx:txData>
          </cx:tx>
          <cx:dataId val="0"/>
          <cx:layoutPr>
            <cx:visibility nonoutliers="0"/>
            <cx:statistics quartileMethod="exclusive"/>
          </cx:layoutPr>
        </cx:series>
        <cx:series layoutId="boxWhisker" uniqueId="{0000000A-53AA-3F4B-9ECC-192F2119BD00}">
          <cx:tx>
            <cx:txData>
              <cx:f>_xlchart.v1.77</cx:f>
              <cx:v>Medium HLR, Upper Outlet Height, Yes Plants</cx:v>
            </cx:txData>
          </cx:tx>
          <cx:dataId val="1"/>
          <cx:layoutPr>
            <cx:visibility nonoutliers="0"/>
            <cx:statistics quartileMethod="exclusive"/>
          </cx:layoutPr>
        </cx:series>
        <cx:series layoutId="boxWhisker" uniqueId="{0000000B-53AA-3F4B-9ECC-192F2119BD00}">
          <cx:tx>
            <cx:txData>
              <cx:f>_xlchart.v1.78</cx:f>
              <cx:v>Medium HLR, Upper Outlet Height, Yes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35.xml><?xml version="1.0" encoding="utf-8"?>
<cx:chartSpace xmlns:a="http://schemas.openxmlformats.org/drawingml/2006/main" xmlns:r="http://schemas.openxmlformats.org/officeDocument/2006/relationships" xmlns:cx="http://schemas.microsoft.com/office/drawing/2014/chartex">
  <cx:chartData>
    <cx:data id="0">
      <cx:numDim type="val">
        <cx:f dir="row">_xlchart.v1.122</cx:f>
      </cx:numDim>
    </cx:data>
    <cx:data id="1">
      <cx:numDim type="val">
        <cx:f dir="row">_xlchart.v1.123</cx:f>
      </cx:numDim>
    </cx:data>
    <cx:data id="2">
      <cx:numDim type="val">
        <cx:f dir="row">_xlchart.v1.121</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Low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_xlchart.v1.119</cx:f>
              <cx:v>Low HLR, Lower Outlet Height, No Plants</cx:v>
            </cx:txData>
          </cx:tx>
          <cx:dataId val="0"/>
          <cx:layoutPr>
            <cx:visibility nonoutliers="0"/>
            <cx:statistics quartileMethod="exclusive"/>
          </cx:layoutPr>
        </cx:series>
        <cx:series layoutId="boxWhisker" uniqueId="{0000000A-53AA-3F4B-9ECC-192F2119BD00}">
          <cx:tx>
            <cx:txData>
              <cx:f>_xlchart.v1.120</cx:f>
              <cx:v>Low HLR, Lower Outlet Height, No Plants</cx:v>
            </cx:txData>
          </cx:tx>
          <cx:dataId val="1"/>
          <cx:layoutPr>
            <cx:visibility nonoutliers="0"/>
            <cx:statistics quartileMethod="exclusive"/>
          </cx:layoutPr>
        </cx:series>
        <cx:series layoutId="boxWhisker" uniqueId="{0000000B-53AA-3F4B-9ECC-192F2119BD00}">
          <cx:tx>
            <cx:txData>
              <cx:f>_xlchart.v1.118</cx:f>
              <cx:v>Low HLR, Lower Outlet Height, No Plants</cx:v>
            </cx:txData>
          </cx:tx>
          <cx:dataId val="2"/>
          <cx:layoutPr>
            <cx:visibility nonoutliers="0"/>
            <cx:statistics quartileMethod="exclusive"/>
          </cx:layoutPr>
        </cx:series>
      </cx:plotAreaRegion>
      <cx:axis id="0" hidden="1">
        <cx:catScaling gapWidth="1"/>
        <cx:tickLabels/>
      </cx:axis>
      <cx:axis id="1">
        <cx:valScaling/>
        <cx:title>
          <cx:tx>
            <cx:rich>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 </a:t>
                </a: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NH</a:t>
                </a:r>
                <a:r>
                  <a:rPr lang="en-US" sz="900" b="0" i="0" u="none" strike="noStrike" baseline="-2500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4</a:t>
                </a:r>
                <a:r>
                  <a:rPr lang="en-US" sz="900" b="0" i="0" u="none" strike="noStrike" baseline="3000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a:t>
                </a: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 </a:t>
                </a:r>
                <a:r>
                  <a:rPr lang="en-US" sz="900" b="0" i="0" u="none" strike="noStrike" baseline="0">
                    <a:solidFill>
                      <a:sysClr val="windowText" lastClr="000000">
                        <a:lumMod val="65000"/>
                        <a:lumOff val="35000"/>
                      </a:sysClr>
                    </a:solidFill>
                    <a:latin typeface="Calibri" panose="020F0502020204030204"/>
                  </a:rPr>
                  <a:t>/L)</a:t>
                </a:r>
              </a:p>
            </cx:rich>
          </cx:tx>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36.xml><?xml version="1.0" encoding="utf-8"?>
<cx:chartSpace xmlns:a="http://schemas.openxmlformats.org/drawingml/2006/main" xmlns:r="http://schemas.openxmlformats.org/officeDocument/2006/relationships" xmlns:cx="http://schemas.microsoft.com/office/drawing/2014/chartex">
  <cx:chartData>
    <cx:data id="0">
      <cx:numDim type="val">
        <cx:f dir="row">_xlchart.v1.109</cx:f>
      </cx:numDim>
    </cx:data>
    <cx:data id="1">
      <cx:numDim type="val">
        <cx:f dir="row">_xlchart.v1.110</cx:f>
      </cx:numDim>
    </cx:data>
    <cx:data id="2">
      <cx:numDim type="val">
        <cx:f dir="row">_xlchart.v1.111</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Medium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_xlchart.v1.106</cx:f>
              <cx:v>Medium HLR, Lower Outlet Height, No Plants</cx:v>
            </cx:txData>
          </cx:tx>
          <cx:dataId val="0"/>
          <cx:layoutPr>
            <cx:visibility nonoutliers="0"/>
            <cx:statistics quartileMethod="exclusive"/>
          </cx:layoutPr>
        </cx:series>
        <cx:series layoutId="boxWhisker" uniqueId="{0000000A-53AA-3F4B-9ECC-192F2119BD00}">
          <cx:tx>
            <cx:txData>
              <cx:f>_xlchart.v1.107</cx:f>
              <cx:v>Medium HLR, Lower Outlet Height, No Plants</cx:v>
            </cx:txData>
          </cx:tx>
          <cx:dataId val="1"/>
          <cx:layoutPr>
            <cx:visibility nonoutliers="0"/>
            <cx:statistics quartileMethod="exclusive"/>
          </cx:layoutPr>
        </cx:series>
        <cx:series layoutId="boxWhisker" uniqueId="{0000000B-53AA-3F4B-9ECC-192F2119BD00}">
          <cx:tx>
            <cx:txData>
              <cx:f>_xlchart.v1.108</cx:f>
              <cx:v>Medium HLR, Lower Outlet Height, No Plants</cx:v>
            </cx:txData>
          </cx:tx>
          <cx:dataId val="2"/>
          <cx:layoutPr>
            <cx:visibility nonoutliers="0"/>
            <cx:statistics quartileMethod="exclusive"/>
          </cx:layoutPr>
        </cx:series>
      </cx:plotAreaRegion>
      <cx:axis id="0" hidden="1">
        <cx:catScaling gapWidth="1"/>
        <cx:tickLabels/>
      </cx:axis>
      <cx:axis id="1">
        <cx:valScaling/>
        <cx:title>
          <cx:tx>
            <cx:rich>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 </a:t>
                </a: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NH</a:t>
                </a:r>
                <a:r>
                  <a:rPr lang="en-US" sz="900" b="0" i="0" u="none" strike="noStrike" baseline="-2500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4</a:t>
                </a:r>
                <a:r>
                  <a:rPr lang="en-US" sz="900" b="0" i="0" u="none" strike="noStrike" baseline="3000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a:t>
                </a: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 </a:t>
                </a:r>
                <a:r>
                  <a:rPr lang="en-US" sz="900" b="0" i="0" u="none" strike="noStrike" baseline="0">
                    <a:solidFill>
                      <a:sysClr val="windowText" lastClr="000000">
                        <a:lumMod val="65000"/>
                        <a:lumOff val="35000"/>
                      </a:sysClr>
                    </a:solidFill>
                    <a:latin typeface="Calibri" panose="020F0502020204030204"/>
                  </a:rPr>
                  <a:t>/L)</a:t>
                </a:r>
              </a:p>
            </cx:rich>
          </cx:tx>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37.xml><?xml version="1.0" encoding="utf-8"?>
<cx:chartSpace xmlns:a="http://schemas.openxmlformats.org/drawingml/2006/main" xmlns:r="http://schemas.openxmlformats.org/officeDocument/2006/relationships" xmlns:cx="http://schemas.microsoft.com/office/drawing/2014/chartex">
  <cx:chartData>
    <cx:data id="0">
      <cx:numDim type="val">
        <cx:f dir="row">_xlchart.v1.129</cx:f>
      </cx:numDim>
    </cx:data>
    <cx:data id="1">
      <cx:numDim type="val">
        <cx:f dir="row">_xlchart.v1.124</cx:f>
      </cx:numDim>
    </cx:data>
    <cx:data id="2">
      <cx:numDim type="val">
        <cx:f dir="row">_xlchart.v1.125</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_xlchart.v1.126</cx:f>
              <cx:v>High HLR, Lower Outlet Height, No Plants</cx:v>
            </cx:txData>
          </cx:tx>
          <cx:dataId val="0"/>
          <cx:layoutPr>
            <cx:visibility nonoutliers="0"/>
            <cx:statistics quartileMethod="exclusive"/>
          </cx:layoutPr>
        </cx:series>
        <cx:series layoutId="boxWhisker" uniqueId="{0000000A-53AA-3F4B-9ECC-192F2119BD00}">
          <cx:tx>
            <cx:txData>
              <cx:f>_xlchart.v1.127</cx:f>
              <cx:v>High HLR, Lower Outlet Height, No Plants</cx:v>
            </cx:txData>
          </cx:tx>
          <cx:dataId val="1"/>
          <cx:layoutPr>
            <cx:visibility nonoutliers="0"/>
            <cx:statistics quartileMethod="exclusive"/>
          </cx:layoutPr>
        </cx:series>
        <cx:series layoutId="boxWhisker" uniqueId="{0000000B-53AA-3F4B-9ECC-192F2119BD00}">
          <cx:tx>
            <cx:txData>
              <cx:f>_xlchart.v1.128</cx:f>
              <cx:v>High HLR, Lower Outlet Height, No Plants</cx:v>
            </cx:txData>
          </cx:tx>
          <cx:dataId val="2"/>
          <cx:layoutPr>
            <cx:visibility nonoutliers="0"/>
            <cx:statistics quartileMethod="exclusive"/>
          </cx:layoutPr>
        </cx:series>
      </cx:plotAreaRegion>
      <cx:axis id="0" hidden="1">
        <cx:catScaling gapWidth="1"/>
        <cx:tickLabels/>
      </cx:axis>
      <cx:axis id="1">
        <cx:valScaling/>
        <cx:title>
          <cx:tx>
            <cx:rich>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 </a:t>
                </a: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NH</a:t>
                </a:r>
                <a:r>
                  <a:rPr lang="en-US" sz="900" b="0" i="0" u="none" strike="noStrike" baseline="-2500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4</a:t>
                </a:r>
                <a:r>
                  <a:rPr lang="en-US" sz="900" b="0" i="0" u="none" strike="noStrike" baseline="3000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a:t>
                </a: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 </a:t>
                </a:r>
                <a:r>
                  <a:rPr lang="en-US" sz="900" b="0" i="0" u="none" strike="noStrike" baseline="0">
                    <a:solidFill>
                      <a:sysClr val="windowText" lastClr="000000">
                        <a:lumMod val="65000"/>
                        <a:lumOff val="35000"/>
                      </a:sysClr>
                    </a:solidFill>
                    <a:latin typeface="Calibri" panose="020F0502020204030204"/>
                  </a:rPr>
                  <a:t>/L)</a:t>
                </a:r>
              </a:p>
            </cx:rich>
          </cx:tx>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38.xml><?xml version="1.0" encoding="utf-8"?>
<cx:chartSpace xmlns:a="http://schemas.openxmlformats.org/drawingml/2006/main" xmlns:r="http://schemas.openxmlformats.org/officeDocument/2006/relationships" xmlns:cx="http://schemas.microsoft.com/office/drawing/2014/chartex">
  <cx:chartData>
    <cx:data id="0">
      <cx:numDim type="val">
        <cx:f dir="row">_xlchart.v1.133</cx:f>
      </cx:numDim>
    </cx:data>
    <cx:data id="1">
      <cx:numDim type="val">
        <cx:f dir="row">_xlchart.v1.134</cx:f>
      </cx:numDim>
    </cx:data>
    <cx:data id="2">
      <cx:numDim type="val">
        <cx:f dir="row">_xlchart.v1.135</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Upper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_xlchart.v1.130</cx:f>
              <cx:v>High HLR, Upper Outlet Height, No Plants</cx:v>
            </cx:txData>
          </cx:tx>
          <cx:dataId val="0"/>
          <cx:layoutPr>
            <cx:visibility nonoutliers="0"/>
            <cx:statistics quartileMethod="exclusive"/>
          </cx:layoutPr>
        </cx:series>
        <cx:series layoutId="boxWhisker" uniqueId="{0000000A-53AA-3F4B-9ECC-192F2119BD00}">
          <cx:tx>
            <cx:txData>
              <cx:f>_xlchart.v1.131</cx:f>
              <cx:v>High HLR, Upper Outlet Height, No Plants</cx:v>
            </cx:txData>
          </cx:tx>
          <cx:dataId val="1"/>
          <cx:layoutPr>
            <cx:visibility nonoutliers="0"/>
            <cx:statistics quartileMethod="exclusive"/>
          </cx:layoutPr>
        </cx:series>
        <cx:series layoutId="boxWhisker" uniqueId="{0000000B-53AA-3F4B-9ECC-192F2119BD00}">
          <cx:tx>
            <cx:txData>
              <cx:f>_xlchart.v1.132</cx:f>
              <cx:v>High HLR, Upper Outlet Height, No Plants</cx:v>
            </cx:txData>
          </cx:tx>
          <cx:dataId val="2"/>
          <cx:layoutPr>
            <cx:visibility nonoutliers="0"/>
            <cx:statistics quartileMethod="exclusive"/>
          </cx:layoutPr>
        </cx:series>
      </cx:plotAreaRegion>
      <cx:axis id="0" hidden="1">
        <cx:catScaling gapWidth="1"/>
        <cx:tickLabels/>
      </cx:axis>
      <cx:axis id="1">
        <cx:valScaling/>
        <cx:title>
          <cx:tx>
            <cx:rich>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 </a:t>
                </a: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NH</a:t>
                </a:r>
                <a:r>
                  <a:rPr lang="en-US" sz="900" b="0" i="0" u="none" strike="noStrike" baseline="-2500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4</a:t>
                </a:r>
                <a:r>
                  <a:rPr lang="en-US" sz="900" b="0" i="0" u="none" strike="noStrike" baseline="3000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a:t>
                </a: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 </a:t>
                </a:r>
                <a:r>
                  <a:rPr lang="en-US" sz="900" b="0" i="0" u="none" strike="noStrike" baseline="0">
                    <a:solidFill>
                      <a:sysClr val="windowText" lastClr="000000">
                        <a:lumMod val="65000"/>
                        <a:lumOff val="35000"/>
                      </a:sysClr>
                    </a:solidFill>
                    <a:latin typeface="Calibri" panose="020F0502020204030204"/>
                  </a:rPr>
                  <a:t>/L)</a:t>
                </a:r>
              </a:p>
            </cx:rich>
          </cx:tx>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39.xml><?xml version="1.0" encoding="utf-8"?>
<cx:chartSpace xmlns:a="http://schemas.openxmlformats.org/drawingml/2006/main" xmlns:r="http://schemas.openxmlformats.org/officeDocument/2006/relationships" xmlns:cx="http://schemas.microsoft.com/office/drawing/2014/chartex">
  <cx:chartData>
    <cx:data id="0">
      <cx:numDim type="val">
        <cx:f dir="row">_xlchart.v1.139</cx:f>
      </cx:numDim>
    </cx:data>
    <cx:data id="1">
      <cx:numDim type="val">
        <cx:f dir="row">_xlchart.v1.140</cx:f>
      </cx:numDim>
    </cx:data>
    <cx:data id="2">
      <cx:numDim type="val">
        <cx:f dir="row">_xlchart.v1.141</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Lower Outlet Height, Yes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_xlchart.v1.136</cx:f>
              <cx:v>High HLR, Lower Outlet Height, Yes Plants</cx:v>
            </cx:txData>
          </cx:tx>
          <cx:dataId val="0"/>
          <cx:layoutPr>
            <cx:visibility nonoutliers="0"/>
            <cx:statistics quartileMethod="exclusive"/>
          </cx:layoutPr>
        </cx:series>
        <cx:series layoutId="boxWhisker" uniqueId="{0000000A-53AA-3F4B-9ECC-192F2119BD00}">
          <cx:tx>
            <cx:txData>
              <cx:f>_xlchart.v1.137</cx:f>
              <cx:v>High HLR, Lower Outlet Height, Yes Plants</cx:v>
            </cx:txData>
          </cx:tx>
          <cx:dataId val="1"/>
          <cx:layoutPr>
            <cx:visibility nonoutliers="0"/>
            <cx:statistics quartileMethod="exclusive"/>
          </cx:layoutPr>
        </cx:series>
        <cx:series layoutId="boxWhisker" uniqueId="{0000000B-53AA-3F4B-9ECC-192F2119BD00}">
          <cx:tx>
            <cx:txData>
              <cx:f>_xlchart.v1.138</cx:f>
              <cx:v>High HLR, Lower Outlet Height, Yes Plants</cx:v>
            </cx:txData>
          </cx:tx>
          <cx:dataId val="2"/>
          <cx:layoutPr>
            <cx:visibility nonoutliers="0"/>
            <cx:statistics quartileMethod="exclusive"/>
          </cx:layoutPr>
        </cx:series>
      </cx:plotAreaRegion>
      <cx:axis id="0" hidden="1">
        <cx:catScaling gapWidth="1"/>
        <cx:tickLabels/>
      </cx:axis>
      <cx:axis id="1">
        <cx:valScaling/>
        <cx:title>
          <cx:tx>
            <cx:rich>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 </a:t>
                </a: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NH</a:t>
                </a:r>
                <a:r>
                  <a:rPr lang="en-US" sz="900" b="0" i="0" u="none" strike="noStrike" baseline="-2500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4</a:t>
                </a:r>
                <a:r>
                  <a:rPr lang="en-US" sz="900" b="0" i="0" u="none" strike="noStrike" baseline="3000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a:t>
                </a: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 </a:t>
                </a:r>
                <a:r>
                  <a:rPr lang="en-US" sz="900" b="0" i="0" u="none" strike="noStrike" baseline="0">
                    <a:solidFill>
                      <a:sysClr val="windowText" lastClr="000000">
                        <a:lumMod val="65000"/>
                        <a:lumOff val="35000"/>
                      </a:sysClr>
                    </a:solidFill>
                    <a:latin typeface="Calibri" panose="020F0502020204030204"/>
                  </a:rPr>
                  <a:t>/L)</a:t>
                </a:r>
              </a:p>
            </cx:rich>
          </cx:tx>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40.xml><?xml version="1.0" encoding="utf-8"?>
<cx:chartSpace xmlns:a="http://schemas.openxmlformats.org/drawingml/2006/main" xmlns:r="http://schemas.openxmlformats.org/officeDocument/2006/relationships" xmlns:cx="http://schemas.microsoft.com/office/drawing/2014/chartex">
  <cx:chartData>
    <cx:data id="0">
      <cx:numDim type="val">
        <cx:f dir="row">_xlchart.v1.115</cx:f>
      </cx:numDim>
    </cx:data>
    <cx:data id="1">
      <cx:numDim type="val">
        <cx:f dir="row">_xlchart.v1.116</cx:f>
      </cx:numDim>
    </cx:data>
    <cx:data id="2">
      <cx:numDim type="val">
        <cx:f dir="row">_xlchart.v1.117</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Upper Outlet Height, Yes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_xlchart.v1.112</cx:f>
              <cx:v>Medium HLR, Upper Outlet Height, Yes Plants</cx:v>
            </cx:txData>
          </cx:tx>
          <cx:dataId val="0"/>
          <cx:layoutPr>
            <cx:visibility nonoutliers="0"/>
            <cx:statistics quartileMethod="exclusive"/>
          </cx:layoutPr>
        </cx:series>
        <cx:series layoutId="boxWhisker" uniqueId="{0000000A-53AA-3F4B-9ECC-192F2119BD00}">
          <cx:tx>
            <cx:txData>
              <cx:f>_xlchart.v1.113</cx:f>
              <cx:v>Medium HLR, Upper Outlet Height, Yes Plants</cx:v>
            </cx:txData>
          </cx:tx>
          <cx:dataId val="1"/>
          <cx:layoutPr>
            <cx:visibility nonoutliers="0"/>
            <cx:statistics quartileMethod="exclusive"/>
          </cx:layoutPr>
        </cx:series>
        <cx:series layoutId="boxWhisker" uniqueId="{0000000B-53AA-3F4B-9ECC-192F2119BD00}">
          <cx:tx>
            <cx:txData>
              <cx:f>_xlchart.v1.114</cx:f>
              <cx:v>Medium HLR, Upper Outlet Height, Yes Plants</cx:v>
            </cx:txData>
          </cx:tx>
          <cx:dataId val="2"/>
          <cx:layoutPr>
            <cx:visibility nonoutliers="0"/>
            <cx:statistics quartileMethod="exclusive"/>
          </cx:layoutPr>
        </cx:series>
      </cx:plotAreaRegion>
      <cx:axis id="0" hidden="1">
        <cx:catScaling gapWidth="1"/>
        <cx:tickLabels/>
      </cx:axis>
      <cx:axis id="1">
        <cx:valScaling/>
        <cx:title>
          <cx:tx>
            <cx:rich>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 </a:t>
                </a: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NH</a:t>
                </a:r>
                <a:r>
                  <a:rPr lang="en-US" sz="900" b="0" i="0" u="none" strike="noStrike" baseline="-2500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4</a:t>
                </a:r>
                <a:r>
                  <a:rPr lang="en-US" sz="900" b="0" i="0" u="none" strike="noStrike" baseline="3000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a:t>
                </a: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 </a:t>
                </a:r>
                <a:r>
                  <a:rPr lang="en-US" sz="900" b="0" i="0" u="none" strike="noStrike" baseline="0">
                    <a:solidFill>
                      <a:sysClr val="windowText" lastClr="000000">
                        <a:lumMod val="65000"/>
                        <a:lumOff val="35000"/>
                      </a:sysClr>
                    </a:solidFill>
                    <a:latin typeface="Calibri" panose="020F0502020204030204"/>
                  </a:rPr>
                  <a:t>/L)</a:t>
                </a:r>
              </a:p>
            </cx:rich>
          </cx:tx>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41.xml><?xml version="1.0" encoding="utf-8"?>
<cx:chartSpace xmlns:a="http://schemas.openxmlformats.org/drawingml/2006/main" xmlns:r="http://schemas.openxmlformats.org/officeDocument/2006/relationships" xmlns:cx="http://schemas.microsoft.com/office/drawing/2014/chartex">
  <cx:chartData>
    <cx:data id="0">
      <cx:numDim type="val">
        <cx:f dir="row">_xlchart.v1.176</cx:f>
      </cx:numDim>
    </cx:data>
    <cx:data id="1">
      <cx:numDim type="val">
        <cx:f dir="row">_xlchart.v1.177</cx:f>
      </cx:numDim>
    </cx:data>
    <cx:data id="2">
      <cx:numDim type="val">
        <cx:f dir="row">_xlchart.v1.175</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Low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_xlchart.v1.173</cx:f>
              <cx:v>Low HLR, Lower Outlet Height, No Plants</cx:v>
            </cx:txData>
          </cx:tx>
          <cx:dataId val="0"/>
          <cx:layoutPr>
            <cx:visibility nonoutliers="0"/>
            <cx:statistics quartileMethod="exclusive"/>
          </cx:layoutPr>
        </cx:series>
        <cx:series layoutId="boxWhisker" uniqueId="{0000000A-53AA-3F4B-9ECC-192F2119BD00}">
          <cx:tx>
            <cx:txData>
              <cx:f>_xlchart.v1.174</cx:f>
              <cx:v>Low HLR, Lower Outlet Height, No Plants</cx:v>
            </cx:txData>
          </cx:tx>
          <cx:dataId val="1"/>
          <cx:layoutPr>
            <cx:visibility nonoutliers="0"/>
            <cx:statistics quartileMethod="exclusive"/>
          </cx:layoutPr>
        </cx:series>
        <cx:series layoutId="boxWhisker" uniqueId="{0000000B-53AA-3F4B-9ECC-192F2119BD00}">
          <cx:tx>
            <cx:txData>
              <cx:f>_xlchart.v1.172</cx:f>
              <cx:v>Low HLR, Lower Outlet Height, No Plants</cx:v>
            </cx:txData>
          </cx:tx>
          <cx:dataId val="2"/>
          <cx:layoutPr>
            <cx:visibility nonoutliers="0"/>
            <cx:statistics quartileMethod="exclusive"/>
          </cx:layoutPr>
        </cx:series>
      </cx:plotAreaRegion>
      <cx:axis id="0" hidden="1">
        <cx:catScaling gapWidth="1"/>
        <cx:tickLabels/>
      </cx:axis>
      <cx:axis id="1">
        <cx:valScaling/>
        <cx:title>
          <cx:tx>
            <cx:rich>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 </a:t>
                </a: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NO</a:t>
                </a:r>
                <a:r>
                  <a:rPr lang="en-US" sz="900" b="0" i="0" u="none" strike="noStrike" baseline="-2500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2</a:t>
                </a:r>
                <a:r>
                  <a:rPr lang="en-US" sz="900" b="0" i="0" u="none" strike="noStrike" baseline="3000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a:t>
                </a: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 </a:t>
                </a:r>
                <a:r>
                  <a:rPr lang="en-US" sz="900" b="0" i="0" u="none" strike="noStrike" baseline="0">
                    <a:solidFill>
                      <a:sysClr val="windowText" lastClr="000000">
                        <a:lumMod val="65000"/>
                        <a:lumOff val="35000"/>
                      </a:sysClr>
                    </a:solidFill>
                    <a:latin typeface="Calibri" panose="020F0502020204030204"/>
                  </a:rPr>
                  <a:t>/L)</a:t>
                </a:r>
              </a:p>
            </cx:rich>
          </cx:tx>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42.xml><?xml version="1.0" encoding="utf-8"?>
<cx:chartSpace xmlns:a="http://schemas.openxmlformats.org/drawingml/2006/main" xmlns:r="http://schemas.openxmlformats.org/officeDocument/2006/relationships" xmlns:cx="http://schemas.microsoft.com/office/drawing/2014/chartex">
  <cx:chartData>
    <cx:data id="0">
      <cx:numDim type="val">
        <cx:f dir="row">_xlchart.v1.169</cx:f>
      </cx:numDim>
    </cx:data>
    <cx:data id="1">
      <cx:numDim type="val">
        <cx:f dir="row">_xlchart.v1.170</cx:f>
      </cx:numDim>
    </cx:data>
    <cx:data id="2">
      <cx:numDim type="val">
        <cx:f dir="row">_xlchart.v1.171</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Medium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_xlchart.v1.166</cx:f>
              <cx:v>Medium HLR, Lower Outlet Height, No Plants</cx:v>
            </cx:txData>
          </cx:tx>
          <cx:dataId val="0"/>
          <cx:layoutPr>
            <cx:visibility nonoutliers="0"/>
            <cx:statistics quartileMethod="exclusive"/>
          </cx:layoutPr>
        </cx:series>
        <cx:series layoutId="boxWhisker" uniqueId="{0000000A-53AA-3F4B-9ECC-192F2119BD00}">
          <cx:tx>
            <cx:txData>
              <cx:f>_xlchart.v1.167</cx:f>
              <cx:v>Medium HLR, Lower Outlet Height, No Plants</cx:v>
            </cx:txData>
          </cx:tx>
          <cx:dataId val="1"/>
          <cx:layoutPr>
            <cx:visibility nonoutliers="0"/>
            <cx:statistics quartileMethod="exclusive"/>
          </cx:layoutPr>
        </cx:series>
        <cx:series layoutId="boxWhisker" uniqueId="{0000000B-53AA-3F4B-9ECC-192F2119BD00}">
          <cx:tx>
            <cx:txData>
              <cx:f>_xlchart.v1.168</cx:f>
              <cx:v>Medium HLR, Lower Outlet Height, No Plants</cx:v>
            </cx:txData>
          </cx:tx>
          <cx:dataId val="2"/>
          <cx:layoutPr>
            <cx:visibility nonoutliers="0"/>
            <cx:statistics quartileMethod="exclusive"/>
          </cx:layoutPr>
        </cx:series>
      </cx:plotAreaRegion>
      <cx:axis id="0" hidden="1">
        <cx:catScaling gapWidth="1"/>
        <cx:tickLabels/>
      </cx:axis>
      <cx:axis id="1">
        <cx:valScaling/>
        <cx:title>
          <cx:tx>
            <cx:rich>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 </a:t>
                </a: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NO</a:t>
                </a:r>
                <a:r>
                  <a:rPr lang="en-US" sz="900" b="0" i="0" u="none" strike="noStrike" baseline="-2500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2</a:t>
                </a:r>
                <a:r>
                  <a:rPr lang="en-US" sz="900" b="0" i="0" u="none" strike="noStrike" baseline="3000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a:t>
                </a: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 </a:t>
                </a:r>
                <a:r>
                  <a:rPr lang="en-US" sz="900" b="0" i="0" u="none" strike="noStrike" baseline="0">
                    <a:solidFill>
                      <a:sysClr val="windowText" lastClr="000000">
                        <a:lumMod val="65000"/>
                        <a:lumOff val="35000"/>
                      </a:sysClr>
                    </a:solidFill>
                    <a:latin typeface="Calibri" panose="020F0502020204030204"/>
                  </a:rPr>
                  <a:t>/L)</a:t>
                </a:r>
              </a:p>
            </cx:rich>
          </cx:tx>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43.xml><?xml version="1.0" encoding="utf-8"?>
<cx:chartSpace xmlns:a="http://schemas.openxmlformats.org/drawingml/2006/main" xmlns:r="http://schemas.openxmlformats.org/officeDocument/2006/relationships" xmlns:cx="http://schemas.microsoft.com/office/drawing/2014/chartex">
  <cx:chartData>
    <cx:data id="0">
      <cx:numDim type="val">
        <cx:f dir="row">_xlchart.v1.165</cx:f>
      </cx:numDim>
    </cx:data>
    <cx:data id="1">
      <cx:numDim type="val">
        <cx:f dir="row">_xlchart.v1.160</cx:f>
      </cx:numDim>
    </cx:data>
    <cx:data id="2">
      <cx:numDim type="val">
        <cx:f dir="row">_xlchart.v1.161</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_xlchart.v1.162</cx:f>
              <cx:v>High HLR, Lower Outlet Height, No Plants</cx:v>
            </cx:txData>
          </cx:tx>
          <cx:dataId val="0"/>
          <cx:layoutPr>
            <cx:visibility nonoutliers="0"/>
            <cx:statistics quartileMethod="exclusive"/>
          </cx:layoutPr>
        </cx:series>
        <cx:series layoutId="boxWhisker" uniqueId="{0000000A-53AA-3F4B-9ECC-192F2119BD00}">
          <cx:tx>
            <cx:txData>
              <cx:f>_xlchart.v1.163</cx:f>
              <cx:v>High HLR, Lower Outlet Height, No Plants</cx:v>
            </cx:txData>
          </cx:tx>
          <cx:dataId val="1"/>
          <cx:layoutPr>
            <cx:visibility nonoutliers="0"/>
            <cx:statistics quartileMethod="exclusive"/>
          </cx:layoutPr>
        </cx:series>
        <cx:series layoutId="boxWhisker" uniqueId="{0000000B-53AA-3F4B-9ECC-192F2119BD00}">
          <cx:tx>
            <cx:txData>
              <cx:f>_xlchart.v1.164</cx:f>
              <cx:v>High HLR, Lower Outlet Height, No Plants</cx:v>
            </cx:txData>
          </cx:tx>
          <cx:dataId val="2"/>
          <cx:layoutPr>
            <cx:visibility nonoutliers="0"/>
            <cx:statistics quartileMethod="exclusive"/>
          </cx:layoutPr>
        </cx:series>
      </cx:plotAreaRegion>
      <cx:axis id="0" hidden="1">
        <cx:catScaling gapWidth="1"/>
        <cx:tickLabels/>
      </cx:axis>
      <cx:axis id="1">
        <cx:valScaling/>
        <cx:title>
          <cx:tx>
            <cx:rich>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 </a:t>
                </a: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NO</a:t>
                </a:r>
                <a:r>
                  <a:rPr lang="en-US" sz="900" b="0" i="0" u="none" strike="noStrike" baseline="-2500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2</a:t>
                </a:r>
                <a:r>
                  <a:rPr lang="en-US" sz="900" b="0" i="0" u="none" strike="noStrike" baseline="3000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a:t>
                </a: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 </a:t>
                </a:r>
                <a:r>
                  <a:rPr lang="en-US" sz="900" b="0" i="0" u="none" strike="noStrike" baseline="0">
                    <a:solidFill>
                      <a:sysClr val="windowText" lastClr="000000">
                        <a:lumMod val="65000"/>
                        <a:lumOff val="35000"/>
                      </a:sysClr>
                    </a:solidFill>
                    <a:latin typeface="Calibri" panose="020F0502020204030204"/>
                  </a:rPr>
                  <a:t>/L)</a:t>
                </a:r>
              </a:p>
            </cx:rich>
          </cx:tx>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44.xml><?xml version="1.0" encoding="utf-8"?>
<cx:chartSpace xmlns:a="http://schemas.openxmlformats.org/drawingml/2006/main" xmlns:r="http://schemas.openxmlformats.org/officeDocument/2006/relationships" xmlns:cx="http://schemas.microsoft.com/office/drawing/2014/chartex">
  <cx:chartData>
    <cx:data id="0">
      <cx:numDim type="val">
        <cx:f dir="row">_xlchart.v1.151</cx:f>
      </cx:numDim>
    </cx:data>
    <cx:data id="1">
      <cx:numDim type="val">
        <cx:f dir="row">_xlchart.v1.152</cx:f>
      </cx:numDim>
    </cx:data>
    <cx:data id="2">
      <cx:numDim type="val">
        <cx:f dir="row">_xlchart.v1.153</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Upper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_xlchart.v1.148</cx:f>
              <cx:v>High HLR, Upper Outlet Height, No Plants</cx:v>
            </cx:txData>
          </cx:tx>
          <cx:dataId val="0"/>
          <cx:layoutPr>
            <cx:visibility nonoutliers="0"/>
            <cx:statistics quartileMethod="exclusive"/>
          </cx:layoutPr>
        </cx:series>
        <cx:series layoutId="boxWhisker" uniqueId="{0000000A-53AA-3F4B-9ECC-192F2119BD00}">
          <cx:tx>
            <cx:txData>
              <cx:f>_xlchart.v1.149</cx:f>
              <cx:v>High HLR, Upper Outlet Height, No Plants</cx:v>
            </cx:txData>
          </cx:tx>
          <cx:dataId val="1"/>
          <cx:layoutPr>
            <cx:visibility nonoutliers="0"/>
            <cx:statistics quartileMethod="exclusive"/>
          </cx:layoutPr>
        </cx:series>
        <cx:series layoutId="boxWhisker" uniqueId="{0000000B-53AA-3F4B-9ECC-192F2119BD00}">
          <cx:tx>
            <cx:txData>
              <cx:f>_xlchart.v1.150</cx:f>
              <cx:v>High HLR, Upper Outlet Height, No Plants</cx:v>
            </cx:txData>
          </cx:tx>
          <cx:dataId val="2"/>
          <cx:layoutPr>
            <cx:visibility nonoutliers="0"/>
            <cx:statistics quartileMethod="exclusive"/>
          </cx:layoutPr>
        </cx:series>
      </cx:plotAreaRegion>
      <cx:axis id="0" hidden="1">
        <cx:catScaling gapWidth="1"/>
        <cx:tickLabels/>
      </cx:axis>
      <cx:axis id="1">
        <cx:valScaling/>
        <cx:title>
          <cx:tx>
            <cx:rich>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 </a:t>
                </a: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NO</a:t>
                </a:r>
                <a:r>
                  <a:rPr lang="en-US" sz="900" b="0" i="0" u="none" strike="noStrike" baseline="-2500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2</a:t>
                </a:r>
                <a:r>
                  <a:rPr lang="en-US" sz="900" b="0" i="0" u="none" strike="noStrike" baseline="3000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a:t>
                </a: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 </a:t>
                </a:r>
                <a:r>
                  <a:rPr lang="en-US" sz="900" b="0" i="0" u="none" strike="noStrike" baseline="0">
                    <a:solidFill>
                      <a:sysClr val="windowText" lastClr="000000">
                        <a:lumMod val="65000"/>
                        <a:lumOff val="35000"/>
                      </a:sysClr>
                    </a:solidFill>
                    <a:latin typeface="Calibri" panose="020F0502020204030204"/>
                  </a:rPr>
                  <a:t>/L)</a:t>
                </a:r>
              </a:p>
            </cx:rich>
          </cx:tx>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45.xml><?xml version="1.0" encoding="utf-8"?>
<cx:chartSpace xmlns:a="http://schemas.openxmlformats.org/drawingml/2006/main" xmlns:r="http://schemas.openxmlformats.org/officeDocument/2006/relationships" xmlns:cx="http://schemas.microsoft.com/office/drawing/2014/chartex">
  <cx:chartData>
    <cx:data id="0">
      <cx:numDim type="val">
        <cx:f dir="row">_xlchart.v1.157</cx:f>
      </cx:numDim>
    </cx:data>
    <cx:data id="1">
      <cx:numDim type="val">
        <cx:f dir="row">_xlchart.v1.158</cx:f>
      </cx:numDim>
    </cx:data>
    <cx:data id="2">
      <cx:numDim type="val">
        <cx:f dir="row">_xlchart.v1.159</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Lower Outlet Height, Yes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_xlchart.v1.154</cx:f>
              <cx:v>High HLR, Lower Outlet Height, Yes Plants</cx:v>
            </cx:txData>
          </cx:tx>
          <cx:dataId val="0"/>
          <cx:layoutPr>
            <cx:visibility nonoutliers="0"/>
            <cx:statistics quartileMethod="exclusive"/>
          </cx:layoutPr>
        </cx:series>
        <cx:series layoutId="boxWhisker" uniqueId="{0000000A-53AA-3F4B-9ECC-192F2119BD00}">
          <cx:tx>
            <cx:txData>
              <cx:f>_xlchart.v1.155</cx:f>
              <cx:v>High HLR, Lower Outlet Height, Yes Plants</cx:v>
            </cx:txData>
          </cx:tx>
          <cx:dataId val="1"/>
          <cx:layoutPr>
            <cx:visibility nonoutliers="0"/>
            <cx:statistics quartileMethod="exclusive"/>
          </cx:layoutPr>
        </cx:series>
        <cx:series layoutId="boxWhisker" uniqueId="{0000000B-53AA-3F4B-9ECC-192F2119BD00}">
          <cx:tx>
            <cx:txData>
              <cx:f>_xlchart.v1.156</cx:f>
              <cx:v>High HLR, Lower Outlet Height, Yes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46.xml><?xml version="1.0" encoding="utf-8"?>
<cx:chartSpace xmlns:a="http://schemas.openxmlformats.org/drawingml/2006/main" xmlns:r="http://schemas.openxmlformats.org/officeDocument/2006/relationships" xmlns:cx="http://schemas.microsoft.com/office/drawing/2014/chartex">
  <cx:chartData>
    <cx:data id="0">
      <cx:numDim type="val">
        <cx:f dir="row">_xlchart.v1.145</cx:f>
      </cx:numDim>
    </cx:data>
    <cx:data id="1">
      <cx:numDim type="val">
        <cx:f dir="row">_xlchart.v1.146</cx:f>
      </cx:numDim>
    </cx:data>
    <cx:data id="2">
      <cx:numDim type="val">
        <cx:f dir="row">_xlchart.v1.147</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Upper Outlet Height, Yes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_xlchart.v1.142</cx:f>
              <cx:v>Medium HLR, Upper Outlet Height, Yes Plants</cx:v>
            </cx:txData>
          </cx:tx>
          <cx:dataId val="0"/>
          <cx:layoutPr>
            <cx:visibility nonoutliers="0"/>
            <cx:statistics quartileMethod="exclusive"/>
          </cx:layoutPr>
        </cx:series>
        <cx:series layoutId="boxWhisker" uniqueId="{0000000A-53AA-3F4B-9ECC-192F2119BD00}">
          <cx:tx>
            <cx:txData>
              <cx:f>_xlchart.v1.143</cx:f>
              <cx:v>Medium HLR, Upper Outlet Height, Yes Plants</cx:v>
            </cx:txData>
          </cx:tx>
          <cx:dataId val="1"/>
          <cx:layoutPr>
            <cx:visibility nonoutliers="0"/>
            <cx:statistics quartileMethod="exclusive"/>
          </cx:layoutPr>
        </cx:series>
        <cx:series layoutId="boxWhisker" uniqueId="{0000000B-53AA-3F4B-9ECC-192F2119BD00}">
          <cx:tx>
            <cx:txData>
              <cx:f>_xlchart.v1.144</cx:f>
              <cx:v>Medium HLR, Upper Outlet Height, Yes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47.xml><?xml version="1.0" encoding="utf-8"?>
<cx:chartSpace xmlns:a="http://schemas.openxmlformats.org/drawingml/2006/main" xmlns:r="http://schemas.openxmlformats.org/officeDocument/2006/relationships" xmlns:cx="http://schemas.microsoft.com/office/drawing/2014/chartex">
  <cx:chartData>
    <cx:data id="0">
      <cx:numDim type="val">
        <cx:f dir="row">_xlchart.v1.182</cx:f>
      </cx:numDim>
    </cx:data>
    <cx:data id="1">
      <cx:numDim type="val">
        <cx:f dir="row">_xlchart.v1.183</cx:f>
      </cx:numDim>
    </cx:data>
    <cx:data id="2">
      <cx:numDim type="val">
        <cx:f dir="row">_xlchart.v1.181</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Low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_xlchart.v1.179</cx:f>
              <cx:v>Low HLR, Lower Outlet Height, No Plants</cx:v>
            </cx:txData>
          </cx:tx>
          <cx:dataId val="0"/>
          <cx:layoutPr>
            <cx:visibility nonoutliers="0"/>
            <cx:statistics quartileMethod="exclusive"/>
          </cx:layoutPr>
        </cx:series>
        <cx:series layoutId="boxWhisker" uniqueId="{0000000A-53AA-3F4B-9ECC-192F2119BD00}">
          <cx:tx>
            <cx:txData>
              <cx:f>_xlchart.v1.180</cx:f>
              <cx:v>Low HLR, Lower Outlet Height, No Plants</cx:v>
            </cx:txData>
          </cx:tx>
          <cx:dataId val="1"/>
          <cx:layoutPr>
            <cx:visibility nonoutliers="0"/>
            <cx:statistics quartileMethod="exclusive"/>
          </cx:layoutPr>
        </cx:series>
        <cx:series layoutId="boxWhisker" uniqueId="{0000000B-53AA-3F4B-9ECC-192F2119BD00}">
          <cx:tx>
            <cx:txData>
              <cx:f>_xlchart.v1.178</cx:f>
              <cx:v>Low HLR, Lower Outlet Height, No Plants</cx:v>
            </cx:txData>
          </cx:tx>
          <cx:dataId val="2"/>
          <cx:layoutPr>
            <cx:visibility nonoutliers="0"/>
            <cx:statistics quartileMethod="exclusive"/>
          </cx:layoutPr>
        </cx:series>
      </cx:plotAreaRegion>
      <cx:axis id="0" hidden="1">
        <cx:catScaling gapWidth="1"/>
        <cx:tickLabels/>
      </cx:axis>
      <cx:axis id="1">
        <cx:valScaling/>
        <cx:title>
          <cx:tx>
            <cx:rich>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 </a:t>
                </a: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NO</a:t>
                </a:r>
                <a:r>
                  <a:rPr lang="en-US" sz="900" b="0" i="0" u="none" strike="noStrike" baseline="-2500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3</a:t>
                </a:r>
                <a:r>
                  <a:rPr lang="en-US" sz="900" b="0" i="0" u="none" strike="noStrike" baseline="3000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a:t>
                </a: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a:t>
                </a:r>
                <a:r>
                  <a:rPr lang="en-US" sz="900" b="0" i="0" u="none" strike="noStrike" baseline="0">
                    <a:solidFill>
                      <a:sysClr val="windowText" lastClr="000000">
                        <a:lumMod val="65000"/>
                        <a:lumOff val="35000"/>
                      </a:sysClr>
                    </a:solidFill>
                    <a:latin typeface="Calibri" panose="020F0502020204030204"/>
                  </a:rPr>
                  <a:t>/L)</a:t>
                </a:r>
              </a:p>
            </cx:rich>
          </cx:tx>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48.xml><?xml version="1.0" encoding="utf-8"?>
<cx:chartSpace xmlns:a="http://schemas.openxmlformats.org/drawingml/2006/main" xmlns:r="http://schemas.openxmlformats.org/officeDocument/2006/relationships" xmlns:cx="http://schemas.microsoft.com/office/drawing/2014/chartex">
  <cx:chartData>
    <cx:data id="0">
      <cx:numDim type="val">
        <cx:f dir="row">_xlchart.v1.193</cx:f>
      </cx:numDim>
    </cx:data>
    <cx:data id="1">
      <cx:numDim type="val">
        <cx:f dir="row">_xlchart.v1.194</cx:f>
      </cx:numDim>
    </cx:data>
    <cx:data id="2">
      <cx:numDim type="val">
        <cx:f dir="row">_xlchart.v1.195</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Medium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_xlchart.v1.190</cx:f>
              <cx:v>Medium HLR, Lower Outlet Height, No Plants</cx:v>
            </cx:txData>
          </cx:tx>
          <cx:dataId val="0"/>
          <cx:layoutPr>
            <cx:visibility nonoutliers="0"/>
            <cx:statistics quartileMethod="exclusive"/>
          </cx:layoutPr>
        </cx:series>
        <cx:series layoutId="boxWhisker" uniqueId="{0000000A-53AA-3F4B-9ECC-192F2119BD00}">
          <cx:tx>
            <cx:txData>
              <cx:f>_xlchart.v1.191</cx:f>
              <cx:v>Medium HLR, Lower Outlet Height, No Plants</cx:v>
            </cx:txData>
          </cx:tx>
          <cx:dataId val="1"/>
          <cx:layoutPr>
            <cx:visibility nonoutliers="0"/>
            <cx:statistics quartileMethod="exclusive"/>
          </cx:layoutPr>
        </cx:series>
        <cx:series layoutId="boxWhisker" uniqueId="{0000000B-53AA-3F4B-9ECC-192F2119BD00}">
          <cx:tx>
            <cx:txData>
              <cx:f>_xlchart.v1.192</cx:f>
              <cx:v>Medium HLR, Lower Outlet Height, No Plants</cx:v>
            </cx:txData>
          </cx:tx>
          <cx:dataId val="2"/>
          <cx:layoutPr>
            <cx:visibility nonoutliers="0"/>
            <cx:statistics quartileMethod="exclusive"/>
          </cx:layoutPr>
        </cx:series>
      </cx:plotAreaRegion>
      <cx:axis id="0" hidden="1">
        <cx:catScaling gapWidth="1"/>
        <cx:tickLabels/>
      </cx:axis>
      <cx:axis id="1">
        <cx:valScaling/>
        <cx:title>
          <cx:tx>
            <cx:rich>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 </a:t>
                </a: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NO</a:t>
                </a:r>
                <a:r>
                  <a:rPr lang="en-US" sz="900" b="0" i="0" u="none" strike="noStrike" baseline="-2500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3</a:t>
                </a:r>
                <a:r>
                  <a:rPr lang="en-US" sz="900" b="0" i="0" u="none" strike="noStrike" baseline="3000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a:t>
                </a: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a:t>
                </a:r>
                <a:r>
                  <a:rPr lang="en-US" sz="900" b="0" i="0" u="none" strike="noStrike" baseline="0">
                    <a:solidFill>
                      <a:sysClr val="windowText" lastClr="000000">
                        <a:lumMod val="65000"/>
                        <a:lumOff val="35000"/>
                      </a:sysClr>
                    </a:solidFill>
                    <a:latin typeface="Calibri" panose="020F0502020204030204"/>
                  </a:rPr>
                  <a:t>/L)</a:t>
                </a:r>
              </a:p>
            </cx:rich>
          </cx:tx>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49.xml><?xml version="1.0" encoding="utf-8"?>
<cx:chartSpace xmlns:a="http://schemas.openxmlformats.org/drawingml/2006/main" xmlns:r="http://schemas.openxmlformats.org/officeDocument/2006/relationships" xmlns:cx="http://schemas.microsoft.com/office/drawing/2014/chartex">
  <cx:chartData>
    <cx:data id="0">
      <cx:numDim type="val">
        <cx:f dir="row">_xlchart.v1.189</cx:f>
      </cx:numDim>
    </cx:data>
    <cx:data id="1">
      <cx:numDim type="val">
        <cx:f dir="row">_xlchart.v1.184</cx:f>
      </cx:numDim>
    </cx:data>
    <cx:data id="2">
      <cx:numDim type="val">
        <cx:f dir="row">_xlchart.v1.185</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_xlchart.v1.186</cx:f>
              <cx:v>High HLR, Lower Outlet Height, No Plants</cx:v>
            </cx:txData>
          </cx:tx>
          <cx:dataId val="0"/>
          <cx:layoutPr>
            <cx:visibility nonoutliers="0"/>
            <cx:statistics quartileMethod="exclusive"/>
          </cx:layoutPr>
        </cx:series>
        <cx:series layoutId="boxWhisker" uniqueId="{0000000A-53AA-3F4B-9ECC-192F2119BD00}">
          <cx:tx>
            <cx:txData>
              <cx:f>_xlchart.v1.187</cx:f>
              <cx:v>High HLR, Lower Outlet Height, No Plants</cx:v>
            </cx:txData>
          </cx:tx>
          <cx:dataId val="1"/>
          <cx:layoutPr>
            <cx:visibility nonoutliers="0"/>
            <cx:statistics quartileMethod="exclusive"/>
          </cx:layoutPr>
        </cx:series>
        <cx:series layoutId="boxWhisker" uniqueId="{0000000B-53AA-3F4B-9ECC-192F2119BD00}">
          <cx:tx>
            <cx:txData>
              <cx:f>_xlchart.v1.188</cx:f>
              <cx:v>High HLR, Lower Outlet Height, No Plants</cx:v>
            </cx:txData>
          </cx:tx>
          <cx:dataId val="2"/>
          <cx:layoutPr>
            <cx:visibility nonoutliers="0"/>
            <cx:statistics quartileMethod="exclusive"/>
          </cx:layoutPr>
        </cx:series>
      </cx:plotAreaRegion>
      <cx:axis id="0" hidden="1">
        <cx:catScaling gapWidth="1"/>
        <cx:tickLabels/>
      </cx:axis>
      <cx:axis id="1">
        <cx:valScaling/>
        <cx:title>
          <cx:tx>
            <cx:rich>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 </a:t>
                </a: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NO</a:t>
                </a:r>
                <a:r>
                  <a:rPr lang="en-US" sz="900" b="0" i="0" u="none" strike="noStrike" baseline="-2500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3</a:t>
                </a:r>
                <a:r>
                  <a:rPr lang="en-US" sz="900" b="0" i="0" u="none" strike="noStrike" baseline="3000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a:t>
                </a: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a:t>
                </a:r>
                <a:r>
                  <a:rPr lang="en-US" sz="900" b="0" i="0" u="none" strike="noStrike" baseline="0">
                    <a:solidFill>
                      <a:sysClr val="windowText" lastClr="000000">
                        <a:lumMod val="65000"/>
                        <a:lumOff val="35000"/>
                      </a:sysClr>
                    </a:solidFill>
                    <a:latin typeface="Calibri" panose="020F0502020204030204"/>
                  </a:rPr>
                  <a:t>/L)</a:t>
                </a:r>
              </a:p>
            </cx:rich>
          </cx:tx>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50.xml><?xml version="1.0" encoding="utf-8"?>
<cx:chartSpace xmlns:a="http://schemas.openxmlformats.org/drawingml/2006/main" xmlns:r="http://schemas.openxmlformats.org/officeDocument/2006/relationships" xmlns:cx="http://schemas.microsoft.com/office/drawing/2014/chartex">
  <cx:chartData>
    <cx:data id="0">
      <cx:numDim type="val">
        <cx:f dir="row">_xlchart.v1.211</cx:f>
      </cx:numDim>
    </cx:data>
    <cx:data id="1">
      <cx:numDim type="val">
        <cx:f dir="row">_xlchart.v1.212</cx:f>
      </cx:numDim>
    </cx:data>
    <cx:data id="2">
      <cx:numDim type="val">
        <cx:f dir="row">_xlchart.v1.213</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Upper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_xlchart.v1.208</cx:f>
              <cx:v>High HLR, Upper Outlet Height, No Plants</cx:v>
            </cx:txData>
          </cx:tx>
          <cx:dataId val="0"/>
          <cx:layoutPr>
            <cx:visibility nonoutliers="0"/>
            <cx:statistics quartileMethod="exclusive"/>
          </cx:layoutPr>
        </cx:series>
        <cx:series layoutId="boxWhisker" uniqueId="{0000000A-53AA-3F4B-9ECC-192F2119BD00}">
          <cx:tx>
            <cx:txData>
              <cx:f>_xlchart.v1.209</cx:f>
              <cx:v>High HLR, Upper Outlet Height, No Plants</cx:v>
            </cx:txData>
          </cx:tx>
          <cx:dataId val="1"/>
          <cx:layoutPr>
            <cx:visibility nonoutliers="0"/>
            <cx:statistics quartileMethod="exclusive"/>
          </cx:layoutPr>
        </cx:series>
        <cx:series layoutId="boxWhisker" uniqueId="{0000000B-53AA-3F4B-9ECC-192F2119BD00}">
          <cx:tx>
            <cx:txData>
              <cx:f>_xlchart.v1.210</cx:f>
              <cx:v>High HLR, Upper Outlet Height, No Plants</cx:v>
            </cx:txData>
          </cx:tx>
          <cx:dataId val="2"/>
          <cx:layoutPr>
            <cx:visibility nonoutliers="0"/>
            <cx:statistics quartileMethod="exclusive"/>
          </cx:layoutPr>
        </cx:series>
      </cx:plotAreaRegion>
      <cx:axis id="0" hidden="1">
        <cx:catScaling gapWidth="1"/>
        <cx:tickLabels/>
      </cx:axis>
      <cx:axis id="1">
        <cx:valScaling/>
        <cx:title>
          <cx:tx>
            <cx:rich>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 </a:t>
                </a: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NO</a:t>
                </a:r>
                <a:r>
                  <a:rPr lang="en-US" sz="900" b="0" i="0" u="none" strike="noStrike" baseline="-2500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3</a:t>
                </a:r>
                <a:r>
                  <a:rPr lang="en-US" sz="900" b="0" i="0" u="none" strike="noStrike" baseline="3000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a:t>
                </a: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a:t>
                </a:r>
                <a:r>
                  <a:rPr lang="en-US" sz="900" b="0" i="0" u="none" strike="noStrike" baseline="0">
                    <a:solidFill>
                      <a:sysClr val="windowText" lastClr="000000">
                        <a:lumMod val="65000"/>
                        <a:lumOff val="35000"/>
                      </a:sysClr>
                    </a:solidFill>
                    <a:latin typeface="Calibri" panose="020F0502020204030204"/>
                  </a:rPr>
                  <a:t>/L)</a:t>
                </a:r>
              </a:p>
            </cx:rich>
          </cx:tx>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51.xml><?xml version="1.0" encoding="utf-8"?>
<cx:chartSpace xmlns:a="http://schemas.openxmlformats.org/drawingml/2006/main" xmlns:r="http://schemas.openxmlformats.org/officeDocument/2006/relationships" xmlns:cx="http://schemas.microsoft.com/office/drawing/2014/chartex">
  <cx:chartData>
    <cx:data id="0">
      <cx:numDim type="val">
        <cx:f dir="row">_xlchart.v1.205</cx:f>
      </cx:numDim>
    </cx:data>
    <cx:data id="1">
      <cx:numDim type="val">
        <cx:f dir="row">_xlchart.v1.206</cx:f>
      </cx:numDim>
    </cx:data>
    <cx:data id="2">
      <cx:numDim type="val">
        <cx:f dir="row">_xlchart.v1.207</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Lower Outlet Height, Yes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_xlchart.v1.202</cx:f>
              <cx:v>High HLR, Lower Outlet Height, Yes Plants</cx:v>
            </cx:txData>
          </cx:tx>
          <cx:dataId val="0"/>
          <cx:layoutPr>
            <cx:visibility nonoutliers="0"/>
            <cx:statistics quartileMethod="exclusive"/>
          </cx:layoutPr>
        </cx:series>
        <cx:series layoutId="boxWhisker" uniqueId="{0000000A-53AA-3F4B-9ECC-192F2119BD00}">
          <cx:tx>
            <cx:txData>
              <cx:f>_xlchart.v1.203</cx:f>
              <cx:v>High HLR, Lower Outlet Height, Yes Plants</cx:v>
            </cx:txData>
          </cx:tx>
          <cx:dataId val="1"/>
          <cx:layoutPr>
            <cx:visibility nonoutliers="0"/>
            <cx:statistics quartileMethod="exclusive"/>
          </cx:layoutPr>
        </cx:series>
        <cx:series layoutId="boxWhisker" uniqueId="{0000000B-53AA-3F4B-9ECC-192F2119BD00}">
          <cx:tx>
            <cx:txData>
              <cx:f>_xlchart.v1.204</cx:f>
              <cx:v>High HLR, Lower Outlet Height, Yes Plants</cx:v>
            </cx:txData>
          </cx:tx>
          <cx:dataId val="2"/>
          <cx:layoutPr>
            <cx:visibility nonoutliers="0"/>
            <cx:statistics quartileMethod="exclusive"/>
          </cx:layoutPr>
        </cx:series>
      </cx:plotAreaRegion>
      <cx:axis id="0" hidden="1">
        <cx:catScaling gapWidth="1"/>
        <cx:tickLabels/>
      </cx:axis>
      <cx:axis id="1">
        <cx:valScaling/>
        <cx:title>
          <cx:tx>
            <cx:rich>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 </a:t>
                </a: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NO</a:t>
                </a:r>
                <a:r>
                  <a:rPr lang="en-US" sz="900" b="0" i="0" u="none" strike="noStrike" baseline="-2500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3</a:t>
                </a:r>
                <a:r>
                  <a:rPr lang="en-US" sz="900" b="0" i="0" u="none" strike="noStrike" baseline="3000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a:t>
                </a: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a:t>
                </a:r>
                <a:r>
                  <a:rPr lang="en-US" sz="900" b="0" i="0" u="none" strike="noStrike" baseline="0">
                    <a:solidFill>
                      <a:sysClr val="windowText" lastClr="000000">
                        <a:lumMod val="65000"/>
                        <a:lumOff val="35000"/>
                      </a:sysClr>
                    </a:solidFill>
                    <a:latin typeface="Calibri" panose="020F0502020204030204"/>
                  </a:rPr>
                  <a:t>/L)</a:t>
                </a:r>
              </a:p>
            </cx:rich>
          </cx:tx>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52.xml><?xml version="1.0" encoding="utf-8"?>
<cx:chartSpace xmlns:a="http://schemas.openxmlformats.org/drawingml/2006/main" xmlns:r="http://schemas.openxmlformats.org/officeDocument/2006/relationships" xmlns:cx="http://schemas.microsoft.com/office/drawing/2014/chartex">
  <cx:chartData>
    <cx:data id="0">
      <cx:numDim type="val">
        <cx:f dir="row">_xlchart.v1.199</cx:f>
      </cx:numDim>
    </cx:data>
    <cx:data id="1">
      <cx:numDim type="val">
        <cx:f dir="row">_xlchart.v1.200</cx:f>
      </cx:numDim>
    </cx:data>
    <cx:data id="2">
      <cx:numDim type="val">
        <cx:f dir="row">_xlchart.v1.201</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Upper Outlet Height, Yes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_xlchart.v1.196</cx:f>
              <cx:v>Medium HLR, Upper Outlet Height, Yes Plants</cx:v>
            </cx:txData>
          </cx:tx>
          <cx:dataId val="0"/>
          <cx:layoutPr>
            <cx:visibility nonoutliers="0"/>
            <cx:statistics quartileMethod="exclusive"/>
          </cx:layoutPr>
        </cx:series>
        <cx:series layoutId="boxWhisker" uniqueId="{0000000A-53AA-3F4B-9ECC-192F2119BD00}">
          <cx:tx>
            <cx:txData>
              <cx:f>_xlchart.v1.197</cx:f>
              <cx:v>Medium HLR, Upper Outlet Height, Yes Plants</cx:v>
            </cx:txData>
          </cx:tx>
          <cx:dataId val="1"/>
          <cx:layoutPr>
            <cx:visibility nonoutliers="0"/>
            <cx:statistics quartileMethod="exclusive"/>
          </cx:layoutPr>
        </cx:series>
        <cx:series layoutId="boxWhisker" uniqueId="{0000000B-53AA-3F4B-9ECC-192F2119BD00}">
          <cx:tx>
            <cx:txData>
              <cx:f>_xlchart.v1.198</cx:f>
              <cx:v>Medium HLR, Upper Outlet Height, Yes Plants</cx:v>
            </cx:txData>
          </cx:tx>
          <cx:dataId val="2"/>
          <cx:layoutPr>
            <cx:visibility nonoutliers="0"/>
            <cx:statistics quartileMethod="exclusive"/>
          </cx:layoutPr>
        </cx:series>
      </cx:plotAreaRegion>
      <cx:axis id="0" hidden="1">
        <cx:catScaling gapWidth="1"/>
        <cx:tickLabels/>
      </cx:axis>
      <cx:axis id="1">
        <cx:valScaling/>
        <cx:title>
          <cx:tx>
            <cx:rich>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 </a:t>
                </a: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NO</a:t>
                </a:r>
                <a:r>
                  <a:rPr lang="en-US" sz="900" b="0" i="0" u="none" strike="noStrike" baseline="-2500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3</a:t>
                </a:r>
                <a:r>
                  <a:rPr lang="en-US" sz="900" b="0" i="0" u="none" strike="noStrike" baseline="3000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a:t>
                </a: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a:t>
                </a:r>
                <a:r>
                  <a:rPr lang="en-US" sz="900" b="0" i="0" u="none" strike="noStrike" baseline="0">
                    <a:solidFill>
                      <a:sysClr val="windowText" lastClr="000000">
                        <a:lumMod val="65000"/>
                        <a:lumOff val="35000"/>
                      </a:sysClr>
                    </a:solidFill>
                    <a:latin typeface="Calibri" panose="020F0502020204030204"/>
                  </a:rPr>
                  <a:t>/L)</a:t>
                </a:r>
              </a:p>
            </cx:rich>
          </cx:tx>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53.xml><?xml version="1.0" encoding="utf-8"?>
<cx:chartSpace xmlns:a="http://schemas.openxmlformats.org/drawingml/2006/main" xmlns:r="http://schemas.openxmlformats.org/officeDocument/2006/relationships" xmlns:cx="http://schemas.microsoft.com/office/drawing/2014/chartex">
  <cx:chartData>
    <cx:data id="0">
      <cx:numDim type="val">
        <cx:f dir="row">_xlchart.v1.230</cx:f>
      </cx:numDim>
    </cx:data>
    <cx:data id="1">
      <cx:numDim type="val">
        <cx:f dir="row">_xlchart.v1.231</cx:f>
      </cx:numDim>
    </cx:data>
    <cx:data id="2">
      <cx:numDim type="val">
        <cx:f dir="row">_xlchart.v1.229</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Low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_xlchart.v1.227</cx:f>
              <cx:v>Low HLR, Lower Outlet Height, No Plants</cx:v>
            </cx:txData>
          </cx:tx>
          <cx:dataId val="0"/>
          <cx:layoutPr>
            <cx:visibility nonoutliers="0"/>
            <cx:statistics quartileMethod="exclusive"/>
          </cx:layoutPr>
        </cx:series>
        <cx:series layoutId="boxWhisker" uniqueId="{0000000A-53AA-3F4B-9ECC-192F2119BD00}">
          <cx:tx>
            <cx:txData>
              <cx:f>_xlchart.v1.228</cx:f>
              <cx:v>Low HLR, Lower Outlet Height, No Plants</cx:v>
            </cx:txData>
          </cx:tx>
          <cx:dataId val="1"/>
          <cx:layoutPr>
            <cx:visibility nonoutliers="0"/>
            <cx:statistics quartileMethod="exclusive"/>
          </cx:layoutPr>
        </cx:series>
        <cx:series layoutId="boxWhisker" uniqueId="{0000000B-53AA-3F4B-9ECC-192F2119BD00}">
          <cx:tx>
            <cx:txData>
              <cx:f>_xlchart.v1.226</cx:f>
              <cx:v>Low HLR, Lower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54.xml><?xml version="1.0" encoding="utf-8"?>
<cx:chartSpace xmlns:a="http://schemas.openxmlformats.org/drawingml/2006/main" xmlns:r="http://schemas.openxmlformats.org/officeDocument/2006/relationships" xmlns:cx="http://schemas.microsoft.com/office/drawing/2014/chartex">
  <cx:chartData>
    <cx:data id="0">
      <cx:numDim type="val">
        <cx:f dir="row">_xlchart.v1.223</cx:f>
      </cx:numDim>
    </cx:data>
    <cx:data id="1">
      <cx:numDim type="val">
        <cx:f dir="row">_xlchart.v1.224</cx:f>
      </cx:numDim>
    </cx:data>
    <cx:data id="2">
      <cx:numDim type="val">
        <cx:f dir="row">_xlchart.v1.225</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Medium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_xlchart.v1.220</cx:f>
              <cx:v>Medium HLR, Lower Outlet Height, No Plants</cx:v>
            </cx:txData>
          </cx:tx>
          <cx:dataId val="0"/>
          <cx:layoutPr>
            <cx:visibility nonoutliers="0"/>
            <cx:statistics quartileMethod="exclusive"/>
          </cx:layoutPr>
        </cx:series>
        <cx:series layoutId="boxWhisker" uniqueId="{0000000A-53AA-3F4B-9ECC-192F2119BD00}">
          <cx:tx>
            <cx:txData>
              <cx:f>_xlchart.v1.221</cx:f>
              <cx:v>Medium HLR, Lower Outlet Height, No Plants</cx:v>
            </cx:txData>
          </cx:tx>
          <cx:dataId val="1"/>
          <cx:layoutPr>
            <cx:visibility nonoutliers="0"/>
            <cx:statistics quartileMethod="exclusive"/>
          </cx:layoutPr>
        </cx:series>
        <cx:series layoutId="boxWhisker" uniqueId="{0000000B-53AA-3F4B-9ECC-192F2119BD00}">
          <cx:tx>
            <cx:txData>
              <cx:f>_xlchart.v1.222</cx:f>
              <cx:v>Medium HLR, Lower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55.xml><?xml version="1.0" encoding="utf-8"?>
<cx:chartSpace xmlns:a="http://schemas.openxmlformats.org/drawingml/2006/main" xmlns:r="http://schemas.openxmlformats.org/officeDocument/2006/relationships" xmlns:cx="http://schemas.microsoft.com/office/drawing/2014/chartex">
  <cx:chartData>
    <cx:data id="0">
      <cx:numDim type="val">
        <cx:f dir="row">_xlchart.v1.237</cx:f>
      </cx:numDim>
    </cx:data>
    <cx:data id="1">
      <cx:numDim type="val">
        <cx:f dir="row">_xlchart.v1.232</cx:f>
      </cx:numDim>
    </cx:data>
    <cx:data id="2">
      <cx:numDim type="val">
        <cx:f dir="row">_xlchart.v1.233</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_xlchart.v1.234</cx:f>
              <cx:v>High HLR, Lower Outlet Height, No Plants</cx:v>
            </cx:txData>
          </cx:tx>
          <cx:dataId val="0"/>
          <cx:layoutPr>
            <cx:visibility nonoutliers="0"/>
            <cx:statistics quartileMethod="exclusive"/>
          </cx:layoutPr>
        </cx:series>
        <cx:series layoutId="boxWhisker" uniqueId="{0000000A-53AA-3F4B-9ECC-192F2119BD00}">
          <cx:tx>
            <cx:txData>
              <cx:f>_xlchart.v1.235</cx:f>
              <cx:v>High HLR, Lower Outlet Height, No Plants</cx:v>
            </cx:txData>
          </cx:tx>
          <cx:dataId val="1"/>
          <cx:layoutPr>
            <cx:visibility nonoutliers="0"/>
            <cx:statistics quartileMethod="exclusive"/>
          </cx:layoutPr>
        </cx:series>
        <cx:series layoutId="boxWhisker" uniqueId="{0000000B-53AA-3F4B-9ECC-192F2119BD00}">
          <cx:tx>
            <cx:txData>
              <cx:f>_xlchart.v1.236</cx:f>
              <cx:v>High HLR, Lower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56.xml><?xml version="1.0" encoding="utf-8"?>
<cx:chartSpace xmlns:a="http://schemas.openxmlformats.org/drawingml/2006/main" xmlns:r="http://schemas.openxmlformats.org/officeDocument/2006/relationships" xmlns:cx="http://schemas.microsoft.com/office/drawing/2014/chartex">
  <cx:chartData>
    <cx:data id="0">
      <cx:numDim type="val">
        <cx:f dir="row">_xlchart.v1.241</cx:f>
      </cx:numDim>
    </cx:data>
    <cx:data id="1">
      <cx:numDim type="val">
        <cx:f dir="row">_xlchart.v1.242</cx:f>
      </cx:numDim>
    </cx:data>
    <cx:data id="2">
      <cx:numDim type="val">
        <cx:f dir="row">_xlchart.v1.243</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Upper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_xlchart.v1.238</cx:f>
              <cx:v>High HLR, Upper Outlet Height, No Plants</cx:v>
            </cx:txData>
          </cx:tx>
          <cx:dataId val="0"/>
          <cx:layoutPr>
            <cx:visibility nonoutliers="0"/>
            <cx:statistics quartileMethod="exclusive"/>
          </cx:layoutPr>
        </cx:series>
        <cx:series layoutId="boxWhisker" uniqueId="{0000000A-53AA-3F4B-9ECC-192F2119BD00}">
          <cx:tx>
            <cx:txData>
              <cx:f>_xlchart.v1.239</cx:f>
              <cx:v>High HLR, Upper Outlet Height, No Plants</cx:v>
            </cx:txData>
          </cx:tx>
          <cx:dataId val="1"/>
          <cx:layoutPr>
            <cx:visibility nonoutliers="0"/>
            <cx:statistics quartileMethod="exclusive"/>
          </cx:layoutPr>
        </cx:series>
        <cx:series layoutId="boxWhisker" uniqueId="{0000000B-53AA-3F4B-9ECC-192F2119BD00}">
          <cx:tx>
            <cx:txData>
              <cx:f>_xlchart.v1.240</cx:f>
              <cx:v>High HLR, Upper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57.xml><?xml version="1.0" encoding="utf-8"?>
<cx:chartSpace xmlns:a="http://schemas.openxmlformats.org/drawingml/2006/main" xmlns:r="http://schemas.openxmlformats.org/officeDocument/2006/relationships" xmlns:cx="http://schemas.microsoft.com/office/drawing/2014/chartex">
  <cx:chartData>
    <cx:data id="0">
      <cx:numDim type="val">
        <cx:f dir="row">_xlchart.v1.217</cx:f>
      </cx:numDim>
    </cx:data>
    <cx:data id="1">
      <cx:numDim type="val">
        <cx:f dir="row">_xlchart.v1.218</cx:f>
      </cx:numDim>
    </cx:data>
    <cx:data id="2">
      <cx:numDim type="val">
        <cx:f dir="row">_xlchart.v1.219</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Lower Outlet Height, Yes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_xlchart.v1.214</cx:f>
              <cx:v>High HLR, Lower Outlet Height, Yes Plants</cx:v>
            </cx:txData>
          </cx:tx>
          <cx:dataId val="0"/>
          <cx:layoutPr>
            <cx:visibility nonoutliers="0"/>
            <cx:statistics quartileMethod="exclusive"/>
          </cx:layoutPr>
        </cx:series>
        <cx:series layoutId="boxWhisker" uniqueId="{0000000A-53AA-3F4B-9ECC-192F2119BD00}">
          <cx:tx>
            <cx:txData>
              <cx:f>_xlchart.v1.215</cx:f>
              <cx:v>High HLR, Lower Outlet Height, Yes Plants</cx:v>
            </cx:txData>
          </cx:tx>
          <cx:dataId val="1"/>
          <cx:layoutPr>
            <cx:visibility nonoutliers="0"/>
            <cx:statistics quartileMethod="exclusive"/>
          </cx:layoutPr>
        </cx:series>
        <cx:series layoutId="boxWhisker" uniqueId="{0000000B-53AA-3F4B-9ECC-192F2119BD00}">
          <cx:tx>
            <cx:txData>
              <cx:f>_xlchart.v1.216</cx:f>
              <cx:v>High HLR, Lower Outlet Height, Yes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58.xml><?xml version="1.0" encoding="utf-8"?>
<cx:chartSpace xmlns:a="http://schemas.openxmlformats.org/drawingml/2006/main" xmlns:r="http://schemas.openxmlformats.org/officeDocument/2006/relationships" xmlns:cx="http://schemas.microsoft.com/office/drawing/2014/chartex">
  <cx:chartData>
    <cx:data id="0">
      <cx:numDim type="val">
        <cx:f dir="row">_xlchart.v1.247</cx:f>
      </cx:numDim>
    </cx:data>
    <cx:data id="1">
      <cx:numDim type="val">
        <cx:f dir="row">_xlchart.v1.248</cx:f>
      </cx:numDim>
    </cx:data>
    <cx:data id="2">
      <cx:numDim type="val">
        <cx:f dir="row">_xlchart.v1.249</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Upper Outlet Height, Yes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_xlchart.v1.244</cx:f>
              <cx:v>Medium HLR, Upper Outlet Height, Yes Plants</cx:v>
            </cx:txData>
          </cx:tx>
          <cx:dataId val="0"/>
          <cx:layoutPr>
            <cx:visibility nonoutliers="0"/>
            <cx:statistics quartileMethod="exclusive"/>
          </cx:layoutPr>
        </cx:series>
        <cx:series layoutId="boxWhisker" uniqueId="{0000000A-53AA-3F4B-9ECC-192F2119BD00}">
          <cx:tx>
            <cx:txData>
              <cx:f>_xlchart.v1.245</cx:f>
              <cx:v>Medium HLR, Upper Outlet Height, Yes Plants</cx:v>
            </cx:txData>
          </cx:tx>
          <cx:dataId val="1"/>
          <cx:layoutPr>
            <cx:visibility nonoutliers="0"/>
            <cx:statistics quartileMethod="exclusive"/>
          </cx:layoutPr>
        </cx:series>
        <cx:series layoutId="boxWhisker" uniqueId="{0000000B-53AA-3F4B-9ECC-192F2119BD00}">
          <cx:tx>
            <cx:txData>
              <cx:f>_xlchart.v1.246</cx:f>
              <cx:v>Medium HLR, Upper Outlet Height, Yes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59.xml><?xml version="1.0" encoding="utf-8"?>
<cx:chartSpace xmlns:a="http://schemas.openxmlformats.org/drawingml/2006/main" xmlns:r="http://schemas.openxmlformats.org/officeDocument/2006/relationships" xmlns:cx="http://schemas.microsoft.com/office/drawing/2014/chartex">
  <cx:chartData>
    <cx:data id="0">
      <cx:numDim type="val">
        <cx:f dir="row">_xlchart.v1.266</cx:f>
      </cx:numDim>
    </cx:data>
    <cx:data id="1">
      <cx:numDim type="val">
        <cx:f dir="row">_xlchart.v1.267</cx:f>
      </cx:numDim>
    </cx:data>
    <cx:data id="2">
      <cx:numDim type="val">
        <cx:f dir="row">_xlchart.v1.265</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Low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_xlchart.v1.263</cx:f>
              <cx:v>Low HLR, Lower Outlet Height, No Plants</cx:v>
            </cx:txData>
          </cx:tx>
          <cx:dataId val="0"/>
          <cx:layoutPr>
            <cx:visibility nonoutliers="0"/>
            <cx:statistics quartileMethod="exclusive"/>
          </cx:layoutPr>
        </cx:series>
        <cx:series layoutId="boxWhisker" uniqueId="{0000000A-53AA-3F4B-9ECC-192F2119BD00}">
          <cx:tx>
            <cx:txData>
              <cx:f>_xlchart.v1.264</cx:f>
              <cx:v>Low HLR, Lower Outlet Height, No Plants</cx:v>
            </cx:txData>
          </cx:tx>
          <cx:dataId val="1"/>
          <cx:layoutPr>
            <cx:visibility nonoutliers="0"/>
            <cx:statistics quartileMethod="exclusive"/>
          </cx:layoutPr>
        </cx:series>
        <cx:series layoutId="boxWhisker" uniqueId="{0000000B-53AA-3F4B-9ECC-192F2119BD00}">
          <cx:tx>
            <cx:txData>
              <cx:f>_xlchart.v1.262</cx:f>
              <cx:v>Low HLR, Lower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60.xml><?xml version="1.0" encoding="utf-8"?>
<cx:chartSpace xmlns:a="http://schemas.openxmlformats.org/drawingml/2006/main" xmlns:r="http://schemas.openxmlformats.org/officeDocument/2006/relationships" xmlns:cx="http://schemas.microsoft.com/office/drawing/2014/chartex">
  <cx:chartData>
    <cx:data id="0">
      <cx:numDim type="val">
        <cx:f dir="row">_xlchart.v1.271</cx:f>
      </cx:numDim>
    </cx:data>
    <cx:data id="1">
      <cx:numDim type="val">
        <cx:f dir="row">_xlchart.v1.272</cx:f>
      </cx:numDim>
    </cx:data>
    <cx:data id="2">
      <cx:numDim type="val">
        <cx:f dir="row">_xlchart.v1.273</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Medium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_xlchart.v1.268</cx:f>
              <cx:v>Medium HLR, Lower Outlet Height, No Plants</cx:v>
            </cx:txData>
          </cx:tx>
          <cx:dataId val="0"/>
          <cx:layoutPr>
            <cx:visibility nonoutliers="0"/>
            <cx:statistics quartileMethod="exclusive"/>
          </cx:layoutPr>
        </cx:series>
        <cx:series layoutId="boxWhisker" uniqueId="{0000000A-53AA-3F4B-9ECC-192F2119BD00}">
          <cx:tx>
            <cx:txData>
              <cx:f>_xlchart.v1.269</cx:f>
              <cx:v>Medium HLR, Lower Outlet Height, No Plants</cx:v>
            </cx:txData>
          </cx:tx>
          <cx:dataId val="1"/>
          <cx:layoutPr>
            <cx:visibility nonoutliers="0"/>
            <cx:statistics quartileMethod="exclusive"/>
          </cx:layoutPr>
        </cx:series>
        <cx:series layoutId="boxWhisker" uniqueId="{0000000B-53AA-3F4B-9ECC-192F2119BD00}">
          <cx:tx>
            <cx:txData>
              <cx:f>_xlchart.v1.270</cx:f>
              <cx:v>Medium HLR, Lower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61.xml><?xml version="1.0" encoding="utf-8"?>
<cx:chartSpace xmlns:a="http://schemas.openxmlformats.org/drawingml/2006/main" xmlns:r="http://schemas.openxmlformats.org/officeDocument/2006/relationships" xmlns:cx="http://schemas.microsoft.com/office/drawing/2014/chartex">
  <cx:chartData>
    <cx:data id="0">
      <cx:numDim type="val">
        <cx:f dir="row">_xlchart.v1.285</cx:f>
      </cx:numDim>
    </cx:data>
    <cx:data id="1">
      <cx:numDim type="val">
        <cx:f dir="row">_xlchart.v1.280</cx:f>
      </cx:numDim>
    </cx:data>
    <cx:data id="2">
      <cx:numDim type="val">
        <cx:f dir="row">_xlchart.v1.281</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_xlchart.v1.282</cx:f>
              <cx:v>High HLR, Lower Outlet Height, No Plants</cx:v>
            </cx:txData>
          </cx:tx>
          <cx:dataId val="0"/>
          <cx:layoutPr>
            <cx:visibility nonoutliers="0"/>
            <cx:statistics quartileMethod="exclusive"/>
          </cx:layoutPr>
        </cx:series>
        <cx:series layoutId="boxWhisker" uniqueId="{0000000A-53AA-3F4B-9ECC-192F2119BD00}">
          <cx:tx>
            <cx:txData>
              <cx:f>_xlchart.v1.283</cx:f>
              <cx:v>High HLR, Lower Outlet Height, No Plants</cx:v>
            </cx:txData>
          </cx:tx>
          <cx:dataId val="1"/>
          <cx:layoutPr>
            <cx:visibility nonoutliers="0"/>
            <cx:statistics quartileMethod="exclusive"/>
          </cx:layoutPr>
        </cx:series>
        <cx:series layoutId="boxWhisker" uniqueId="{0000000B-53AA-3F4B-9ECC-192F2119BD00}">
          <cx:tx>
            <cx:txData>
              <cx:f>_xlchart.v1.284</cx:f>
              <cx:v>High HLR, Lower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62.xml><?xml version="1.0" encoding="utf-8"?>
<cx:chartSpace xmlns:a="http://schemas.openxmlformats.org/drawingml/2006/main" xmlns:r="http://schemas.openxmlformats.org/officeDocument/2006/relationships" xmlns:cx="http://schemas.microsoft.com/office/drawing/2014/chartex">
  <cx:chartData>
    <cx:data id="0">
      <cx:numDim type="val">
        <cx:f dir="row">_xlchart.v1.259</cx:f>
      </cx:numDim>
    </cx:data>
    <cx:data id="1">
      <cx:numDim type="val">
        <cx:f dir="row">_xlchart.v1.260</cx:f>
      </cx:numDim>
    </cx:data>
    <cx:data id="2">
      <cx:numDim type="val">
        <cx:f dir="row">_xlchart.v1.261</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Upper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_xlchart.v1.256</cx:f>
              <cx:v>High HLR, Upper Outlet Height, No Plants</cx:v>
            </cx:txData>
          </cx:tx>
          <cx:dataId val="0"/>
          <cx:layoutPr>
            <cx:visibility nonoutliers="0"/>
            <cx:statistics quartileMethod="exclusive"/>
          </cx:layoutPr>
        </cx:series>
        <cx:series layoutId="boxWhisker" uniqueId="{0000000A-53AA-3F4B-9ECC-192F2119BD00}">
          <cx:tx>
            <cx:txData>
              <cx:f>_xlchart.v1.257</cx:f>
              <cx:v>High HLR, Upper Outlet Height, No Plants</cx:v>
            </cx:txData>
          </cx:tx>
          <cx:dataId val="1"/>
          <cx:layoutPr>
            <cx:visibility nonoutliers="0"/>
            <cx:statistics quartileMethod="exclusive"/>
          </cx:layoutPr>
        </cx:series>
        <cx:series layoutId="boxWhisker" uniqueId="{0000000B-53AA-3F4B-9ECC-192F2119BD00}">
          <cx:tx>
            <cx:txData>
              <cx:f>_xlchart.v1.258</cx:f>
              <cx:v>High HLR, Upper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63.xml><?xml version="1.0" encoding="utf-8"?>
<cx:chartSpace xmlns:a="http://schemas.openxmlformats.org/drawingml/2006/main" xmlns:r="http://schemas.openxmlformats.org/officeDocument/2006/relationships" xmlns:cx="http://schemas.microsoft.com/office/drawing/2014/chartex">
  <cx:chartData>
    <cx:data id="0">
      <cx:numDim type="val">
        <cx:f dir="row">_xlchart.v1.277</cx:f>
      </cx:numDim>
    </cx:data>
    <cx:data id="1">
      <cx:numDim type="val">
        <cx:f dir="row">_xlchart.v1.278</cx:f>
      </cx:numDim>
    </cx:data>
    <cx:data id="2">
      <cx:numDim type="val">
        <cx:f dir="row">_xlchart.v1.279</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Lower Outlet Height, Yes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_xlchart.v1.274</cx:f>
              <cx:v>High HLR, Lower Outlet Height, Yes Plants</cx:v>
            </cx:txData>
          </cx:tx>
          <cx:dataId val="0"/>
          <cx:layoutPr>
            <cx:visibility nonoutliers="0"/>
            <cx:statistics quartileMethod="exclusive"/>
          </cx:layoutPr>
        </cx:series>
        <cx:series layoutId="boxWhisker" uniqueId="{0000000A-53AA-3F4B-9ECC-192F2119BD00}">
          <cx:tx>
            <cx:txData>
              <cx:f>_xlchart.v1.275</cx:f>
              <cx:v>High HLR, Lower Outlet Height, Yes Plants</cx:v>
            </cx:txData>
          </cx:tx>
          <cx:dataId val="1"/>
          <cx:layoutPr>
            <cx:visibility nonoutliers="0"/>
            <cx:statistics quartileMethod="exclusive"/>
          </cx:layoutPr>
        </cx:series>
        <cx:series layoutId="boxWhisker" uniqueId="{0000000B-53AA-3F4B-9ECC-192F2119BD00}">
          <cx:tx>
            <cx:txData>
              <cx:f>_xlchart.v1.276</cx:f>
              <cx:v>High HLR, Lower Outlet Height, Yes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64.xml><?xml version="1.0" encoding="utf-8"?>
<cx:chartSpace xmlns:a="http://schemas.openxmlformats.org/drawingml/2006/main" xmlns:r="http://schemas.openxmlformats.org/officeDocument/2006/relationships" xmlns:cx="http://schemas.microsoft.com/office/drawing/2014/chartex">
  <cx:chartData>
    <cx:data id="0">
      <cx:numDim type="val">
        <cx:f dir="row">_xlchart.v1.253</cx:f>
      </cx:numDim>
    </cx:data>
    <cx:data id="1">
      <cx:numDim type="val">
        <cx:f dir="row">_xlchart.v1.254</cx:f>
      </cx:numDim>
    </cx:data>
    <cx:data id="2">
      <cx:numDim type="val">
        <cx:f dir="row">_xlchart.v1.255</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Upper Outlet Height, Yes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_xlchart.v1.250</cx:f>
              <cx:v>Medium HLR, Upper Outlet Height, Yes Plants</cx:v>
            </cx:txData>
          </cx:tx>
          <cx:dataId val="0"/>
          <cx:layoutPr>
            <cx:visibility nonoutliers="0"/>
            <cx:statistics quartileMethod="exclusive"/>
          </cx:layoutPr>
        </cx:series>
        <cx:series layoutId="boxWhisker" uniqueId="{0000000A-53AA-3F4B-9ECC-192F2119BD00}">
          <cx:tx>
            <cx:txData>
              <cx:f>_xlchart.v1.251</cx:f>
              <cx:v>Medium HLR, Upper Outlet Height, Yes Plants</cx:v>
            </cx:txData>
          </cx:tx>
          <cx:dataId val="1"/>
          <cx:layoutPr>
            <cx:visibility nonoutliers="0"/>
            <cx:statistics quartileMethod="exclusive"/>
          </cx:layoutPr>
        </cx:series>
        <cx:series layoutId="boxWhisker" uniqueId="{0000000B-53AA-3F4B-9ECC-192F2119BD00}">
          <cx:tx>
            <cx:txData>
              <cx:f>_xlchart.v1.252</cx:f>
              <cx:v>Medium HLR, Upper Outlet Height, Yes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65.xml><?xml version="1.0" encoding="utf-8"?>
<cx:chartSpace xmlns:a="http://schemas.openxmlformats.org/drawingml/2006/main" xmlns:r="http://schemas.openxmlformats.org/officeDocument/2006/relationships" xmlns:cx="http://schemas.microsoft.com/office/drawing/2014/chartex">
  <cx:chartData>
    <cx:data id="0">
      <cx:numDim type="val">
        <cx:f dir="row">_xlchart.v1.290</cx:f>
      </cx:numDim>
    </cx:data>
    <cx:data id="1">
      <cx:numDim type="val">
        <cx:f dir="row">_xlchart.v1.291</cx:f>
      </cx:numDim>
    </cx:data>
    <cx:data id="2">
      <cx:numDim type="val">
        <cx:f dir="row">_xlchart.v1.289</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Low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_xlchart.v1.287</cx:f>
              <cx:v>Low HLR, Lower Outlet Height, No Plants</cx:v>
            </cx:txData>
          </cx:tx>
          <cx:dataId val="0"/>
          <cx:layoutPr>
            <cx:visibility nonoutliers="0"/>
            <cx:statistics quartileMethod="exclusive"/>
          </cx:layoutPr>
        </cx:series>
        <cx:series layoutId="boxWhisker" uniqueId="{0000000A-53AA-3F4B-9ECC-192F2119BD00}">
          <cx:tx>
            <cx:txData>
              <cx:f>_xlchart.v1.288</cx:f>
              <cx:v>Low HLR, Lower Outlet Height, No Plants</cx:v>
            </cx:txData>
          </cx:tx>
          <cx:dataId val="1"/>
          <cx:layoutPr>
            <cx:visibility nonoutliers="0"/>
            <cx:statistics quartileMethod="exclusive"/>
          </cx:layoutPr>
        </cx:series>
        <cx:series layoutId="boxWhisker" uniqueId="{0000000B-53AA-3F4B-9ECC-192F2119BD00}">
          <cx:tx>
            <cx:txData>
              <cx:f>_xlchart.v1.286</cx:f>
              <cx:v>Low HLR, Lower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 N/L)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 N/L)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66.xml><?xml version="1.0" encoding="utf-8"?>
<cx:chartSpace xmlns:a="http://schemas.openxmlformats.org/drawingml/2006/main" xmlns:r="http://schemas.openxmlformats.org/officeDocument/2006/relationships" xmlns:cx="http://schemas.microsoft.com/office/drawing/2014/chartex">
  <cx:chartData>
    <cx:data id="0">
      <cx:numDim type="val">
        <cx:f dir="row">_xlchart.v1.295</cx:f>
      </cx:numDim>
    </cx:data>
    <cx:data id="1">
      <cx:numDim type="val">
        <cx:f dir="row">_xlchart.v1.296</cx:f>
      </cx:numDim>
    </cx:data>
    <cx:data id="2">
      <cx:numDim type="val">
        <cx:f dir="row">_xlchart.v1.297</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Medium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_xlchart.v1.292</cx:f>
              <cx:v>Medium HLR, Lower Outlet Height, No Plants</cx:v>
            </cx:txData>
          </cx:tx>
          <cx:dataId val="0"/>
          <cx:layoutPr>
            <cx:visibility nonoutliers="0"/>
            <cx:statistics quartileMethod="exclusive"/>
          </cx:layoutPr>
        </cx:series>
        <cx:series layoutId="boxWhisker" uniqueId="{0000000A-53AA-3F4B-9ECC-192F2119BD00}">
          <cx:tx>
            <cx:txData>
              <cx:f>_xlchart.v1.293</cx:f>
              <cx:v>Medium HLR, Lower Outlet Height, No Plants</cx:v>
            </cx:txData>
          </cx:tx>
          <cx:dataId val="1"/>
          <cx:layoutPr>
            <cx:visibility nonoutliers="0"/>
            <cx:statistics quartileMethod="exclusive"/>
          </cx:layoutPr>
        </cx:series>
        <cx:series layoutId="boxWhisker" uniqueId="{0000000B-53AA-3F4B-9ECC-192F2119BD00}">
          <cx:tx>
            <cx:txData>
              <cx:f>_xlchart.v1.294</cx:f>
              <cx:v>Medium HLR, Lower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 N/L)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 N/L)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67.xml><?xml version="1.0" encoding="utf-8"?>
<cx:chartSpace xmlns:a="http://schemas.openxmlformats.org/drawingml/2006/main" xmlns:r="http://schemas.openxmlformats.org/officeDocument/2006/relationships" xmlns:cx="http://schemas.microsoft.com/office/drawing/2014/chartex">
  <cx:chartData>
    <cx:data id="0">
      <cx:numDim type="val">
        <cx:f dir="row">_xlchart.v1.307</cx:f>
      </cx:numDim>
    </cx:data>
    <cx:data id="1">
      <cx:numDim type="val">
        <cx:f dir="row">_xlchart.v1.308</cx:f>
      </cx:numDim>
    </cx:data>
    <cx:data id="2">
      <cx:numDim type="val">
        <cx:f dir="row">_xlchart.v1.309</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_xlchart.v1.304</cx:f>
              <cx:v>High HLR, Lower Outlet Height, No Plants</cx:v>
            </cx:txData>
          </cx:tx>
          <cx:dataId val="0"/>
          <cx:layoutPr>
            <cx:visibility nonoutliers="0"/>
            <cx:statistics quartileMethod="exclusive"/>
          </cx:layoutPr>
        </cx:series>
        <cx:series layoutId="boxWhisker" uniqueId="{0000000A-53AA-3F4B-9ECC-192F2119BD00}">
          <cx:tx>
            <cx:txData>
              <cx:f>_xlchart.v1.305</cx:f>
              <cx:v>High HLR, Lower Outlet Height, No Plants</cx:v>
            </cx:txData>
          </cx:tx>
          <cx:dataId val="1"/>
          <cx:layoutPr>
            <cx:visibility nonoutliers="0"/>
            <cx:statistics quartileMethod="exclusive"/>
          </cx:layoutPr>
        </cx:series>
        <cx:series layoutId="boxWhisker" uniqueId="{0000000B-53AA-3F4B-9ECC-192F2119BD00}">
          <cx:tx>
            <cx:txData>
              <cx:f>_xlchart.v1.306</cx:f>
              <cx:v>High HLR, Lower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 N/L)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 N/L)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68.xml><?xml version="1.0" encoding="utf-8"?>
<cx:chartSpace xmlns:a="http://schemas.openxmlformats.org/drawingml/2006/main" xmlns:r="http://schemas.openxmlformats.org/officeDocument/2006/relationships" xmlns:cx="http://schemas.microsoft.com/office/drawing/2014/chartex">
  <cx:chartData>
    <cx:data id="0">
      <cx:numDim type="val">
        <cx:f dir="row">_xlchart.v1.319</cx:f>
      </cx:numDim>
    </cx:data>
    <cx:data id="1">
      <cx:numDim type="val">
        <cx:f dir="row">_xlchart.v1.320</cx:f>
      </cx:numDim>
    </cx:data>
    <cx:data id="2">
      <cx:numDim type="val">
        <cx:f dir="row">_xlchart.v1.321</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Upper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_xlchart.v1.316</cx:f>
              <cx:v>High HLR, Upper Outlet Height, No Plants</cx:v>
            </cx:txData>
          </cx:tx>
          <cx:dataId val="0"/>
          <cx:layoutPr>
            <cx:visibility nonoutliers="0"/>
            <cx:statistics quartileMethod="exclusive"/>
          </cx:layoutPr>
        </cx:series>
        <cx:series layoutId="boxWhisker" uniqueId="{0000000A-53AA-3F4B-9ECC-192F2119BD00}">
          <cx:tx>
            <cx:txData>
              <cx:f>_xlchart.v1.317</cx:f>
              <cx:v>High HLR, Upper Outlet Height, No Plants</cx:v>
            </cx:txData>
          </cx:tx>
          <cx:dataId val="1"/>
          <cx:layoutPr>
            <cx:visibility nonoutliers="0"/>
            <cx:statistics quartileMethod="exclusive"/>
          </cx:layoutPr>
        </cx:series>
        <cx:series layoutId="boxWhisker" uniqueId="{0000000B-53AA-3F4B-9ECC-192F2119BD00}">
          <cx:tx>
            <cx:txData>
              <cx:f>_xlchart.v1.318</cx:f>
              <cx:v>High HLR, Upper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 N/L)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 N/L)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69.xml><?xml version="1.0" encoding="utf-8"?>
<cx:chartSpace xmlns:a="http://schemas.openxmlformats.org/drawingml/2006/main" xmlns:r="http://schemas.openxmlformats.org/officeDocument/2006/relationships" xmlns:cx="http://schemas.microsoft.com/office/drawing/2014/chartex">
  <cx:chartData>
    <cx:data id="0">
      <cx:numDim type="val">
        <cx:f dir="row">_xlchart.v1.313</cx:f>
      </cx:numDim>
    </cx:data>
    <cx:data id="1">
      <cx:numDim type="val">
        <cx:f dir="row">_xlchart.v1.314</cx:f>
      </cx:numDim>
    </cx:data>
    <cx:data id="2">
      <cx:numDim type="val">
        <cx:f dir="row">_xlchart.v1.315</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Lower Outlet Height, Yes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_xlchart.v1.310</cx:f>
              <cx:v>High HLR, Lower Outlet Height, Yes Plants</cx:v>
            </cx:txData>
          </cx:tx>
          <cx:dataId val="0"/>
          <cx:layoutPr>
            <cx:visibility nonoutliers="0"/>
            <cx:statistics quartileMethod="exclusive"/>
          </cx:layoutPr>
        </cx:series>
        <cx:series layoutId="boxWhisker" uniqueId="{0000000A-53AA-3F4B-9ECC-192F2119BD00}">
          <cx:tx>
            <cx:txData>
              <cx:f>_xlchart.v1.311</cx:f>
              <cx:v>High HLR, Lower Outlet Height, Yes Plants</cx:v>
            </cx:txData>
          </cx:tx>
          <cx:dataId val="1"/>
          <cx:layoutPr>
            <cx:visibility nonoutliers="0"/>
            <cx:statistics quartileMethod="exclusive"/>
          </cx:layoutPr>
        </cx:series>
        <cx:series layoutId="boxWhisker" uniqueId="{0000000B-53AA-3F4B-9ECC-192F2119BD00}">
          <cx:tx>
            <cx:txData>
              <cx:f>_xlchart.v1.312</cx:f>
              <cx:v>High HLR, Lower Outlet Height, Yes Plants</cx:v>
            </cx:txData>
          </cx:tx>
          <cx:dataId val="2"/>
          <cx:layoutPr>
            <cx:visibility nonoutliers="0"/>
            <cx:statistics quartileMethod="exclusive"/>
          </cx:layoutPr>
        </cx:series>
      </cx:plotAreaRegion>
      <cx:axis id="0" hidden="1">
        <cx:catScaling gapWidth="1"/>
        <cx:tickLabels/>
      </cx:axis>
      <cx:axis id="1">
        <cx:valScaling/>
        <cx:title>
          <cx:tx>
            <cx:txData>
              <cx:v>Concentration (mg N/L)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 N/L)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70.xml><?xml version="1.0" encoding="utf-8"?>
<cx:chartSpace xmlns:a="http://schemas.openxmlformats.org/drawingml/2006/main" xmlns:r="http://schemas.openxmlformats.org/officeDocument/2006/relationships" xmlns:cx="http://schemas.microsoft.com/office/drawing/2014/chartex">
  <cx:chartData>
    <cx:data id="0">
      <cx:numDim type="val">
        <cx:f dir="row">_xlchart.v1.301</cx:f>
      </cx:numDim>
    </cx:data>
    <cx:data id="1">
      <cx:numDim type="val">
        <cx:f dir="row">_xlchart.v1.302</cx:f>
      </cx:numDim>
    </cx:data>
    <cx:data id="2">
      <cx:numDim type="val">
        <cx:f dir="row">_xlchart.v1.303</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Upper Outlet Height, Yes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_xlchart.v1.298</cx:f>
              <cx:v>Medium HLR, Upper Outlet Height, Yes Plants</cx:v>
            </cx:txData>
          </cx:tx>
          <cx:dataId val="0"/>
          <cx:layoutPr>
            <cx:visibility nonoutliers="0"/>
            <cx:statistics quartileMethod="exclusive"/>
          </cx:layoutPr>
        </cx:series>
        <cx:series layoutId="boxWhisker" uniqueId="{0000000A-53AA-3F4B-9ECC-192F2119BD00}">
          <cx:tx>
            <cx:txData>
              <cx:f>_xlchart.v1.299</cx:f>
              <cx:v>Medium HLR, Upper Outlet Height, Yes Plants</cx:v>
            </cx:txData>
          </cx:tx>
          <cx:dataId val="1"/>
          <cx:layoutPr>
            <cx:visibility nonoutliers="0"/>
            <cx:statistics quartileMethod="exclusive"/>
          </cx:layoutPr>
        </cx:series>
        <cx:series layoutId="boxWhisker" uniqueId="{0000000B-53AA-3F4B-9ECC-192F2119BD00}">
          <cx:tx>
            <cx:txData>
              <cx:f>_xlchart.v1.300</cx:f>
              <cx:v>Medium HLR, Upper Outlet Height, Yes Plants</cx:v>
            </cx:txData>
          </cx:tx>
          <cx:dataId val="2"/>
          <cx:layoutPr>
            <cx:visibility nonoutliers="0"/>
            <cx:statistics quartileMethod="exclusive"/>
          </cx:layoutPr>
        </cx:series>
      </cx:plotAreaRegion>
      <cx:axis id="0" hidden="1">
        <cx:catScaling gapWidth="1"/>
        <cx:tickLabels/>
      </cx:axis>
      <cx:axis id="1">
        <cx:valScaling/>
        <cx:title>
          <cx:tx>
            <cx:txData>
              <cx:v>Concentration (mg N/L)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 N/L)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71.xml><?xml version="1.0" encoding="utf-8"?>
<cx:chartSpace xmlns:a="http://schemas.openxmlformats.org/drawingml/2006/main" xmlns:r="http://schemas.openxmlformats.org/officeDocument/2006/relationships" xmlns:cx="http://schemas.microsoft.com/office/drawing/2014/chartex">
  <cx:chartData>
    <cx:data id="0">
      <cx:numDim type="val">
        <cx:f dir="row">_xlchart.v1.338</cx:f>
      </cx:numDim>
    </cx:data>
    <cx:data id="1">
      <cx:numDim type="val">
        <cx:f dir="row">_xlchart.v1.339</cx:f>
      </cx:numDim>
    </cx:data>
    <cx:data id="2">
      <cx:numDim type="val">
        <cx:f dir="row">_xlchart.v1.337</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Low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_xlchart.v1.335</cx:f>
              <cx:v>Low HLR, Lower Outlet Height, No Plants</cx:v>
            </cx:txData>
          </cx:tx>
          <cx:dataId val="0"/>
          <cx:layoutPr>
            <cx:visibility nonoutliers="0"/>
            <cx:statistics quartileMethod="exclusive"/>
          </cx:layoutPr>
        </cx:series>
        <cx:series layoutId="boxWhisker" uniqueId="{0000000A-53AA-3F4B-9ECC-192F2119BD00}">
          <cx:tx>
            <cx:txData>
              <cx:f>_xlchart.v1.336</cx:f>
              <cx:v>Low HLR, Lower Outlet Height, No Plants</cx:v>
            </cx:txData>
          </cx:tx>
          <cx:dataId val="1"/>
          <cx:layoutPr>
            <cx:visibility nonoutliers="0"/>
            <cx:statistics quartileMethod="exclusive"/>
          </cx:layoutPr>
        </cx:series>
        <cx:series layoutId="boxWhisker" uniqueId="{0000000B-53AA-3F4B-9ECC-192F2119BD00}">
          <cx:tx>
            <cx:txData>
              <cx:f>_xlchart.v1.334</cx:f>
              <cx:v>Low HLR, Lower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72.xml><?xml version="1.0" encoding="utf-8"?>
<cx:chartSpace xmlns:a="http://schemas.openxmlformats.org/drawingml/2006/main" xmlns:r="http://schemas.openxmlformats.org/officeDocument/2006/relationships" xmlns:cx="http://schemas.microsoft.com/office/drawing/2014/chartex">
  <cx:chartData>
    <cx:data id="0">
      <cx:numDim type="val">
        <cx:f dir="row">_xlchart.v1.343</cx:f>
      </cx:numDim>
    </cx:data>
    <cx:data id="1">
      <cx:numDim type="val">
        <cx:f dir="row">_xlchart.v1.344</cx:f>
      </cx:numDim>
    </cx:data>
    <cx:data id="2">
      <cx:numDim type="val">
        <cx:f dir="row">_xlchart.v1.345</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Medium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_xlchart.v1.340</cx:f>
              <cx:v>Medium HLR, Lower Outlet Height, No Plants</cx:v>
            </cx:txData>
          </cx:tx>
          <cx:dataId val="0"/>
          <cx:layoutPr>
            <cx:visibility nonoutliers="0"/>
            <cx:statistics quartileMethod="exclusive"/>
          </cx:layoutPr>
        </cx:series>
        <cx:series layoutId="boxWhisker" uniqueId="{0000000A-53AA-3F4B-9ECC-192F2119BD00}">
          <cx:tx>
            <cx:txData>
              <cx:f>_xlchart.v1.341</cx:f>
              <cx:v>Medium HLR, Lower Outlet Height, No Plants</cx:v>
            </cx:txData>
          </cx:tx>
          <cx:dataId val="1"/>
          <cx:layoutPr>
            <cx:visibility nonoutliers="0"/>
            <cx:statistics quartileMethod="exclusive"/>
          </cx:layoutPr>
        </cx:series>
        <cx:series layoutId="boxWhisker" uniqueId="{0000000B-53AA-3F4B-9ECC-192F2119BD00}">
          <cx:tx>
            <cx:txData>
              <cx:f>_xlchart.v1.342</cx:f>
              <cx:v>Medium HLR, Lower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73.xml><?xml version="1.0" encoding="utf-8"?>
<cx:chartSpace xmlns:a="http://schemas.openxmlformats.org/drawingml/2006/main" xmlns:r="http://schemas.openxmlformats.org/officeDocument/2006/relationships" xmlns:cx="http://schemas.microsoft.com/office/drawing/2014/chartex">
  <cx:chartData>
    <cx:data id="0">
      <cx:numDim type="val">
        <cx:f dir="row">_xlchart.v1.351</cx:f>
      </cx:numDim>
    </cx:data>
    <cx:data id="1">
      <cx:numDim type="val">
        <cx:f dir="row">_xlchart.v1.346</cx:f>
      </cx:numDim>
    </cx:data>
    <cx:data id="2">
      <cx:numDim type="val">
        <cx:f dir="row">_xlchart.v1.347</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_xlchart.v1.348</cx:f>
              <cx:v>High HLR, Lower Outlet Height, No Plants</cx:v>
            </cx:txData>
          </cx:tx>
          <cx:dataId val="0"/>
          <cx:layoutPr>
            <cx:visibility nonoutliers="0"/>
            <cx:statistics quartileMethod="exclusive"/>
          </cx:layoutPr>
        </cx:series>
        <cx:series layoutId="boxWhisker" uniqueId="{0000000A-53AA-3F4B-9ECC-192F2119BD00}">
          <cx:tx>
            <cx:txData>
              <cx:f>_xlchart.v1.349</cx:f>
              <cx:v>High HLR, Lower Outlet Height, No Plants</cx:v>
            </cx:txData>
          </cx:tx>
          <cx:dataId val="1"/>
          <cx:layoutPr>
            <cx:visibility nonoutliers="0"/>
            <cx:statistics quartileMethod="exclusive"/>
          </cx:layoutPr>
        </cx:series>
        <cx:series layoutId="boxWhisker" uniqueId="{0000000B-53AA-3F4B-9ECC-192F2119BD00}">
          <cx:tx>
            <cx:txData>
              <cx:f>_xlchart.v1.350</cx:f>
              <cx:v>High HLR, Lower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74.xml><?xml version="1.0" encoding="utf-8"?>
<cx:chartSpace xmlns:a="http://schemas.openxmlformats.org/drawingml/2006/main" xmlns:r="http://schemas.openxmlformats.org/officeDocument/2006/relationships" xmlns:cx="http://schemas.microsoft.com/office/drawing/2014/chartex">
  <cx:chartData>
    <cx:data id="0">
      <cx:numDim type="val">
        <cx:f dir="row">_xlchart.v1.355</cx:f>
      </cx:numDim>
    </cx:data>
    <cx:data id="1">
      <cx:numDim type="val">
        <cx:f dir="row">_xlchart.v1.356</cx:f>
      </cx:numDim>
    </cx:data>
    <cx:data id="2">
      <cx:numDim type="val">
        <cx:f dir="row">_xlchart.v1.357</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Upper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_xlchart.v1.352</cx:f>
              <cx:v>High HLR, Upper Outlet Height, No Plants</cx:v>
            </cx:txData>
          </cx:tx>
          <cx:dataId val="0"/>
          <cx:layoutPr>
            <cx:visibility nonoutliers="0"/>
            <cx:statistics quartileMethod="exclusive"/>
          </cx:layoutPr>
        </cx:series>
        <cx:series layoutId="boxWhisker" uniqueId="{0000000A-53AA-3F4B-9ECC-192F2119BD00}">
          <cx:tx>
            <cx:txData>
              <cx:f>_xlchart.v1.353</cx:f>
              <cx:v>High HLR, Upper Outlet Height, No Plants</cx:v>
            </cx:txData>
          </cx:tx>
          <cx:dataId val="1"/>
          <cx:layoutPr>
            <cx:visibility nonoutliers="0"/>
            <cx:statistics quartileMethod="exclusive"/>
          </cx:layoutPr>
        </cx:series>
        <cx:series layoutId="boxWhisker" uniqueId="{0000000B-53AA-3F4B-9ECC-192F2119BD00}">
          <cx:tx>
            <cx:txData>
              <cx:f>_xlchart.v1.354</cx:f>
              <cx:v>High HLR, Upper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75.xml><?xml version="1.0" encoding="utf-8"?>
<cx:chartSpace xmlns:a="http://schemas.openxmlformats.org/drawingml/2006/main" xmlns:r="http://schemas.openxmlformats.org/officeDocument/2006/relationships" xmlns:cx="http://schemas.microsoft.com/office/drawing/2014/chartex">
  <cx:chartData>
    <cx:data id="0">
      <cx:numDim type="val">
        <cx:f dir="row">_xlchart.v1.331</cx:f>
      </cx:numDim>
    </cx:data>
    <cx:data id="1">
      <cx:numDim type="val">
        <cx:f dir="row">_xlchart.v1.332</cx:f>
      </cx:numDim>
    </cx:data>
    <cx:data id="2">
      <cx:numDim type="val">
        <cx:f dir="row">_xlchart.v1.333</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Lower Outlet Height, Yes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_xlchart.v1.328</cx:f>
              <cx:v>High HLR, Lower Outlet Height, Yes Plants</cx:v>
            </cx:txData>
          </cx:tx>
          <cx:dataId val="0"/>
          <cx:layoutPr>
            <cx:visibility nonoutliers="0"/>
            <cx:statistics quartileMethod="exclusive"/>
          </cx:layoutPr>
        </cx:series>
        <cx:series layoutId="boxWhisker" uniqueId="{0000000A-53AA-3F4B-9ECC-192F2119BD00}">
          <cx:tx>
            <cx:txData>
              <cx:f>_xlchart.v1.329</cx:f>
              <cx:v>High HLR, Lower Outlet Height, Yes Plants</cx:v>
            </cx:txData>
          </cx:tx>
          <cx:dataId val="1"/>
          <cx:layoutPr>
            <cx:visibility nonoutliers="0"/>
            <cx:statistics quartileMethod="exclusive"/>
          </cx:layoutPr>
        </cx:series>
        <cx:series layoutId="boxWhisker" uniqueId="{0000000B-53AA-3F4B-9ECC-192F2119BD00}">
          <cx:tx>
            <cx:txData>
              <cx:f>_xlchart.v1.330</cx:f>
              <cx:v>High HLR, Lower Outlet Height, Yes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76.xml><?xml version="1.0" encoding="utf-8"?>
<cx:chartSpace xmlns:a="http://schemas.openxmlformats.org/drawingml/2006/main" xmlns:r="http://schemas.openxmlformats.org/officeDocument/2006/relationships" xmlns:cx="http://schemas.microsoft.com/office/drawing/2014/chartex">
  <cx:chartData>
    <cx:data id="0">
      <cx:numDim type="val">
        <cx:f dir="row">_xlchart.v1.325</cx:f>
      </cx:numDim>
    </cx:data>
    <cx:data id="1">
      <cx:numDim type="val">
        <cx:f dir="row">_xlchart.v1.326</cx:f>
      </cx:numDim>
    </cx:data>
    <cx:data id="2">
      <cx:numDim type="val">
        <cx:f dir="row">_xlchart.v1.327</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Upper Outlet Height, Yes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_xlchart.v1.322</cx:f>
              <cx:v>Medium HLR, Upper Outlet Height, Yes Plants</cx:v>
            </cx:txData>
          </cx:tx>
          <cx:dataId val="0"/>
          <cx:layoutPr>
            <cx:visibility nonoutliers="0"/>
            <cx:statistics quartileMethod="exclusive"/>
          </cx:layoutPr>
        </cx:series>
        <cx:series layoutId="boxWhisker" uniqueId="{0000000A-53AA-3F4B-9ECC-192F2119BD00}">
          <cx:tx>
            <cx:txData>
              <cx:f>_xlchart.v1.323</cx:f>
              <cx:v>Medium HLR, Upper Outlet Height, Yes Plants</cx:v>
            </cx:txData>
          </cx:tx>
          <cx:dataId val="1"/>
          <cx:layoutPr>
            <cx:visibility nonoutliers="0"/>
            <cx:statistics quartileMethod="exclusive"/>
          </cx:layoutPr>
        </cx:series>
        <cx:series layoutId="boxWhisker" uniqueId="{0000000B-53AA-3F4B-9ECC-192F2119BD00}">
          <cx:tx>
            <cx:txData>
              <cx:f>_xlchart.v1.324</cx:f>
              <cx:v>Medium HLR, Upper Outlet Height, Yes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77.xml><?xml version="1.0" encoding="utf-8"?>
<cx:chartSpace xmlns:a="http://schemas.openxmlformats.org/drawingml/2006/main" xmlns:r="http://schemas.openxmlformats.org/officeDocument/2006/relationships" xmlns:cx="http://schemas.microsoft.com/office/drawing/2014/chartex">
  <cx:chartData>
    <cx:data id="0">
      <cx:numDim type="val">
        <cx:f dir="row">_xlchart.v1.380</cx:f>
      </cx:numDim>
    </cx:data>
    <cx:data id="1">
      <cx:numDim type="val">
        <cx:f dir="row">_xlchart.v1.381</cx:f>
      </cx:numDim>
    </cx:data>
    <cx:data id="2">
      <cx:numDim type="val">
        <cx:f dir="row">_xlchart.v1.379</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Low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_xlchart.v1.377</cx:f>
              <cx:v>Low HLR, Lower Outlet Height, No Plants</cx:v>
            </cx:txData>
          </cx:tx>
          <cx:dataId val="0"/>
          <cx:layoutPr>
            <cx:visibility nonoutliers="0"/>
            <cx:statistics quartileMethod="exclusive"/>
          </cx:layoutPr>
        </cx:series>
        <cx:series layoutId="boxWhisker" uniqueId="{0000000A-53AA-3F4B-9ECC-192F2119BD00}">
          <cx:tx>
            <cx:txData>
              <cx:f>_xlchart.v1.378</cx:f>
              <cx:v>Low HLR, Lower Outlet Height, No Plants</cx:v>
            </cx:txData>
          </cx:tx>
          <cx:dataId val="1"/>
          <cx:layoutPr>
            <cx:visibility nonoutliers="0"/>
            <cx:statistics quartileMethod="exclusive"/>
          </cx:layoutPr>
        </cx:series>
        <cx:series layoutId="boxWhisker" uniqueId="{0000000B-53AA-3F4B-9ECC-192F2119BD00}">
          <cx:tx>
            <cx:txData>
              <cx:f>_xlchart.v1.376</cx:f>
              <cx:v>Low HLR, Lower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78.xml><?xml version="1.0" encoding="utf-8"?>
<cx:chartSpace xmlns:a="http://schemas.openxmlformats.org/drawingml/2006/main" xmlns:r="http://schemas.openxmlformats.org/officeDocument/2006/relationships" xmlns:cx="http://schemas.microsoft.com/office/drawing/2014/chartex">
  <cx:chartData>
    <cx:data id="0">
      <cx:numDim type="val">
        <cx:f dir="row">_xlchart.v1.385</cx:f>
      </cx:numDim>
    </cx:data>
    <cx:data id="1">
      <cx:numDim type="val">
        <cx:f dir="row">_xlchart.v1.386</cx:f>
      </cx:numDim>
    </cx:data>
    <cx:data id="2">
      <cx:numDim type="val">
        <cx:f dir="row">_xlchart.v1.387</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Medium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_xlchart.v1.382</cx:f>
              <cx:v>Medium HLR, Lower Outlet Height, No Plants</cx:v>
            </cx:txData>
          </cx:tx>
          <cx:dataId val="0"/>
          <cx:layoutPr>
            <cx:visibility nonoutliers="0"/>
            <cx:statistics quartileMethod="exclusive"/>
          </cx:layoutPr>
        </cx:series>
        <cx:series layoutId="boxWhisker" uniqueId="{0000000A-53AA-3F4B-9ECC-192F2119BD00}">
          <cx:tx>
            <cx:txData>
              <cx:f>_xlchart.v1.383</cx:f>
              <cx:v>Medium HLR, Lower Outlet Height, No Plants</cx:v>
            </cx:txData>
          </cx:tx>
          <cx:dataId val="1"/>
          <cx:layoutPr>
            <cx:visibility nonoutliers="0"/>
            <cx:statistics quartileMethod="exclusive"/>
          </cx:layoutPr>
        </cx:series>
        <cx:series layoutId="boxWhisker" uniqueId="{0000000B-53AA-3F4B-9ECC-192F2119BD00}">
          <cx:tx>
            <cx:txData>
              <cx:f>_xlchart.v1.384</cx:f>
              <cx:v>Medium HLR, Lower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79.xml><?xml version="1.0" encoding="utf-8"?>
<cx:chartSpace xmlns:a="http://schemas.openxmlformats.org/drawingml/2006/main" xmlns:r="http://schemas.openxmlformats.org/officeDocument/2006/relationships" xmlns:cx="http://schemas.microsoft.com/office/drawing/2014/chartex">
  <cx:chartData>
    <cx:data id="0">
      <cx:numDim type="val">
        <cx:f dir="row">_xlchart.v1.363</cx:f>
      </cx:numDim>
    </cx:data>
    <cx:data id="1">
      <cx:numDim type="val">
        <cx:f dir="row">_xlchart.v1.358</cx:f>
      </cx:numDim>
    </cx:data>
    <cx:data id="2">
      <cx:numDim type="val">
        <cx:f dir="row">_xlchart.v1.359</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_xlchart.v1.360</cx:f>
              <cx:v>High HLR, Lower Outlet Height, No Plants</cx:v>
            </cx:txData>
          </cx:tx>
          <cx:dataId val="0"/>
          <cx:layoutPr>
            <cx:visibility nonoutliers="0"/>
            <cx:statistics quartileMethod="exclusive"/>
          </cx:layoutPr>
        </cx:series>
        <cx:series layoutId="boxWhisker" uniqueId="{0000000A-53AA-3F4B-9ECC-192F2119BD00}">
          <cx:tx>
            <cx:txData>
              <cx:f>_xlchart.v1.361</cx:f>
              <cx:v>High HLR, Lower Outlet Height, No Plants</cx:v>
            </cx:txData>
          </cx:tx>
          <cx:dataId val="1"/>
          <cx:layoutPr>
            <cx:visibility nonoutliers="0"/>
            <cx:statistics quartileMethod="exclusive"/>
          </cx:layoutPr>
        </cx:series>
        <cx:series layoutId="boxWhisker" uniqueId="{0000000B-53AA-3F4B-9ECC-192F2119BD00}">
          <cx:tx>
            <cx:txData>
              <cx:f>_xlchart.v1.362</cx:f>
              <cx:v>High HLR, Lower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80.xml><?xml version="1.0" encoding="utf-8"?>
<cx:chartSpace xmlns:a="http://schemas.openxmlformats.org/drawingml/2006/main" xmlns:r="http://schemas.openxmlformats.org/officeDocument/2006/relationships" xmlns:cx="http://schemas.microsoft.com/office/drawing/2014/chartex">
  <cx:chartData>
    <cx:data id="0">
      <cx:numDim type="val">
        <cx:f dir="row">_xlchart.v1.391</cx:f>
      </cx:numDim>
    </cx:data>
    <cx:data id="1">
      <cx:numDim type="val">
        <cx:f dir="row">_xlchart.v1.392</cx:f>
      </cx:numDim>
    </cx:data>
    <cx:data id="2">
      <cx:numDim type="val">
        <cx:f dir="row">_xlchart.v1.393</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Upper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_xlchart.v1.388</cx:f>
              <cx:v>High HLR, Upper Outlet Height, No Plants</cx:v>
            </cx:txData>
          </cx:tx>
          <cx:dataId val="0"/>
          <cx:layoutPr>
            <cx:visibility nonoutliers="0"/>
            <cx:statistics quartileMethod="exclusive"/>
          </cx:layoutPr>
        </cx:series>
        <cx:series layoutId="boxWhisker" uniqueId="{0000000A-53AA-3F4B-9ECC-192F2119BD00}">
          <cx:tx>
            <cx:txData>
              <cx:f>_xlchart.v1.389</cx:f>
              <cx:v>High HLR, Upper Outlet Height, No Plants</cx:v>
            </cx:txData>
          </cx:tx>
          <cx:dataId val="1"/>
          <cx:layoutPr>
            <cx:visibility nonoutliers="0"/>
            <cx:statistics quartileMethod="exclusive"/>
          </cx:layoutPr>
        </cx:series>
        <cx:series layoutId="boxWhisker" uniqueId="{0000000B-53AA-3F4B-9ECC-192F2119BD00}">
          <cx:tx>
            <cx:txData>
              <cx:f>_xlchart.v1.390</cx:f>
              <cx:v>High HLR, Upper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81.xml><?xml version="1.0" encoding="utf-8"?>
<cx:chartSpace xmlns:a="http://schemas.openxmlformats.org/drawingml/2006/main" xmlns:r="http://schemas.openxmlformats.org/officeDocument/2006/relationships" xmlns:cx="http://schemas.microsoft.com/office/drawing/2014/chartex">
  <cx:chartData>
    <cx:data id="0">
      <cx:numDim type="val">
        <cx:f dir="row">_xlchart.v1.367</cx:f>
      </cx:numDim>
    </cx:data>
    <cx:data id="1">
      <cx:numDim type="val">
        <cx:f dir="row">_xlchart.v1.368</cx:f>
      </cx:numDim>
    </cx:data>
    <cx:data id="2">
      <cx:numDim type="val">
        <cx:f dir="row">_xlchart.v1.369</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Lower Outlet Height, Yes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_xlchart.v1.364</cx:f>
              <cx:v>High HLR, Lower Outlet Height, Yes Plants</cx:v>
            </cx:txData>
          </cx:tx>
          <cx:dataId val="0"/>
          <cx:layoutPr>
            <cx:visibility nonoutliers="0"/>
            <cx:statistics quartileMethod="exclusive"/>
          </cx:layoutPr>
        </cx:series>
        <cx:series layoutId="boxWhisker" uniqueId="{0000000A-53AA-3F4B-9ECC-192F2119BD00}">
          <cx:tx>
            <cx:txData>
              <cx:f>_xlchart.v1.365</cx:f>
              <cx:v>High HLR, Lower Outlet Height, Yes Plants</cx:v>
            </cx:txData>
          </cx:tx>
          <cx:dataId val="1"/>
          <cx:layoutPr>
            <cx:visibility nonoutliers="0"/>
            <cx:statistics quartileMethod="exclusive"/>
          </cx:layoutPr>
        </cx:series>
        <cx:series layoutId="boxWhisker" uniqueId="{0000000B-53AA-3F4B-9ECC-192F2119BD00}">
          <cx:tx>
            <cx:txData>
              <cx:f>_xlchart.v1.366</cx:f>
              <cx:v>High HLR, Lower Outlet Height, Yes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82.xml><?xml version="1.0" encoding="utf-8"?>
<cx:chartSpace xmlns:a="http://schemas.openxmlformats.org/drawingml/2006/main" xmlns:r="http://schemas.openxmlformats.org/officeDocument/2006/relationships" xmlns:cx="http://schemas.microsoft.com/office/drawing/2014/chartex">
  <cx:chartData>
    <cx:data id="0">
      <cx:numDim type="val">
        <cx:f dir="row">_xlchart.v1.373</cx:f>
      </cx:numDim>
    </cx:data>
    <cx:data id="1">
      <cx:numDim type="val">
        <cx:f dir="row">_xlchart.v1.374</cx:f>
      </cx:numDim>
    </cx:data>
    <cx:data id="2">
      <cx:numDim type="val">
        <cx:f dir="row">_xlchart.v1.375</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Upper Outlet Height, Yes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_xlchart.v1.370</cx:f>
              <cx:v>Medium HLR, Upper Outlet Height, Yes Plants</cx:v>
            </cx:txData>
          </cx:tx>
          <cx:dataId val="0"/>
          <cx:layoutPr>
            <cx:visibility nonoutliers="0"/>
            <cx:statistics quartileMethod="exclusive"/>
          </cx:layoutPr>
        </cx:series>
        <cx:series layoutId="boxWhisker" uniqueId="{0000000A-53AA-3F4B-9ECC-192F2119BD00}">
          <cx:tx>
            <cx:txData>
              <cx:f>_xlchart.v1.371</cx:f>
              <cx:v>Medium HLR, Upper Outlet Height, Yes Plants</cx:v>
            </cx:txData>
          </cx:tx>
          <cx:dataId val="1"/>
          <cx:layoutPr>
            <cx:visibility nonoutliers="0"/>
            <cx:statistics quartileMethod="exclusive"/>
          </cx:layoutPr>
        </cx:series>
        <cx:series layoutId="boxWhisker" uniqueId="{0000000B-53AA-3F4B-9ECC-192F2119BD00}">
          <cx:tx>
            <cx:txData>
              <cx:f>_xlchart.v1.372</cx:f>
              <cx:v>Medium HLR, Upper Outlet Height, Yes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83.xml><?xml version="1.0" encoding="utf-8"?>
<cx:chartSpace xmlns:a="http://schemas.openxmlformats.org/drawingml/2006/main" xmlns:r="http://schemas.openxmlformats.org/officeDocument/2006/relationships" xmlns:cx="http://schemas.microsoft.com/office/drawing/2014/chartex">
  <cx:chartData>
    <cx:data id="0">
      <cx:numDim type="val">
        <cx:f dir="row">_xlchart.v1.410</cx:f>
      </cx:numDim>
    </cx:data>
    <cx:data id="1">
      <cx:numDim type="val">
        <cx:f dir="row">_xlchart.v1.411</cx:f>
      </cx:numDim>
    </cx:data>
    <cx:data id="2">
      <cx:numDim type="val">
        <cx:f dir="row">_xlchart.v1.409</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Low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_xlchart.v1.407</cx:f>
              <cx:v>Low HLR, Lower Outlet Height, No Plants</cx:v>
            </cx:txData>
          </cx:tx>
          <cx:dataId val="0"/>
          <cx:layoutPr>
            <cx:visibility nonoutliers="0"/>
            <cx:statistics quartileMethod="exclusive"/>
          </cx:layoutPr>
        </cx:series>
        <cx:series layoutId="boxWhisker" uniqueId="{0000000A-53AA-3F4B-9ECC-192F2119BD00}">
          <cx:tx>
            <cx:txData>
              <cx:f>_xlchart.v1.408</cx:f>
              <cx:v>Low HLR, Lower Outlet Height, No Plants</cx:v>
            </cx:txData>
          </cx:tx>
          <cx:dataId val="1"/>
          <cx:layoutPr>
            <cx:visibility nonoutliers="0"/>
            <cx:statistics quartileMethod="exclusive"/>
          </cx:layoutPr>
        </cx:series>
        <cx:series layoutId="boxWhisker" uniqueId="{0000000B-53AA-3F4B-9ECC-192F2119BD00}">
          <cx:tx>
            <cx:txData>
              <cx:f>_xlchart.v1.406</cx:f>
              <cx:v>Low HLR, Lower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84.xml><?xml version="1.0" encoding="utf-8"?>
<cx:chartSpace xmlns:a="http://schemas.openxmlformats.org/drawingml/2006/main" xmlns:r="http://schemas.openxmlformats.org/officeDocument/2006/relationships" xmlns:cx="http://schemas.microsoft.com/office/drawing/2014/chartex">
  <cx:chartData>
    <cx:data id="0">
      <cx:numDim type="val">
        <cx:f dir="row">_xlchart.v1.415</cx:f>
      </cx:numDim>
    </cx:data>
    <cx:data id="1">
      <cx:numDim type="val">
        <cx:f dir="row">_xlchart.v1.416</cx:f>
      </cx:numDim>
    </cx:data>
    <cx:data id="2">
      <cx:numDim type="val">
        <cx:f dir="row">_xlchart.v1.417</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Medium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_xlchart.v1.412</cx:f>
              <cx:v>Medium HLR, Lower Outlet Height, No Plants</cx:v>
            </cx:txData>
          </cx:tx>
          <cx:dataId val="0"/>
          <cx:layoutPr>
            <cx:visibility nonoutliers="0"/>
            <cx:statistics quartileMethod="exclusive"/>
          </cx:layoutPr>
        </cx:series>
        <cx:series layoutId="boxWhisker" uniqueId="{0000000A-53AA-3F4B-9ECC-192F2119BD00}">
          <cx:tx>
            <cx:txData>
              <cx:f>_xlchart.v1.413</cx:f>
              <cx:v>Medium HLR, Lower Outlet Height, No Plants</cx:v>
            </cx:txData>
          </cx:tx>
          <cx:dataId val="1"/>
          <cx:layoutPr>
            <cx:visibility nonoutliers="0"/>
            <cx:statistics quartileMethod="exclusive"/>
          </cx:layoutPr>
        </cx:series>
        <cx:series layoutId="boxWhisker" uniqueId="{0000000B-53AA-3F4B-9ECC-192F2119BD00}">
          <cx:tx>
            <cx:txData>
              <cx:f>_xlchart.v1.414</cx:f>
              <cx:v>Medium HLR, Lower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85.xml><?xml version="1.0" encoding="utf-8"?>
<cx:chartSpace xmlns:a="http://schemas.openxmlformats.org/drawingml/2006/main" xmlns:r="http://schemas.openxmlformats.org/officeDocument/2006/relationships" xmlns:cx="http://schemas.microsoft.com/office/drawing/2014/chartex">
  <cx:chartData>
    <cx:data id="0">
      <cx:numDim type="val">
        <cx:f dir="row">_xlchart.v1.405</cx:f>
      </cx:numDim>
    </cx:data>
    <cx:data id="1">
      <cx:numDim type="val">
        <cx:f dir="row">_xlchart.v1.400</cx:f>
      </cx:numDim>
    </cx:data>
    <cx:data id="2">
      <cx:numDim type="val">
        <cx:f dir="row">_xlchart.v1.401</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_xlchart.v1.402</cx:f>
              <cx:v>High HLR, Lower Outlet Height, No Plants</cx:v>
            </cx:txData>
          </cx:tx>
          <cx:dataId val="0"/>
          <cx:layoutPr>
            <cx:visibility nonoutliers="0"/>
            <cx:statistics quartileMethod="exclusive"/>
          </cx:layoutPr>
        </cx:series>
        <cx:series layoutId="boxWhisker" uniqueId="{0000000A-53AA-3F4B-9ECC-192F2119BD00}">
          <cx:tx>
            <cx:txData>
              <cx:f>_xlchart.v1.403</cx:f>
              <cx:v>High HLR, Lower Outlet Height, No Plants</cx:v>
            </cx:txData>
          </cx:tx>
          <cx:dataId val="1"/>
          <cx:layoutPr>
            <cx:visibility nonoutliers="0"/>
            <cx:statistics quartileMethod="exclusive"/>
          </cx:layoutPr>
        </cx:series>
        <cx:series layoutId="boxWhisker" uniqueId="{0000000B-53AA-3F4B-9ECC-192F2119BD00}">
          <cx:tx>
            <cx:txData>
              <cx:f>_xlchart.v1.404</cx:f>
              <cx:v>High HLR, Lower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86.xml><?xml version="1.0" encoding="utf-8"?>
<cx:chartSpace xmlns:a="http://schemas.openxmlformats.org/drawingml/2006/main" xmlns:r="http://schemas.openxmlformats.org/officeDocument/2006/relationships" xmlns:cx="http://schemas.microsoft.com/office/drawing/2014/chartex">
  <cx:chartData>
    <cx:data id="0">
      <cx:numDim type="val">
        <cx:f dir="row">_xlchart.v1.421</cx:f>
      </cx:numDim>
    </cx:data>
    <cx:data id="1">
      <cx:numDim type="val">
        <cx:f dir="row">_xlchart.v1.422</cx:f>
      </cx:numDim>
    </cx:data>
    <cx:data id="2">
      <cx:numDim type="val">
        <cx:f dir="row">_xlchart.v1.423</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Upper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_xlchart.v1.418</cx:f>
              <cx:v>High HLR, Upper Outlet Height, No Plants</cx:v>
            </cx:txData>
          </cx:tx>
          <cx:dataId val="0"/>
          <cx:layoutPr>
            <cx:visibility nonoutliers="0"/>
            <cx:statistics quartileMethod="exclusive"/>
          </cx:layoutPr>
        </cx:series>
        <cx:series layoutId="boxWhisker" uniqueId="{0000000A-53AA-3F4B-9ECC-192F2119BD00}">
          <cx:tx>
            <cx:txData>
              <cx:f>_xlchart.v1.419</cx:f>
              <cx:v>High HLR, Upper Outlet Height, No Plants</cx:v>
            </cx:txData>
          </cx:tx>
          <cx:dataId val="1"/>
          <cx:layoutPr>
            <cx:visibility nonoutliers="0"/>
            <cx:statistics quartileMethod="exclusive"/>
          </cx:layoutPr>
        </cx:series>
        <cx:series layoutId="boxWhisker" uniqueId="{0000000B-53AA-3F4B-9ECC-192F2119BD00}">
          <cx:tx>
            <cx:txData>
              <cx:f>_xlchart.v1.420</cx:f>
              <cx:v>High HLR, Upper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87.xml><?xml version="1.0" encoding="utf-8"?>
<cx:chartSpace xmlns:a="http://schemas.openxmlformats.org/drawingml/2006/main" xmlns:r="http://schemas.openxmlformats.org/officeDocument/2006/relationships" xmlns:cx="http://schemas.microsoft.com/office/drawing/2014/chartex">
  <cx:chartData>
    <cx:data id="0">
      <cx:numDim type="val">
        <cx:f dir="row">_xlchart.v1.427</cx:f>
      </cx:numDim>
    </cx:data>
    <cx:data id="1">
      <cx:numDim type="val">
        <cx:f dir="row">_xlchart.v1.428</cx:f>
      </cx:numDim>
    </cx:data>
    <cx:data id="2">
      <cx:numDim type="val">
        <cx:f dir="row">_xlchart.v1.429</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Lower Outlet Height, Yes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_xlchart.v1.424</cx:f>
              <cx:v>High HLR, Lower Outlet Height, Yes Plants</cx:v>
            </cx:txData>
          </cx:tx>
          <cx:dataId val="0"/>
          <cx:layoutPr>
            <cx:visibility nonoutliers="0"/>
            <cx:statistics quartileMethod="exclusive"/>
          </cx:layoutPr>
        </cx:series>
        <cx:series layoutId="boxWhisker" uniqueId="{0000000A-53AA-3F4B-9ECC-192F2119BD00}">
          <cx:tx>
            <cx:txData>
              <cx:f>_xlchart.v1.425</cx:f>
              <cx:v>High HLR, Lower Outlet Height, Yes Plants</cx:v>
            </cx:txData>
          </cx:tx>
          <cx:dataId val="1"/>
          <cx:layoutPr>
            <cx:visibility nonoutliers="0"/>
            <cx:statistics quartileMethod="exclusive"/>
          </cx:layoutPr>
        </cx:series>
        <cx:series layoutId="boxWhisker" uniqueId="{0000000B-53AA-3F4B-9ECC-192F2119BD00}">
          <cx:tx>
            <cx:txData>
              <cx:f>_xlchart.v1.426</cx:f>
              <cx:v>High HLR, Lower Outlet Height, Yes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88.xml><?xml version="1.0" encoding="utf-8"?>
<cx:chartSpace xmlns:a="http://schemas.openxmlformats.org/drawingml/2006/main" xmlns:r="http://schemas.openxmlformats.org/officeDocument/2006/relationships" xmlns:cx="http://schemas.microsoft.com/office/drawing/2014/chartex">
  <cx:chartData>
    <cx:data id="0">
      <cx:numDim type="val">
        <cx:f dir="row">_xlchart.v1.397</cx:f>
      </cx:numDim>
    </cx:data>
    <cx:data id="1">
      <cx:numDim type="val">
        <cx:f dir="row">_xlchart.v1.398</cx:f>
      </cx:numDim>
    </cx:data>
    <cx:data id="2">
      <cx:numDim type="val">
        <cx:f dir="row">_xlchart.v1.399</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Upper Outlet Height, Yes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_xlchart.v1.394</cx:f>
              <cx:v>Medium HLR, Upper Outlet Height, Yes Plants</cx:v>
            </cx:txData>
          </cx:tx>
          <cx:dataId val="0"/>
          <cx:layoutPr>
            <cx:visibility nonoutliers="0"/>
            <cx:statistics quartileMethod="exclusive"/>
          </cx:layoutPr>
        </cx:series>
        <cx:series layoutId="boxWhisker" uniqueId="{0000000A-53AA-3F4B-9ECC-192F2119BD00}">
          <cx:tx>
            <cx:txData>
              <cx:f>_xlchart.v1.395</cx:f>
              <cx:v>Medium HLR, Upper Outlet Height, Yes Plants</cx:v>
            </cx:txData>
          </cx:tx>
          <cx:dataId val="1"/>
          <cx:layoutPr>
            <cx:visibility nonoutliers="0"/>
            <cx:statistics quartileMethod="exclusive"/>
          </cx:layoutPr>
        </cx:series>
        <cx:series layoutId="boxWhisker" uniqueId="{0000000B-53AA-3F4B-9ECC-192F2119BD00}">
          <cx:tx>
            <cx:txData>
              <cx:f>_xlchart.v1.396</cx:f>
              <cx:v>Medium HLR, Upper Outlet Height, Yes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89.xml><?xml version="1.0" encoding="utf-8"?>
<cx:chartSpace xmlns:a="http://schemas.openxmlformats.org/drawingml/2006/main" xmlns:r="http://schemas.openxmlformats.org/officeDocument/2006/relationships" xmlns:cx="http://schemas.microsoft.com/office/drawing/2014/chartex">
  <cx:chartData>
    <cx:data id="0">
      <cx:numDim type="val">
        <cx:f dir="row">_xlchart.v1.458</cx:f>
      </cx:numDim>
    </cx:data>
    <cx:data id="1">
      <cx:numDim type="val">
        <cx:f dir="row">_xlchart.v1.459</cx:f>
      </cx:numDim>
    </cx:data>
    <cx:data id="2">
      <cx:numDim type="val">
        <cx:f dir="row">_xlchart.v1.457</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Low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_xlchart.v1.455</cx:f>
              <cx:v>Low HLR, Lower Outlet Height, No Plants</cx:v>
            </cx:txData>
          </cx:tx>
          <cx:dataId val="0"/>
          <cx:layoutPr>
            <cx:visibility nonoutliers="0"/>
            <cx:statistics quartileMethod="exclusive"/>
          </cx:layoutPr>
        </cx:series>
        <cx:series layoutId="boxWhisker" uniqueId="{0000000A-53AA-3F4B-9ECC-192F2119BD00}">
          <cx:tx>
            <cx:txData>
              <cx:f>_xlchart.v1.456</cx:f>
              <cx:v>Low HLR, Lower Outlet Height, No Plants</cx:v>
            </cx:txData>
          </cx:tx>
          <cx:dataId val="1"/>
          <cx:layoutPr>
            <cx:visibility nonoutliers="0"/>
            <cx:statistics quartileMethod="exclusive"/>
          </cx:layoutPr>
        </cx:series>
        <cx:series layoutId="boxWhisker" uniqueId="{0000000B-53AA-3F4B-9ECC-192F2119BD00}">
          <cx:tx>
            <cx:txData>
              <cx:f>_xlchart.v1.454</cx:f>
              <cx:v>Low HLR, Lower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90.xml><?xml version="1.0" encoding="utf-8"?>
<cx:chartSpace xmlns:a="http://schemas.openxmlformats.org/drawingml/2006/main" xmlns:r="http://schemas.openxmlformats.org/officeDocument/2006/relationships" xmlns:cx="http://schemas.microsoft.com/office/drawing/2014/chartex">
  <cx:chartData>
    <cx:data id="0">
      <cx:numDim type="val">
        <cx:f dir="row">_xlchart.v1.463</cx:f>
      </cx:numDim>
    </cx:data>
    <cx:data id="1">
      <cx:numDim type="val">
        <cx:f dir="row">_xlchart.v1.464</cx:f>
      </cx:numDim>
    </cx:data>
    <cx:data id="2">
      <cx:numDim type="val">
        <cx:f dir="row">_xlchart.v1.465</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Medium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_xlchart.v1.460</cx:f>
              <cx:v>Medium HLR, Lower Outlet Height, No Plants</cx:v>
            </cx:txData>
          </cx:tx>
          <cx:dataId val="0"/>
          <cx:layoutPr>
            <cx:visibility nonoutliers="0"/>
            <cx:statistics quartileMethod="exclusive"/>
          </cx:layoutPr>
        </cx:series>
        <cx:series layoutId="boxWhisker" uniqueId="{0000000A-53AA-3F4B-9ECC-192F2119BD00}">
          <cx:tx>
            <cx:txData>
              <cx:f>_xlchart.v1.461</cx:f>
              <cx:v>Medium HLR, Lower Outlet Height, No Plants</cx:v>
            </cx:txData>
          </cx:tx>
          <cx:dataId val="1"/>
          <cx:layoutPr>
            <cx:visibility nonoutliers="0"/>
            <cx:statistics quartileMethod="exclusive"/>
          </cx:layoutPr>
        </cx:series>
        <cx:series layoutId="boxWhisker" uniqueId="{0000000B-53AA-3F4B-9ECC-192F2119BD00}">
          <cx:tx>
            <cx:txData>
              <cx:f>_xlchart.v1.462</cx:f>
              <cx:v>Medium HLR, Lower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91.xml><?xml version="1.0" encoding="utf-8"?>
<cx:chartSpace xmlns:a="http://schemas.openxmlformats.org/drawingml/2006/main" xmlns:r="http://schemas.openxmlformats.org/officeDocument/2006/relationships" xmlns:cx="http://schemas.microsoft.com/office/drawing/2014/chartex">
  <cx:chartData>
    <cx:data id="0">
      <cx:numDim type="val">
        <cx:f dir="row">_xlchart.v1.453</cx:f>
      </cx:numDim>
    </cx:data>
    <cx:data id="1">
      <cx:numDim type="val">
        <cx:f dir="row">_xlchart.v1.448</cx:f>
      </cx:numDim>
    </cx:data>
    <cx:data id="2">
      <cx:numDim type="val">
        <cx:f dir="row">_xlchart.v1.449</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_xlchart.v1.450</cx:f>
              <cx:v>High HLR, Lower Outlet Height, No Plants</cx:v>
            </cx:txData>
          </cx:tx>
          <cx:dataId val="0"/>
          <cx:layoutPr>
            <cx:visibility nonoutliers="0"/>
            <cx:statistics quartileMethod="exclusive"/>
          </cx:layoutPr>
        </cx:series>
        <cx:series layoutId="boxWhisker" uniqueId="{0000000A-53AA-3F4B-9ECC-192F2119BD00}">
          <cx:tx>
            <cx:txData>
              <cx:f>_xlchart.v1.451</cx:f>
              <cx:v>High HLR, Lower Outlet Height, No Plants</cx:v>
            </cx:txData>
          </cx:tx>
          <cx:dataId val="1"/>
          <cx:layoutPr>
            <cx:visibility nonoutliers="0"/>
            <cx:statistics quartileMethod="exclusive"/>
          </cx:layoutPr>
        </cx:series>
        <cx:series layoutId="boxWhisker" uniqueId="{0000000B-53AA-3F4B-9ECC-192F2119BD00}">
          <cx:tx>
            <cx:txData>
              <cx:f>_xlchart.v1.452</cx:f>
              <cx:v>High HLR, Lower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92.xml><?xml version="1.0" encoding="utf-8"?>
<cx:chartSpace xmlns:a="http://schemas.openxmlformats.org/drawingml/2006/main" xmlns:r="http://schemas.openxmlformats.org/officeDocument/2006/relationships" xmlns:cx="http://schemas.microsoft.com/office/drawing/2014/chartex">
  <cx:chartData>
    <cx:data id="0">
      <cx:numDim type="val">
        <cx:f dir="row">_xlchart.v1.445</cx:f>
      </cx:numDim>
    </cx:data>
    <cx:data id="1">
      <cx:numDim type="val">
        <cx:f dir="row">_xlchart.v1.446</cx:f>
      </cx:numDim>
    </cx:data>
    <cx:data id="2">
      <cx:numDim type="val">
        <cx:f dir="row">_xlchart.v1.447</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Upper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_xlchart.v1.442</cx:f>
              <cx:v>High HLR, Upper Outlet Height, No Plants</cx:v>
            </cx:txData>
          </cx:tx>
          <cx:dataId val="0"/>
          <cx:layoutPr>
            <cx:visibility nonoutliers="0"/>
            <cx:statistics quartileMethod="exclusive"/>
          </cx:layoutPr>
        </cx:series>
        <cx:series layoutId="boxWhisker" uniqueId="{0000000A-53AA-3F4B-9ECC-192F2119BD00}">
          <cx:tx>
            <cx:txData>
              <cx:f>_xlchart.v1.443</cx:f>
              <cx:v>High HLR, Upper Outlet Height, No Plants</cx:v>
            </cx:txData>
          </cx:tx>
          <cx:dataId val="1"/>
          <cx:layoutPr>
            <cx:visibility nonoutliers="0"/>
            <cx:statistics quartileMethod="exclusive"/>
          </cx:layoutPr>
        </cx:series>
        <cx:series layoutId="boxWhisker" uniqueId="{0000000B-53AA-3F4B-9ECC-192F2119BD00}">
          <cx:tx>
            <cx:txData>
              <cx:f>_xlchart.v1.444</cx:f>
              <cx:v>High HLR, Upper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93.xml><?xml version="1.0" encoding="utf-8"?>
<cx:chartSpace xmlns:a="http://schemas.openxmlformats.org/drawingml/2006/main" xmlns:r="http://schemas.openxmlformats.org/officeDocument/2006/relationships" xmlns:cx="http://schemas.microsoft.com/office/drawing/2014/chartex">
  <cx:chartData>
    <cx:data id="0">
      <cx:numDim type="val">
        <cx:f dir="row">_xlchart.v1.439</cx:f>
      </cx:numDim>
    </cx:data>
    <cx:data id="1">
      <cx:numDim type="val">
        <cx:f dir="row">_xlchart.v1.440</cx:f>
      </cx:numDim>
    </cx:data>
    <cx:data id="2">
      <cx:numDim type="val">
        <cx:f dir="row">_xlchart.v1.441</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Lower Outlet Height, Yes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_xlchart.v1.436</cx:f>
              <cx:v>High HLR, Lower Outlet Height, Yes Plants</cx:v>
            </cx:txData>
          </cx:tx>
          <cx:dataId val="0"/>
          <cx:layoutPr>
            <cx:visibility nonoutliers="0"/>
            <cx:statistics quartileMethod="exclusive"/>
          </cx:layoutPr>
        </cx:series>
        <cx:series layoutId="boxWhisker" uniqueId="{0000000A-53AA-3F4B-9ECC-192F2119BD00}">
          <cx:tx>
            <cx:txData>
              <cx:f>_xlchart.v1.437</cx:f>
              <cx:v>High HLR, Lower Outlet Height, Yes Plants</cx:v>
            </cx:txData>
          </cx:tx>
          <cx:dataId val="1"/>
          <cx:layoutPr>
            <cx:visibility nonoutliers="0"/>
            <cx:statistics quartileMethod="exclusive"/>
          </cx:layoutPr>
        </cx:series>
        <cx:series layoutId="boxWhisker" uniqueId="{0000000B-53AA-3F4B-9ECC-192F2119BD00}">
          <cx:tx>
            <cx:txData>
              <cx:f>_xlchart.v1.438</cx:f>
              <cx:v>High HLR, Lower Outlet Height, Yes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94.xml><?xml version="1.0" encoding="utf-8"?>
<cx:chartSpace xmlns:a="http://schemas.openxmlformats.org/drawingml/2006/main" xmlns:r="http://schemas.openxmlformats.org/officeDocument/2006/relationships" xmlns:cx="http://schemas.microsoft.com/office/drawing/2014/chartex">
  <cx:chartData>
    <cx:data id="0">
      <cx:numDim type="val">
        <cx:f dir="row">_xlchart.v1.433</cx:f>
      </cx:numDim>
    </cx:data>
    <cx:data id="1">
      <cx:numDim type="val">
        <cx:f dir="row">_xlchart.v1.434</cx:f>
      </cx:numDim>
    </cx:data>
    <cx:data id="2">
      <cx:numDim type="val">
        <cx:f dir="row">_xlchart.v1.435</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Upper Outlet Height, Yes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_xlchart.v1.430</cx:f>
              <cx:v>Medium HLR, Upper Outlet Height, Yes Plants</cx:v>
            </cx:txData>
          </cx:tx>
          <cx:dataId val="0"/>
          <cx:layoutPr>
            <cx:visibility nonoutliers="0"/>
            <cx:statistics quartileMethod="exclusive"/>
          </cx:layoutPr>
        </cx:series>
        <cx:series layoutId="boxWhisker" uniqueId="{0000000A-53AA-3F4B-9ECC-192F2119BD00}">
          <cx:tx>
            <cx:txData>
              <cx:f>_xlchart.v1.431</cx:f>
              <cx:v>Medium HLR, Upper Outlet Height, Yes Plants</cx:v>
            </cx:txData>
          </cx:tx>
          <cx:dataId val="1"/>
          <cx:layoutPr>
            <cx:visibility nonoutliers="0"/>
            <cx:statistics quartileMethod="exclusive"/>
          </cx:layoutPr>
        </cx:series>
        <cx:series layoutId="boxWhisker" uniqueId="{0000000B-53AA-3F4B-9ECC-192F2119BD00}">
          <cx:tx>
            <cx:txData>
              <cx:f>_xlchart.v1.432</cx:f>
              <cx:v>Medium HLR, Upper Outlet Height, Yes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95.xml><?xml version="1.0" encoding="utf-8"?>
<cx:chartSpace xmlns:a="http://schemas.openxmlformats.org/drawingml/2006/main" xmlns:r="http://schemas.openxmlformats.org/officeDocument/2006/relationships" xmlns:cx="http://schemas.microsoft.com/office/drawing/2014/chartex">
  <cx:chartData>
    <cx:data id="0">
      <cx:numDim type="val">
        <cx:f dir="row">_xlchart.v1.470</cx:f>
      </cx:numDim>
    </cx:data>
    <cx:data id="1">
      <cx:numDim type="val">
        <cx:f dir="row">_xlchart.v1.471</cx:f>
      </cx:numDim>
    </cx:data>
    <cx:data id="2">
      <cx:numDim type="val">
        <cx:f dir="row">_xlchart.v1.469</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Low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_xlchart.v1.467</cx:f>
              <cx:v>Low HLR, Lower Outlet Height, No Plants</cx:v>
            </cx:txData>
          </cx:tx>
          <cx:dataId val="0"/>
          <cx:layoutPr>
            <cx:visibility nonoutliers="0"/>
            <cx:statistics quartileMethod="exclusive"/>
          </cx:layoutPr>
        </cx:series>
        <cx:series layoutId="boxWhisker" uniqueId="{0000000A-53AA-3F4B-9ECC-192F2119BD00}">
          <cx:tx>
            <cx:txData>
              <cx:f>_xlchart.v1.468</cx:f>
              <cx:v>Low HLR, Lower Outlet Height, No Plants</cx:v>
            </cx:txData>
          </cx:tx>
          <cx:dataId val="1"/>
          <cx:layoutPr>
            <cx:visibility nonoutliers="0"/>
            <cx:statistics quartileMethod="exclusive"/>
          </cx:layoutPr>
        </cx:series>
        <cx:series layoutId="boxWhisker" uniqueId="{0000000B-53AA-3F4B-9ECC-192F2119BD00}">
          <cx:tx>
            <cx:txData>
              <cx:f>_xlchart.v1.466</cx:f>
              <cx:v>Low HLR, Lower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 P/L)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 P/L)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96.xml><?xml version="1.0" encoding="utf-8"?>
<cx:chartSpace xmlns:a="http://schemas.openxmlformats.org/drawingml/2006/main" xmlns:r="http://schemas.openxmlformats.org/officeDocument/2006/relationships" xmlns:cx="http://schemas.microsoft.com/office/drawing/2014/chartex">
  <cx:chartData>
    <cx:data id="0">
      <cx:numDim type="val">
        <cx:f dir="row">_xlchart.v1.475</cx:f>
      </cx:numDim>
    </cx:data>
    <cx:data id="1">
      <cx:numDim type="val">
        <cx:f dir="row">_xlchart.v1.476</cx:f>
      </cx:numDim>
    </cx:data>
    <cx:data id="2">
      <cx:numDim type="val">
        <cx:f dir="row">_xlchart.v1.477</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Medium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_xlchart.v1.472</cx:f>
              <cx:v>Medium HLR, Lower Outlet Height, No Plants</cx:v>
            </cx:txData>
          </cx:tx>
          <cx:dataId val="0"/>
          <cx:layoutPr>
            <cx:visibility nonoutliers="0"/>
            <cx:statistics quartileMethod="exclusive"/>
          </cx:layoutPr>
        </cx:series>
        <cx:series layoutId="boxWhisker" uniqueId="{0000000A-53AA-3F4B-9ECC-192F2119BD00}">
          <cx:tx>
            <cx:txData>
              <cx:f>_xlchart.v1.473</cx:f>
              <cx:v>Medium HLR, Lower Outlet Height, No Plants</cx:v>
            </cx:txData>
          </cx:tx>
          <cx:dataId val="1"/>
          <cx:layoutPr>
            <cx:visibility nonoutliers="0"/>
            <cx:statistics quartileMethod="exclusive"/>
          </cx:layoutPr>
        </cx:series>
        <cx:series layoutId="boxWhisker" uniqueId="{0000000B-53AA-3F4B-9ECC-192F2119BD00}">
          <cx:tx>
            <cx:txData>
              <cx:f>_xlchart.v1.474</cx:f>
              <cx:v>Medium HLR, Lower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 P/L)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 P/L)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97.xml><?xml version="1.0" encoding="utf-8"?>
<cx:chartSpace xmlns:a="http://schemas.openxmlformats.org/drawingml/2006/main" xmlns:r="http://schemas.openxmlformats.org/officeDocument/2006/relationships" xmlns:cx="http://schemas.microsoft.com/office/drawing/2014/chartex">
  <cx:chartData>
    <cx:data id="0">
      <cx:numDim type="val">
        <cx:f dir="row">_xlchart.v1.481</cx:f>
      </cx:numDim>
    </cx:data>
    <cx:data id="1">
      <cx:numDim type="val">
        <cx:f dir="row">_xlchart.v1.482</cx:f>
      </cx:numDim>
    </cx:data>
    <cx:data id="2">
      <cx:numDim type="val">
        <cx:f dir="row">_xlchart.v1.483</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_xlchart.v1.478</cx:f>
              <cx:v>High HLR, Lower Outlet Height, No Plants</cx:v>
            </cx:txData>
          </cx:tx>
          <cx:dataId val="0"/>
          <cx:layoutPr>
            <cx:visibility nonoutliers="0"/>
            <cx:statistics quartileMethod="exclusive"/>
          </cx:layoutPr>
        </cx:series>
        <cx:series layoutId="boxWhisker" uniqueId="{0000000A-53AA-3F4B-9ECC-192F2119BD00}">
          <cx:tx>
            <cx:txData>
              <cx:f>_xlchart.v1.479</cx:f>
              <cx:v>High HLR, Lower Outlet Height, No Plants</cx:v>
            </cx:txData>
          </cx:tx>
          <cx:dataId val="1"/>
          <cx:layoutPr>
            <cx:visibility nonoutliers="0"/>
            <cx:statistics quartileMethod="exclusive"/>
          </cx:layoutPr>
        </cx:series>
        <cx:series layoutId="boxWhisker" uniqueId="{0000000B-53AA-3F4B-9ECC-192F2119BD00}">
          <cx:tx>
            <cx:txData>
              <cx:f>_xlchart.v1.480</cx:f>
              <cx:v>High HLR, Lower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 P/L)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 P/L)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98.xml><?xml version="1.0" encoding="utf-8"?>
<cx:chartSpace xmlns:a="http://schemas.openxmlformats.org/drawingml/2006/main" xmlns:r="http://schemas.openxmlformats.org/officeDocument/2006/relationships" xmlns:cx="http://schemas.microsoft.com/office/drawing/2014/chartex">
  <cx:chartData>
    <cx:data id="0">
      <cx:numDim type="val">
        <cx:f dir="row">_xlchart.v1.487</cx:f>
      </cx:numDim>
    </cx:data>
    <cx:data id="1">
      <cx:numDim type="val">
        <cx:f dir="row">_xlchart.v1.488</cx:f>
      </cx:numDim>
    </cx:data>
    <cx:data id="2">
      <cx:numDim type="val">
        <cx:f dir="row">_xlchart.v1.489</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Upper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_xlchart.v1.484</cx:f>
              <cx:v>High HLR, Upper Outlet Height, No Plants</cx:v>
            </cx:txData>
          </cx:tx>
          <cx:dataId val="0"/>
          <cx:layoutPr>
            <cx:visibility nonoutliers="0"/>
            <cx:statistics quartileMethod="exclusive"/>
          </cx:layoutPr>
        </cx:series>
        <cx:series layoutId="boxWhisker" uniqueId="{0000000A-53AA-3F4B-9ECC-192F2119BD00}">
          <cx:tx>
            <cx:txData>
              <cx:f>_xlchart.v1.485</cx:f>
              <cx:v>High HLR, Upper Outlet Height, No Plants</cx:v>
            </cx:txData>
          </cx:tx>
          <cx:dataId val="1"/>
          <cx:layoutPr>
            <cx:visibility nonoutliers="0"/>
            <cx:statistics quartileMethod="exclusive"/>
          </cx:layoutPr>
        </cx:series>
        <cx:series layoutId="boxWhisker" uniqueId="{0000000B-53AA-3F4B-9ECC-192F2119BD00}">
          <cx:tx>
            <cx:txData>
              <cx:f>_xlchart.v1.486</cx:f>
              <cx:v>High HLR, Upper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 P/L)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 P/L)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99.xml><?xml version="1.0" encoding="utf-8"?>
<cx:chartSpace xmlns:a="http://schemas.openxmlformats.org/drawingml/2006/main" xmlns:r="http://schemas.openxmlformats.org/officeDocument/2006/relationships" xmlns:cx="http://schemas.microsoft.com/office/drawing/2014/chartex">
  <cx:chartData>
    <cx:data id="0">
      <cx:numDim type="val">
        <cx:f dir="row">_xlchart.v1.493</cx:f>
      </cx:numDim>
    </cx:data>
    <cx:data id="1">
      <cx:numDim type="val">
        <cx:f dir="row">_xlchart.v1.494</cx:f>
      </cx:numDim>
    </cx:data>
    <cx:data id="2">
      <cx:numDim type="val">
        <cx:f dir="row">_xlchart.v1.495</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Lower Outlet Height, Yes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_xlchart.v1.490</cx:f>
              <cx:v>High HLR, Lower Outlet Height, Yes Plants</cx:v>
            </cx:txData>
          </cx:tx>
          <cx:dataId val="0"/>
          <cx:layoutPr>
            <cx:visibility nonoutliers="0"/>
            <cx:statistics quartileMethod="exclusive"/>
          </cx:layoutPr>
        </cx:series>
        <cx:series layoutId="boxWhisker" uniqueId="{0000000A-53AA-3F4B-9ECC-192F2119BD00}">
          <cx:tx>
            <cx:txData>
              <cx:f>_xlchart.v1.491</cx:f>
              <cx:v>High HLR, Lower Outlet Height, Yes Plants</cx:v>
            </cx:txData>
          </cx:tx>
          <cx:dataId val="1"/>
          <cx:layoutPr>
            <cx:visibility nonoutliers="0"/>
            <cx:statistics quartileMethod="exclusive"/>
          </cx:layoutPr>
        </cx:series>
        <cx:series layoutId="boxWhisker" uniqueId="{0000000B-53AA-3F4B-9ECC-192F2119BD00}">
          <cx:tx>
            <cx:txData>
              <cx:f>_xlchart.v1.492</cx:f>
              <cx:v>High HLR, Lower Outlet Height, Yes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100.xml><?xml version="1.0" encoding="utf-8"?>
<cx:chartSpace xmlns:a="http://schemas.openxmlformats.org/drawingml/2006/main" xmlns:r="http://schemas.openxmlformats.org/officeDocument/2006/relationships" xmlns:cx="http://schemas.microsoft.com/office/drawing/2014/chartex">
  <cx:chartData>
    <cx:data id="0">
      <cx:numDim type="val">
        <cx:f dir="row">_xlchart.v1.499</cx:f>
      </cx:numDim>
    </cx:data>
    <cx:data id="1">
      <cx:numDim type="val">
        <cx:f dir="row">_xlchart.v1.500</cx:f>
      </cx:numDim>
    </cx:data>
    <cx:data id="2">
      <cx:numDim type="val">
        <cx:f dir="row">_xlchart.v1.501</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Upper Outlet Height, Yes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_xlchart.v1.496</cx:f>
              <cx:v>Medium HLR, Upper Outlet Height, Yes Plants</cx:v>
            </cx:txData>
          </cx:tx>
          <cx:dataId val="0"/>
          <cx:layoutPr>
            <cx:visibility nonoutliers="0"/>
            <cx:statistics quartileMethod="exclusive"/>
          </cx:layoutPr>
        </cx:series>
        <cx:series layoutId="boxWhisker" uniqueId="{0000000A-53AA-3F4B-9ECC-192F2119BD00}">
          <cx:tx>
            <cx:txData>
              <cx:f>_xlchart.v1.497</cx:f>
              <cx:v>Medium HLR, Upper Outlet Height, Yes Plants</cx:v>
            </cx:txData>
          </cx:tx>
          <cx:dataId val="1"/>
          <cx:layoutPr>
            <cx:visibility nonoutliers="0"/>
            <cx:statistics quartileMethod="exclusive"/>
          </cx:layoutPr>
        </cx:series>
        <cx:series layoutId="boxWhisker" uniqueId="{0000000B-53AA-3F4B-9ECC-192F2119BD00}">
          <cx:tx>
            <cx:txData>
              <cx:f>_xlchart.v1.498</cx:f>
              <cx:v>Medium HLR, Upper Outlet Height, Yes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2.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3.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4.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7.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2.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3.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4.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7.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3.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4.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7.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9.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0.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2.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3.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4.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7.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8.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9.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0.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3.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4.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7.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8.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0.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2.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3.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4.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7.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8.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9.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0.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2.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4.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7.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8.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9.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2.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3.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4.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7.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9.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0.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2.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3.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4.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7.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8.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9.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0.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3.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4.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7.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8.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0.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2.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3.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4.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3" Type="http://schemas.openxmlformats.org/officeDocument/2006/relationships/chart" Target="../charts/chart7.xml"/><Relationship Id="rId18" Type="http://schemas.microsoft.com/office/2014/relationships/chartEx" Target="../charts/chartEx10.xml"/><Relationship Id="rId26" Type="http://schemas.openxmlformats.org/officeDocument/2006/relationships/chart" Target="../charts/chart12.xml"/><Relationship Id="rId3" Type="http://schemas.openxmlformats.org/officeDocument/2006/relationships/chart" Target="../charts/chart3.xml"/><Relationship Id="rId21" Type="http://schemas.microsoft.com/office/2014/relationships/chartEx" Target="../charts/chartEx13.xml"/><Relationship Id="rId34" Type="http://schemas.openxmlformats.org/officeDocument/2006/relationships/chart" Target="../charts/chart20.xml"/><Relationship Id="rId7" Type="http://schemas.microsoft.com/office/2014/relationships/chartEx" Target="../charts/chartEx3.xml"/><Relationship Id="rId12" Type="http://schemas.openxmlformats.org/officeDocument/2006/relationships/chart" Target="../charts/chart6.xml"/><Relationship Id="rId17" Type="http://schemas.microsoft.com/office/2014/relationships/chartEx" Target="../charts/chartEx9.xml"/><Relationship Id="rId25" Type="http://schemas.openxmlformats.org/officeDocument/2006/relationships/chart" Target="../charts/chart11.xml"/><Relationship Id="rId33" Type="http://schemas.openxmlformats.org/officeDocument/2006/relationships/chart" Target="../charts/chart19.xml"/><Relationship Id="rId2" Type="http://schemas.openxmlformats.org/officeDocument/2006/relationships/chart" Target="../charts/chart2.xml"/><Relationship Id="rId16" Type="http://schemas.microsoft.com/office/2014/relationships/chartEx" Target="../charts/chartEx8.xml"/><Relationship Id="rId20" Type="http://schemas.microsoft.com/office/2014/relationships/chartEx" Target="../charts/chartEx12.xml"/><Relationship Id="rId29" Type="http://schemas.openxmlformats.org/officeDocument/2006/relationships/chart" Target="../charts/chart15.xml"/><Relationship Id="rId1" Type="http://schemas.openxmlformats.org/officeDocument/2006/relationships/chart" Target="../charts/chart1.xml"/><Relationship Id="rId6" Type="http://schemas.microsoft.com/office/2014/relationships/chartEx" Target="../charts/chartEx2.xml"/><Relationship Id="rId11" Type="http://schemas.openxmlformats.org/officeDocument/2006/relationships/chart" Target="../charts/chart5.xml"/><Relationship Id="rId24" Type="http://schemas.openxmlformats.org/officeDocument/2006/relationships/chart" Target="../charts/chart10.xml"/><Relationship Id="rId32" Type="http://schemas.openxmlformats.org/officeDocument/2006/relationships/chart" Target="../charts/chart18.xml"/><Relationship Id="rId5" Type="http://schemas.microsoft.com/office/2014/relationships/chartEx" Target="../charts/chartEx1.xml"/><Relationship Id="rId15" Type="http://schemas.microsoft.com/office/2014/relationships/chartEx" Target="../charts/chartEx7.xml"/><Relationship Id="rId23" Type="http://schemas.openxmlformats.org/officeDocument/2006/relationships/chart" Target="../charts/chart9.xml"/><Relationship Id="rId28" Type="http://schemas.openxmlformats.org/officeDocument/2006/relationships/chart" Target="../charts/chart14.xml"/><Relationship Id="rId10" Type="http://schemas.microsoft.com/office/2014/relationships/chartEx" Target="../charts/chartEx6.xml"/><Relationship Id="rId19" Type="http://schemas.microsoft.com/office/2014/relationships/chartEx" Target="../charts/chartEx11.xml"/><Relationship Id="rId31" Type="http://schemas.openxmlformats.org/officeDocument/2006/relationships/chart" Target="../charts/chart17.xml"/><Relationship Id="rId4" Type="http://schemas.openxmlformats.org/officeDocument/2006/relationships/chart" Target="../charts/chart4.xml"/><Relationship Id="rId9" Type="http://schemas.microsoft.com/office/2014/relationships/chartEx" Target="../charts/chartEx5.xml"/><Relationship Id="rId14" Type="http://schemas.openxmlformats.org/officeDocument/2006/relationships/chart" Target="../charts/chart8.xml"/><Relationship Id="rId22" Type="http://schemas.microsoft.com/office/2014/relationships/chartEx" Target="../charts/chartEx14.xml"/><Relationship Id="rId27" Type="http://schemas.openxmlformats.org/officeDocument/2006/relationships/chart" Target="../charts/chart13.xml"/><Relationship Id="rId30" Type="http://schemas.openxmlformats.org/officeDocument/2006/relationships/chart" Target="../charts/chart16.xml"/><Relationship Id="rId35" Type="http://schemas.openxmlformats.org/officeDocument/2006/relationships/chart" Target="../charts/chart21.xml"/><Relationship Id="rId8" Type="http://schemas.microsoft.com/office/2014/relationships/chartEx" Target="../charts/chartEx4.xml"/></Relationships>
</file>

<file path=xl/drawings/_rels/drawing4.xml.rels><?xml version="1.0" encoding="UTF-8" standalone="yes"?>
<Relationships xmlns="http://schemas.openxmlformats.org/package/2006/relationships"><Relationship Id="rId13" Type="http://schemas.openxmlformats.org/officeDocument/2006/relationships/chart" Target="../charts/chart28.xml"/><Relationship Id="rId18" Type="http://schemas.microsoft.com/office/2014/relationships/chartEx" Target="../charts/chartEx24.xml"/><Relationship Id="rId26" Type="http://schemas.openxmlformats.org/officeDocument/2006/relationships/chart" Target="../charts/chart33.xml"/><Relationship Id="rId3" Type="http://schemas.openxmlformats.org/officeDocument/2006/relationships/chart" Target="../charts/chart24.xml"/><Relationship Id="rId21" Type="http://schemas.microsoft.com/office/2014/relationships/chartEx" Target="../charts/chartEx27.xml"/><Relationship Id="rId34" Type="http://schemas.openxmlformats.org/officeDocument/2006/relationships/chart" Target="../charts/chart41.xml"/><Relationship Id="rId7" Type="http://schemas.microsoft.com/office/2014/relationships/chartEx" Target="../charts/chartEx15.xml"/><Relationship Id="rId12" Type="http://schemas.microsoft.com/office/2014/relationships/chartEx" Target="../charts/chartEx20.xml"/><Relationship Id="rId17" Type="http://schemas.microsoft.com/office/2014/relationships/chartEx" Target="../charts/chartEx23.xml"/><Relationship Id="rId25" Type="http://schemas.openxmlformats.org/officeDocument/2006/relationships/chart" Target="../charts/chart32.xml"/><Relationship Id="rId33" Type="http://schemas.openxmlformats.org/officeDocument/2006/relationships/chart" Target="../charts/chart40.xml"/><Relationship Id="rId2" Type="http://schemas.openxmlformats.org/officeDocument/2006/relationships/chart" Target="../charts/chart23.xml"/><Relationship Id="rId16" Type="http://schemas.microsoft.com/office/2014/relationships/chartEx" Target="../charts/chartEx22.xml"/><Relationship Id="rId20" Type="http://schemas.microsoft.com/office/2014/relationships/chartEx" Target="../charts/chartEx26.xml"/><Relationship Id="rId29" Type="http://schemas.openxmlformats.org/officeDocument/2006/relationships/chart" Target="../charts/chart36.xml"/><Relationship Id="rId1" Type="http://schemas.openxmlformats.org/officeDocument/2006/relationships/chart" Target="../charts/chart22.xml"/><Relationship Id="rId6" Type="http://schemas.openxmlformats.org/officeDocument/2006/relationships/chart" Target="../charts/chart27.xml"/><Relationship Id="rId11" Type="http://schemas.microsoft.com/office/2014/relationships/chartEx" Target="../charts/chartEx19.xml"/><Relationship Id="rId24" Type="http://schemas.openxmlformats.org/officeDocument/2006/relationships/chart" Target="../charts/chart31.xml"/><Relationship Id="rId32" Type="http://schemas.openxmlformats.org/officeDocument/2006/relationships/chart" Target="../charts/chart39.xml"/><Relationship Id="rId5" Type="http://schemas.openxmlformats.org/officeDocument/2006/relationships/chart" Target="../charts/chart26.xml"/><Relationship Id="rId15" Type="http://schemas.microsoft.com/office/2014/relationships/chartEx" Target="../charts/chartEx21.xml"/><Relationship Id="rId23" Type="http://schemas.openxmlformats.org/officeDocument/2006/relationships/chart" Target="../charts/chart30.xml"/><Relationship Id="rId28" Type="http://schemas.openxmlformats.org/officeDocument/2006/relationships/chart" Target="../charts/chart35.xml"/><Relationship Id="rId10" Type="http://schemas.microsoft.com/office/2014/relationships/chartEx" Target="../charts/chartEx18.xml"/><Relationship Id="rId19" Type="http://schemas.microsoft.com/office/2014/relationships/chartEx" Target="../charts/chartEx25.xml"/><Relationship Id="rId31" Type="http://schemas.openxmlformats.org/officeDocument/2006/relationships/chart" Target="../charts/chart38.xml"/><Relationship Id="rId4" Type="http://schemas.openxmlformats.org/officeDocument/2006/relationships/chart" Target="../charts/chart25.xml"/><Relationship Id="rId9" Type="http://schemas.microsoft.com/office/2014/relationships/chartEx" Target="../charts/chartEx17.xml"/><Relationship Id="rId14" Type="http://schemas.openxmlformats.org/officeDocument/2006/relationships/chart" Target="../charts/chart29.xml"/><Relationship Id="rId22" Type="http://schemas.microsoft.com/office/2014/relationships/chartEx" Target="../charts/chartEx28.xml"/><Relationship Id="rId27" Type="http://schemas.openxmlformats.org/officeDocument/2006/relationships/chart" Target="../charts/chart34.xml"/><Relationship Id="rId30" Type="http://schemas.openxmlformats.org/officeDocument/2006/relationships/chart" Target="../charts/chart37.xml"/><Relationship Id="rId35" Type="http://schemas.openxmlformats.org/officeDocument/2006/relationships/chart" Target="../charts/chart42.xml"/><Relationship Id="rId8" Type="http://schemas.microsoft.com/office/2014/relationships/chartEx" Target="../charts/chartEx1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7.xml.rels><?xml version="1.0" encoding="UTF-8" standalone="yes"?>
<Relationships xmlns="http://schemas.openxmlformats.org/package/2006/relationships"><Relationship Id="rId3" Type="http://schemas.microsoft.com/office/2014/relationships/chartEx" Target="../charts/chartEx31.xml"/><Relationship Id="rId7" Type="http://schemas.openxmlformats.org/officeDocument/2006/relationships/chart" Target="../charts/chart44.xml"/><Relationship Id="rId2" Type="http://schemas.microsoft.com/office/2014/relationships/chartEx" Target="../charts/chartEx30.xml"/><Relationship Id="rId1" Type="http://schemas.microsoft.com/office/2014/relationships/chartEx" Target="../charts/chartEx29.xml"/><Relationship Id="rId6" Type="http://schemas.microsoft.com/office/2014/relationships/chartEx" Target="../charts/chartEx34.xml"/><Relationship Id="rId5" Type="http://schemas.microsoft.com/office/2014/relationships/chartEx" Target="../charts/chartEx33.xml"/><Relationship Id="rId4" Type="http://schemas.microsoft.com/office/2014/relationships/chartEx" Target="../charts/chartEx32.xml"/></Relationships>
</file>

<file path=xl/drawings/_rels/drawing8.xml.rels><?xml version="1.0" encoding="UTF-8" standalone="yes"?>
<Relationships xmlns="http://schemas.openxmlformats.org/package/2006/relationships"><Relationship Id="rId1" Type="http://schemas.openxmlformats.org/officeDocument/2006/relationships/image" Target="../media/image2.png"/></Relationships>
</file>

<file path=xl/drawings/_rels/drawing9.xml.rels><?xml version="1.0" encoding="UTF-8" standalone="yes"?>
<Relationships xmlns="http://schemas.openxmlformats.org/package/2006/relationships"><Relationship Id="rId1" Type="http://schemas.openxmlformats.org/officeDocument/2006/relationships/image" Target="../media/image2.png"/></Relationships>
</file>

<file path=xl/drawings/_rels/drawing10.xml.rels><?xml version="1.0" encoding="UTF-8" standalone="yes"?>
<Relationships xmlns="http://schemas.openxmlformats.org/package/2006/relationships"><Relationship Id="rId3" Type="http://schemas.microsoft.com/office/2014/relationships/chartEx" Target="../charts/chartEx37.xml"/><Relationship Id="rId7" Type="http://schemas.openxmlformats.org/officeDocument/2006/relationships/chart" Target="../charts/chart45.xml"/><Relationship Id="rId2" Type="http://schemas.microsoft.com/office/2014/relationships/chartEx" Target="../charts/chartEx36.xml"/><Relationship Id="rId1" Type="http://schemas.microsoft.com/office/2014/relationships/chartEx" Target="../charts/chartEx35.xml"/><Relationship Id="rId6" Type="http://schemas.microsoft.com/office/2014/relationships/chartEx" Target="../charts/chartEx40.xml"/><Relationship Id="rId5" Type="http://schemas.microsoft.com/office/2014/relationships/chartEx" Target="../charts/chartEx39.xml"/><Relationship Id="rId4" Type="http://schemas.microsoft.com/office/2014/relationships/chartEx" Target="../charts/chartEx38.xml"/></Relationships>
</file>

<file path=xl/drawings/_rels/drawing11.xml.rels><?xml version="1.0" encoding="UTF-8" standalone="yes"?>
<Relationships xmlns="http://schemas.openxmlformats.org/package/2006/relationships"><Relationship Id="rId3" Type="http://schemas.microsoft.com/office/2014/relationships/chartEx" Target="../charts/chartEx43.xml"/><Relationship Id="rId7" Type="http://schemas.openxmlformats.org/officeDocument/2006/relationships/chart" Target="../charts/chart46.xml"/><Relationship Id="rId2" Type="http://schemas.microsoft.com/office/2014/relationships/chartEx" Target="../charts/chartEx42.xml"/><Relationship Id="rId1" Type="http://schemas.microsoft.com/office/2014/relationships/chartEx" Target="../charts/chartEx41.xml"/><Relationship Id="rId6" Type="http://schemas.microsoft.com/office/2014/relationships/chartEx" Target="../charts/chartEx46.xml"/><Relationship Id="rId5" Type="http://schemas.microsoft.com/office/2014/relationships/chartEx" Target="../charts/chartEx45.xml"/><Relationship Id="rId4" Type="http://schemas.microsoft.com/office/2014/relationships/chartEx" Target="../charts/chartEx44.xml"/></Relationships>
</file>

<file path=xl/drawings/_rels/drawing12.xml.rels><?xml version="1.0" encoding="UTF-8" standalone="yes"?>
<Relationships xmlns="http://schemas.openxmlformats.org/package/2006/relationships"><Relationship Id="rId3" Type="http://schemas.microsoft.com/office/2014/relationships/chartEx" Target="../charts/chartEx49.xml"/><Relationship Id="rId7" Type="http://schemas.openxmlformats.org/officeDocument/2006/relationships/chart" Target="../charts/chart47.xml"/><Relationship Id="rId2" Type="http://schemas.microsoft.com/office/2014/relationships/chartEx" Target="../charts/chartEx48.xml"/><Relationship Id="rId1" Type="http://schemas.microsoft.com/office/2014/relationships/chartEx" Target="../charts/chartEx47.xml"/><Relationship Id="rId6" Type="http://schemas.microsoft.com/office/2014/relationships/chartEx" Target="../charts/chartEx52.xml"/><Relationship Id="rId5" Type="http://schemas.microsoft.com/office/2014/relationships/chartEx" Target="../charts/chartEx51.xml"/><Relationship Id="rId4" Type="http://schemas.microsoft.com/office/2014/relationships/chartEx" Target="../charts/chartEx50.xml"/></Relationships>
</file>

<file path=xl/drawings/_rels/drawing13.xml.rels><?xml version="1.0" encoding="UTF-8" standalone="yes"?>
<Relationships xmlns="http://schemas.openxmlformats.org/package/2006/relationships"><Relationship Id="rId3" Type="http://schemas.microsoft.com/office/2014/relationships/chartEx" Target="../charts/chartEx55.xml"/><Relationship Id="rId7" Type="http://schemas.openxmlformats.org/officeDocument/2006/relationships/chart" Target="../charts/chart48.xml"/><Relationship Id="rId2" Type="http://schemas.microsoft.com/office/2014/relationships/chartEx" Target="../charts/chartEx54.xml"/><Relationship Id="rId1" Type="http://schemas.microsoft.com/office/2014/relationships/chartEx" Target="../charts/chartEx53.xml"/><Relationship Id="rId6" Type="http://schemas.microsoft.com/office/2014/relationships/chartEx" Target="../charts/chartEx58.xml"/><Relationship Id="rId5" Type="http://schemas.microsoft.com/office/2014/relationships/chartEx" Target="../charts/chartEx57.xml"/><Relationship Id="rId4" Type="http://schemas.microsoft.com/office/2014/relationships/chartEx" Target="../charts/chartEx56.xml"/></Relationships>
</file>

<file path=xl/drawings/_rels/drawing14.xml.rels><?xml version="1.0" encoding="UTF-8" standalone="yes"?>
<Relationships xmlns="http://schemas.openxmlformats.org/package/2006/relationships"><Relationship Id="rId3" Type="http://schemas.microsoft.com/office/2014/relationships/chartEx" Target="../charts/chartEx61.xml"/><Relationship Id="rId7" Type="http://schemas.openxmlformats.org/officeDocument/2006/relationships/chart" Target="../charts/chart49.xml"/><Relationship Id="rId2" Type="http://schemas.microsoft.com/office/2014/relationships/chartEx" Target="../charts/chartEx60.xml"/><Relationship Id="rId1" Type="http://schemas.microsoft.com/office/2014/relationships/chartEx" Target="../charts/chartEx59.xml"/><Relationship Id="rId6" Type="http://schemas.microsoft.com/office/2014/relationships/chartEx" Target="../charts/chartEx64.xml"/><Relationship Id="rId5" Type="http://schemas.microsoft.com/office/2014/relationships/chartEx" Target="../charts/chartEx63.xml"/><Relationship Id="rId4" Type="http://schemas.microsoft.com/office/2014/relationships/chartEx" Target="../charts/chartEx62.xml"/></Relationships>
</file>

<file path=xl/drawings/_rels/drawing15.xml.rels><?xml version="1.0" encoding="UTF-8" standalone="yes"?>
<Relationships xmlns="http://schemas.openxmlformats.org/package/2006/relationships"><Relationship Id="rId8" Type="http://schemas.openxmlformats.org/officeDocument/2006/relationships/chart" Target="../charts/chart51.xml"/><Relationship Id="rId3" Type="http://schemas.microsoft.com/office/2014/relationships/chartEx" Target="../charts/chartEx67.xml"/><Relationship Id="rId7" Type="http://schemas.openxmlformats.org/officeDocument/2006/relationships/chart" Target="../charts/chart50.xml"/><Relationship Id="rId2" Type="http://schemas.microsoft.com/office/2014/relationships/chartEx" Target="../charts/chartEx66.xml"/><Relationship Id="rId1" Type="http://schemas.microsoft.com/office/2014/relationships/chartEx" Target="../charts/chartEx65.xml"/><Relationship Id="rId6" Type="http://schemas.microsoft.com/office/2014/relationships/chartEx" Target="../charts/chartEx70.xml"/><Relationship Id="rId5" Type="http://schemas.microsoft.com/office/2014/relationships/chartEx" Target="../charts/chartEx69.xml"/><Relationship Id="rId4" Type="http://schemas.microsoft.com/office/2014/relationships/chartEx" Target="../charts/chartEx68.xml"/></Relationships>
</file>

<file path=xl/drawings/_rels/drawing16.xml.rels><?xml version="1.0" encoding="UTF-8" standalone="yes"?>
<Relationships xmlns="http://schemas.openxmlformats.org/package/2006/relationships"><Relationship Id="rId3" Type="http://schemas.microsoft.com/office/2014/relationships/chartEx" Target="../charts/chartEx73.xml"/><Relationship Id="rId7" Type="http://schemas.openxmlformats.org/officeDocument/2006/relationships/chart" Target="../charts/chart52.xml"/><Relationship Id="rId2" Type="http://schemas.microsoft.com/office/2014/relationships/chartEx" Target="../charts/chartEx72.xml"/><Relationship Id="rId1" Type="http://schemas.microsoft.com/office/2014/relationships/chartEx" Target="../charts/chartEx71.xml"/><Relationship Id="rId6" Type="http://schemas.microsoft.com/office/2014/relationships/chartEx" Target="../charts/chartEx76.xml"/><Relationship Id="rId5" Type="http://schemas.microsoft.com/office/2014/relationships/chartEx" Target="../charts/chartEx75.xml"/><Relationship Id="rId4" Type="http://schemas.microsoft.com/office/2014/relationships/chartEx" Target="../charts/chartEx74.xml"/></Relationships>
</file>

<file path=xl/drawings/_rels/drawing17.xml.rels><?xml version="1.0" encoding="UTF-8" standalone="yes"?>
<Relationships xmlns="http://schemas.openxmlformats.org/package/2006/relationships"><Relationship Id="rId3" Type="http://schemas.microsoft.com/office/2014/relationships/chartEx" Target="../charts/chartEx79.xml"/><Relationship Id="rId7" Type="http://schemas.openxmlformats.org/officeDocument/2006/relationships/chart" Target="../charts/chart53.xml"/><Relationship Id="rId2" Type="http://schemas.microsoft.com/office/2014/relationships/chartEx" Target="../charts/chartEx78.xml"/><Relationship Id="rId1" Type="http://schemas.microsoft.com/office/2014/relationships/chartEx" Target="../charts/chartEx77.xml"/><Relationship Id="rId6" Type="http://schemas.microsoft.com/office/2014/relationships/chartEx" Target="../charts/chartEx82.xml"/><Relationship Id="rId5" Type="http://schemas.microsoft.com/office/2014/relationships/chartEx" Target="../charts/chartEx81.xml"/><Relationship Id="rId4" Type="http://schemas.microsoft.com/office/2014/relationships/chartEx" Target="../charts/chartEx80.xml"/></Relationships>
</file>

<file path=xl/drawings/_rels/drawing18.xml.rels><?xml version="1.0" encoding="UTF-8" standalone="yes"?>
<Relationships xmlns="http://schemas.openxmlformats.org/package/2006/relationships"><Relationship Id="rId3" Type="http://schemas.microsoft.com/office/2014/relationships/chartEx" Target="../charts/chartEx85.xml"/><Relationship Id="rId7" Type="http://schemas.openxmlformats.org/officeDocument/2006/relationships/chart" Target="../charts/chart54.xml"/><Relationship Id="rId2" Type="http://schemas.microsoft.com/office/2014/relationships/chartEx" Target="../charts/chartEx84.xml"/><Relationship Id="rId1" Type="http://schemas.microsoft.com/office/2014/relationships/chartEx" Target="../charts/chartEx83.xml"/><Relationship Id="rId6" Type="http://schemas.microsoft.com/office/2014/relationships/chartEx" Target="../charts/chartEx88.xml"/><Relationship Id="rId5" Type="http://schemas.microsoft.com/office/2014/relationships/chartEx" Target="../charts/chartEx87.xml"/><Relationship Id="rId4" Type="http://schemas.microsoft.com/office/2014/relationships/chartEx" Target="../charts/chartEx86.xml"/></Relationships>
</file>

<file path=xl/drawings/_rels/drawing19.xml.rels><?xml version="1.0" encoding="UTF-8" standalone="yes"?>
<Relationships xmlns="http://schemas.openxmlformats.org/package/2006/relationships"><Relationship Id="rId3" Type="http://schemas.microsoft.com/office/2014/relationships/chartEx" Target="../charts/chartEx91.xml"/><Relationship Id="rId7" Type="http://schemas.openxmlformats.org/officeDocument/2006/relationships/chart" Target="../charts/chart55.xml"/><Relationship Id="rId2" Type="http://schemas.microsoft.com/office/2014/relationships/chartEx" Target="../charts/chartEx90.xml"/><Relationship Id="rId1" Type="http://schemas.microsoft.com/office/2014/relationships/chartEx" Target="../charts/chartEx89.xml"/><Relationship Id="rId6" Type="http://schemas.microsoft.com/office/2014/relationships/chartEx" Target="../charts/chartEx94.xml"/><Relationship Id="rId5" Type="http://schemas.microsoft.com/office/2014/relationships/chartEx" Target="../charts/chartEx93.xml"/><Relationship Id="rId4" Type="http://schemas.microsoft.com/office/2014/relationships/chartEx" Target="../charts/chartEx92.xml"/></Relationships>
</file>

<file path=xl/drawings/_rels/drawing20.xml.rels><?xml version="1.0" encoding="UTF-8" standalone="yes"?>
<Relationships xmlns="http://schemas.openxmlformats.org/package/2006/relationships"><Relationship Id="rId3" Type="http://schemas.microsoft.com/office/2014/relationships/chartEx" Target="../charts/chartEx97.xml"/><Relationship Id="rId7" Type="http://schemas.openxmlformats.org/officeDocument/2006/relationships/chart" Target="../charts/chart56.xml"/><Relationship Id="rId2" Type="http://schemas.microsoft.com/office/2014/relationships/chartEx" Target="../charts/chartEx96.xml"/><Relationship Id="rId1" Type="http://schemas.microsoft.com/office/2014/relationships/chartEx" Target="../charts/chartEx95.xml"/><Relationship Id="rId6" Type="http://schemas.microsoft.com/office/2014/relationships/chartEx" Target="../charts/chartEx100.xml"/><Relationship Id="rId5" Type="http://schemas.microsoft.com/office/2014/relationships/chartEx" Target="../charts/chartEx99.xml"/><Relationship Id="rId4" Type="http://schemas.microsoft.com/office/2014/relationships/chartEx" Target="../charts/chartEx98.xml"/></Relationships>
</file>

<file path=xl/drawings/drawing1.xml><?xml version="1.0" encoding="utf-8"?>
<xdr:wsDr xmlns:xdr="http://schemas.openxmlformats.org/drawingml/2006/spreadsheetDrawing" xmlns:a="http://schemas.openxmlformats.org/drawingml/2006/main">
  <xdr:twoCellAnchor editAs="oneCell">
    <xdr:from>
      <xdr:col>7</xdr:col>
      <xdr:colOff>126295</xdr:colOff>
      <xdr:row>0</xdr:row>
      <xdr:rowOff>252589</xdr:rowOff>
    </xdr:from>
    <xdr:to>
      <xdr:col>21</xdr:col>
      <xdr:colOff>374432</xdr:colOff>
      <xdr:row>27</xdr:row>
      <xdr:rowOff>113051</xdr:rowOff>
    </xdr:to>
    <xdr:pic>
      <xdr:nvPicPr>
        <xdr:cNvPr id="3" name="Picture 2">
          <a:extLst>
            <a:ext uri="{FF2B5EF4-FFF2-40B4-BE49-F238E27FC236}">
              <a16:creationId xmlns:a16="http://schemas.microsoft.com/office/drawing/2014/main" id="{CE9AAA24-570C-B95D-13C9-D7042A13B4A3}"/>
            </a:ext>
          </a:extLst>
        </xdr:cNvPr>
        <xdr:cNvPicPr>
          <a:picLocks noChangeAspect="1"/>
        </xdr:cNvPicPr>
      </xdr:nvPicPr>
      <xdr:blipFill>
        <a:blip xmlns:r="http://schemas.openxmlformats.org/officeDocument/2006/relationships" r:embed="rId1"/>
        <a:stretch>
          <a:fillRect/>
        </a:stretch>
      </xdr:blipFill>
      <xdr:spPr>
        <a:xfrm>
          <a:off x="15712017" y="252589"/>
          <a:ext cx="9533249" cy="315540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12</xdr:col>
      <xdr:colOff>474131</xdr:colOff>
      <xdr:row>3</xdr:row>
      <xdr:rowOff>311729</xdr:rowOff>
    </xdr:from>
    <xdr:to>
      <xdr:col>25</xdr:col>
      <xdr:colOff>118531</xdr:colOff>
      <xdr:row>32</xdr:row>
      <xdr:rowOff>172507</xdr:rowOff>
    </xdr:to>
    <xdr:graphicFrame macro="">
      <xdr:nvGraphicFramePr>
        <xdr:cNvPr id="4" name="Chart 3">
          <a:extLst>
            <a:ext uri="{FF2B5EF4-FFF2-40B4-BE49-F238E27FC236}">
              <a16:creationId xmlns:a16="http://schemas.microsoft.com/office/drawing/2014/main" id="{A5037A2B-11EC-45A9-8886-ADDB74A345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68792</xdr:colOff>
      <xdr:row>3</xdr:row>
      <xdr:rowOff>300182</xdr:rowOff>
    </xdr:from>
    <xdr:to>
      <xdr:col>12</xdr:col>
      <xdr:colOff>373592</xdr:colOff>
      <xdr:row>32</xdr:row>
      <xdr:rowOff>152399</xdr:rowOff>
    </xdr:to>
    <xdr:graphicFrame macro="">
      <xdr:nvGraphicFramePr>
        <xdr:cNvPr id="5" name="Chart 4">
          <a:extLst>
            <a:ext uri="{FF2B5EF4-FFF2-40B4-BE49-F238E27FC236}">
              <a16:creationId xmlns:a16="http://schemas.microsoft.com/office/drawing/2014/main" id="{BCFA6CC3-217F-43AF-8361-998E9E5B0A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366182</xdr:colOff>
      <xdr:row>165</xdr:row>
      <xdr:rowOff>6351</xdr:rowOff>
    </xdr:from>
    <xdr:to>
      <xdr:col>13</xdr:col>
      <xdr:colOff>65615</xdr:colOff>
      <xdr:row>187</xdr:row>
      <xdr:rowOff>154517</xdr:rowOff>
    </xdr:to>
    <xdr:graphicFrame macro="">
      <xdr:nvGraphicFramePr>
        <xdr:cNvPr id="6" name="Chart 5">
          <a:extLst>
            <a:ext uri="{FF2B5EF4-FFF2-40B4-BE49-F238E27FC236}">
              <a16:creationId xmlns:a16="http://schemas.microsoft.com/office/drawing/2014/main" id="{FF8E139F-8F0F-AB09-3338-0E003AF17B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249574</xdr:colOff>
      <xdr:row>19</xdr:row>
      <xdr:rowOff>25785</xdr:rowOff>
    </xdr:from>
    <xdr:to>
      <xdr:col>2</xdr:col>
      <xdr:colOff>585643</xdr:colOff>
      <xdr:row>20</xdr:row>
      <xdr:rowOff>100735</xdr:rowOff>
    </xdr:to>
    <xdr:sp macro="" textlink="">
      <xdr:nvSpPr>
        <xdr:cNvPr id="8" name="TextBox 7">
          <a:extLst>
            <a:ext uri="{FF2B5EF4-FFF2-40B4-BE49-F238E27FC236}">
              <a16:creationId xmlns:a16="http://schemas.microsoft.com/office/drawing/2014/main" id="{FB59D3B8-E224-29C9-E945-19497F934BA2}"/>
            </a:ext>
          </a:extLst>
        </xdr:cNvPr>
        <xdr:cNvSpPr txBox="1"/>
      </xdr:nvSpPr>
      <xdr:spPr>
        <a:xfrm>
          <a:off x="907665" y="4753649"/>
          <a:ext cx="994160" cy="2827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Event</a:t>
          </a:r>
          <a:r>
            <a:rPr lang="en-US" sz="1100" baseline="0"/>
            <a:t> 1 and 3</a:t>
          </a:r>
          <a:endParaRPr lang="en-US" sz="1100"/>
        </a:p>
      </xdr:txBody>
    </xdr:sp>
    <xdr:clientData/>
  </xdr:twoCellAnchor>
  <xdr:twoCellAnchor>
    <xdr:from>
      <xdr:col>3</xdr:col>
      <xdr:colOff>194733</xdr:colOff>
      <xdr:row>20</xdr:row>
      <xdr:rowOff>84665</xdr:rowOff>
    </xdr:from>
    <xdr:to>
      <xdr:col>4</xdr:col>
      <xdr:colOff>304800</xdr:colOff>
      <xdr:row>21</xdr:row>
      <xdr:rowOff>152399</xdr:rowOff>
    </xdr:to>
    <xdr:sp macro="" textlink="">
      <xdr:nvSpPr>
        <xdr:cNvPr id="9" name="TextBox 8">
          <a:extLst>
            <a:ext uri="{FF2B5EF4-FFF2-40B4-BE49-F238E27FC236}">
              <a16:creationId xmlns:a16="http://schemas.microsoft.com/office/drawing/2014/main" id="{59112084-669F-427A-88F2-153D2732C5FB}"/>
            </a:ext>
          </a:extLst>
        </xdr:cNvPr>
        <xdr:cNvSpPr txBox="1"/>
      </xdr:nvSpPr>
      <xdr:spPr>
        <a:xfrm>
          <a:off x="2175933" y="2226732"/>
          <a:ext cx="770467" cy="2624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Event</a:t>
          </a:r>
          <a:r>
            <a:rPr lang="en-US" sz="1100" baseline="0"/>
            <a:t> 4-6</a:t>
          </a:r>
          <a:endParaRPr lang="en-US" sz="1100"/>
        </a:p>
      </xdr:txBody>
    </xdr:sp>
    <xdr:clientData/>
  </xdr:twoCellAnchor>
  <xdr:twoCellAnchor>
    <xdr:from>
      <xdr:col>22</xdr:col>
      <xdr:colOff>639232</xdr:colOff>
      <xdr:row>8</xdr:row>
      <xdr:rowOff>179916</xdr:rowOff>
    </xdr:from>
    <xdr:to>
      <xdr:col>24</xdr:col>
      <xdr:colOff>448733</xdr:colOff>
      <xdr:row>27</xdr:row>
      <xdr:rowOff>173182</xdr:rowOff>
    </xdr:to>
    <xdr:sp macro="" textlink="">
      <xdr:nvSpPr>
        <xdr:cNvPr id="10" name="TextBox 1">
          <a:extLst>
            <a:ext uri="{FF2B5EF4-FFF2-40B4-BE49-F238E27FC236}">
              <a16:creationId xmlns:a16="http://schemas.microsoft.com/office/drawing/2014/main" id="{C11F5F04-CFAE-4B02-28BF-E35D79CCC6D3}"/>
            </a:ext>
          </a:extLst>
        </xdr:cNvPr>
        <xdr:cNvSpPr txBox="1"/>
      </xdr:nvSpPr>
      <xdr:spPr>
        <a:xfrm>
          <a:off x="15117232" y="2558280"/>
          <a:ext cx="1125683" cy="3722447"/>
        </a:xfrm>
        <a:prstGeom prst="rect">
          <a:avLst/>
        </a:prstGeom>
        <a:ln w="19050">
          <a:solidFill>
            <a:srgbClr val="FF0000"/>
          </a:solidFill>
        </a:ln>
      </xdr:spPr>
      <xdr:txBody>
        <a:bodyPr wrap="square" rtlCol="0"/>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endParaRPr lang="en-US" sz="1100"/>
        </a:p>
      </xdr:txBody>
    </xdr:sp>
    <xdr:clientData/>
  </xdr:twoCellAnchor>
  <xdr:twoCellAnchor>
    <xdr:from>
      <xdr:col>14</xdr:col>
      <xdr:colOff>26458</xdr:colOff>
      <xdr:row>8</xdr:row>
      <xdr:rowOff>121707</xdr:rowOff>
    </xdr:from>
    <xdr:to>
      <xdr:col>15</xdr:col>
      <xdr:colOff>363681</xdr:colOff>
      <xdr:row>10</xdr:row>
      <xdr:rowOff>0</xdr:rowOff>
    </xdr:to>
    <xdr:sp macro="" textlink="">
      <xdr:nvSpPr>
        <xdr:cNvPr id="13" name="TextBox 12">
          <a:extLst>
            <a:ext uri="{FF2B5EF4-FFF2-40B4-BE49-F238E27FC236}">
              <a16:creationId xmlns:a16="http://schemas.microsoft.com/office/drawing/2014/main" id="{C81B0315-C71F-40EA-A18C-A7B4188BC37D}"/>
            </a:ext>
          </a:extLst>
        </xdr:cNvPr>
        <xdr:cNvSpPr txBox="1"/>
      </xdr:nvSpPr>
      <xdr:spPr>
        <a:xfrm>
          <a:off x="9239731" y="2563571"/>
          <a:ext cx="995314" cy="2939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Event</a:t>
          </a:r>
          <a:r>
            <a:rPr lang="en-US" sz="1100" baseline="0"/>
            <a:t> 1 and 3</a:t>
          </a:r>
          <a:endParaRPr lang="en-US" sz="1100"/>
        </a:p>
      </xdr:txBody>
    </xdr:sp>
    <xdr:clientData/>
  </xdr:twoCellAnchor>
  <xdr:twoCellAnchor>
    <xdr:from>
      <xdr:col>15</xdr:col>
      <xdr:colOff>527049</xdr:colOff>
      <xdr:row>9</xdr:row>
      <xdr:rowOff>57149</xdr:rowOff>
    </xdr:from>
    <xdr:to>
      <xdr:col>16</xdr:col>
      <xdr:colOff>637116</xdr:colOff>
      <xdr:row>10</xdr:row>
      <xdr:rowOff>131233</xdr:rowOff>
    </xdr:to>
    <xdr:sp macro="" textlink="">
      <xdr:nvSpPr>
        <xdr:cNvPr id="14" name="TextBox 13">
          <a:extLst>
            <a:ext uri="{FF2B5EF4-FFF2-40B4-BE49-F238E27FC236}">
              <a16:creationId xmlns:a16="http://schemas.microsoft.com/office/drawing/2014/main" id="{CB5265BD-AFBD-482E-81A4-7374BC62DDD2}"/>
            </a:ext>
          </a:extLst>
        </xdr:cNvPr>
        <xdr:cNvSpPr txBox="1"/>
      </xdr:nvSpPr>
      <xdr:spPr>
        <a:xfrm>
          <a:off x="10369549" y="660399"/>
          <a:ext cx="766234" cy="2751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Event</a:t>
          </a:r>
          <a:r>
            <a:rPr lang="en-US" sz="1100" baseline="0"/>
            <a:t> 4-6</a:t>
          </a:r>
          <a:endParaRPr lang="en-US" sz="1100"/>
        </a:p>
      </xdr:txBody>
    </xdr:sp>
    <xdr:clientData/>
  </xdr:twoCellAnchor>
  <xdr:twoCellAnchor>
    <xdr:from>
      <xdr:col>17</xdr:col>
      <xdr:colOff>463549</xdr:colOff>
      <xdr:row>13</xdr:row>
      <xdr:rowOff>152399</xdr:rowOff>
    </xdr:from>
    <xdr:to>
      <xdr:col>18</xdr:col>
      <xdr:colOff>573093</xdr:colOff>
      <xdr:row>15</xdr:row>
      <xdr:rowOff>34587</xdr:rowOff>
    </xdr:to>
    <xdr:sp macro="" textlink="">
      <xdr:nvSpPr>
        <xdr:cNvPr id="15" name="TextBox 7">
          <a:extLst>
            <a:ext uri="{FF2B5EF4-FFF2-40B4-BE49-F238E27FC236}">
              <a16:creationId xmlns:a16="http://schemas.microsoft.com/office/drawing/2014/main" id="{126DF9F8-C8CD-47D6-B683-032F17FFEF1D}"/>
            </a:ext>
          </a:extLst>
        </xdr:cNvPr>
        <xdr:cNvSpPr txBox="1"/>
      </xdr:nvSpPr>
      <xdr:spPr>
        <a:xfrm>
          <a:off x="11618382" y="1559982"/>
          <a:ext cx="765711" cy="2843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lang="en-US" sz="1100"/>
            <a:t>Event</a:t>
          </a:r>
          <a:r>
            <a:rPr lang="en-US" sz="1100" baseline="0"/>
            <a:t> 7-9</a:t>
          </a:r>
          <a:endParaRPr lang="en-US" sz="1100"/>
        </a:p>
      </xdr:txBody>
    </xdr:sp>
    <xdr:clientData/>
  </xdr:twoCellAnchor>
  <xdr:twoCellAnchor>
    <xdr:from>
      <xdr:col>19</xdr:col>
      <xdr:colOff>222251</xdr:colOff>
      <xdr:row>11</xdr:row>
      <xdr:rowOff>63500</xdr:rowOff>
    </xdr:from>
    <xdr:to>
      <xdr:col>20</xdr:col>
      <xdr:colOff>460911</xdr:colOff>
      <xdr:row>12</xdr:row>
      <xdr:rowOff>158750</xdr:rowOff>
    </xdr:to>
    <xdr:sp macro="" textlink="">
      <xdr:nvSpPr>
        <xdr:cNvPr id="16" name="TextBox 7">
          <a:extLst>
            <a:ext uri="{FF2B5EF4-FFF2-40B4-BE49-F238E27FC236}">
              <a16:creationId xmlns:a16="http://schemas.microsoft.com/office/drawing/2014/main" id="{4AE59698-FAC3-41CB-9DA2-F3A16720F3DF}"/>
            </a:ext>
          </a:extLst>
        </xdr:cNvPr>
        <xdr:cNvSpPr txBox="1"/>
      </xdr:nvSpPr>
      <xdr:spPr>
        <a:xfrm>
          <a:off x="12689418" y="1068917"/>
          <a:ext cx="894826" cy="29633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lang="en-US" sz="1100"/>
            <a:t>Event</a:t>
          </a:r>
          <a:r>
            <a:rPr lang="en-US" sz="1100" baseline="0"/>
            <a:t> 10-12</a:t>
          </a:r>
          <a:endParaRPr lang="en-US" sz="1100"/>
        </a:p>
      </xdr:txBody>
    </xdr:sp>
    <xdr:clientData/>
  </xdr:twoCellAnchor>
  <xdr:twoCellAnchor>
    <xdr:from>
      <xdr:col>21</xdr:col>
      <xdr:colOff>162985</xdr:colOff>
      <xdr:row>16</xdr:row>
      <xdr:rowOff>131234</xdr:rowOff>
    </xdr:from>
    <xdr:to>
      <xdr:col>22</xdr:col>
      <xdr:colOff>401644</xdr:colOff>
      <xdr:row>18</xdr:row>
      <xdr:rowOff>25400</xdr:rowOff>
    </xdr:to>
    <xdr:sp macro="" textlink="">
      <xdr:nvSpPr>
        <xdr:cNvPr id="17" name="TextBox 7">
          <a:extLst>
            <a:ext uri="{FF2B5EF4-FFF2-40B4-BE49-F238E27FC236}">
              <a16:creationId xmlns:a16="http://schemas.microsoft.com/office/drawing/2014/main" id="{F052A4B3-D359-47C9-B2A4-E237932A54B7}"/>
            </a:ext>
          </a:extLst>
        </xdr:cNvPr>
        <xdr:cNvSpPr txBox="1"/>
      </xdr:nvSpPr>
      <xdr:spPr>
        <a:xfrm>
          <a:off x="13942485" y="2142067"/>
          <a:ext cx="894826" cy="29633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lang="en-US" sz="1100"/>
            <a:t>Event</a:t>
          </a:r>
          <a:r>
            <a:rPr lang="en-US" sz="1100" baseline="0"/>
            <a:t> 13-15</a:t>
          </a:r>
          <a:endParaRPr lang="en-US" sz="1100"/>
        </a:p>
      </xdr:txBody>
    </xdr:sp>
    <xdr:clientData/>
  </xdr:twoCellAnchor>
  <xdr:twoCellAnchor>
    <xdr:from>
      <xdr:col>23</xdr:col>
      <xdr:colOff>105834</xdr:colOff>
      <xdr:row>7</xdr:row>
      <xdr:rowOff>21167</xdr:rowOff>
    </xdr:from>
    <xdr:to>
      <xdr:col>24</xdr:col>
      <xdr:colOff>344493</xdr:colOff>
      <xdr:row>8</xdr:row>
      <xdr:rowOff>74083</xdr:rowOff>
    </xdr:to>
    <xdr:sp macro="" textlink="">
      <xdr:nvSpPr>
        <xdr:cNvPr id="18" name="TextBox 7">
          <a:extLst>
            <a:ext uri="{FF2B5EF4-FFF2-40B4-BE49-F238E27FC236}">
              <a16:creationId xmlns:a16="http://schemas.microsoft.com/office/drawing/2014/main" id="{553E5422-3AAB-440A-BE00-F102A1A663F5}"/>
            </a:ext>
          </a:extLst>
        </xdr:cNvPr>
        <xdr:cNvSpPr txBox="1"/>
      </xdr:nvSpPr>
      <xdr:spPr>
        <a:xfrm>
          <a:off x="15197667" y="222250"/>
          <a:ext cx="894826" cy="254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lang="en-US" sz="1100"/>
            <a:t>Event</a:t>
          </a:r>
          <a:r>
            <a:rPr lang="en-US" sz="1100" baseline="0"/>
            <a:t> 16-18</a:t>
          </a:r>
          <a:endParaRPr lang="en-US" sz="1100"/>
        </a:p>
      </xdr:txBody>
    </xdr:sp>
    <xdr:clientData/>
  </xdr:twoCellAnchor>
  <xdr:twoCellAnchor>
    <xdr:from>
      <xdr:col>17</xdr:col>
      <xdr:colOff>575349</xdr:colOff>
      <xdr:row>5</xdr:row>
      <xdr:rowOff>143357</xdr:rowOff>
    </xdr:from>
    <xdr:to>
      <xdr:col>22</xdr:col>
      <xdr:colOff>92364</xdr:colOff>
      <xdr:row>9</xdr:row>
      <xdr:rowOff>23092</xdr:rowOff>
    </xdr:to>
    <xdr:sp macro="" textlink="">
      <xdr:nvSpPr>
        <xdr:cNvPr id="20" name="TextBox 19">
          <a:extLst>
            <a:ext uri="{FF2B5EF4-FFF2-40B4-BE49-F238E27FC236}">
              <a16:creationId xmlns:a16="http://schemas.microsoft.com/office/drawing/2014/main" id="{49606182-F3F3-5855-DABD-43956AF581F3}"/>
            </a:ext>
          </a:extLst>
        </xdr:cNvPr>
        <xdr:cNvSpPr txBox="1"/>
      </xdr:nvSpPr>
      <xdr:spPr>
        <a:xfrm>
          <a:off x="11762894" y="1932902"/>
          <a:ext cx="2807470" cy="664826"/>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a:t>Event 7-9 vs Event 13-15: Average total load reduction improved for TP yet declined for TIN after the addition of Muhly </a:t>
          </a:r>
        </a:p>
      </xdr:txBody>
    </xdr:sp>
    <xdr:clientData/>
  </xdr:twoCellAnchor>
  <xdr:twoCellAnchor>
    <xdr:from>
      <xdr:col>8</xdr:col>
      <xdr:colOff>201084</xdr:colOff>
      <xdr:row>9</xdr:row>
      <xdr:rowOff>88901</xdr:rowOff>
    </xdr:from>
    <xdr:to>
      <xdr:col>10</xdr:col>
      <xdr:colOff>57150</xdr:colOff>
      <xdr:row>12</xdr:row>
      <xdr:rowOff>137583</xdr:rowOff>
    </xdr:to>
    <xdr:sp macro="" textlink="">
      <xdr:nvSpPr>
        <xdr:cNvPr id="23" name="TextBox 22">
          <a:extLst>
            <a:ext uri="{FF2B5EF4-FFF2-40B4-BE49-F238E27FC236}">
              <a16:creationId xmlns:a16="http://schemas.microsoft.com/office/drawing/2014/main" id="{E77A810C-A0CD-43D3-B69A-1BFA4C822D3F}"/>
            </a:ext>
          </a:extLst>
        </xdr:cNvPr>
        <xdr:cNvSpPr txBox="1"/>
      </xdr:nvSpPr>
      <xdr:spPr>
        <a:xfrm>
          <a:off x="5450417" y="692151"/>
          <a:ext cx="1168400" cy="651932"/>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a:t>Event 16-18:</a:t>
          </a:r>
          <a:r>
            <a:rPr lang="en-US" sz="1100" b="0" baseline="0"/>
            <a:t> High influent TIN concentrations</a:t>
          </a:r>
          <a:endParaRPr lang="en-US" sz="1100" b="0"/>
        </a:p>
      </xdr:txBody>
    </xdr:sp>
    <xdr:clientData/>
  </xdr:twoCellAnchor>
  <xdr:twoCellAnchor>
    <xdr:from>
      <xdr:col>14</xdr:col>
      <xdr:colOff>201083</xdr:colOff>
      <xdr:row>165</xdr:row>
      <xdr:rowOff>10583</xdr:rowOff>
    </xdr:from>
    <xdr:to>
      <xdr:col>26</xdr:col>
      <xdr:colOff>556683</xdr:colOff>
      <xdr:row>187</xdr:row>
      <xdr:rowOff>158749</xdr:rowOff>
    </xdr:to>
    <xdr:graphicFrame macro="">
      <xdr:nvGraphicFramePr>
        <xdr:cNvPr id="32" name="Chart 31">
          <a:extLst>
            <a:ext uri="{FF2B5EF4-FFF2-40B4-BE49-F238E27FC236}">
              <a16:creationId xmlns:a16="http://schemas.microsoft.com/office/drawing/2014/main" id="{F6789B43-E34A-46C6-AA10-D2268DAF4C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487218</xdr:colOff>
      <xdr:row>94</xdr:row>
      <xdr:rowOff>21736</xdr:rowOff>
    </xdr:from>
    <xdr:to>
      <xdr:col>14</xdr:col>
      <xdr:colOff>92363</xdr:colOff>
      <xdr:row>121</xdr:row>
      <xdr:rowOff>187036</xdr:rowOff>
    </xdr:to>
    <xdr:grpSp>
      <xdr:nvGrpSpPr>
        <xdr:cNvPr id="63" name="Group 62">
          <a:extLst>
            <a:ext uri="{FF2B5EF4-FFF2-40B4-BE49-F238E27FC236}">
              <a16:creationId xmlns:a16="http://schemas.microsoft.com/office/drawing/2014/main" id="{26C824DC-8928-4189-9DA9-8C5686AC1B0D}"/>
            </a:ext>
          </a:extLst>
        </xdr:cNvPr>
        <xdr:cNvGrpSpPr/>
      </xdr:nvGrpSpPr>
      <xdr:grpSpPr>
        <a:xfrm>
          <a:off x="484043" y="20543781"/>
          <a:ext cx="8821593" cy="5773216"/>
          <a:chOff x="1339273" y="13458334"/>
          <a:chExt cx="8617527" cy="5464663"/>
        </a:xfrm>
      </xdr:grpSpPr>
      <mc:AlternateContent xmlns:mc="http://schemas.openxmlformats.org/markup-compatibility/2006">
        <mc:Choice xmlns:cx1="http://schemas.microsoft.com/office/drawing/2015/9/8/chartex" Requires="cx1">
          <xdr:graphicFrame macro="">
            <xdr:nvGraphicFramePr>
              <xdr:cNvPr id="64" name="Chart 63">
                <a:extLst>
                  <a:ext uri="{FF2B5EF4-FFF2-40B4-BE49-F238E27FC236}">
                    <a16:creationId xmlns:a16="http://schemas.microsoft.com/office/drawing/2014/main" id="{E11157C9-119C-F98F-697D-D8CCA2A72DEB}"/>
                  </a:ext>
                </a:extLst>
              </xdr:cNvPr>
              <xdr:cNvGraphicFramePr/>
            </xdr:nvGraphicFramePr>
            <xdr:xfrm>
              <a:off x="6865442" y="13465690"/>
              <a:ext cx="2978535" cy="5457307"/>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6865442" y="13465690"/>
                <a:ext cx="2978535" cy="545730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mc:AlternateContent xmlns:mc="http://schemas.openxmlformats.org/markup-compatibility/2006">
        <mc:Choice xmlns:cx1="http://schemas.microsoft.com/office/drawing/2015/9/8/chartex" Requires="cx1">
          <xdr:graphicFrame macro="">
            <xdr:nvGraphicFramePr>
              <xdr:cNvPr id="65" name="Chart 64">
                <a:extLst>
                  <a:ext uri="{FF2B5EF4-FFF2-40B4-BE49-F238E27FC236}">
                    <a16:creationId xmlns:a16="http://schemas.microsoft.com/office/drawing/2014/main" id="{D964A232-6405-EA98-E070-7058FE225408}"/>
                  </a:ext>
                </a:extLst>
              </xdr:cNvPr>
              <xdr:cNvGraphicFramePr/>
            </xdr:nvGraphicFramePr>
            <xdr:xfrm>
              <a:off x="4099875" y="13458334"/>
              <a:ext cx="3032907" cy="5457307"/>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099875" y="13458334"/>
                <a:ext cx="3032907" cy="545730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mc:AlternateContent xmlns:mc="http://schemas.openxmlformats.org/markup-compatibility/2006">
        <mc:Choice xmlns:cx1="http://schemas.microsoft.com/office/drawing/2015/9/8/chartex" Requires="cx1">
          <xdr:graphicFrame macro="">
            <xdr:nvGraphicFramePr>
              <xdr:cNvPr id="66" name="Chart 65">
                <a:extLst>
                  <a:ext uri="{FF2B5EF4-FFF2-40B4-BE49-F238E27FC236}">
                    <a16:creationId xmlns:a16="http://schemas.microsoft.com/office/drawing/2014/main" id="{B280DC69-E4A8-3879-3907-0EDD9C5CD361}"/>
                  </a:ext>
                </a:extLst>
              </xdr:cNvPr>
              <xdr:cNvGraphicFramePr/>
            </xdr:nvGraphicFramePr>
            <xdr:xfrm>
              <a:off x="1339273" y="13462705"/>
              <a:ext cx="3011055" cy="5457307"/>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339273" y="13462705"/>
                <a:ext cx="3011055" cy="545730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sp macro="" textlink="">
        <xdr:nvSpPr>
          <xdr:cNvPr id="67" name="TextBox 66">
            <a:extLst>
              <a:ext uri="{FF2B5EF4-FFF2-40B4-BE49-F238E27FC236}">
                <a16:creationId xmlns:a16="http://schemas.microsoft.com/office/drawing/2014/main" id="{E7311D39-BD8B-894C-2020-169AE37B2D10}"/>
              </a:ext>
            </a:extLst>
          </xdr:cNvPr>
          <xdr:cNvSpPr txBox="1"/>
        </xdr:nvSpPr>
        <xdr:spPr>
          <a:xfrm>
            <a:off x="2828636" y="18659762"/>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CBA Unit</a:t>
            </a:r>
          </a:p>
        </xdr:txBody>
      </xdr:sp>
      <xdr:sp macro="" textlink="">
        <xdr:nvSpPr>
          <xdr:cNvPr id="68" name="TextBox 67">
            <a:extLst>
              <a:ext uri="{FF2B5EF4-FFF2-40B4-BE49-F238E27FC236}">
                <a16:creationId xmlns:a16="http://schemas.microsoft.com/office/drawing/2014/main" id="{ABEB7066-43AA-D3AB-0A71-CD0262695B74}"/>
              </a:ext>
            </a:extLst>
          </xdr:cNvPr>
          <xdr:cNvSpPr txBox="1"/>
        </xdr:nvSpPr>
        <xdr:spPr>
          <a:xfrm>
            <a:off x="3683000" y="18657452"/>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PBA Unit</a:t>
            </a:r>
          </a:p>
        </xdr:txBody>
      </xdr:sp>
      <xdr:sp macro="" textlink="">
        <xdr:nvSpPr>
          <xdr:cNvPr id="69" name="TextBox 68">
            <a:extLst>
              <a:ext uri="{FF2B5EF4-FFF2-40B4-BE49-F238E27FC236}">
                <a16:creationId xmlns:a16="http://schemas.microsoft.com/office/drawing/2014/main" id="{A8E7B9A4-2D19-884B-6E95-35D23B7B45E6}"/>
              </a:ext>
            </a:extLst>
          </xdr:cNvPr>
          <xdr:cNvSpPr txBox="1"/>
        </xdr:nvSpPr>
        <xdr:spPr>
          <a:xfrm>
            <a:off x="1997364" y="18657451"/>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Influent</a:t>
            </a:r>
          </a:p>
        </xdr:txBody>
      </xdr:sp>
      <xdr:sp macro="" textlink="">
        <xdr:nvSpPr>
          <xdr:cNvPr id="70" name="TextBox 69">
            <a:extLst>
              <a:ext uri="{FF2B5EF4-FFF2-40B4-BE49-F238E27FC236}">
                <a16:creationId xmlns:a16="http://schemas.microsoft.com/office/drawing/2014/main" id="{8BF2C871-B6CB-C6BE-5275-DA0E72345BF8}"/>
              </a:ext>
            </a:extLst>
          </xdr:cNvPr>
          <xdr:cNvSpPr txBox="1"/>
        </xdr:nvSpPr>
        <xdr:spPr>
          <a:xfrm>
            <a:off x="5440217" y="18650526"/>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CBA Unit</a:t>
            </a:r>
          </a:p>
        </xdr:txBody>
      </xdr:sp>
      <xdr:sp macro="" textlink="">
        <xdr:nvSpPr>
          <xdr:cNvPr id="71" name="TextBox 70">
            <a:extLst>
              <a:ext uri="{FF2B5EF4-FFF2-40B4-BE49-F238E27FC236}">
                <a16:creationId xmlns:a16="http://schemas.microsoft.com/office/drawing/2014/main" id="{3D505D0E-8164-77E7-86DF-30B8CFC3E316}"/>
              </a:ext>
            </a:extLst>
          </xdr:cNvPr>
          <xdr:cNvSpPr txBox="1"/>
        </xdr:nvSpPr>
        <xdr:spPr>
          <a:xfrm>
            <a:off x="6294581" y="18648216"/>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PBA Unit</a:t>
            </a:r>
          </a:p>
        </xdr:txBody>
      </xdr:sp>
      <xdr:sp macro="" textlink="">
        <xdr:nvSpPr>
          <xdr:cNvPr id="72" name="TextBox 71">
            <a:extLst>
              <a:ext uri="{FF2B5EF4-FFF2-40B4-BE49-F238E27FC236}">
                <a16:creationId xmlns:a16="http://schemas.microsoft.com/office/drawing/2014/main" id="{FF68AE96-F5F4-1621-9643-B57CD1C3BA3B}"/>
              </a:ext>
            </a:extLst>
          </xdr:cNvPr>
          <xdr:cNvSpPr txBox="1"/>
        </xdr:nvSpPr>
        <xdr:spPr>
          <a:xfrm>
            <a:off x="4608945" y="18648215"/>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Influent</a:t>
            </a:r>
          </a:p>
        </xdr:txBody>
      </xdr:sp>
      <xdr:sp macro="" textlink="">
        <xdr:nvSpPr>
          <xdr:cNvPr id="73" name="TextBox 72">
            <a:extLst>
              <a:ext uri="{FF2B5EF4-FFF2-40B4-BE49-F238E27FC236}">
                <a16:creationId xmlns:a16="http://schemas.microsoft.com/office/drawing/2014/main" id="{FC66DBE2-2434-082E-07BB-7876EAD887C6}"/>
              </a:ext>
            </a:extLst>
          </xdr:cNvPr>
          <xdr:cNvSpPr txBox="1"/>
        </xdr:nvSpPr>
        <xdr:spPr>
          <a:xfrm>
            <a:off x="8271163" y="18641290"/>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CBA Unit</a:t>
            </a:r>
          </a:p>
        </xdr:txBody>
      </xdr:sp>
      <xdr:sp macro="" textlink="">
        <xdr:nvSpPr>
          <xdr:cNvPr id="74" name="TextBox 73">
            <a:extLst>
              <a:ext uri="{FF2B5EF4-FFF2-40B4-BE49-F238E27FC236}">
                <a16:creationId xmlns:a16="http://schemas.microsoft.com/office/drawing/2014/main" id="{87B1DCA5-D243-676D-081E-CBB6D007D259}"/>
              </a:ext>
            </a:extLst>
          </xdr:cNvPr>
          <xdr:cNvSpPr txBox="1"/>
        </xdr:nvSpPr>
        <xdr:spPr>
          <a:xfrm>
            <a:off x="9125527" y="18638980"/>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PBA Unit</a:t>
            </a:r>
          </a:p>
        </xdr:txBody>
      </xdr:sp>
      <xdr:sp macro="" textlink="">
        <xdr:nvSpPr>
          <xdr:cNvPr id="75" name="TextBox 74">
            <a:extLst>
              <a:ext uri="{FF2B5EF4-FFF2-40B4-BE49-F238E27FC236}">
                <a16:creationId xmlns:a16="http://schemas.microsoft.com/office/drawing/2014/main" id="{621C3C0B-59C6-3137-8AAF-15842E72B620}"/>
              </a:ext>
            </a:extLst>
          </xdr:cNvPr>
          <xdr:cNvSpPr txBox="1"/>
        </xdr:nvSpPr>
        <xdr:spPr>
          <a:xfrm>
            <a:off x="7439891" y="18638982"/>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Influent</a:t>
            </a:r>
          </a:p>
        </xdr:txBody>
      </xdr:sp>
    </xdr:grpSp>
    <xdr:clientData/>
  </xdr:twoCellAnchor>
  <xdr:twoCellAnchor>
    <xdr:from>
      <xdr:col>14</xdr:col>
      <xdr:colOff>247071</xdr:colOff>
      <xdr:row>93</xdr:row>
      <xdr:rowOff>174136</xdr:rowOff>
    </xdr:from>
    <xdr:to>
      <xdr:col>27</xdr:col>
      <xdr:colOff>311727</xdr:colOff>
      <xdr:row>121</xdr:row>
      <xdr:rowOff>143163</xdr:rowOff>
    </xdr:to>
    <xdr:grpSp>
      <xdr:nvGrpSpPr>
        <xdr:cNvPr id="76" name="Group 75">
          <a:extLst>
            <a:ext uri="{FF2B5EF4-FFF2-40B4-BE49-F238E27FC236}">
              <a16:creationId xmlns:a16="http://schemas.microsoft.com/office/drawing/2014/main" id="{D4604585-FD7B-4E98-AA85-3373C0F6EB3F}"/>
            </a:ext>
          </a:extLst>
        </xdr:cNvPr>
        <xdr:cNvGrpSpPr/>
      </xdr:nvGrpSpPr>
      <xdr:grpSpPr>
        <a:xfrm>
          <a:off x="9460344" y="20488363"/>
          <a:ext cx="8623013" cy="5784761"/>
          <a:chOff x="1339272" y="13458336"/>
          <a:chExt cx="8619838" cy="5464664"/>
        </a:xfrm>
      </xdr:grpSpPr>
      <mc:AlternateContent xmlns:mc="http://schemas.openxmlformats.org/markup-compatibility/2006">
        <mc:Choice xmlns:cx1="http://schemas.microsoft.com/office/drawing/2015/9/8/chartex" Requires="cx1">
          <xdr:graphicFrame macro="">
            <xdr:nvGraphicFramePr>
              <xdr:cNvPr id="77" name="Chart 76">
                <a:extLst>
                  <a:ext uri="{FF2B5EF4-FFF2-40B4-BE49-F238E27FC236}">
                    <a16:creationId xmlns:a16="http://schemas.microsoft.com/office/drawing/2014/main" id="{E7A665D7-CB97-C5D1-09EA-BD520771F779}"/>
                  </a:ext>
                </a:extLst>
              </xdr:cNvPr>
              <xdr:cNvGraphicFramePr/>
            </xdr:nvGraphicFramePr>
            <xdr:xfrm>
              <a:off x="6865441" y="13465692"/>
              <a:ext cx="3093669" cy="5457308"/>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6865441" y="13465692"/>
                <a:ext cx="3093669" cy="545730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mc:AlternateContent xmlns:mc="http://schemas.openxmlformats.org/markup-compatibility/2006">
        <mc:Choice xmlns:cx1="http://schemas.microsoft.com/office/drawing/2015/9/8/chartex" Requires="cx1">
          <xdr:graphicFrame macro="">
            <xdr:nvGraphicFramePr>
              <xdr:cNvPr id="78" name="Chart 77">
                <a:extLst>
                  <a:ext uri="{FF2B5EF4-FFF2-40B4-BE49-F238E27FC236}">
                    <a16:creationId xmlns:a16="http://schemas.microsoft.com/office/drawing/2014/main" id="{4E1B9510-401E-5066-BEFB-58C14C99406D}"/>
                  </a:ext>
                </a:extLst>
              </xdr:cNvPr>
              <xdr:cNvGraphicFramePr/>
            </xdr:nvGraphicFramePr>
            <xdr:xfrm>
              <a:off x="4099874" y="13458336"/>
              <a:ext cx="3076781" cy="5457308"/>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4099874" y="13458336"/>
                <a:ext cx="3076781" cy="545730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mc:AlternateContent xmlns:mc="http://schemas.openxmlformats.org/markup-compatibility/2006">
        <mc:Choice xmlns:cx1="http://schemas.microsoft.com/office/drawing/2015/9/8/chartex" Requires="cx1">
          <xdr:graphicFrame macro="">
            <xdr:nvGraphicFramePr>
              <xdr:cNvPr id="79" name="Chart 78">
                <a:extLst>
                  <a:ext uri="{FF2B5EF4-FFF2-40B4-BE49-F238E27FC236}">
                    <a16:creationId xmlns:a16="http://schemas.microsoft.com/office/drawing/2014/main" id="{92DD5FCF-0461-19D8-FA42-D72B99223EF4}"/>
                  </a:ext>
                </a:extLst>
              </xdr:cNvPr>
              <xdr:cNvGraphicFramePr/>
            </xdr:nvGraphicFramePr>
            <xdr:xfrm>
              <a:off x="1339272" y="13462707"/>
              <a:ext cx="3066473" cy="5457308"/>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339272" y="13462707"/>
                <a:ext cx="3066473" cy="545730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sp macro="" textlink="">
        <xdr:nvSpPr>
          <xdr:cNvPr id="80" name="TextBox 79">
            <a:extLst>
              <a:ext uri="{FF2B5EF4-FFF2-40B4-BE49-F238E27FC236}">
                <a16:creationId xmlns:a16="http://schemas.microsoft.com/office/drawing/2014/main" id="{80C2EAE3-CAD6-22AB-D134-E9B36F2A2AA1}"/>
              </a:ext>
            </a:extLst>
          </xdr:cNvPr>
          <xdr:cNvSpPr txBox="1"/>
        </xdr:nvSpPr>
        <xdr:spPr>
          <a:xfrm>
            <a:off x="2828636" y="18659765"/>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CBA Unit</a:t>
            </a:r>
          </a:p>
        </xdr:txBody>
      </xdr:sp>
      <xdr:sp macro="" textlink="">
        <xdr:nvSpPr>
          <xdr:cNvPr id="81" name="TextBox 80">
            <a:extLst>
              <a:ext uri="{FF2B5EF4-FFF2-40B4-BE49-F238E27FC236}">
                <a16:creationId xmlns:a16="http://schemas.microsoft.com/office/drawing/2014/main" id="{A86F4154-2067-CBF4-450C-0A6231967469}"/>
              </a:ext>
            </a:extLst>
          </xdr:cNvPr>
          <xdr:cNvSpPr txBox="1"/>
        </xdr:nvSpPr>
        <xdr:spPr>
          <a:xfrm>
            <a:off x="3683000" y="18657455"/>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PBA Unit</a:t>
            </a:r>
          </a:p>
        </xdr:txBody>
      </xdr:sp>
      <xdr:sp macro="" textlink="">
        <xdr:nvSpPr>
          <xdr:cNvPr id="82" name="TextBox 81">
            <a:extLst>
              <a:ext uri="{FF2B5EF4-FFF2-40B4-BE49-F238E27FC236}">
                <a16:creationId xmlns:a16="http://schemas.microsoft.com/office/drawing/2014/main" id="{898E20DC-81DE-FF62-34BB-1E0B0013ED4B}"/>
              </a:ext>
            </a:extLst>
          </xdr:cNvPr>
          <xdr:cNvSpPr txBox="1"/>
        </xdr:nvSpPr>
        <xdr:spPr>
          <a:xfrm>
            <a:off x="1997364" y="18657454"/>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Influent</a:t>
            </a:r>
          </a:p>
        </xdr:txBody>
      </xdr:sp>
      <xdr:sp macro="" textlink="">
        <xdr:nvSpPr>
          <xdr:cNvPr id="83" name="TextBox 82">
            <a:extLst>
              <a:ext uri="{FF2B5EF4-FFF2-40B4-BE49-F238E27FC236}">
                <a16:creationId xmlns:a16="http://schemas.microsoft.com/office/drawing/2014/main" id="{0BE23E29-CB14-8585-66BC-50ABA5B54B0F}"/>
              </a:ext>
            </a:extLst>
          </xdr:cNvPr>
          <xdr:cNvSpPr txBox="1"/>
        </xdr:nvSpPr>
        <xdr:spPr>
          <a:xfrm>
            <a:off x="5440217" y="18650529"/>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CBA Unit</a:t>
            </a:r>
          </a:p>
        </xdr:txBody>
      </xdr:sp>
      <xdr:sp macro="" textlink="">
        <xdr:nvSpPr>
          <xdr:cNvPr id="84" name="TextBox 83">
            <a:extLst>
              <a:ext uri="{FF2B5EF4-FFF2-40B4-BE49-F238E27FC236}">
                <a16:creationId xmlns:a16="http://schemas.microsoft.com/office/drawing/2014/main" id="{A08B0D6A-B969-0D32-75AF-29E225AA6B61}"/>
              </a:ext>
            </a:extLst>
          </xdr:cNvPr>
          <xdr:cNvSpPr txBox="1"/>
        </xdr:nvSpPr>
        <xdr:spPr>
          <a:xfrm>
            <a:off x="6294581" y="18648219"/>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PBA Unit</a:t>
            </a:r>
          </a:p>
        </xdr:txBody>
      </xdr:sp>
      <xdr:sp macro="" textlink="">
        <xdr:nvSpPr>
          <xdr:cNvPr id="85" name="TextBox 84">
            <a:extLst>
              <a:ext uri="{FF2B5EF4-FFF2-40B4-BE49-F238E27FC236}">
                <a16:creationId xmlns:a16="http://schemas.microsoft.com/office/drawing/2014/main" id="{2C846F15-970D-BEA3-9853-723494DA5C72}"/>
              </a:ext>
            </a:extLst>
          </xdr:cNvPr>
          <xdr:cNvSpPr txBox="1"/>
        </xdr:nvSpPr>
        <xdr:spPr>
          <a:xfrm>
            <a:off x="4608945" y="18648218"/>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Influent</a:t>
            </a:r>
          </a:p>
        </xdr:txBody>
      </xdr:sp>
      <xdr:sp macro="" textlink="">
        <xdr:nvSpPr>
          <xdr:cNvPr id="86" name="TextBox 85">
            <a:extLst>
              <a:ext uri="{FF2B5EF4-FFF2-40B4-BE49-F238E27FC236}">
                <a16:creationId xmlns:a16="http://schemas.microsoft.com/office/drawing/2014/main" id="{1B856649-037F-D80E-26FD-698EA178022B}"/>
              </a:ext>
            </a:extLst>
          </xdr:cNvPr>
          <xdr:cNvSpPr txBox="1"/>
        </xdr:nvSpPr>
        <xdr:spPr>
          <a:xfrm>
            <a:off x="8271163" y="18641293"/>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CBA Unit</a:t>
            </a:r>
          </a:p>
        </xdr:txBody>
      </xdr:sp>
      <xdr:sp macro="" textlink="">
        <xdr:nvSpPr>
          <xdr:cNvPr id="87" name="TextBox 86">
            <a:extLst>
              <a:ext uri="{FF2B5EF4-FFF2-40B4-BE49-F238E27FC236}">
                <a16:creationId xmlns:a16="http://schemas.microsoft.com/office/drawing/2014/main" id="{B4A277C0-42EA-A1C0-97ED-17F2B7E0A4FE}"/>
              </a:ext>
            </a:extLst>
          </xdr:cNvPr>
          <xdr:cNvSpPr txBox="1"/>
        </xdr:nvSpPr>
        <xdr:spPr>
          <a:xfrm>
            <a:off x="9125527" y="18638983"/>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PBA Unit</a:t>
            </a:r>
          </a:p>
        </xdr:txBody>
      </xdr:sp>
      <xdr:sp macro="" textlink="">
        <xdr:nvSpPr>
          <xdr:cNvPr id="88" name="TextBox 87">
            <a:extLst>
              <a:ext uri="{FF2B5EF4-FFF2-40B4-BE49-F238E27FC236}">
                <a16:creationId xmlns:a16="http://schemas.microsoft.com/office/drawing/2014/main" id="{F7917803-25B7-29B6-F0A8-C3CD5DA7D3BD}"/>
              </a:ext>
            </a:extLst>
          </xdr:cNvPr>
          <xdr:cNvSpPr txBox="1"/>
        </xdr:nvSpPr>
        <xdr:spPr>
          <a:xfrm>
            <a:off x="7439891" y="18638982"/>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Influent</a:t>
            </a:r>
          </a:p>
        </xdr:txBody>
      </xdr:sp>
    </xdr:grpSp>
    <xdr:clientData/>
  </xdr:twoCellAnchor>
  <xdr:twoCellAnchor>
    <xdr:from>
      <xdr:col>1</xdr:col>
      <xdr:colOff>277091</xdr:colOff>
      <xdr:row>65</xdr:row>
      <xdr:rowOff>173182</xdr:rowOff>
    </xdr:from>
    <xdr:to>
      <xdr:col>8</xdr:col>
      <xdr:colOff>236105</xdr:colOff>
      <xdr:row>88</xdr:row>
      <xdr:rowOff>173182</xdr:rowOff>
    </xdr:to>
    <xdr:grpSp>
      <xdr:nvGrpSpPr>
        <xdr:cNvPr id="120" name="Group 119">
          <a:extLst>
            <a:ext uri="{FF2B5EF4-FFF2-40B4-BE49-F238E27FC236}">
              <a16:creationId xmlns:a16="http://schemas.microsoft.com/office/drawing/2014/main" id="{6A376E11-EC4A-1DCA-3A8B-9AE959CCB0EF}"/>
            </a:ext>
          </a:extLst>
        </xdr:cNvPr>
        <xdr:cNvGrpSpPr/>
      </xdr:nvGrpSpPr>
      <xdr:grpSpPr>
        <a:xfrm>
          <a:off x="932007" y="14460682"/>
          <a:ext cx="4572000" cy="4831773"/>
          <a:chOff x="17318182" y="5611092"/>
          <a:chExt cx="5033818" cy="4572000"/>
        </a:xfrm>
      </xdr:grpSpPr>
      <xdr:graphicFrame macro="">
        <xdr:nvGraphicFramePr>
          <xdr:cNvPr id="117" name="Chart 116">
            <a:extLst>
              <a:ext uri="{FF2B5EF4-FFF2-40B4-BE49-F238E27FC236}">
                <a16:creationId xmlns:a16="http://schemas.microsoft.com/office/drawing/2014/main" id="{3C8A6AE6-1F3D-42FC-BDB9-570F0CB5861A}"/>
              </a:ext>
            </a:extLst>
          </xdr:cNvPr>
          <xdr:cNvGraphicFramePr>
            <a:graphicFrameLocks/>
          </xdr:cNvGraphicFramePr>
        </xdr:nvGraphicFramePr>
        <xdr:xfrm>
          <a:off x="17318182" y="5611092"/>
          <a:ext cx="5033818" cy="4572000"/>
        </xdr:xfrm>
        <a:graphic>
          <a:graphicData uri="http://schemas.openxmlformats.org/drawingml/2006/chart">
            <c:chart xmlns:c="http://schemas.openxmlformats.org/drawingml/2006/chart" xmlns:r="http://schemas.openxmlformats.org/officeDocument/2006/relationships" r:id="rId11"/>
          </a:graphicData>
        </a:graphic>
      </xdr:graphicFrame>
      <xdr:sp macro="" textlink="">
        <xdr:nvSpPr>
          <xdr:cNvPr id="118" name="Left Brace 117">
            <a:extLst>
              <a:ext uri="{FF2B5EF4-FFF2-40B4-BE49-F238E27FC236}">
                <a16:creationId xmlns:a16="http://schemas.microsoft.com/office/drawing/2014/main" id="{9BAA7528-32A0-4D7C-9CDE-20CF683C1B4E}"/>
              </a:ext>
            </a:extLst>
          </xdr:cNvPr>
          <xdr:cNvSpPr/>
        </xdr:nvSpPr>
        <xdr:spPr>
          <a:xfrm rot="5400000">
            <a:off x="20003838" y="5375381"/>
            <a:ext cx="232844" cy="1877287"/>
          </a:xfrm>
          <a:prstGeom prst="leftBrace">
            <a:avLst>
              <a:gd name="adj1" fmla="val 8333"/>
              <a:gd name="adj2" fmla="val 47222"/>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latin typeface="Times New Roman" panose="02020603050405020304" pitchFamily="18" charset="0"/>
              <a:cs typeface="Times New Roman" panose="02020603050405020304" pitchFamily="18" charset="0"/>
            </a:endParaRPr>
          </a:p>
        </xdr:txBody>
      </xdr:sp>
      <xdr:sp macro="" textlink="">
        <xdr:nvSpPr>
          <xdr:cNvPr id="119" name="TextBox 118">
            <a:extLst>
              <a:ext uri="{FF2B5EF4-FFF2-40B4-BE49-F238E27FC236}">
                <a16:creationId xmlns:a16="http://schemas.microsoft.com/office/drawing/2014/main" id="{F3089446-1899-4C1D-860B-EC842EBB46BD}"/>
              </a:ext>
            </a:extLst>
          </xdr:cNvPr>
          <xdr:cNvSpPr txBox="1"/>
        </xdr:nvSpPr>
        <xdr:spPr>
          <a:xfrm>
            <a:off x="19552706" y="5715001"/>
            <a:ext cx="1254959" cy="4849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dk1"/>
                </a:solidFill>
                <a:effectLst/>
                <a:latin typeface="Times New Roman" panose="02020603050405020304" pitchFamily="18" charset="0"/>
                <a:ea typeface="+mn-ea"/>
                <a:cs typeface="Times New Roman" panose="02020603050405020304" pitchFamily="18" charset="0"/>
              </a:rPr>
              <a:t>CBS vs. PBA</a:t>
            </a:r>
          </a:p>
          <a:p>
            <a:pPr algn="ctr"/>
            <a:r>
              <a:rPr lang="en-US" sz="1100" b="0" i="0" u="none" strike="noStrike">
                <a:solidFill>
                  <a:schemeClr val="dk1"/>
                </a:solidFill>
                <a:effectLst/>
                <a:latin typeface="Times New Roman" panose="02020603050405020304" pitchFamily="18" charset="0"/>
                <a:ea typeface="+mn-ea"/>
                <a:cs typeface="Times New Roman" panose="02020603050405020304" pitchFamily="18" charset="0"/>
              </a:rPr>
              <a:t>P = 0.031</a:t>
            </a:r>
            <a:r>
              <a:rPr lang="en-US" sz="1100" b="0" i="0" u="none" strike="noStrike" baseline="0">
                <a:solidFill>
                  <a:schemeClr val="dk1"/>
                </a:solidFill>
                <a:effectLst/>
                <a:latin typeface="Times New Roman" panose="02020603050405020304" pitchFamily="18" charset="0"/>
                <a:ea typeface="+mn-ea"/>
                <a:cs typeface="Times New Roman" panose="02020603050405020304" pitchFamily="18" charset="0"/>
              </a:rPr>
              <a:t> = *</a:t>
            </a:r>
            <a:endParaRPr lang="en-US" sz="1100">
              <a:latin typeface="Times New Roman" panose="02020603050405020304" pitchFamily="18" charset="0"/>
              <a:cs typeface="Times New Roman" panose="02020603050405020304" pitchFamily="18" charset="0"/>
            </a:endParaRPr>
          </a:p>
        </xdr:txBody>
      </xdr:sp>
    </xdr:grpSp>
    <xdr:clientData/>
  </xdr:twoCellAnchor>
  <xdr:twoCellAnchor>
    <xdr:from>
      <xdr:col>14</xdr:col>
      <xdr:colOff>464127</xdr:colOff>
      <xdr:row>65</xdr:row>
      <xdr:rowOff>25400</xdr:rowOff>
    </xdr:from>
    <xdr:to>
      <xdr:col>21</xdr:col>
      <xdr:colOff>435841</xdr:colOff>
      <xdr:row>88</xdr:row>
      <xdr:rowOff>25400</xdr:rowOff>
    </xdr:to>
    <xdr:grpSp>
      <xdr:nvGrpSpPr>
        <xdr:cNvPr id="125" name="Group 124">
          <a:extLst>
            <a:ext uri="{FF2B5EF4-FFF2-40B4-BE49-F238E27FC236}">
              <a16:creationId xmlns:a16="http://schemas.microsoft.com/office/drawing/2014/main" id="{08711D40-6E77-48E3-9589-7B148E8C45CD}"/>
            </a:ext>
          </a:extLst>
        </xdr:cNvPr>
        <xdr:cNvGrpSpPr/>
      </xdr:nvGrpSpPr>
      <xdr:grpSpPr>
        <a:xfrm>
          <a:off x="9680575" y="14316075"/>
          <a:ext cx="4575175" cy="4831773"/>
          <a:chOff x="17242018" y="5578318"/>
          <a:chExt cx="5033818" cy="4572000"/>
        </a:xfrm>
      </xdr:grpSpPr>
      <xdr:graphicFrame macro="">
        <xdr:nvGraphicFramePr>
          <xdr:cNvPr id="126" name="Chart 125">
            <a:extLst>
              <a:ext uri="{FF2B5EF4-FFF2-40B4-BE49-F238E27FC236}">
                <a16:creationId xmlns:a16="http://schemas.microsoft.com/office/drawing/2014/main" id="{8EEE0D6A-7D5A-573B-27A4-28662653856C}"/>
              </a:ext>
            </a:extLst>
          </xdr:cNvPr>
          <xdr:cNvGraphicFramePr>
            <a:graphicFrameLocks/>
          </xdr:cNvGraphicFramePr>
        </xdr:nvGraphicFramePr>
        <xdr:xfrm>
          <a:off x="17242018" y="5578318"/>
          <a:ext cx="5033818" cy="4572000"/>
        </xdr:xfrm>
        <a:graphic>
          <a:graphicData uri="http://schemas.openxmlformats.org/drawingml/2006/chart">
            <c:chart xmlns:c="http://schemas.openxmlformats.org/drawingml/2006/chart" xmlns:r="http://schemas.openxmlformats.org/officeDocument/2006/relationships" r:id="rId12"/>
          </a:graphicData>
        </a:graphic>
      </xdr:graphicFrame>
      <xdr:sp macro="" textlink="">
        <xdr:nvSpPr>
          <xdr:cNvPr id="127" name="Left Brace 126">
            <a:extLst>
              <a:ext uri="{FF2B5EF4-FFF2-40B4-BE49-F238E27FC236}">
                <a16:creationId xmlns:a16="http://schemas.microsoft.com/office/drawing/2014/main" id="{97DB14F9-7583-CD7B-E62C-51C83FB615AF}"/>
              </a:ext>
            </a:extLst>
          </xdr:cNvPr>
          <xdr:cNvSpPr/>
        </xdr:nvSpPr>
        <xdr:spPr>
          <a:xfrm rot="5400000">
            <a:off x="19945346" y="5658019"/>
            <a:ext cx="242454" cy="1808020"/>
          </a:xfrm>
          <a:prstGeom prst="leftBrace">
            <a:avLst>
              <a:gd name="adj1" fmla="val 8333"/>
              <a:gd name="adj2" fmla="val 47222"/>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sp macro="" textlink="">
        <xdr:nvSpPr>
          <xdr:cNvPr id="128" name="TextBox 127">
            <a:extLst>
              <a:ext uri="{FF2B5EF4-FFF2-40B4-BE49-F238E27FC236}">
                <a16:creationId xmlns:a16="http://schemas.microsoft.com/office/drawing/2014/main" id="{DCA53A68-85F2-1121-E4D1-CBD021E45E16}"/>
              </a:ext>
            </a:extLst>
          </xdr:cNvPr>
          <xdr:cNvSpPr txBox="1"/>
        </xdr:nvSpPr>
        <xdr:spPr>
          <a:xfrm>
            <a:off x="19378437" y="5785391"/>
            <a:ext cx="1430513" cy="4571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b="0" i="0">
                <a:solidFill>
                  <a:schemeClr val="dk1"/>
                </a:solidFill>
                <a:effectLst/>
                <a:latin typeface="Times New Roman" panose="02020603050405020304" pitchFamily="18" charset="0"/>
                <a:ea typeface="+mn-ea"/>
                <a:cs typeface="Times New Roman" panose="02020603050405020304" pitchFamily="18" charset="0"/>
              </a:rPr>
              <a:t>CBS vs. PBA</a:t>
            </a:r>
            <a:endParaRPr lang="en-US">
              <a:effectLst/>
              <a:latin typeface="Times New Roman" panose="02020603050405020304" pitchFamily="18" charset="0"/>
              <a:cs typeface="Times New Roman" panose="02020603050405020304" pitchFamily="18" charset="0"/>
            </a:endParaRPr>
          </a:p>
          <a:p>
            <a:pPr algn="ctr"/>
            <a:r>
              <a:rPr lang="en-US" sz="1100" b="0" i="0" u="none" strike="noStrike">
                <a:solidFill>
                  <a:schemeClr val="dk1"/>
                </a:solidFill>
                <a:effectLst/>
                <a:latin typeface="Times New Roman" panose="02020603050405020304" pitchFamily="18" charset="0"/>
                <a:ea typeface="+mn-ea"/>
                <a:cs typeface="Times New Roman" panose="02020603050405020304" pitchFamily="18" charset="0"/>
              </a:rPr>
              <a:t>P = 0.06</a:t>
            </a:r>
            <a:r>
              <a:rPr lang="en-US" sz="1100" b="0" i="0" u="none" strike="noStrike" baseline="0">
                <a:solidFill>
                  <a:schemeClr val="dk1"/>
                </a:solidFill>
                <a:effectLst/>
                <a:latin typeface="Times New Roman" panose="02020603050405020304" pitchFamily="18" charset="0"/>
                <a:ea typeface="+mn-ea"/>
                <a:cs typeface="Times New Roman" panose="02020603050405020304" pitchFamily="18" charset="0"/>
              </a:rPr>
              <a:t> = NS</a:t>
            </a:r>
            <a:endParaRPr lang="en-US" sz="1100">
              <a:latin typeface="Times New Roman" panose="02020603050405020304" pitchFamily="18" charset="0"/>
              <a:cs typeface="Times New Roman" panose="02020603050405020304" pitchFamily="18" charset="0"/>
            </a:endParaRPr>
          </a:p>
        </xdr:txBody>
      </xdr:sp>
    </xdr:grpSp>
    <xdr:clientData/>
  </xdr:twoCellAnchor>
  <xdr:twoCellAnchor>
    <xdr:from>
      <xdr:col>0</xdr:col>
      <xdr:colOff>87841</xdr:colOff>
      <xdr:row>33</xdr:row>
      <xdr:rowOff>0</xdr:rowOff>
    </xdr:from>
    <xdr:to>
      <xdr:col>12</xdr:col>
      <xdr:colOff>392641</xdr:colOff>
      <xdr:row>63</xdr:row>
      <xdr:rowOff>149321</xdr:rowOff>
    </xdr:to>
    <xdr:grpSp>
      <xdr:nvGrpSpPr>
        <xdr:cNvPr id="28" name="Group 27">
          <a:extLst>
            <a:ext uri="{FF2B5EF4-FFF2-40B4-BE49-F238E27FC236}">
              <a16:creationId xmlns:a16="http://schemas.microsoft.com/office/drawing/2014/main" id="{BA4160E0-1638-524F-D294-DDEF4FAFFD0B}"/>
            </a:ext>
          </a:extLst>
        </xdr:cNvPr>
        <xdr:cNvGrpSpPr/>
      </xdr:nvGrpSpPr>
      <xdr:grpSpPr>
        <a:xfrm>
          <a:off x="84666" y="7637318"/>
          <a:ext cx="8201891" cy="6383867"/>
          <a:chOff x="87841" y="7285182"/>
          <a:chExt cx="8201891" cy="6037503"/>
        </a:xfrm>
      </xdr:grpSpPr>
      <xdr:graphicFrame macro="">
        <xdr:nvGraphicFramePr>
          <xdr:cNvPr id="2" name="Chart 1">
            <a:extLst>
              <a:ext uri="{FF2B5EF4-FFF2-40B4-BE49-F238E27FC236}">
                <a16:creationId xmlns:a16="http://schemas.microsoft.com/office/drawing/2014/main" id="{7F3A6FF0-9681-40A0-9271-EBBE76FBAA02}"/>
              </a:ext>
            </a:extLst>
          </xdr:cNvPr>
          <xdr:cNvGraphicFramePr>
            <a:graphicFrameLocks/>
          </xdr:cNvGraphicFramePr>
        </xdr:nvGraphicFramePr>
        <xdr:xfrm>
          <a:off x="87841" y="7285182"/>
          <a:ext cx="8201891" cy="6037503"/>
        </xdr:xfrm>
        <a:graphic>
          <a:graphicData uri="http://schemas.openxmlformats.org/drawingml/2006/chart">
            <c:chart xmlns:c="http://schemas.openxmlformats.org/drawingml/2006/chart" xmlns:r="http://schemas.openxmlformats.org/officeDocument/2006/relationships" r:id="rId13"/>
          </a:graphicData>
        </a:graphic>
      </xdr:graphicFrame>
      <xdr:sp macro="" textlink="">
        <xdr:nvSpPr>
          <xdr:cNvPr id="12" name="TextBox 1">
            <a:extLst>
              <a:ext uri="{FF2B5EF4-FFF2-40B4-BE49-F238E27FC236}">
                <a16:creationId xmlns:a16="http://schemas.microsoft.com/office/drawing/2014/main" id="{88CBAB72-4A30-48E7-8E55-06B10F0050C4}"/>
              </a:ext>
            </a:extLst>
          </xdr:cNvPr>
          <xdr:cNvSpPr txBox="1"/>
        </xdr:nvSpPr>
        <xdr:spPr>
          <a:xfrm>
            <a:off x="6908799" y="8809182"/>
            <a:ext cx="1121449" cy="3498273"/>
          </a:xfrm>
          <a:prstGeom prst="rect">
            <a:avLst/>
          </a:prstGeom>
          <a:ln w="19050">
            <a:solidFill>
              <a:srgbClr val="FF0000"/>
            </a:solidFill>
          </a:ln>
        </xdr:spPr>
        <xdr:txBody>
          <a:bodyPr wrap="square" rtlCol="0"/>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endParaRPr lang="en-US" sz="1100"/>
          </a:p>
        </xdr:txBody>
      </xdr:sp>
      <xdr:sp macro="" textlink="">
        <xdr:nvSpPr>
          <xdr:cNvPr id="22" name="TextBox 21">
            <a:extLst>
              <a:ext uri="{FF2B5EF4-FFF2-40B4-BE49-F238E27FC236}">
                <a16:creationId xmlns:a16="http://schemas.microsoft.com/office/drawing/2014/main" id="{E54D026B-7A38-441E-A49F-C93FEAA2571A}"/>
              </a:ext>
            </a:extLst>
          </xdr:cNvPr>
          <xdr:cNvSpPr txBox="1"/>
        </xdr:nvSpPr>
        <xdr:spPr>
          <a:xfrm>
            <a:off x="6223000" y="7874000"/>
            <a:ext cx="1835728" cy="646545"/>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a:t>At</a:t>
            </a:r>
            <a:r>
              <a:rPr lang="en-US" sz="1100" baseline="0"/>
              <a:t> optimal configuration, get optimal TIN load reduction for both CBA and PBA units</a:t>
            </a:r>
            <a:endParaRPr lang="en-US" sz="1100"/>
          </a:p>
        </xdr:txBody>
      </xdr:sp>
      <xdr:sp macro="" textlink="">
        <xdr:nvSpPr>
          <xdr:cNvPr id="105" name="Left Brace 104">
            <a:extLst>
              <a:ext uri="{FF2B5EF4-FFF2-40B4-BE49-F238E27FC236}">
                <a16:creationId xmlns:a16="http://schemas.microsoft.com/office/drawing/2014/main" id="{80F4B5C9-A2FD-41F9-A62F-14DF3667AEE2}"/>
              </a:ext>
            </a:extLst>
          </xdr:cNvPr>
          <xdr:cNvSpPr/>
        </xdr:nvSpPr>
        <xdr:spPr>
          <a:xfrm rot="5400000">
            <a:off x="3170381" y="8908473"/>
            <a:ext cx="277091" cy="1302328"/>
          </a:xfrm>
          <a:prstGeom prst="leftBrace">
            <a:avLst>
              <a:gd name="adj1" fmla="val 8333"/>
              <a:gd name="adj2" fmla="val 47222"/>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sp macro="" textlink="">
        <xdr:nvSpPr>
          <xdr:cNvPr id="106" name="TextBox 105">
            <a:extLst>
              <a:ext uri="{FF2B5EF4-FFF2-40B4-BE49-F238E27FC236}">
                <a16:creationId xmlns:a16="http://schemas.microsoft.com/office/drawing/2014/main" id="{2BA25F9C-5B1F-F658-878D-DBF64D7B784D}"/>
              </a:ext>
            </a:extLst>
          </xdr:cNvPr>
          <xdr:cNvSpPr txBox="1"/>
        </xdr:nvSpPr>
        <xdr:spPr>
          <a:xfrm>
            <a:off x="1466274" y="8104909"/>
            <a:ext cx="1062182" cy="681180"/>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dk1"/>
                </a:solidFill>
                <a:effectLst/>
                <a:latin typeface="+mn-lt"/>
                <a:ea typeface="+mn-ea"/>
                <a:cs typeface="+mn-cs"/>
              </a:rPr>
              <a:t>Low HLR vs. Med HLR</a:t>
            </a:r>
          </a:p>
          <a:p>
            <a:pPr algn="ctr"/>
            <a:r>
              <a:rPr lang="en-US" sz="1100" b="0" i="0" u="none" strike="noStrike">
                <a:solidFill>
                  <a:schemeClr val="dk1"/>
                </a:solidFill>
                <a:effectLst/>
                <a:latin typeface="+mn-lt"/>
                <a:ea typeface="+mn-ea"/>
                <a:cs typeface="+mn-cs"/>
              </a:rPr>
              <a:t>P = 0.61</a:t>
            </a:r>
            <a:r>
              <a:rPr lang="en-US" sz="1100" b="0" i="0" u="none" strike="noStrike" baseline="0">
                <a:solidFill>
                  <a:schemeClr val="dk1"/>
                </a:solidFill>
                <a:effectLst/>
                <a:latin typeface="+mn-lt"/>
                <a:ea typeface="+mn-ea"/>
                <a:cs typeface="+mn-cs"/>
              </a:rPr>
              <a:t> = NS</a:t>
            </a:r>
            <a:endParaRPr lang="en-US" sz="1100"/>
          </a:p>
        </xdr:txBody>
      </xdr:sp>
      <xdr:sp macro="" textlink="">
        <xdr:nvSpPr>
          <xdr:cNvPr id="107" name="TextBox 106">
            <a:extLst>
              <a:ext uri="{FF2B5EF4-FFF2-40B4-BE49-F238E27FC236}">
                <a16:creationId xmlns:a16="http://schemas.microsoft.com/office/drawing/2014/main" id="{46E82E77-E412-4BC8-B825-C558A4E741CA}"/>
              </a:ext>
            </a:extLst>
          </xdr:cNvPr>
          <xdr:cNvSpPr txBox="1"/>
        </xdr:nvSpPr>
        <xdr:spPr>
          <a:xfrm>
            <a:off x="2888672" y="8820727"/>
            <a:ext cx="909783" cy="623453"/>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dk1"/>
                </a:solidFill>
                <a:effectLst/>
                <a:latin typeface="+mn-lt"/>
                <a:ea typeface="+mn-ea"/>
                <a:cs typeface="+mn-cs"/>
              </a:rPr>
              <a:t>Med HLR vs. High HLR</a:t>
            </a:r>
          </a:p>
          <a:p>
            <a:pPr algn="ctr"/>
            <a:r>
              <a:rPr lang="en-US" sz="1100" b="0" i="0" u="none" strike="noStrike">
                <a:solidFill>
                  <a:schemeClr val="dk1"/>
                </a:solidFill>
                <a:effectLst/>
                <a:latin typeface="+mn-lt"/>
                <a:ea typeface="+mn-ea"/>
                <a:cs typeface="+mn-cs"/>
              </a:rPr>
              <a:t>P = 0.046</a:t>
            </a:r>
            <a:r>
              <a:rPr lang="en-US" sz="1100" b="0" i="0" u="none" strike="noStrike" baseline="0">
                <a:solidFill>
                  <a:schemeClr val="dk1"/>
                </a:solidFill>
                <a:effectLst/>
                <a:latin typeface="+mn-lt"/>
                <a:ea typeface="+mn-ea"/>
                <a:cs typeface="+mn-cs"/>
              </a:rPr>
              <a:t> = *</a:t>
            </a:r>
            <a:endParaRPr lang="en-US" sz="1100"/>
          </a:p>
        </xdr:txBody>
      </xdr:sp>
      <xdr:sp macro="" textlink="">
        <xdr:nvSpPr>
          <xdr:cNvPr id="108" name="Left Brace 107">
            <a:extLst>
              <a:ext uri="{FF2B5EF4-FFF2-40B4-BE49-F238E27FC236}">
                <a16:creationId xmlns:a16="http://schemas.microsoft.com/office/drawing/2014/main" id="{7CC6AF2D-2998-4B6C-A7A6-F9178E3123D1}"/>
              </a:ext>
            </a:extLst>
          </xdr:cNvPr>
          <xdr:cNvSpPr/>
        </xdr:nvSpPr>
        <xdr:spPr>
          <a:xfrm rot="5400000">
            <a:off x="2534226" y="6829138"/>
            <a:ext cx="230907" cy="2389911"/>
          </a:xfrm>
          <a:prstGeom prst="leftBrace">
            <a:avLst>
              <a:gd name="adj1" fmla="val 8333"/>
              <a:gd name="adj2" fmla="val 47222"/>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sp macro="" textlink="">
        <xdr:nvSpPr>
          <xdr:cNvPr id="109" name="TextBox 108">
            <a:extLst>
              <a:ext uri="{FF2B5EF4-FFF2-40B4-BE49-F238E27FC236}">
                <a16:creationId xmlns:a16="http://schemas.microsoft.com/office/drawing/2014/main" id="{36F0B6D8-3746-4071-8013-40BE56F359A9}"/>
              </a:ext>
            </a:extLst>
          </xdr:cNvPr>
          <xdr:cNvSpPr txBox="1"/>
        </xdr:nvSpPr>
        <xdr:spPr>
          <a:xfrm>
            <a:off x="2302164" y="7319819"/>
            <a:ext cx="1062182" cy="60498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dk1"/>
                </a:solidFill>
                <a:effectLst/>
                <a:latin typeface="+mn-lt"/>
                <a:ea typeface="+mn-ea"/>
                <a:cs typeface="+mn-cs"/>
              </a:rPr>
              <a:t>Low HLR vs. High HLR</a:t>
            </a:r>
          </a:p>
          <a:p>
            <a:pPr algn="ctr"/>
            <a:r>
              <a:rPr lang="en-US" sz="1100" b="0" i="0" u="none" strike="noStrike">
                <a:solidFill>
                  <a:schemeClr val="dk1"/>
                </a:solidFill>
                <a:effectLst/>
                <a:latin typeface="+mn-lt"/>
                <a:ea typeface="+mn-ea"/>
                <a:cs typeface="+mn-cs"/>
              </a:rPr>
              <a:t>P = 0.022</a:t>
            </a:r>
            <a:r>
              <a:rPr lang="en-US" sz="1100" b="0" i="0" u="none" strike="noStrike" baseline="0">
                <a:solidFill>
                  <a:schemeClr val="dk1"/>
                </a:solidFill>
                <a:effectLst/>
                <a:latin typeface="+mn-lt"/>
                <a:ea typeface="+mn-ea"/>
                <a:cs typeface="+mn-cs"/>
              </a:rPr>
              <a:t> = *</a:t>
            </a:r>
            <a:endParaRPr lang="en-US" sz="1100"/>
          </a:p>
        </xdr:txBody>
      </xdr:sp>
      <xdr:sp macro="" textlink="">
        <xdr:nvSpPr>
          <xdr:cNvPr id="130" name="TextBox 129">
            <a:extLst>
              <a:ext uri="{FF2B5EF4-FFF2-40B4-BE49-F238E27FC236}">
                <a16:creationId xmlns:a16="http://schemas.microsoft.com/office/drawing/2014/main" id="{83859182-60B1-42A6-ABED-810D49029E5C}"/>
              </a:ext>
            </a:extLst>
          </xdr:cNvPr>
          <xdr:cNvSpPr txBox="1"/>
        </xdr:nvSpPr>
        <xdr:spPr>
          <a:xfrm>
            <a:off x="4006272" y="8509001"/>
            <a:ext cx="1154546" cy="76199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b="0" i="0">
                <a:solidFill>
                  <a:schemeClr val="dk1"/>
                </a:solidFill>
                <a:effectLst/>
                <a:latin typeface="+mn-lt"/>
                <a:ea typeface="+mn-ea"/>
                <a:cs typeface="+mn-cs"/>
              </a:rPr>
              <a:t>Lower vs. Upper Outlet Height</a:t>
            </a:r>
            <a:endParaRPr lang="en-US">
              <a:effectLst/>
            </a:endParaRPr>
          </a:p>
          <a:p>
            <a:pPr algn="ctr"/>
            <a:r>
              <a:rPr lang="en-US" sz="1100" b="0" i="0" u="none" strike="noStrike">
                <a:solidFill>
                  <a:schemeClr val="dk1"/>
                </a:solidFill>
                <a:effectLst/>
                <a:latin typeface="+mn-lt"/>
                <a:ea typeface="+mn-ea"/>
                <a:cs typeface="+mn-cs"/>
              </a:rPr>
              <a:t>P = 0.31</a:t>
            </a:r>
            <a:r>
              <a:rPr lang="en-US" sz="1100" b="0" i="0" u="none" strike="noStrike" baseline="0">
                <a:solidFill>
                  <a:schemeClr val="dk1"/>
                </a:solidFill>
                <a:effectLst/>
                <a:latin typeface="+mn-lt"/>
                <a:ea typeface="+mn-ea"/>
                <a:cs typeface="+mn-cs"/>
              </a:rPr>
              <a:t> = NS</a:t>
            </a:r>
            <a:endParaRPr lang="en-US" sz="1100"/>
          </a:p>
        </xdr:txBody>
      </xdr:sp>
      <xdr:sp macro="" textlink="">
        <xdr:nvSpPr>
          <xdr:cNvPr id="131" name="Left Brace 130">
            <a:extLst>
              <a:ext uri="{FF2B5EF4-FFF2-40B4-BE49-F238E27FC236}">
                <a16:creationId xmlns:a16="http://schemas.microsoft.com/office/drawing/2014/main" id="{6720B520-436B-4D1B-A2E0-AEA63C3B373B}"/>
              </a:ext>
            </a:extLst>
          </xdr:cNvPr>
          <xdr:cNvSpPr/>
        </xdr:nvSpPr>
        <xdr:spPr>
          <a:xfrm rot="5400000">
            <a:off x="4795980" y="7183581"/>
            <a:ext cx="496454" cy="2316019"/>
          </a:xfrm>
          <a:prstGeom prst="leftBrace">
            <a:avLst>
              <a:gd name="adj1" fmla="val 8333"/>
              <a:gd name="adj2" fmla="val 47222"/>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sp macro="" textlink="">
        <xdr:nvSpPr>
          <xdr:cNvPr id="132" name="TextBox 131">
            <a:extLst>
              <a:ext uri="{FF2B5EF4-FFF2-40B4-BE49-F238E27FC236}">
                <a16:creationId xmlns:a16="http://schemas.microsoft.com/office/drawing/2014/main" id="{8F4E1DE5-F4C8-4C17-A7F6-10E322A6C357}"/>
              </a:ext>
            </a:extLst>
          </xdr:cNvPr>
          <xdr:cNvSpPr txBox="1"/>
        </xdr:nvSpPr>
        <xdr:spPr>
          <a:xfrm>
            <a:off x="4585856" y="7377547"/>
            <a:ext cx="979054" cy="7850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dk1"/>
                </a:solidFill>
                <a:effectLst/>
                <a:latin typeface="+mn-lt"/>
                <a:ea typeface="+mn-ea"/>
                <a:cs typeface="+mn-cs"/>
              </a:rPr>
              <a:t>No</a:t>
            </a:r>
            <a:r>
              <a:rPr lang="en-US" sz="1100" b="0" i="0" u="none" strike="noStrike" baseline="0">
                <a:solidFill>
                  <a:schemeClr val="dk1"/>
                </a:solidFill>
                <a:effectLst/>
                <a:latin typeface="+mn-lt"/>
                <a:ea typeface="+mn-ea"/>
                <a:cs typeface="+mn-cs"/>
              </a:rPr>
              <a:t> Plants vs. Plants</a:t>
            </a:r>
          </a:p>
          <a:p>
            <a:pPr algn="ctr"/>
            <a:r>
              <a:rPr lang="en-US" sz="1100" b="0" i="0" u="none" strike="noStrike">
                <a:solidFill>
                  <a:schemeClr val="dk1"/>
                </a:solidFill>
                <a:effectLst/>
                <a:latin typeface="+mn-lt"/>
                <a:ea typeface="+mn-ea"/>
                <a:cs typeface="+mn-cs"/>
              </a:rPr>
              <a:t>P = 0.06</a:t>
            </a:r>
            <a:r>
              <a:rPr lang="en-US" sz="1100" b="0" i="0" u="none" strike="noStrike" baseline="0">
                <a:solidFill>
                  <a:schemeClr val="dk1"/>
                </a:solidFill>
                <a:effectLst/>
                <a:latin typeface="+mn-lt"/>
                <a:ea typeface="+mn-ea"/>
                <a:cs typeface="+mn-cs"/>
              </a:rPr>
              <a:t> = NS</a:t>
            </a:r>
            <a:endParaRPr lang="en-US" sz="1100"/>
          </a:p>
        </xdr:txBody>
      </xdr:sp>
      <xdr:sp macro="" textlink="">
        <xdr:nvSpPr>
          <xdr:cNvPr id="129" name="Left Brace 128">
            <a:extLst>
              <a:ext uri="{FF2B5EF4-FFF2-40B4-BE49-F238E27FC236}">
                <a16:creationId xmlns:a16="http://schemas.microsoft.com/office/drawing/2014/main" id="{CD7EC7EC-B29C-475B-9B5D-785A3D7198F8}"/>
              </a:ext>
            </a:extLst>
          </xdr:cNvPr>
          <xdr:cNvSpPr/>
        </xdr:nvSpPr>
        <xdr:spPr>
          <a:xfrm rot="5400000">
            <a:off x="4410362" y="8751456"/>
            <a:ext cx="242456" cy="1166092"/>
          </a:xfrm>
          <a:prstGeom prst="leftBrace">
            <a:avLst>
              <a:gd name="adj1" fmla="val 8333"/>
              <a:gd name="adj2" fmla="val 47222"/>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sp macro="" textlink="">
        <xdr:nvSpPr>
          <xdr:cNvPr id="104" name="Left Brace 103">
            <a:extLst>
              <a:ext uri="{FF2B5EF4-FFF2-40B4-BE49-F238E27FC236}">
                <a16:creationId xmlns:a16="http://schemas.microsoft.com/office/drawing/2014/main" id="{54C75750-4CDE-1E17-B544-7352D24783DF}"/>
              </a:ext>
            </a:extLst>
          </xdr:cNvPr>
          <xdr:cNvSpPr/>
        </xdr:nvSpPr>
        <xdr:spPr>
          <a:xfrm rot="5400000">
            <a:off x="1766454" y="8151095"/>
            <a:ext cx="311728" cy="1420090"/>
          </a:xfrm>
          <a:prstGeom prst="leftBrace">
            <a:avLst>
              <a:gd name="adj1" fmla="val 8333"/>
              <a:gd name="adj2" fmla="val 48035"/>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grpSp>
    <xdr:clientData/>
  </xdr:twoCellAnchor>
  <xdr:twoCellAnchor>
    <xdr:from>
      <xdr:col>12</xdr:col>
      <xdr:colOff>474134</xdr:colOff>
      <xdr:row>33</xdr:row>
      <xdr:rowOff>3374</xdr:rowOff>
    </xdr:from>
    <xdr:to>
      <xdr:col>25</xdr:col>
      <xdr:colOff>118534</xdr:colOff>
      <xdr:row>63</xdr:row>
      <xdr:rowOff>150232</xdr:rowOff>
    </xdr:to>
    <xdr:grpSp>
      <xdr:nvGrpSpPr>
        <xdr:cNvPr id="39" name="Group 38">
          <a:extLst>
            <a:ext uri="{FF2B5EF4-FFF2-40B4-BE49-F238E27FC236}">
              <a16:creationId xmlns:a16="http://schemas.microsoft.com/office/drawing/2014/main" id="{B30E85BE-7308-6869-99BE-91EA6B55D9C7}"/>
            </a:ext>
          </a:extLst>
        </xdr:cNvPr>
        <xdr:cNvGrpSpPr/>
      </xdr:nvGrpSpPr>
      <xdr:grpSpPr>
        <a:xfrm>
          <a:off x="8371225" y="7643867"/>
          <a:ext cx="8202757" cy="6378229"/>
          <a:chOff x="8371225" y="7288556"/>
          <a:chExt cx="8199582" cy="6035040"/>
        </a:xfrm>
      </xdr:grpSpPr>
      <xdr:graphicFrame macro="">
        <xdr:nvGraphicFramePr>
          <xdr:cNvPr id="3" name="Chart 2">
            <a:extLst>
              <a:ext uri="{FF2B5EF4-FFF2-40B4-BE49-F238E27FC236}">
                <a16:creationId xmlns:a16="http://schemas.microsoft.com/office/drawing/2014/main" id="{5C188A55-C885-4660-B2E7-B1EA3F2852B7}"/>
              </a:ext>
            </a:extLst>
          </xdr:cNvPr>
          <xdr:cNvGraphicFramePr>
            <a:graphicFrameLocks/>
          </xdr:cNvGraphicFramePr>
        </xdr:nvGraphicFramePr>
        <xdr:xfrm>
          <a:off x="8371225" y="7288556"/>
          <a:ext cx="8199582" cy="6035040"/>
        </xdr:xfrm>
        <a:graphic>
          <a:graphicData uri="http://schemas.openxmlformats.org/drawingml/2006/chart">
            <c:chart xmlns:c="http://schemas.openxmlformats.org/drawingml/2006/chart" xmlns:r="http://schemas.openxmlformats.org/officeDocument/2006/relationships" r:id="rId14"/>
          </a:graphicData>
        </a:graphic>
      </xdr:graphicFrame>
      <xdr:sp macro="" textlink="">
        <xdr:nvSpPr>
          <xdr:cNvPr id="11" name="TextBox 1">
            <a:extLst>
              <a:ext uri="{FF2B5EF4-FFF2-40B4-BE49-F238E27FC236}">
                <a16:creationId xmlns:a16="http://schemas.microsoft.com/office/drawing/2014/main" id="{82DD0F6E-5E50-4BF5-8A06-0BD324AA8717}"/>
              </a:ext>
            </a:extLst>
          </xdr:cNvPr>
          <xdr:cNvSpPr txBox="1"/>
        </xdr:nvSpPr>
        <xdr:spPr>
          <a:xfrm>
            <a:off x="15156103" y="9090891"/>
            <a:ext cx="1123758" cy="3228109"/>
          </a:xfrm>
          <a:prstGeom prst="rect">
            <a:avLst/>
          </a:prstGeom>
          <a:ln w="19050">
            <a:solidFill>
              <a:srgbClr val="FF0000"/>
            </a:solidFill>
          </a:ln>
        </xdr:spPr>
        <xdr:txBody>
          <a:bodyPr wrap="square" rtlCol="0"/>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endParaRPr lang="en-US" sz="1100"/>
          </a:p>
        </xdr:txBody>
      </xdr:sp>
      <xdr:sp macro="" textlink="">
        <xdr:nvSpPr>
          <xdr:cNvPr id="21" name="TextBox 20">
            <a:extLst>
              <a:ext uri="{FF2B5EF4-FFF2-40B4-BE49-F238E27FC236}">
                <a16:creationId xmlns:a16="http://schemas.microsoft.com/office/drawing/2014/main" id="{00329FDE-8E7E-63D7-04CD-129A48368E5C}"/>
              </a:ext>
            </a:extLst>
          </xdr:cNvPr>
          <xdr:cNvSpPr txBox="1"/>
        </xdr:nvSpPr>
        <xdr:spPr>
          <a:xfrm>
            <a:off x="9189219" y="10712256"/>
            <a:ext cx="1498023" cy="1023698"/>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Negative % load</a:t>
            </a:r>
            <a:r>
              <a:rPr lang="en-US" sz="1100" baseline="0"/>
              <a:t> reduction of TP indicates phosphate release (P desorption) in PBA unit</a:t>
            </a:r>
            <a:endParaRPr lang="en-US" sz="1100"/>
          </a:p>
        </xdr:txBody>
      </xdr:sp>
      <xdr:sp macro="" textlink="">
        <xdr:nvSpPr>
          <xdr:cNvPr id="19" name="Left Brace 18">
            <a:extLst>
              <a:ext uri="{FF2B5EF4-FFF2-40B4-BE49-F238E27FC236}">
                <a16:creationId xmlns:a16="http://schemas.microsoft.com/office/drawing/2014/main" id="{3D802337-A6B6-7C7E-84AC-AD40D7450C74}"/>
              </a:ext>
            </a:extLst>
          </xdr:cNvPr>
          <xdr:cNvSpPr/>
        </xdr:nvSpPr>
        <xdr:spPr>
          <a:xfrm>
            <a:off x="10537153" y="10305281"/>
            <a:ext cx="370416" cy="1803976"/>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sp macro="" textlink="">
        <xdr:nvSpPr>
          <xdr:cNvPr id="110" name="TextBox 109">
            <a:extLst>
              <a:ext uri="{FF2B5EF4-FFF2-40B4-BE49-F238E27FC236}">
                <a16:creationId xmlns:a16="http://schemas.microsoft.com/office/drawing/2014/main" id="{6113DAD4-10D3-49F4-8E8A-FAEE9B0E30E4}"/>
              </a:ext>
            </a:extLst>
          </xdr:cNvPr>
          <xdr:cNvSpPr txBox="1"/>
        </xdr:nvSpPr>
        <xdr:spPr>
          <a:xfrm>
            <a:off x="13725042" y="7968673"/>
            <a:ext cx="2648721" cy="531090"/>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a:t>At</a:t>
            </a:r>
            <a:r>
              <a:rPr lang="en-US" sz="1100" baseline="0"/>
              <a:t> optimal configuration, get optimal TP load reduction for both CBA and PBA units</a:t>
            </a:r>
            <a:endParaRPr lang="en-US" sz="1100"/>
          </a:p>
        </xdr:txBody>
      </xdr:sp>
      <xdr:sp macro="" textlink="">
        <xdr:nvSpPr>
          <xdr:cNvPr id="111" name="Left Brace 110">
            <a:extLst>
              <a:ext uri="{FF2B5EF4-FFF2-40B4-BE49-F238E27FC236}">
                <a16:creationId xmlns:a16="http://schemas.microsoft.com/office/drawing/2014/main" id="{28252B9C-6F74-4FEF-AC1E-1C723C65CB74}"/>
              </a:ext>
            </a:extLst>
          </xdr:cNvPr>
          <xdr:cNvSpPr/>
        </xdr:nvSpPr>
        <xdr:spPr>
          <a:xfrm rot="5400000">
            <a:off x="10225809" y="8032172"/>
            <a:ext cx="378692" cy="1313873"/>
          </a:xfrm>
          <a:prstGeom prst="leftBrace">
            <a:avLst>
              <a:gd name="adj1" fmla="val 8333"/>
              <a:gd name="adj2" fmla="val 47222"/>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sp macro="" textlink="">
        <xdr:nvSpPr>
          <xdr:cNvPr id="112" name="Left Brace 111">
            <a:extLst>
              <a:ext uri="{FF2B5EF4-FFF2-40B4-BE49-F238E27FC236}">
                <a16:creationId xmlns:a16="http://schemas.microsoft.com/office/drawing/2014/main" id="{506E311F-34AE-448D-9B64-07B5CED69B6D}"/>
              </a:ext>
            </a:extLst>
          </xdr:cNvPr>
          <xdr:cNvSpPr/>
        </xdr:nvSpPr>
        <xdr:spPr>
          <a:xfrm rot="5400000">
            <a:off x="11405754" y="8773391"/>
            <a:ext cx="387928" cy="1230746"/>
          </a:xfrm>
          <a:prstGeom prst="leftBrace">
            <a:avLst>
              <a:gd name="adj1" fmla="val 8333"/>
              <a:gd name="adj2" fmla="val 47222"/>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sp macro="" textlink="">
        <xdr:nvSpPr>
          <xdr:cNvPr id="113" name="TextBox 112">
            <a:extLst>
              <a:ext uri="{FF2B5EF4-FFF2-40B4-BE49-F238E27FC236}">
                <a16:creationId xmlns:a16="http://schemas.microsoft.com/office/drawing/2014/main" id="{6591CE73-80C2-406C-B55B-C3438476BD00}"/>
              </a:ext>
            </a:extLst>
          </xdr:cNvPr>
          <xdr:cNvSpPr txBox="1"/>
        </xdr:nvSpPr>
        <xdr:spPr>
          <a:xfrm>
            <a:off x="9966036" y="8199583"/>
            <a:ext cx="1062182" cy="24245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dk1"/>
                </a:solidFill>
                <a:effectLst/>
                <a:latin typeface="+mn-lt"/>
                <a:ea typeface="+mn-ea"/>
                <a:cs typeface="+mn-cs"/>
              </a:rPr>
              <a:t>P = 0.52 </a:t>
            </a:r>
            <a:r>
              <a:rPr lang="en-US" sz="1100" b="0" i="0" u="none" strike="noStrike" baseline="0">
                <a:solidFill>
                  <a:schemeClr val="dk1"/>
                </a:solidFill>
                <a:effectLst/>
                <a:latin typeface="+mn-lt"/>
                <a:ea typeface="+mn-ea"/>
                <a:cs typeface="+mn-cs"/>
              </a:rPr>
              <a:t>= NS</a:t>
            </a:r>
            <a:endParaRPr lang="en-US" sz="1100"/>
          </a:p>
        </xdr:txBody>
      </xdr:sp>
      <xdr:sp macro="" textlink="">
        <xdr:nvSpPr>
          <xdr:cNvPr id="114" name="TextBox 113">
            <a:extLst>
              <a:ext uri="{FF2B5EF4-FFF2-40B4-BE49-F238E27FC236}">
                <a16:creationId xmlns:a16="http://schemas.microsoft.com/office/drawing/2014/main" id="{AE11607A-CECB-4BB3-89DA-2139F917CECC}"/>
              </a:ext>
            </a:extLst>
          </xdr:cNvPr>
          <xdr:cNvSpPr txBox="1"/>
        </xdr:nvSpPr>
        <xdr:spPr>
          <a:xfrm>
            <a:off x="11145981" y="8917711"/>
            <a:ext cx="1062182" cy="24245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dk1"/>
                </a:solidFill>
                <a:effectLst/>
                <a:latin typeface="+mn-lt"/>
                <a:ea typeface="+mn-ea"/>
                <a:cs typeface="+mn-cs"/>
              </a:rPr>
              <a:t>P = 0.26</a:t>
            </a:r>
            <a:r>
              <a:rPr lang="en-US"/>
              <a:t> </a:t>
            </a:r>
            <a:r>
              <a:rPr lang="en-US" sz="1100" b="0" i="0" u="none" strike="noStrike" baseline="0">
                <a:solidFill>
                  <a:schemeClr val="dk1"/>
                </a:solidFill>
                <a:effectLst/>
                <a:latin typeface="+mn-lt"/>
                <a:ea typeface="+mn-ea"/>
                <a:cs typeface="+mn-cs"/>
              </a:rPr>
              <a:t>= NS</a:t>
            </a:r>
            <a:endParaRPr lang="en-US" sz="1100"/>
          </a:p>
        </xdr:txBody>
      </xdr:sp>
      <xdr:sp macro="" textlink="">
        <xdr:nvSpPr>
          <xdr:cNvPr id="115" name="Left Brace 114">
            <a:extLst>
              <a:ext uri="{FF2B5EF4-FFF2-40B4-BE49-F238E27FC236}">
                <a16:creationId xmlns:a16="http://schemas.microsoft.com/office/drawing/2014/main" id="{9276AF25-AB36-4FBB-8F59-BAE8F7B7D70C}"/>
              </a:ext>
            </a:extLst>
          </xdr:cNvPr>
          <xdr:cNvSpPr/>
        </xdr:nvSpPr>
        <xdr:spPr>
          <a:xfrm rot="5400000">
            <a:off x="10677236" y="6881091"/>
            <a:ext cx="595746" cy="2364510"/>
          </a:xfrm>
          <a:prstGeom prst="leftBrace">
            <a:avLst>
              <a:gd name="adj1" fmla="val 8333"/>
              <a:gd name="adj2" fmla="val 47222"/>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sp macro="" textlink="">
        <xdr:nvSpPr>
          <xdr:cNvPr id="116" name="TextBox 115">
            <a:extLst>
              <a:ext uri="{FF2B5EF4-FFF2-40B4-BE49-F238E27FC236}">
                <a16:creationId xmlns:a16="http://schemas.microsoft.com/office/drawing/2014/main" id="{355A652B-7593-4423-B5C5-94B2D0C73869}"/>
              </a:ext>
            </a:extLst>
          </xdr:cNvPr>
          <xdr:cNvSpPr txBox="1"/>
        </xdr:nvSpPr>
        <xdr:spPr>
          <a:xfrm>
            <a:off x="10513290" y="7476837"/>
            <a:ext cx="1062182" cy="24245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dk1"/>
                </a:solidFill>
                <a:effectLst/>
                <a:latin typeface="+mn-lt"/>
                <a:ea typeface="+mn-ea"/>
                <a:cs typeface="+mn-cs"/>
              </a:rPr>
              <a:t>P = 0.13</a:t>
            </a:r>
            <a:r>
              <a:rPr lang="en-US" sz="1100" b="0" i="0" u="none" strike="noStrike" baseline="0">
                <a:solidFill>
                  <a:schemeClr val="dk1"/>
                </a:solidFill>
                <a:effectLst/>
                <a:latin typeface="+mn-lt"/>
                <a:ea typeface="+mn-ea"/>
                <a:cs typeface="+mn-cs"/>
              </a:rPr>
              <a:t> = NS</a:t>
            </a:r>
            <a:endParaRPr lang="en-US" sz="1100"/>
          </a:p>
        </xdr:txBody>
      </xdr:sp>
      <xdr:sp macro="" textlink="">
        <xdr:nvSpPr>
          <xdr:cNvPr id="133" name="Left Brace 132">
            <a:extLst>
              <a:ext uri="{FF2B5EF4-FFF2-40B4-BE49-F238E27FC236}">
                <a16:creationId xmlns:a16="http://schemas.microsoft.com/office/drawing/2014/main" id="{0B52B9C5-C15D-4B0F-BD76-ED1DB65B44FD}"/>
              </a:ext>
            </a:extLst>
          </xdr:cNvPr>
          <xdr:cNvSpPr/>
        </xdr:nvSpPr>
        <xdr:spPr>
          <a:xfrm rot="5400000">
            <a:off x="13180288" y="8490526"/>
            <a:ext cx="496455" cy="2316019"/>
          </a:xfrm>
          <a:prstGeom prst="leftBrace">
            <a:avLst>
              <a:gd name="adj1" fmla="val 8333"/>
              <a:gd name="adj2" fmla="val 47222"/>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sp macro="" textlink="">
        <xdr:nvSpPr>
          <xdr:cNvPr id="134" name="TextBox 133">
            <a:extLst>
              <a:ext uri="{FF2B5EF4-FFF2-40B4-BE49-F238E27FC236}">
                <a16:creationId xmlns:a16="http://schemas.microsoft.com/office/drawing/2014/main" id="{FC0619D0-DA71-4C1E-9602-C0F35ED9AE7C}"/>
              </a:ext>
            </a:extLst>
          </xdr:cNvPr>
          <xdr:cNvSpPr txBox="1"/>
        </xdr:nvSpPr>
        <xdr:spPr>
          <a:xfrm>
            <a:off x="12970165" y="8684491"/>
            <a:ext cx="979054" cy="78509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dk1"/>
                </a:solidFill>
                <a:effectLst/>
                <a:latin typeface="+mn-lt"/>
                <a:ea typeface="+mn-ea"/>
                <a:cs typeface="+mn-cs"/>
              </a:rPr>
              <a:t>No</a:t>
            </a:r>
            <a:r>
              <a:rPr lang="en-US" sz="1100" b="0" i="0" u="none" strike="noStrike" baseline="0">
                <a:solidFill>
                  <a:schemeClr val="dk1"/>
                </a:solidFill>
                <a:effectLst/>
                <a:latin typeface="+mn-lt"/>
                <a:ea typeface="+mn-ea"/>
                <a:cs typeface="+mn-cs"/>
              </a:rPr>
              <a:t> Plants vs. Plants</a:t>
            </a:r>
          </a:p>
          <a:p>
            <a:pPr algn="ctr"/>
            <a:r>
              <a:rPr lang="en-US" sz="1100" b="0" i="0" u="none" strike="noStrike">
                <a:solidFill>
                  <a:schemeClr val="dk1"/>
                </a:solidFill>
                <a:effectLst/>
                <a:latin typeface="+mn-lt"/>
                <a:ea typeface="+mn-ea"/>
                <a:cs typeface="+mn-cs"/>
              </a:rPr>
              <a:t>P = 0.45</a:t>
            </a:r>
            <a:r>
              <a:rPr lang="en-US" sz="1100" b="0" i="0" u="none" strike="noStrike" baseline="0">
                <a:solidFill>
                  <a:schemeClr val="dk1"/>
                </a:solidFill>
                <a:effectLst/>
                <a:latin typeface="+mn-lt"/>
                <a:ea typeface="+mn-ea"/>
                <a:cs typeface="+mn-cs"/>
              </a:rPr>
              <a:t> = NS</a:t>
            </a:r>
            <a:endParaRPr lang="en-US" sz="1100"/>
          </a:p>
        </xdr:txBody>
      </xdr:sp>
      <xdr:sp macro="" textlink="">
        <xdr:nvSpPr>
          <xdr:cNvPr id="135" name="TextBox 134">
            <a:extLst>
              <a:ext uri="{FF2B5EF4-FFF2-40B4-BE49-F238E27FC236}">
                <a16:creationId xmlns:a16="http://schemas.microsoft.com/office/drawing/2014/main" id="{22B7642D-1673-404E-8AAB-90B6B71CCCE1}"/>
              </a:ext>
            </a:extLst>
          </xdr:cNvPr>
          <xdr:cNvSpPr txBox="1"/>
        </xdr:nvSpPr>
        <xdr:spPr>
          <a:xfrm>
            <a:off x="12194308" y="7668493"/>
            <a:ext cx="1154546" cy="76199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b="0" i="0">
                <a:solidFill>
                  <a:schemeClr val="dk1"/>
                </a:solidFill>
                <a:effectLst/>
                <a:latin typeface="+mn-lt"/>
                <a:ea typeface="+mn-ea"/>
                <a:cs typeface="+mn-cs"/>
              </a:rPr>
              <a:t>Lower vs. Upper Outlet Height</a:t>
            </a:r>
            <a:endParaRPr lang="en-US">
              <a:effectLst/>
            </a:endParaRPr>
          </a:p>
          <a:p>
            <a:pPr algn="ctr"/>
            <a:r>
              <a:rPr lang="en-US" sz="1100" b="0" i="0" u="none" strike="noStrike">
                <a:solidFill>
                  <a:schemeClr val="dk1"/>
                </a:solidFill>
                <a:effectLst/>
                <a:latin typeface="+mn-lt"/>
                <a:ea typeface="+mn-ea"/>
                <a:cs typeface="+mn-cs"/>
              </a:rPr>
              <a:t>P = 0.75</a:t>
            </a:r>
            <a:r>
              <a:rPr lang="en-US" sz="1100" b="0" i="0" u="none" strike="noStrike" baseline="0">
                <a:solidFill>
                  <a:schemeClr val="dk1"/>
                </a:solidFill>
                <a:effectLst/>
                <a:latin typeface="+mn-lt"/>
                <a:ea typeface="+mn-ea"/>
                <a:cs typeface="+mn-cs"/>
              </a:rPr>
              <a:t> = NS</a:t>
            </a:r>
            <a:endParaRPr lang="en-US" sz="1100"/>
          </a:p>
        </xdr:txBody>
      </xdr:sp>
      <xdr:sp macro="" textlink="">
        <xdr:nvSpPr>
          <xdr:cNvPr id="136" name="Left Brace 135">
            <a:extLst>
              <a:ext uri="{FF2B5EF4-FFF2-40B4-BE49-F238E27FC236}">
                <a16:creationId xmlns:a16="http://schemas.microsoft.com/office/drawing/2014/main" id="{6516B587-0CD8-41D8-9DD5-85218A15D6CB}"/>
              </a:ext>
            </a:extLst>
          </xdr:cNvPr>
          <xdr:cNvSpPr/>
        </xdr:nvSpPr>
        <xdr:spPr>
          <a:xfrm rot="5400000">
            <a:off x="12598398" y="7910947"/>
            <a:ext cx="242455" cy="1166092"/>
          </a:xfrm>
          <a:prstGeom prst="leftBrace">
            <a:avLst>
              <a:gd name="adj1" fmla="val 8333"/>
              <a:gd name="adj2" fmla="val 47222"/>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grpSp>
    <xdr:clientData/>
  </xdr:twoCellAnchor>
  <xdr:twoCellAnchor>
    <xdr:from>
      <xdr:col>27</xdr:col>
      <xdr:colOff>547252</xdr:colOff>
      <xdr:row>94</xdr:row>
      <xdr:rowOff>39963</xdr:rowOff>
    </xdr:from>
    <xdr:to>
      <xdr:col>38</xdr:col>
      <xdr:colOff>623452</xdr:colOff>
      <xdr:row>122</xdr:row>
      <xdr:rowOff>30727</xdr:rowOff>
    </xdr:to>
    <xdr:grpSp>
      <xdr:nvGrpSpPr>
        <xdr:cNvPr id="140" name="Group 139">
          <a:extLst>
            <a:ext uri="{FF2B5EF4-FFF2-40B4-BE49-F238E27FC236}">
              <a16:creationId xmlns:a16="http://schemas.microsoft.com/office/drawing/2014/main" id="{50C2ABAC-4D38-AE24-86D0-8339CAA07381}"/>
            </a:ext>
          </a:extLst>
        </xdr:cNvPr>
        <xdr:cNvGrpSpPr/>
      </xdr:nvGrpSpPr>
      <xdr:grpSpPr>
        <a:xfrm>
          <a:off x="18312532" y="20562008"/>
          <a:ext cx="7315200" cy="5806499"/>
          <a:chOff x="18315707" y="20048236"/>
          <a:chExt cx="7315200" cy="5486400"/>
        </a:xfrm>
      </xdr:grpSpPr>
      <mc:AlternateContent xmlns:mc="http://schemas.openxmlformats.org/markup-compatibility/2006">
        <mc:Choice xmlns:cx1="http://schemas.microsoft.com/office/drawing/2015/9/8/chartex" Requires="cx1">
          <xdr:graphicFrame macro="">
            <xdr:nvGraphicFramePr>
              <xdr:cNvPr id="93" name="Chart 92">
                <a:extLst>
                  <a:ext uri="{FF2B5EF4-FFF2-40B4-BE49-F238E27FC236}">
                    <a16:creationId xmlns:a16="http://schemas.microsoft.com/office/drawing/2014/main" id="{DC530666-DFC9-1EB1-EF4D-5E04DEFF0105}"/>
                  </a:ext>
                </a:extLst>
              </xdr:cNvPr>
              <xdr:cNvGraphicFramePr/>
            </xdr:nvGraphicFramePr>
            <xdr:xfrm>
              <a:off x="18315707" y="20048236"/>
              <a:ext cx="7315200" cy="548640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18315707" y="20048236"/>
                <a:ext cx="7315200" cy="54864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sp macro="" textlink="">
        <xdr:nvSpPr>
          <xdr:cNvPr id="137" name="TextBox 136">
            <a:extLst>
              <a:ext uri="{FF2B5EF4-FFF2-40B4-BE49-F238E27FC236}">
                <a16:creationId xmlns:a16="http://schemas.microsoft.com/office/drawing/2014/main" id="{1D958E8A-A615-49CF-B504-3F8A6A82C017}"/>
              </a:ext>
            </a:extLst>
          </xdr:cNvPr>
          <xdr:cNvSpPr txBox="1"/>
        </xdr:nvSpPr>
        <xdr:spPr>
          <a:xfrm>
            <a:off x="21883259" y="25264720"/>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CBA Unit</a:t>
            </a:r>
          </a:p>
        </xdr:txBody>
      </xdr:sp>
      <xdr:sp macro="" textlink="">
        <xdr:nvSpPr>
          <xdr:cNvPr id="138" name="TextBox 137">
            <a:extLst>
              <a:ext uri="{FF2B5EF4-FFF2-40B4-BE49-F238E27FC236}">
                <a16:creationId xmlns:a16="http://schemas.microsoft.com/office/drawing/2014/main" id="{DF378907-F84E-49D3-8D85-3D9C7FD84948}"/>
              </a:ext>
            </a:extLst>
          </xdr:cNvPr>
          <xdr:cNvSpPr txBox="1"/>
        </xdr:nvSpPr>
        <xdr:spPr>
          <a:xfrm>
            <a:off x="24053806" y="25262410"/>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PBA Unit</a:t>
            </a:r>
          </a:p>
        </xdr:txBody>
      </xdr:sp>
      <xdr:sp macro="" textlink="">
        <xdr:nvSpPr>
          <xdr:cNvPr id="139" name="TextBox 138">
            <a:extLst>
              <a:ext uri="{FF2B5EF4-FFF2-40B4-BE49-F238E27FC236}">
                <a16:creationId xmlns:a16="http://schemas.microsoft.com/office/drawing/2014/main" id="{79150D33-749B-4118-B42B-262BBF71863C}"/>
              </a:ext>
            </a:extLst>
          </xdr:cNvPr>
          <xdr:cNvSpPr txBox="1"/>
        </xdr:nvSpPr>
        <xdr:spPr>
          <a:xfrm>
            <a:off x="19724254" y="25262409"/>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Influent</a:t>
            </a:r>
          </a:p>
        </xdr:txBody>
      </xdr:sp>
    </xdr:grpSp>
    <xdr:clientData/>
  </xdr:twoCellAnchor>
  <xdr:twoCellAnchor>
    <xdr:from>
      <xdr:col>5</xdr:col>
      <xdr:colOff>559953</xdr:colOff>
      <xdr:row>98</xdr:row>
      <xdr:rowOff>106989</xdr:rowOff>
    </xdr:from>
    <xdr:to>
      <xdr:col>9</xdr:col>
      <xdr:colOff>230910</xdr:colOff>
      <xdr:row>104</xdr:row>
      <xdr:rowOff>150091</xdr:rowOff>
    </xdr:to>
    <xdr:sp macro="" textlink="">
      <xdr:nvSpPr>
        <xdr:cNvPr id="31" name="TextBox 30">
          <a:extLst>
            <a:ext uri="{FF2B5EF4-FFF2-40B4-BE49-F238E27FC236}">
              <a16:creationId xmlns:a16="http://schemas.microsoft.com/office/drawing/2014/main" id="{AC15F5DF-FC4C-46AC-852C-70E4F16494E0}"/>
            </a:ext>
          </a:extLst>
        </xdr:cNvPr>
        <xdr:cNvSpPr txBox="1"/>
      </xdr:nvSpPr>
      <xdr:spPr>
        <a:xfrm>
          <a:off x="3850408" y="20369262"/>
          <a:ext cx="2303320" cy="122073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Medium HLR shows</a:t>
          </a:r>
          <a:r>
            <a:rPr lang="en-US" sz="1100" baseline="0"/>
            <a:t> best performance considering the cost benefit (greatest TIN reduction; lowest TIN concentrations in unit effluent). See ANOVA for statistical analysis.</a:t>
          </a:r>
          <a:endParaRPr lang="en-US" sz="1100"/>
        </a:p>
      </xdr:txBody>
    </xdr:sp>
    <xdr:clientData/>
  </xdr:twoCellAnchor>
  <xdr:twoCellAnchor>
    <xdr:from>
      <xdr:col>23</xdr:col>
      <xdr:colOff>445846</xdr:colOff>
      <xdr:row>97</xdr:row>
      <xdr:rowOff>163177</xdr:rowOff>
    </xdr:from>
    <xdr:to>
      <xdr:col>27</xdr:col>
      <xdr:colOff>230909</xdr:colOff>
      <xdr:row>102</xdr:row>
      <xdr:rowOff>161637</xdr:rowOff>
    </xdr:to>
    <xdr:sp macro="" textlink="">
      <xdr:nvSpPr>
        <xdr:cNvPr id="30" name="TextBox 29">
          <a:extLst>
            <a:ext uri="{FF2B5EF4-FFF2-40B4-BE49-F238E27FC236}">
              <a16:creationId xmlns:a16="http://schemas.microsoft.com/office/drawing/2014/main" id="{33857277-5227-41A6-A8EC-E7F18C98CE81}"/>
            </a:ext>
          </a:extLst>
        </xdr:cNvPr>
        <xdr:cNvSpPr txBox="1"/>
      </xdr:nvSpPr>
      <xdr:spPr>
        <a:xfrm>
          <a:off x="15581937" y="20760268"/>
          <a:ext cx="2417427" cy="9798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Results show higher TIN concentration (less load reduction) with plant addition. Most</a:t>
          </a:r>
          <a:r>
            <a:rPr lang="en-US" sz="1100" baseline="0"/>
            <a:t> likely due to the presence of TIN in fertilizer in plant. Requires further investigation.</a:t>
          </a:r>
          <a:endParaRPr lang="en-US" sz="1100"/>
        </a:p>
      </xdr:txBody>
    </xdr:sp>
    <xdr:clientData/>
  </xdr:twoCellAnchor>
  <xdr:twoCellAnchor>
    <xdr:from>
      <xdr:col>32</xdr:col>
      <xdr:colOff>523007</xdr:colOff>
      <xdr:row>98</xdr:row>
      <xdr:rowOff>72350</xdr:rowOff>
    </xdr:from>
    <xdr:to>
      <xdr:col>37</xdr:col>
      <xdr:colOff>173181</xdr:colOff>
      <xdr:row>103</xdr:row>
      <xdr:rowOff>23091</xdr:rowOff>
    </xdr:to>
    <xdr:sp macro="" textlink="">
      <xdr:nvSpPr>
        <xdr:cNvPr id="29" name="TextBox 28">
          <a:extLst>
            <a:ext uri="{FF2B5EF4-FFF2-40B4-BE49-F238E27FC236}">
              <a16:creationId xmlns:a16="http://schemas.microsoft.com/office/drawing/2014/main" id="{B43C8FFB-AE1C-4763-1006-9808FBA95DC7}"/>
            </a:ext>
          </a:extLst>
        </xdr:cNvPr>
        <xdr:cNvSpPr txBox="1"/>
      </xdr:nvSpPr>
      <xdr:spPr>
        <a:xfrm>
          <a:off x="21581916" y="18902986"/>
          <a:ext cx="2940629" cy="9321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a:t>At the optimal configuration (Med HLR, Upper outlet height, with</a:t>
          </a:r>
          <a:r>
            <a:rPr lang="en-US" sz="1100" baseline="0"/>
            <a:t> plants), </a:t>
          </a:r>
          <a:r>
            <a:rPr lang="en-US" sz="1100"/>
            <a:t>CBA shows greatest TIN reduction (83.70</a:t>
          </a:r>
          <a:r>
            <a:rPr lang="en-US" sz="1100" baseline="0"/>
            <a:t> %), with lowest TIN concentrations in the unit effluent.</a:t>
          </a:r>
          <a:endParaRPr lang="en-US" sz="1100"/>
        </a:p>
      </xdr:txBody>
    </xdr:sp>
    <xdr:clientData/>
  </xdr:twoCellAnchor>
  <xdr:twoCellAnchor>
    <xdr:from>
      <xdr:col>1</xdr:col>
      <xdr:colOff>1</xdr:colOff>
      <xdr:row>123</xdr:row>
      <xdr:rowOff>50223</xdr:rowOff>
    </xdr:from>
    <xdr:to>
      <xdr:col>14</xdr:col>
      <xdr:colOff>62777</xdr:colOff>
      <xdr:row>151</xdr:row>
      <xdr:rowOff>9726</xdr:rowOff>
    </xdr:to>
    <xdr:grpSp>
      <xdr:nvGrpSpPr>
        <xdr:cNvPr id="175" name="Group 174">
          <a:extLst>
            <a:ext uri="{FF2B5EF4-FFF2-40B4-BE49-F238E27FC236}">
              <a16:creationId xmlns:a16="http://schemas.microsoft.com/office/drawing/2014/main" id="{9D954983-D4CE-45BD-A843-3307148B603B}"/>
            </a:ext>
          </a:extLst>
        </xdr:cNvPr>
        <xdr:cNvGrpSpPr/>
      </xdr:nvGrpSpPr>
      <xdr:grpSpPr>
        <a:xfrm>
          <a:off x="658092" y="26595821"/>
          <a:ext cx="8621133" cy="5778412"/>
          <a:chOff x="1339274" y="13458336"/>
          <a:chExt cx="8617526" cy="5467668"/>
        </a:xfrm>
      </xdr:grpSpPr>
      <mc:AlternateContent xmlns:mc="http://schemas.openxmlformats.org/markup-compatibility/2006">
        <mc:Choice xmlns:cx1="http://schemas.microsoft.com/office/drawing/2015/9/8/chartex" Requires="cx1">
          <xdr:graphicFrame macro="">
            <xdr:nvGraphicFramePr>
              <xdr:cNvPr id="176" name="Chart 175">
                <a:extLst>
                  <a:ext uri="{FF2B5EF4-FFF2-40B4-BE49-F238E27FC236}">
                    <a16:creationId xmlns:a16="http://schemas.microsoft.com/office/drawing/2014/main" id="{24985DDE-34E8-15B1-872B-753453AC3F99}"/>
                  </a:ext>
                </a:extLst>
              </xdr:cNvPr>
              <xdr:cNvGraphicFramePr/>
            </xdr:nvGraphicFramePr>
            <xdr:xfrm>
              <a:off x="6867201" y="13462696"/>
              <a:ext cx="2995329" cy="5463308"/>
            </xdr:xfrm>
            <a:graphic>
              <a:graphicData uri="http://schemas.microsoft.com/office/drawing/2014/chartex">
                <cx:chart xmlns:cx="http://schemas.microsoft.com/office/drawing/2014/chartex" xmlns:r="http://schemas.openxmlformats.org/officeDocument/2006/relationships" r:id="rId16"/>
              </a:graphicData>
            </a:graphic>
          </xdr:graphicFrame>
        </mc:Choice>
        <mc:Fallback>
          <xdr:sp macro="" textlink="">
            <xdr:nvSpPr>
              <xdr:cNvPr id="0" name=""/>
              <xdr:cNvSpPr>
                <a:spLocks noTextEdit="1"/>
              </xdr:cNvSpPr>
            </xdr:nvSpPr>
            <xdr:spPr>
              <a:xfrm>
                <a:off x="6867201" y="13462696"/>
                <a:ext cx="2995329" cy="546330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mc:AlternateContent xmlns:mc="http://schemas.openxmlformats.org/markup-compatibility/2006">
        <mc:Choice xmlns:cx1="http://schemas.microsoft.com/office/drawing/2015/9/8/chartex" Requires="cx1">
          <xdr:graphicFrame macro="">
            <xdr:nvGraphicFramePr>
              <xdr:cNvPr id="177" name="Chart 176">
                <a:extLst>
                  <a:ext uri="{FF2B5EF4-FFF2-40B4-BE49-F238E27FC236}">
                    <a16:creationId xmlns:a16="http://schemas.microsoft.com/office/drawing/2014/main" id="{6809EA72-3A7D-B855-A767-D001A283B5CA}"/>
                  </a:ext>
                </a:extLst>
              </xdr:cNvPr>
              <xdr:cNvGraphicFramePr/>
            </xdr:nvGraphicFramePr>
            <xdr:xfrm>
              <a:off x="4099875" y="13458336"/>
              <a:ext cx="3023672" cy="5457308"/>
            </xdr:xfrm>
            <a:graphic>
              <a:graphicData uri="http://schemas.microsoft.com/office/drawing/2014/chartex">
                <cx:chart xmlns:cx="http://schemas.microsoft.com/office/drawing/2014/chartex" xmlns:r="http://schemas.openxmlformats.org/officeDocument/2006/relationships" r:id="rId17"/>
              </a:graphicData>
            </a:graphic>
          </xdr:graphicFrame>
        </mc:Choice>
        <mc:Fallback>
          <xdr:sp macro="" textlink="">
            <xdr:nvSpPr>
              <xdr:cNvPr id="0" name=""/>
              <xdr:cNvSpPr>
                <a:spLocks noTextEdit="1"/>
              </xdr:cNvSpPr>
            </xdr:nvSpPr>
            <xdr:spPr>
              <a:xfrm>
                <a:off x="4099875" y="13458336"/>
                <a:ext cx="3023672" cy="545730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mc:AlternateContent xmlns:mc="http://schemas.openxmlformats.org/markup-compatibility/2006">
        <mc:Choice xmlns:cx1="http://schemas.microsoft.com/office/drawing/2015/9/8/chartex" Requires="cx1">
          <xdr:graphicFrame macro="">
            <xdr:nvGraphicFramePr>
              <xdr:cNvPr id="178" name="Chart 177">
                <a:extLst>
                  <a:ext uri="{FF2B5EF4-FFF2-40B4-BE49-F238E27FC236}">
                    <a16:creationId xmlns:a16="http://schemas.microsoft.com/office/drawing/2014/main" id="{6EE5E41B-5C75-3BF1-1D30-A0EFDB51D961}"/>
                  </a:ext>
                </a:extLst>
              </xdr:cNvPr>
              <xdr:cNvGraphicFramePr/>
            </xdr:nvGraphicFramePr>
            <xdr:xfrm>
              <a:off x="1339274" y="13462707"/>
              <a:ext cx="2921000" cy="5457308"/>
            </xdr:xfrm>
            <a:graphic>
              <a:graphicData uri="http://schemas.microsoft.com/office/drawing/2014/chartex">
                <cx:chart xmlns:cx="http://schemas.microsoft.com/office/drawing/2014/chartex" xmlns:r="http://schemas.openxmlformats.org/officeDocument/2006/relationships" r:id="rId18"/>
              </a:graphicData>
            </a:graphic>
          </xdr:graphicFrame>
        </mc:Choice>
        <mc:Fallback>
          <xdr:sp macro="" textlink="">
            <xdr:nvSpPr>
              <xdr:cNvPr id="0" name=""/>
              <xdr:cNvSpPr>
                <a:spLocks noTextEdit="1"/>
              </xdr:cNvSpPr>
            </xdr:nvSpPr>
            <xdr:spPr>
              <a:xfrm>
                <a:off x="1339274" y="13462707"/>
                <a:ext cx="2921000" cy="545730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sp macro="" textlink="">
        <xdr:nvSpPr>
          <xdr:cNvPr id="179" name="TextBox 178">
            <a:extLst>
              <a:ext uri="{FF2B5EF4-FFF2-40B4-BE49-F238E27FC236}">
                <a16:creationId xmlns:a16="http://schemas.microsoft.com/office/drawing/2014/main" id="{FCE7CCF7-7A41-0F64-B939-C84FD5F0A0CA}"/>
              </a:ext>
            </a:extLst>
          </xdr:cNvPr>
          <xdr:cNvSpPr txBox="1"/>
        </xdr:nvSpPr>
        <xdr:spPr>
          <a:xfrm>
            <a:off x="2828636" y="18659765"/>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CBA Unit</a:t>
            </a:r>
          </a:p>
        </xdr:txBody>
      </xdr:sp>
      <xdr:sp macro="" textlink="">
        <xdr:nvSpPr>
          <xdr:cNvPr id="180" name="TextBox 179">
            <a:extLst>
              <a:ext uri="{FF2B5EF4-FFF2-40B4-BE49-F238E27FC236}">
                <a16:creationId xmlns:a16="http://schemas.microsoft.com/office/drawing/2014/main" id="{5149A6C9-C5B6-3A91-CDF1-0F20842A0A93}"/>
              </a:ext>
            </a:extLst>
          </xdr:cNvPr>
          <xdr:cNvSpPr txBox="1"/>
        </xdr:nvSpPr>
        <xdr:spPr>
          <a:xfrm>
            <a:off x="3683000" y="18657455"/>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PBA Unit</a:t>
            </a:r>
          </a:p>
        </xdr:txBody>
      </xdr:sp>
      <xdr:sp macro="" textlink="">
        <xdr:nvSpPr>
          <xdr:cNvPr id="181" name="TextBox 180">
            <a:extLst>
              <a:ext uri="{FF2B5EF4-FFF2-40B4-BE49-F238E27FC236}">
                <a16:creationId xmlns:a16="http://schemas.microsoft.com/office/drawing/2014/main" id="{DF2F9A26-E54D-AEF9-2C11-5DE270338821}"/>
              </a:ext>
            </a:extLst>
          </xdr:cNvPr>
          <xdr:cNvSpPr txBox="1"/>
        </xdr:nvSpPr>
        <xdr:spPr>
          <a:xfrm>
            <a:off x="1997364" y="18657454"/>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Influent</a:t>
            </a:r>
          </a:p>
        </xdr:txBody>
      </xdr:sp>
      <xdr:sp macro="" textlink="">
        <xdr:nvSpPr>
          <xdr:cNvPr id="182" name="TextBox 181">
            <a:extLst>
              <a:ext uri="{FF2B5EF4-FFF2-40B4-BE49-F238E27FC236}">
                <a16:creationId xmlns:a16="http://schemas.microsoft.com/office/drawing/2014/main" id="{53BF35B1-98CD-9087-44C9-98D73D3C6A1E}"/>
              </a:ext>
            </a:extLst>
          </xdr:cNvPr>
          <xdr:cNvSpPr txBox="1"/>
        </xdr:nvSpPr>
        <xdr:spPr>
          <a:xfrm>
            <a:off x="5440217" y="18650529"/>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CBA Unit</a:t>
            </a:r>
          </a:p>
        </xdr:txBody>
      </xdr:sp>
      <xdr:sp macro="" textlink="">
        <xdr:nvSpPr>
          <xdr:cNvPr id="183" name="TextBox 182">
            <a:extLst>
              <a:ext uri="{FF2B5EF4-FFF2-40B4-BE49-F238E27FC236}">
                <a16:creationId xmlns:a16="http://schemas.microsoft.com/office/drawing/2014/main" id="{1DD79DBA-A5AA-26A8-A0A9-EEF00FB6FB02}"/>
              </a:ext>
            </a:extLst>
          </xdr:cNvPr>
          <xdr:cNvSpPr txBox="1"/>
        </xdr:nvSpPr>
        <xdr:spPr>
          <a:xfrm>
            <a:off x="6294581" y="18648219"/>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PBA Unit</a:t>
            </a:r>
          </a:p>
        </xdr:txBody>
      </xdr:sp>
      <xdr:sp macro="" textlink="">
        <xdr:nvSpPr>
          <xdr:cNvPr id="184" name="TextBox 183">
            <a:extLst>
              <a:ext uri="{FF2B5EF4-FFF2-40B4-BE49-F238E27FC236}">
                <a16:creationId xmlns:a16="http://schemas.microsoft.com/office/drawing/2014/main" id="{3202DF0D-89DD-7A0C-5F26-76DC1BB3BAB8}"/>
              </a:ext>
            </a:extLst>
          </xdr:cNvPr>
          <xdr:cNvSpPr txBox="1"/>
        </xdr:nvSpPr>
        <xdr:spPr>
          <a:xfrm>
            <a:off x="4608945" y="18648218"/>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Influent</a:t>
            </a:r>
          </a:p>
        </xdr:txBody>
      </xdr:sp>
      <xdr:sp macro="" textlink="">
        <xdr:nvSpPr>
          <xdr:cNvPr id="185" name="TextBox 184">
            <a:extLst>
              <a:ext uri="{FF2B5EF4-FFF2-40B4-BE49-F238E27FC236}">
                <a16:creationId xmlns:a16="http://schemas.microsoft.com/office/drawing/2014/main" id="{5BA96561-D18D-1C0B-1E73-DE205AE793BA}"/>
              </a:ext>
            </a:extLst>
          </xdr:cNvPr>
          <xdr:cNvSpPr txBox="1"/>
        </xdr:nvSpPr>
        <xdr:spPr>
          <a:xfrm>
            <a:off x="8271163" y="18641293"/>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CBA Unit</a:t>
            </a:r>
          </a:p>
        </xdr:txBody>
      </xdr:sp>
      <xdr:sp macro="" textlink="">
        <xdr:nvSpPr>
          <xdr:cNvPr id="186" name="TextBox 185">
            <a:extLst>
              <a:ext uri="{FF2B5EF4-FFF2-40B4-BE49-F238E27FC236}">
                <a16:creationId xmlns:a16="http://schemas.microsoft.com/office/drawing/2014/main" id="{3D214732-2769-CC8F-1A83-4F91D9744F97}"/>
              </a:ext>
            </a:extLst>
          </xdr:cNvPr>
          <xdr:cNvSpPr txBox="1"/>
        </xdr:nvSpPr>
        <xdr:spPr>
          <a:xfrm>
            <a:off x="9125527" y="18638983"/>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PBA Unit</a:t>
            </a:r>
          </a:p>
        </xdr:txBody>
      </xdr:sp>
      <xdr:sp macro="" textlink="">
        <xdr:nvSpPr>
          <xdr:cNvPr id="187" name="TextBox 186">
            <a:extLst>
              <a:ext uri="{FF2B5EF4-FFF2-40B4-BE49-F238E27FC236}">
                <a16:creationId xmlns:a16="http://schemas.microsoft.com/office/drawing/2014/main" id="{87C95FB8-5459-1BDA-5F88-F3595F456669}"/>
              </a:ext>
            </a:extLst>
          </xdr:cNvPr>
          <xdr:cNvSpPr txBox="1"/>
        </xdr:nvSpPr>
        <xdr:spPr>
          <a:xfrm>
            <a:off x="7439891" y="18638982"/>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Influent</a:t>
            </a:r>
          </a:p>
        </xdr:txBody>
      </xdr:sp>
    </xdr:grpSp>
    <xdr:clientData/>
  </xdr:twoCellAnchor>
  <xdr:twoCellAnchor>
    <xdr:from>
      <xdr:col>14</xdr:col>
      <xdr:colOff>417945</xdr:colOff>
      <xdr:row>123</xdr:row>
      <xdr:rowOff>0</xdr:rowOff>
    </xdr:from>
    <xdr:to>
      <xdr:col>27</xdr:col>
      <xdr:colOff>480290</xdr:colOff>
      <xdr:row>150</xdr:row>
      <xdr:rowOff>165300</xdr:rowOff>
    </xdr:to>
    <xdr:grpSp>
      <xdr:nvGrpSpPr>
        <xdr:cNvPr id="188" name="Group 187">
          <a:extLst>
            <a:ext uri="{FF2B5EF4-FFF2-40B4-BE49-F238E27FC236}">
              <a16:creationId xmlns:a16="http://schemas.microsoft.com/office/drawing/2014/main" id="{AD13F15F-7130-4EA4-9418-3520287C8AD6}"/>
            </a:ext>
          </a:extLst>
        </xdr:cNvPr>
        <xdr:cNvGrpSpPr/>
      </xdr:nvGrpSpPr>
      <xdr:grpSpPr>
        <a:xfrm>
          <a:off x="9631218" y="26548773"/>
          <a:ext cx="8620702" cy="5773216"/>
          <a:chOff x="1339273" y="13458336"/>
          <a:chExt cx="8617527" cy="5464664"/>
        </a:xfrm>
      </xdr:grpSpPr>
      <mc:AlternateContent xmlns:mc="http://schemas.openxmlformats.org/markup-compatibility/2006">
        <mc:Choice xmlns:cx1="http://schemas.microsoft.com/office/drawing/2015/9/8/chartex" Requires="cx1">
          <xdr:graphicFrame macro="">
            <xdr:nvGraphicFramePr>
              <xdr:cNvPr id="189" name="Chart 188">
                <a:extLst>
                  <a:ext uri="{FF2B5EF4-FFF2-40B4-BE49-F238E27FC236}">
                    <a16:creationId xmlns:a16="http://schemas.microsoft.com/office/drawing/2014/main" id="{C14A148B-7EB1-095E-CEB2-32538D93A015}"/>
                  </a:ext>
                </a:extLst>
              </xdr:cNvPr>
              <xdr:cNvGraphicFramePr/>
            </xdr:nvGraphicFramePr>
            <xdr:xfrm>
              <a:off x="6865441" y="13465692"/>
              <a:ext cx="2945887" cy="5457308"/>
            </xdr:xfrm>
            <a:graphic>
              <a:graphicData uri="http://schemas.microsoft.com/office/drawing/2014/chartex">
                <cx:chart xmlns:cx="http://schemas.microsoft.com/office/drawing/2014/chartex" xmlns:r="http://schemas.openxmlformats.org/officeDocument/2006/relationships" r:id="rId19"/>
              </a:graphicData>
            </a:graphic>
          </xdr:graphicFrame>
        </mc:Choice>
        <mc:Fallback>
          <xdr:sp macro="" textlink="">
            <xdr:nvSpPr>
              <xdr:cNvPr id="0" name=""/>
              <xdr:cNvSpPr>
                <a:spLocks noTextEdit="1"/>
              </xdr:cNvSpPr>
            </xdr:nvSpPr>
            <xdr:spPr>
              <a:xfrm>
                <a:off x="6865441" y="13465692"/>
                <a:ext cx="2945887" cy="545730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mc:AlternateContent xmlns:mc="http://schemas.openxmlformats.org/markup-compatibility/2006">
        <mc:Choice xmlns:cx1="http://schemas.microsoft.com/office/drawing/2015/9/8/chartex" Requires="cx1">
          <xdr:graphicFrame macro="">
            <xdr:nvGraphicFramePr>
              <xdr:cNvPr id="190" name="Chart 189">
                <a:extLst>
                  <a:ext uri="{FF2B5EF4-FFF2-40B4-BE49-F238E27FC236}">
                    <a16:creationId xmlns:a16="http://schemas.microsoft.com/office/drawing/2014/main" id="{B7025D58-2711-54F7-5EFF-327B3D81C0F3}"/>
                  </a:ext>
                </a:extLst>
              </xdr:cNvPr>
              <xdr:cNvGraphicFramePr/>
            </xdr:nvGraphicFramePr>
            <xdr:xfrm>
              <a:off x="4099874" y="13458336"/>
              <a:ext cx="2928999" cy="5457308"/>
            </xdr:xfrm>
            <a:graphic>
              <a:graphicData uri="http://schemas.microsoft.com/office/drawing/2014/chartex">
                <cx:chart xmlns:cx="http://schemas.microsoft.com/office/drawing/2014/chartex" xmlns:r="http://schemas.openxmlformats.org/officeDocument/2006/relationships" r:id="rId20"/>
              </a:graphicData>
            </a:graphic>
          </xdr:graphicFrame>
        </mc:Choice>
        <mc:Fallback>
          <xdr:sp macro="" textlink="">
            <xdr:nvSpPr>
              <xdr:cNvPr id="0" name=""/>
              <xdr:cNvSpPr>
                <a:spLocks noTextEdit="1"/>
              </xdr:cNvSpPr>
            </xdr:nvSpPr>
            <xdr:spPr>
              <a:xfrm>
                <a:off x="4099874" y="13458336"/>
                <a:ext cx="2928999" cy="545730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mc:AlternateContent xmlns:mc="http://schemas.openxmlformats.org/markup-compatibility/2006">
        <mc:Choice xmlns:cx1="http://schemas.microsoft.com/office/drawing/2015/9/8/chartex" Requires="cx1">
          <xdr:graphicFrame macro="">
            <xdr:nvGraphicFramePr>
              <xdr:cNvPr id="191" name="Chart 190">
                <a:extLst>
                  <a:ext uri="{FF2B5EF4-FFF2-40B4-BE49-F238E27FC236}">
                    <a16:creationId xmlns:a16="http://schemas.microsoft.com/office/drawing/2014/main" id="{9E314E23-9ED9-2054-8355-815B4F9652EC}"/>
                  </a:ext>
                </a:extLst>
              </xdr:cNvPr>
              <xdr:cNvGraphicFramePr/>
            </xdr:nvGraphicFramePr>
            <xdr:xfrm>
              <a:off x="1339273" y="13462707"/>
              <a:ext cx="2976418" cy="5457308"/>
            </xdr:xfrm>
            <a:graphic>
              <a:graphicData uri="http://schemas.microsoft.com/office/drawing/2014/chartex">
                <cx:chart xmlns:cx="http://schemas.microsoft.com/office/drawing/2014/chartex" xmlns:r="http://schemas.openxmlformats.org/officeDocument/2006/relationships" r:id="rId21"/>
              </a:graphicData>
            </a:graphic>
          </xdr:graphicFrame>
        </mc:Choice>
        <mc:Fallback>
          <xdr:sp macro="" textlink="">
            <xdr:nvSpPr>
              <xdr:cNvPr id="0" name=""/>
              <xdr:cNvSpPr>
                <a:spLocks noTextEdit="1"/>
              </xdr:cNvSpPr>
            </xdr:nvSpPr>
            <xdr:spPr>
              <a:xfrm>
                <a:off x="1339273" y="13462707"/>
                <a:ext cx="2976418" cy="545730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sp macro="" textlink="">
        <xdr:nvSpPr>
          <xdr:cNvPr id="192" name="TextBox 191">
            <a:extLst>
              <a:ext uri="{FF2B5EF4-FFF2-40B4-BE49-F238E27FC236}">
                <a16:creationId xmlns:a16="http://schemas.microsoft.com/office/drawing/2014/main" id="{61939E4B-0921-D62C-E428-034E7DC4E4D6}"/>
              </a:ext>
            </a:extLst>
          </xdr:cNvPr>
          <xdr:cNvSpPr txBox="1"/>
        </xdr:nvSpPr>
        <xdr:spPr>
          <a:xfrm>
            <a:off x="2828636" y="18659765"/>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CBA Unit</a:t>
            </a:r>
          </a:p>
        </xdr:txBody>
      </xdr:sp>
      <xdr:sp macro="" textlink="">
        <xdr:nvSpPr>
          <xdr:cNvPr id="193" name="TextBox 192">
            <a:extLst>
              <a:ext uri="{FF2B5EF4-FFF2-40B4-BE49-F238E27FC236}">
                <a16:creationId xmlns:a16="http://schemas.microsoft.com/office/drawing/2014/main" id="{3EBAA24D-7439-A7E7-6793-5CA973D0F5BF}"/>
              </a:ext>
            </a:extLst>
          </xdr:cNvPr>
          <xdr:cNvSpPr txBox="1"/>
        </xdr:nvSpPr>
        <xdr:spPr>
          <a:xfrm>
            <a:off x="3683000" y="18657455"/>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PBA Unit</a:t>
            </a:r>
          </a:p>
        </xdr:txBody>
      </xdr:sp>
      <xdr:sp macro="" textlink="">
        <xdr:nvSpPr>
          <xdr:cNvPr id="194" name="TextBox 193">
            <a:extLst>
              <a:ext uri="{FF2B5EF4-FFF2-40B4-BE49-F238E27FC236}">
                <a16:creationId xmlns:a16="http://schemas.microsoft.com/office/drawing/2014/main" id="{67D94A02-A14B-C928-A374-4BE86C4536ED}"/>
              </a:ext>
            </a:extLst>
          </xdr:cNvPr>
          <xdr:cNvSpPr txBox="1"/>
        </xdr:nvSpPr>
        <xdr:spPr>
          <a:xfrm>
            <a:off x="1997364" y="18657454"/>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Influent</a:t>
            </a:r>
          </a:p>
        </xdr:txBody>
      </xdr:sp>
      <xdr:sp macro="" textlink="">
        <xdr:nvSpPr>
          <xdr:cNvPr id="195" name="TextBox 194">
            <a:extLst>
              <a:ext uri="{FF2B5EF4-FFF2-40B4-BE49-F238E27FC236}">
                <a16:creationId xmlns:a16="http://schemas.microsoft.com/office/drawing/2014/main" id="{3877AD18-61BF-0212-FD33-F450D7B62155}"/>
              </a:ext>
            </a:extLst>
          </xdr:cNvPr>
          <xdr:cNvSpPr txBox="1"/>
        </xdr:nvSpPr>
        <xdr:spPr>
          <a:xfrm>
            <a:off x="5440217" y="18650529"/>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CBA Unit</a:t>
            </a:r>
          </a:p>
        </xdr:txBody>
      </xdr:sp>
      <xdr:sp macro="" textlink="">
        <xdr:nvSpPr>
          <xdr:cNvPr id="196" name="TextBox 195">
            <a:extLst>
              <a:ext uri="{FF2B5EF4-FFF2-40B4-BE49-F238E27FC236}">
                <a16:creationId xmlns:a16="http://schemas.microsoft.com/office/drawing/2014/main" id="{3A657762-84B7-D655-AFAD-CD0B0FD61D3E}"/>
              </a:ext>
            </a:extLst>
          </xdr:cNvPr>
          <xdr:cNvSpPr txBox="1"/>
        </xdr:nvSpPr>
        <xdr:spPr>
          <a:xfrm>
            <a:off x="6294581" y="18648219"/>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PBA Unit</a:t>
            </a:r>
          </a:p>
        </xdr:txBody>
      </xdr:sp>
      <xdr:sp macro="" textlink="">
        <xdr:nvSpPr>
          <xdr:cNvPr id="197" name="TextBox 196">
            <a:extLst>
              <a:ext uri="{FF2B5EF4-FFF2-40B4-BE49-F238E27FC236}">
                <a16:creationId xmlns:a16="http://schemas.microsoft.com/office/drawing/2014/main" id="{804372E0-81B4-707D-DD1C-BD900908AD3C}"/>
              </a:ext>
            </a:extLst>
          </xdr:cNvPr>
          <xdr:cNvSpPr txBox="1"/>
        </xdr:nvSpPr>
        <xdr:spPr>
          <a:xfrm>
            <a:off x="4608945" y="18648218"/>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Influent</a:t>
            </a:r>
          </a:p>
        </xdr:txBody>
      </xdr:sp>
      <xdr:sp macro="" textlink="">
        <xdr:nvSpPr>
          <xdr:cNvPr id="198" name="TextBox 197">
            <a:extLst>
              <a:ext uri="{FF2B5EF4-FFF2-40B4-BE49-F238E27FC236}">
                <a16:creationId xmlns:a16="http://schemas.microsoft.com/office/drawing/2014/main" id="{E0B22A76-67F1-2EB0-8489-79AE6BAEE41D}"/>
              </a:ext>
            </a:extLst>
          </xdr:cNvPr>
          <xdr:cNvSpPr txBox="1"/>
        </xdr:nvSpPr>
        <xdr:spPr>
          <a:xfrm>
            <a:off x="8271163" y="18641293"/>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CBA Unit</a:t>
            </a:r>
          </a:p>
        </xdr:txBody>
      </xdr:sp>
      <xdr:sp macro="" textlink="">
        <xdr:nvSpPr>
          <xdr:cNvPr id="199" name="TextBox 198">
            <a:extLst>
              <a:ext uri="{FF2B5EF4-FFF2-40B4-BE49-F238E27FC236}">
                <a16:creationId xmlns:a16="http://schemas.microsoft.com/office/drawing/2014/main" id="{702DF5D1-ADD3-AE8B-C33D-FB312D558AE3}"/>
              </a:ext>
            </a:extLst>
          </xdr:cNvPr>
          <xdr:cNvSpPr txBox="1"/>
        </xdr:nvSpPr>
        <xdr:spPr>
          <a:xfrm>
            <a:off x="9125527" y="18638983"/>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PBA Unit</a:t>
            </a:r>
          </a:p>
        </xdr:txBody>
      </xdr:sp>
      <xdr:sp macro="" textlink="">
        <xdr:nvSpPr>
          <xdr:cNvPr id="200" name="TextBox 199">
            <a:extLst>
              <a:ext uri="{FF2B5EF4-FFF2-40B4-BE49-F238E27FC236}">
                <a16:creationId xmlns:a16="http://schemas.microsoft.com/office/drawing/2014/main" id="{308AEDC2-C3FE-EAAA-5FF1-B5EBC1BA51E8}"/>
              </a:ext>
            </a:extLst>
          </xdr:cNvPr>
          <xdr:cNvSpPr txBox="1"/>
        </xdr:nvSpPr>
        <xdr:spPr>
          <a:xfrm>
            <a:off x="7439891" y="18638982"/>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Influent</a:t>
            </a:r>
          </a:p>
        </xdr:txBody>
      </xdr:sp>
    </xdr:grpSp>
    <xdr:clientData/>
  </xdr:twoCellAnchor>
  <xdr:twoCellAnchor>
    <xdr:from>
      <xdr:col>28</xdr:col>
      <xdr:colOff>60035</xdr:colOff>
      <xdr:row>123</xdr:row>
      <xdr:rowOff>62099</xdr:rowOff>
    </xdr:from>
    <xdr:to>
      <xdr:col>39</xdr:col>
      <xdr:colOff>136235</xdr:colOff>
      <xdr:row>151</xdr:row>
      <xdr:rowOff>52864</xdr:rowOff>
    </xdr:to>
    <xdr:grpSp>
      <xdr:nvGrpSpPr>
        <xdr:cNvPr id="201" name="Group 200">
          <a:extLst>
            <a:ext uri="{FF2B5EF4-FFF2-40B4-BE49-F238E27FC236}">
              <a16:creationId xmlns:a16="http://schemas.microsoft.com/office/drawing/2014/main" id="{C2744E0F-31F4-447D-A7C6-21A531C12787}"/>
            </a:ext>
          </a:extLst>
        </xdr:cNvPr>
        <xdr:cNvGrpSpPr/>
      </xdr:nvGrpSpPr>
      <xdr:grpSpPr>
        <a:xfrm>
          <a:off x="18486580" y="26614047"/>
          <a:ext cx="7315200" cy="5803324"/>
          <a:chOff x="18315707" y="20048236"/>
          <a:chExt cx="7315200" cy="5486400"/>
        </a:xfrm>
      </xdr:grpSpPr>
      <mc:AlternateContent xmlns:mc="http://schemas.openxmlformats.org/markup-compatibility/2006">
        <mc:Choice xmlns:cx1="http://schemas.microsoft.com/office/drawing/2015/9/8/chartex" Requires="cx1">
          <xdr:graphicFrame macro="">
            <xdr:nvGraphicFramePr>
              <xdr:cNvPr id="202" name="Chart 201">
                <a:extLst>
                  <a:ext uri="{FF2B5EF4-FFF2-40B4-BE49-F238E27FC236}">
                    <a16:creationId xmlns:a16="http://schemas.microsoft.com/office/drawing/2014/main" id="{DDCB5254-2114-B85F-B389-45B165CCB49A}"/>
                  </a:ext>
                </a:extLst>
              </xdr:cNvPr>
              <xdr:cNvGraphicFramePr/>
            </xdr:nvGraphicFramePr>
            <xdr:xfrm>
              <a:off x="18315707" y="20048236"/>
              <a:ext cx="7315200" cy="5486400"/>
            </xdr:xfrm>
            <a:graphic>
              <a:graphicData uri="http://schemas.microsoft.com/office/drawing/2014/chartex">
                <cx:chart xmlns:cx="http://schemas.microsoft.com/office/drawing/2014/chartex" xmlns:r="http://schemas.openxmlformats.org/officeDocument/2006/relationships" r:id="rId22"/>
              </a:graphicData>
            </a:graphic>
          </xdr:graphicFrame>
        </mc:Choice>
        <mc:Fallback>
          <xdr:sp macro="" textlink="">
            <xdr:nvSpPr>
              <xdr:cNvPr id="0" name=""/>
              <xdr:cNvSpPr>
                <a:spLocks noTextEdit="1"/>
              </xdr:cNvSpPr>
            </xdr:nvSpPr>
            <xdr:spPr>
              <a:xfrm>
                <a:off x="18315707" y="20048236"/>
                <a:ext cx="7315200" cy="54864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sp macro="" textlink="">
        <xdr:nvSpPr>
          <xdr:cNvPr id="203" name="TextBox 202">
            <a:extLst>
              <a:ext uri="{FF2B5EF4-FFF2-40B4-BE49-F238E27FC236}">
                <a16:creationId xmlns:a16="http://schemas.microsoft.com/office/drawing/2014/main" id="{CA8FD709-8218-B028-D039-114BADA72BE4}"/>
              </a:ext>
            </a:extLst>
          </xdr:cNvPr>
          <xdr:cNvSpPr txBox="1"/>
        </xdr:nvSpPr>
        <xdr:spPr>
          <a:xfrm>
            <a:off x="21883259" y="25264720"/>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CBA Unit</a:t>
            </a:r>
          </a:p>
        </xdr:txBody>
      </xdr:sp>
      <xdr:sp macro="" textlink="">
        <xdr:nvSpPr>
          <xdr:cNvPr id="204" name="TextBox 203">
            <a:extLst>
              <a:ext uri="{FF2B5EF4-FFF2-40B4-BE49-F238E27FC236}">
                <a16:creationId xmlns:a16="http://schemas.microsoft.com/office/drawing/2014/main" id="{65822582-CAA6-6FF4-405C-586965803C04}"/>
              </a:ext>
            </a:extLst>
          </xdr:cNvPr>
          <xdr:cNvSpPr txBox="1"/>
        </xdr:nvSpPr>
        <xdr:spPr>
          <a:xfrm>
            <a:off x="24053806" y="25262410"/>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PBA Unit</a:t>
            </a:r>
          </a:p>
        </xdr:txBody>
      </xdr:sp>
      <xdr:sp macro="" textlink="">
        <xdr:nvSpPr>
          <xdr:cNvPr id="205" name="TextBox 204">
            <a:extLst>
              <a:ext uri="{FF2B5EF4-FFF2-40B4-BE49-F238E27FC236}">
                <a16:creationId xmlns:a16="http://schemas.microsoft.com/office/drawing/2014/main" id="{31CDE679-DC94-C2D2-D447-D65BD9E756D9}"/>
              </a:ext>
            </a:extLst>
          </xdr:cNvPr>
          <xdr:cNvSpPr txBox="1"/>
        </xdr:nvSpPr>
        <xdr:spPr>
          <a:xfrm>
            <a:off x="19724254" y="25262409"/>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Influent</a:t>
            </a:r>
          </a:p>
        </xdr:txBody>
      </xdr:sp>
    </xdr:grpSp>
    <xdr:clientData/>
  </xdr:twoCellAnchor>
  <xdr:twoCellAnchor>
    <xdr:from>
      <xdr:col>6</xdr:col>
      <xdr:colOff>72735</xdr:colOff>
      <xdr:row>127</xdr:row>
      <xdr:rowOff>129126</xdr:rowOff>
    </xdr:from>
    <xdr:to>
      <xdr:col>9</xdr:col>
      <xdr:colOff>538403</xdr:colOff>
      <xdr:row>132</xdr:row>
      <xdr:rowOff>150292</xdr:rowOff>
    </xdr:to>
    <xdr:sp macro="" textlink="">
      <xdr:nvSpPr>
        <xdr:cNvPr id="206" name="TextBox 205">
          <a:extLst>
            <a:ext uri="{FF2B5EF4-FFF2-40B4-BE49-F238E27FC236}">
              <a16:creationId xmlns:a16="http://schemas.microsoft.com/office/drawing/2014/main" id="{2A0D2094-7E32-4F11-8845-C335AE39E54F}"/>
            </a:ext>
          </a:extLst>
        </xdr:cNvPr>
        <xdr:cNvSpPr txBox="1"/>
      </xdr:nvSpPr>
      <xdr:spPr>
        <a:xfrm>
          <a:off x="4021280" y="24651671"/>
          <a:ext cx="2439941" cy="10025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Medium HLR shows</a:t>
          </a:r>
          <a:r>
            <a:rPr lang="en-US" sz="1100" baseline="0"/>
            <a:t> best performance considering the cost benefit (greatest TP reduction; lowest TP concentrations in unit effluent). See ANOVA for statistical analysis.</a:t>
          </a:r>
          <a:endParaRPr lang="en-US" sz="1100"/>
        </a:p>
      </xdr:txBody>
    </xdr:sp>
    <xdr:clientData/>
  </xdr:twoCellAnchor>
  <xdr:twoCellAnchor>
    <xdr:from>
      <xdr:col>23</xdr:col>
      <xdr:colOff>616719</xdr:colOff>
      <xdr:row>126</xdr:row>
      <xdr:rowOff>185314</xdr:rowOff>
    </xdr:from>
    <xdr:to>
      <xdr:col>27</xdr:col>
      <xdr:colOff>401782</xdr:colOff>
      <xdr:row>131</xdr:row>
      <xdr:rowOff>183774</xdr:rowOff>
    </xdr:to>
    <xdr:sp macro="" textlink="">
      <xdr:nvSpPr>
        <xdr:cNvPr id="207" name="TextBox 206">
          <a:extLst>
            <a:ext uri="{FF2B5EF4-FFF2-40B4-BE49-F238E27FC236}">
              <a16:creationId xmlns:a16="http://schemas.microsoft.com/office/drawing/2014/main" id="{F42DBE6E-6259-46FE-8F3D-95C582BE27BE}"/>
            </a:ext>
          </a:extLst>
        </xdr:cNvPr>
        <xdr:cNvSpPr txBox="1"/>
      </xdr:nvSpPr>
      <xdr:spPr>
        <a:xfrm>
          <a:off x="15752810" y="24511587"/>
          <a:ext cx="2417427" cy="97982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Results show higher TP concentration (less load reduction) with plant addition. Most</a:t>
          </a:r>
          <a:r>
            <a:rPr lang="en-US" sz="1100" baseline="0"/>
            <a:t> likely due to the presence of TP in fertilizer in plant. Requires further investigation.</a:t>
          </a:r>
          <a:endParaRPr lang="en-US" sz="1100"/>
        </a:p>
      </xdr:txBody>
    </xdr:sp>
    <xdr:clientData/>
  </xdr:twoCellAnchor>
  <xdr:twoCellAnchor>
    <xdr:from>
      <xdr:col>32</xdr:col>
      <xdr:colOff>128154</xdr:colOff>
      <xdr:row>127</xdr:row>
      <xdr:rowOff>94487</xdr:rowOff>
    </xdr:from>
    <xdr:to>
      <xdr:col>35</xdr:col>
      <xdr:colOff>623455</xdr:colOff>
      <xdr:row>132</xdr:row>
      <xdr:rowOff>69088</xdr:rowOff>
    </xdr:to>
    <xdr:sp macro="" textlink="">
      <xdr:nvSpPr>
        <xdr:cNvPr id="208" name="TextBox 207">
          <a:extLst>
            <a:ext uri="{FF2B5EF4-FFF2-40B4-BE49-F238E27FC236}">
              <a16:creationId xmlns:a16="http://schemas.microsoft.com/office/drawing/2014/main" id="{6D6AD09A-FF7D-4636-B959-D6A7D51C5CAE}"/>
            </a:ext>
          </a:extLst>
        </xdr:cNvPr>
        <xdr:cNvSpPr txBox="1"/>
      </xdr:nvSpPr>
      <xdr:spPr>
        <a:xfrm>
          <a:off x="21187063" y="24617032"/>
          <a:ext cx="2469574" cy="9559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At the optimal configuration (Med HLR, Upper outlet height, with</a:t>
          </a:r>
          <a:r>
            <a:rPr lang="en-US" sz="1100" baseline="0"/>
            <a:t> plants), </a:t>
          </a:r>
          <a:r>
            <a:rPr lang="en-US" sz="1100"/>
            <a:t>CBA shows greatest TP reduction (54.25 </a:t>
          </a:r>
          <a:r>
            <a:rPr lang="en-US" sz="1100" baseline="0"/>
            <a:t>%), with lowest TP concentrations in the unit effluent.</a:t>
          </a:r>
          <a:endParaRPr lang="en-US" sz="1100"/>
        </a:p>
      </xdr:txBody>
    </xdr:sp>
    <xdr:clientData/>
  </xdr:twoCellAnchor>
  <xdr:twoCellAnchor>
    <xdr:from>
      <xdr:col>32</xdr:col>
      <xdr:colOff>611908</xdr:colOff>
      <xdr:row>112</xdr:row>
      <xdr:rowOff>138543</xdr:rowOff>
    </xdr:from>
    <xdr:to>
      <xdr:col>34</xdr:col>
      <xdr:colOff>588818</xdr:colOff>
      <xdr:row>114</xdr:row>
      <xdr:rowOff>184727</xdr:rowOff>
    </xdr:to>
    <xdr:sp macro="" textlink="">
      <xdr:nvSpPr>
        <xdr:cNvPr id="209" name="TextBox 208">
          <a:extLst>
            <a:ext uri="{FF2B5EF4-FFF2-40B4-BE49-F238E27FC236}">
              <a16:creationId xmlns:a16="http://schemas.microsoft.com/office/drawing/2014/main" id="{DA6209D5-2393-2BD7-C94F-32EB539C9DA8}"/>
            </a:ext>
          </a:extLst>
        </xdr:cNvPr>
        <xdr:cNvSpPr txBox="1"/>
      </xdr:nvSpPr>
      <xdr:spPr>
        <a:xfrm>
          <a:off x="21670817" y="21716998"/>
          <a:ext cx="1293092" cy="4387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Arial" panose="020B0604020202020204" pitchFamily="34" charset="0"/>
              <a:cs typeface="Arial" panose="020B0604020202020204" pitchFamily="34" charset="0"/>
            </a:rPr>
            <a:t>CBA:</a:t>
          </a:r>
          <a:r>
            <a:rPr lang="en-US" sz="1100" baseline="0">
              <a:latin typeface="Arial" panose="020B0604020202020204" pitchFamily="34" charset="0"/>
              <a:cs typeface="Arial" panose="020B0604020202020204" pitchFamily="34" charset="0"/>
            </a:rPr>
            <a:t> 83.70% TIN load reduction</a:t>
          </a:r>
          <a:endParaRPr lang="en-US" sz="1100">
            <a:latin typeface="Arial" panose="020B0604020202020204" pitchFamily="34" charset="0"/>
            <a:cs typeface="Arial" panose="020B0604020202020204" pitchFamily="34" charset="0"/>
          </a:endParaRPr>
        </a:p>
      </xdr:txBody>
    </xdr:sp>
    <xdr:clientData/>
  </xdr:twoCellAnchor>
  <xdr:twoCellAnchor>
    <xdr:from>
      <xdr:col>36</xdr:col>
      <xdr:colOff>117762</xdr:colOff>
      <xdr:row>108</xdr:row>
      <xdr:rowOff>152398</xdr:rowOff>
    </xdr:from>
    <xdr:to>
      <xdr:col>38</xdr:col>
      <xdr:colOff>94672</xdr:colOff>
      <xdr:row>111</xdr:row>
      <xdr:rowOff>2309</xdr:rowOff>
    </xdr:to>
    <xdr:sp macro="" textlink="">
      <xdr:nvSpPr>
        <xdr:cNvPr id="212" name="TextBox 211">
          <a:extLst>
            <a:ext uri="{FF2B5EF4-FFF2-40B4-BE49-F238E27FC236}">
              <a16:creationId xmlns:a16="http://schemas.microsoft.com/office/drawing/2014/main" id="{0A114182-F6EC-4180-99D1-46DDE510D8E3}"/>
            </a:ext>
          </a:extLst>
        </xdr:cNvPr>
        <xdr:cNvSpPr txBox="1"/>
      </xdr:nvSpPr>
      <xdr:spPr>
        <a:xfrm>
          <a:off x="23809035" y="20945762"/>
          <a:ext cx="1293092" cy="4387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Arial" panose="020B0604020202020204" pitchFamily="34" charset="0"/>
              <a:cs typeface="Arial" panose="020B0604020202020204" pitchFamily="34" charset="0"/>
            </a:rPr>
            <a:t>PBA:</a:t>
          </a:r>
          <a:r>
            <a:rPr lang="en-US" sz="1100" baseline="0">
              <a:latin typeface="Arial" panose="020B0604020202020204" pitchFamily="34" charset="0"/>
              <a:cs typeface="Arial" panose="020B0604020202020204" pitchFamily="34" charset="0"/>
            </a:rPr>
            <a:t> 78.60% TIN load reduction</a:t>
          </a:r>
          <a:endParaRPr lang="en-US" sz="1100">
            <a:latin typeface="Arial" panose="020B0604020202020204" pitchFamily="34" charset="0"/>
            <a:cs typeface="Arial" panose="020B0604020202020204" pitchFamily="34" charset="0"/>
          </a:endParaRPr>
        </a:p>
      </xdr:txBody>
    </xdr:sp>
    <xdr:clientData/>
  </xdr:twoCellAnchor>
  <xdr:twoCellAnchor>
    <xdr:from>
      <xdr:col>33</xdr:col>
      <xdr:colOff>36944</xdr:colOff>
      <xdr:row>138</xdr:row>
      <xdr:rowOff>25399</xdr:rowOff>
    </xdr:from>
    <xdr:to>
      <xdr:col>35</xdr:col>
      <xdr:colOff>13854</xdr:colOff>
      <xdr:row>140</xdr:row>
      <xdr:rowOff>71582</xdr:rowOff>
    </xdr:to>
    <xdr:sp macro="" textlink="">
      <xdr:nvSpPr>
        <xdr:cNvPr id="213" name="TextBox 212">
          <a:extLst>
            <a:ext uri="{FF2B5EF4-FFF2-40B4-BE49-F238E27FC236}">
              <a16:creationId xmlns:a16="http://schemas.microsoft.com/office/drawing/2014/main" id="{02559FA3-30EB-4867-AEA3-C22FFAD1CEBF}"/>
            </a:ext>
          </a:extLst>
        </xdr:cNvPr>
        <xdr:cNvSpPr txBox="1"/>
      </xdr:nvSpPr>
      <xdr:spPr>
        <a:xfrm>
          <a:off x="21753944" y="26706944"/>
          <a:ext cx="1293092" cy="4387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Arial" panose="020B0604020202020204" pitchFamily="34" charset="0"/>
              <a:cs typeface="Arial" panose="020B0604020202020204" pitchFamily="34" charset="0"/>
            </a:rPr>
            <a:t>CBA:</a:t>
          </a:r>
          <a:r>
            <a:rPr lang="en-US" sz="1100" baseline="0">
              <a:latin typeface="Arial" panose="020B0604020202020204" pitchFamily="34" charset="0"/>
              <a:cs typeface="Arial" panose="020B0604020202020204" pitchFamily="34" charset="0"/>
            </a:rPr>
            <a:t> 54.25% TP load reduction</a:t>
          </a:r>
          <a:endParaRPr lang="en-US" sz="1100">
            <a:latin typeface="Arial" panose="020B0604020202020204" pitchFamily="34" charset="0"/>
            <a:cs typeface="Arial" panose="020B0604020202020204" pitchFamily="34" charset="0"/>
          </a:endParaRPr>
        </a:p>
      </xdr:txBody>
    </xdr:sp>
    <xdr:clientData/>
  </xdr:twoCellAnchor>
  <xdr:twoCellAnchor>
    <xdr:from>
      <xdr:col>36</xdr:col>
      <xdr:colOff>235525</xdr:colOff>
      <xdr:row>130</xdr:row>
      <xdr:rowOff>131616</xdr:rowOff>
    </xdr:from>
    <xdr:to>
      <xdr:col>38</xdr:col>
      <xdr:colOff>212435</xdr:colOff>
      <xdr:row>132</xdr:row>
      <xdr:rowOff>177800</xdr:rowOff>
    </xdr:to>
    <xdr:sp macro="" textlink="">
      <xdr:nvSpPr>
        <xdr:cNvPr id="214" name="TextBox 213">
          <a:extLst>
            <a:ext uri="{FF2B5EF4-FFF2-40B4-BE49-F238E27FC236}">
              <a16:creationId xmlns:a16="http://schemas.microsoft.com/office/drawing/2014/main" id="{2422F3E6-21AC-4B0E-8DBE-2845478DA660}"/>
            </a:ext>
          </a:extLst>
        </xdr:cNvPr>
        <xdr:cNvSpPr txBox="1"/>
      </xdr:nvSpPr>
      <xdr:spPr>
        <a:xfrm>
          <a:off x="23926798" y="25242980"/>
          <a:ext cx="1293092" cy="4387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Arial" panose="020B0604020202020204" pitchFamily="34" charset="0"/>
              <a:cs typeface="Arial" panose="020B0604020202020204" pitchFamily="34" charset="0"/>
            </a:rPr>
            <a:t>PBA:</a:t>
          </a:r>
          <a:r>
            <a:rPr lang="en-US" sz="1100" baseline="0">
              <a:latin typeface="Arial" panose="020B0604020202020204" pitchFamily="34" charset="0"/>
              <a:cs typeface="Arial" panose="020B0604020202020204" pitchFamily="34" charset="0"/>
            </a:rPr>
            <a:t> 6.94% TP load reduction</a:t>
          </a:r>
          <a:endParaRPr lang="en-US" sz="1100">
            <a:latin typeface="Arial" panose="020B0604020202020204" pitchFamily="34" charset="0"/>
            <a:cs typeface="Arial" panose="020B0604020202020204" pitchFamily="34" charset="0"/>
          </a:endParaRPr>
        </a:p>
      </xdr:txBody>
    </xdr:sp>
    <xdr:clientData/>
  </xdr:twoCellAnchor>
  <xdr:twoCellAnchor>
    <xdr:from>
      <xdr:col>1</xdr:col>
      <xdr:colOff>0</xdr:colOff>
      <xdr:row>201</xdr:row>
      <xdr:rowOff>0</xdr:rowOff>
    </xdr:from>
    <xdr:to>
      <xdr:col>13</xdr:col>
      <xdr:colOff>357524</xdr:colOff>
      <xdr:row>223</xdr:row>
      <xdr:rowOff>148166</xdr:rowOff>
    </xdr:to>
    <xdr:graphicFrame macro="">
      <xdr:nvGraphicFramePr>
        <xdr:cNvPr id="215" name="Chart 214">
          <a:extLst>
            <a:ext uri="{FF2B5EF4-FFF2-40B4-BE49-F238E27FC236}">
              <a16:creationId xmlns:a16="http://schemas.microsoft.com/office/drawing/2014/main" id="{B6B1490B-BD0E-4CEF-B2EA-7FA52034F1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14</xdr:col>
      <xdr:colOff>492992</xdr:colOff>
      <xdr:row>201</xdr:row>
      <xdr:rowOff>4232</xdr:rowOff>
    </xdr:from>
    <xdr:to>
      <xdr:col>27</xdr:col>
      <xdr:colOff>190501</xdr:colOff>
      <xdr:row>223</xdr:row>
      <xdr:rowOff>152398</xdr:rowOff>
    </xdr:to>
    <xdr:graphicFrame macro="">
      <xdr:nvGraphicFramePr>
        <xdr:cNvPr id="216" name="Chart 215">
          <a:extLst>
            <a:ext uri="{FF2B5EF4-FFF2-40B4-BE49-F238E27FC236}">
              <a16:creationId xmlns:a16="http://schemas.microsoft.com/office/drawing/2014/main" id="{329EF098-B0AF-4A9C-B739-6155DF3403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1</xdr:col>
      <xdr:colOff>0</xdr:colOff>
      <xdr:row>237</xdr:row>
      <xdr:rowOff>0</xdr:rowOff>
    </xdr:from>
    <xdr:to>
      <xdr:col>13</xdr:col>
      <xdr:colOff>357524</xdr:colOff>
      <xdr:row>259</xdr:row>
      <xdr:rowOff>148166</xdr:rowOff>
    </xdr:to>
    <xdr:graphicFrame macro="">
      <xdr:nvGraphicFramePr>
        <xdr:cNvPr id="217" name="Chart 216">
          <a:extLst>
            <a:ext uri="{FF2B5EF4-FFF2-40B4-BE49-F238E27FC236}">
              <a16:creationId xmlns:a16="http://schemas.microsoft.com/office/drawing/2014/main" id="{402E76E3-F7F4-426C-B455-75FDD4B8E8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14</xdr:col>
      <xdr:colOff>492992</xdr:colOff>
      <xdr:row>237</xdr:row>
      <xdr:rowOff>4232</xdr:rowOff>
    </xdr:from>
    <xdr:to>
      <xdr:col>27</xdr:col>
      <xdr:colOff>190501</xdr:colOff>
      <xdr:row>259</xdr:row>
      <xdr:rowOff>152398</xdr:rowOff>
    </xdr:to>
    <xdr:graphicFrame macro="">
      <xdr:nvGraphicFramePr>
        <xdr:cNvPr id="218" name="Chart 217">
          <a:extLst>
            <a:ext uri="{FF2B5EF4-FFF2-40B4-BE49-F238E27FC236}">
              <a16:creationId xmlns:a16="http://schemas.microsoft.com/office/drawing/2014/main" id="{4B645E9D-F7A6-464E-A2B8-D96CBD1DA2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1</xdr:col>
      <xdr:colOff>0</xdr:colOff>
      <xdr:row>273</xdr:row>
      <xdr:rowOff>0</xdr:rowOff>
    </xdr:from>
    <xdr:to>
      <xdr:col>13</xdr:col>
      <xdr:colOff>357524</xdr:colOff>
      <xdr:row>295</xdr:row>
      <xdr:rowOff>148166</xdr:rowOff>
    </xdr:to>
    <xdr:graphicFrame macro="">
      <xdr:nvGraphicFramePr>
        <xdr:cNvPr id="219" name="Chart 218">
          <a:extLst>
            <a:ext uri="{FF2B5EF4-FFF2-40B4-BE49-F238E27FC236}">
              <a16:creationId xmlns:a16="http://schemas.microsoft.com/office/drawing/2014/main" id="{E50EB93F-B1BD-4A3D-A6BA-F62E2E0899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14</xdr:col>
      <xdr:colOff>492992</xdr:colOff>
      <xdr:row>273</xdr:row>
      <xdr:rowOff>4232</xdr:rowOff>
    </xdr:from>
    <xdr:to>
      <xdr:col>27</xdr:col>
      <xdr:colOff>190501</xdr:colOff>
      <xdr:row>295</xdr:row>
      <xdr:rowOff>152398</xdr:rowOff>
    </xdr:to>
    <xdr:graphicFrame macro="">
      <xdr:nvGraphicFramePr>
        <xdr:cNvPr id="220" name="Chart 219">
          <a:extLst>
            <a:ext uri="{FF2B5EF4-FFF2-40B4-BE49-F238E27FC236}">
              <a16:creationId xmlns:a16="http://schemas.microsoft.com/office/drawing/2014/main" id="{78663966-885C-4C1B-8CCA-F510132C13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1</xdr:col>
      <xdr:colOff>0</xdr:colOff>
      <xdr:row>309</xdr:row>
      <xdr:rowOff>0</xdr:rowOff>
    </xdr:from>
    <xdr:to>
      <xdr:col>13</xdr:col>
      <xdr:colOff>357524</xdr:colOff>
      <xdr:row>331</xdr:row>
      <xdr:rowOff>148166</xdr:rowOff>
    </xdr:to>
    <xdr:graphicFrame macro="">
      <xdr:nvGraphicFramePr>
        <xdr:cNvPr id="221" name="Chart 220">
          <a:extLst>
            <a:ext uri="{FF2B5EF4-FFF2-40B4-BE49-F238E27FC236}">
              <a16:creationId xmlns:a16="http://schemas.microsoft.com/office/drawing/2014/main" id="{8EA3CF17-0FC3-40A3-9AE1-5503291541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14</xdr:col>
      <xdr:colOff>492992</xdr:colOff>
      <xdr:row>309</xdr:row>
      <xdr:rowOff>4232</xdr:rowOff>
    </xdr:from>
    <xdr:to>
      <xdr:col>27</xdr:col>
      <xdr:colOff>190501</xdr:colOff>
      <xdr:row>331</xdr:row>
      <xdr:rowOff>152398</xdr:rowOff>
    </xdr:to>
    <xdr:graphicFrame macro="">
      <xdr:nvGraphicFramePr>
        <xdr:cNvPr id="222" name="Chart 221">
          <a:extLst>
            <a:ext uri="{FF2B5EF4-FFF2-40B4-BE49-F238E27FC236}">
              <a16:creationId xmlns:a16="http://schemas.microsoft.com/office/drawing/2014/main" id="{03596A19-CE62-46EB-A166-1E20C4829C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1</xdr:col>
      <xdr:colOff>0</xdr:colOff>
      <xdr:row>345</xdr:row>
      <xdr:rowOff>0</xdr:rowOff>
    </xdr:from>
    <xdr:to>
      <xdr:col>13</xdr:col>
      <xdr:colOff>357524</xdr:colOff>
      <xdr:row>367</xdr:row>
      <xdr:rowOff>148166</xdr:rowOff>
    </xdr:to>
    <xdr:graphicFrame macro="">
      <xdr:nvGraphicFramePr>
        <xdr:cNvPr id="223" name="Chart 222">
          <a:extLst>
            <a:ext uri="{FF2B5EF4-FFF2-40B4-BE49-F238E27FC236}">
              <a16:creationId xmlns:a16="http://schemas.microsoft.com/office/drawing/2014/main" id="{A04D6808-9BF3-403F-BC3E-318E94FB5E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26</xdr:col>
      <xdr:colOff>496454</xdr:colOff>
      <xdr:row>5</xdr:row>
      <xdr:rowOff>57728</xdr:rowOff>
    </xdr:from>
    <xdr:to>
      <xdr:col>39</xdr:col>
      <xdr:colOff>187806</xdr:colOff>
      <xdr:row>30</xdr:row>
      <xdr:rowOff>2309</xdr:rowOff>
    </xdr:to>
    <xdr:graphicFrame macro="">
      <xdr:nvGraphicFramePr>
        <xdr:cNvPr id="24" name="Chart 23">
          <a:extLst>
            <a:ext uri="{FF2B5EF4-FFF2-40B4-BE49-F238E27FC236}">
              <a16:creationId xmlns:a16="http://schemas.microsoft.com/office/drawing/2014/main" id="{B45C986D-471A-46EE-A3BF-AD3157BFEC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26</xdr:col>
      <xdr:colOff>374073</xdr:colOff>
      <xdr:row>33</xdr:row>
      <xdr:rowOff>92364</xdr:rowOff>
    </xdr:from>
    <xdr:to>
      <xdr:col>39</xdr:col>
      <xdr:colOff>65425</xdr:colOff>
      <xdr:row>58</xdr:row>
      <xdr:rowOff>36946</xdr:rowOff>
    </xdr:to>
    <xdr:graphicFrame macro="">
      <xdr:nvGraphicFramePr>
        <xdr:cNvPr id="25" name="Chart 24">
          <a:extLst>
            <a:ext uri="{FF2B5EF4-FFF2-40B4-BE49-F238E27FC236}">
              <a16:creationId xmlns:a16="http://schemas.microsoft.com/office/drawing/2014/main" id="{EC0F989A-1CC5-4E80-83BC-F6E1EF8708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28</xdr:col>
      <xdr:colOff>57728</xdr:colOff>
      <xdr:row>0</xdr:row>
      <xdr:rowOff>173182</xdr:rowOff>
    </xdr:from>
    <xdr:to>
      <xdr:col>37</xdr:col>
      <xdr:colOff>300181</xdr:colOff>
      <xdr:row>4</xdr:row>
      <xdr:rowOff>219365</xdr:rowOff>
    </xdr:to>
    <xdr:sp macro="" textlink="">
      <xdr:nvSpPr>
        <xdr:cNvPr id="7" name="TextBox 6">
          <a:extLst>
            <a:ext uri="{FF2B5EF4-FFF2-40B4-BE49-F238E27FC236}">
              <a16:creationId xmlns:a16="http://schemas.microsoft.com/office/drawing/2014/main" id="{5F157E2C-8F1D-8DD2-E029-8D6E0B6C1ACF}"/>
            </a:ext>
          </a:extLst>
        </xdr:cNvPr>
        <xdr:cNvSpPr txBox="1"/>
      </xdr:nvSpPr>
      <xdr:spPr>
        <a:xfrm>
          <a:off x="18484273" y="173182"/>
          <a:ext cx="6165272" cy="14778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t>Use EBCT instead of HRT because not enough data from tracer study and</a:t>
          </a:r>
          <a:r>
            <a:rPr lang="en-US" sz="1600" baseline="0"/>
            <a:t> wasn't able to keep HLR constant. </a:t>
          </a:r>
        </a:p>
        <a:p>
          <a:endParaRPr lang="en-US" sz="1600" baseline="0"/>
        </a:p>
        <a:p>
          <a:r>
            <a:rPr lang="en-US" sz="1600" baseline="0"/>
            <a:t>Note: EBCT will be shorter than HRT, since it did not take into account media and void space. Might overestimate removal rate.</a:t>
          </a:r>
          <a:endParaRPr lang="en-US" sz="1600"/>
        </a:p>
      </xdr:txBody>
    </xdr:sp>
    <xdr:clientData/>
  </xdr:twoCellAnchor>
  <xdr:twoCellAnchor>
    <xdr:from>
      <xdr:col>39</xdr:col>
      <xdr:colOff>473364</xdr:colOff>
      <xdr:row>5</xdr:row>
      <xdr:rowOff>69273</xdr:rowOff>
    </xdr:from>
    <xdr:to>
      <xdr:col>52</xdr:col>
      <xdr:colOff>164715</xdr:colOff>
      <xdr:row>30</xdr:row>
      <xdr:rowOff>13854</xdr:rowOff>
    </xdr:to>
    <xdr:graphicFrame macro="">
      <xdr:nvGraphicFramePr>
        <xdr:cNvPr id="26" name="Chart 25">
          <a:extLst>
            <a:ext uri="{FF2B5EF4-FFF2-40B4-BE49-F238E27FC236}">
              <a16:creationId xmlns:a16="http://schemas.microsoft.com/office/drawing/2014/main" id="{F5516386-0D0D-4E68-98D5-5F8076A232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40</xdr:col>
      <xdr:colOff>0</xdr:colOff>
      <xdr:row>34</xdr:row>
      <xdr:rowOff>0</xdr:rowOff>
    </xdr:from>
    <xdr:to>
      <xdr:col>52</xdr:col>
      <xdr:colOff>349442</xdr:colOff>
      <xdr:row>58</xdr:row>
      <xdr:rowOff>140855</xdr:rowOff>
    </xdr:to>
    <xdr:graphicFrame macro="">
      <xdr:nvGraphicFramePr>
        <xdr:cNvPr id="27" name="Chart 26">
          <a:extLst>
            <a:ext uri="{FF2B5EF4-FFF2-40B4-BE49-F238E27FC236}">
              <a16:creationId xmlns:a16="http://schemas.microsoft.com/office/drawing/2014/main" id="{10CDDD22-80B2-4383-8A96-8A9C1698AB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wsDr>
</file>

<file path=xl/drawings/drawing3.xml><?xml version="1.0" encoding="utf-8"?>
<c:userShapes xmlns:c="http://schemas.openxmlformats.org/drawingml/2006/chart">
  <cdr:relSizeAnchor xmlns:cdr="http://schemas.openxmlformats.org/drawingml/2006/chartDrawing">
    <cdr:from>
      <cdr:x>0.40435</cdr:x>
      <cdr:y>0.60726</cdr:y>
    </cdr:from>
    <cdr:to>
      <cdr:x>0.49797</cdr:x>
      <cdr:y>0.65893</cdr:y>
    </cdr:to>
    <cdr:sp macro="" textlink="">
      <cdr:nvSpPr>
        <cdr:cNvPr id="2" name="TextBox 7">
          <a:extLst xmlns:a="http://schemas.openxmlformats.org/drawingml/2006/main">
            <a:ext uri="{FF2B5EF4-FFF2-40B4-BE49-F238E27FC236}">
              <a16:creationId xmlns:a16="http://schemas.microsoft.com/office/drawing/2014/main" id="{FB59D3B8-E224-29C9-E945-19497F934BA2}"/>
            </a:ext>
          </a:extLst>
        </cdr:cNvPr>
        <cdr:cNvSpPr txBox="1"/>
      </cdr:nvSpPr>
      <cdr:spPr>
        <a:xfrm xmlns:a="http://schemas.openxmlformats.org/drawingml/2006/main">
          <a:off x="3307121" y="3267412"/>
          <a:ext cx="765711" cy="278005"/>
        </a:xfrm>
        <a:prstGeom xmlns:a="http://schemas.openxmlformats.org/drawingml/2006/main" prst="rect">
          <a:avLst/>
        </a:prstGeom>
        <a:solidFill xmlns:a="http://schemas.openxmlformats.org/drawingml/2006/main">
          <a:schemeClr val="lt1"/>
        </a:solidFill>
        <a:ln xmlns:a="http://schemas.openxmlformats.org/drawingml/2006/main" w="9525" cmpd="sng">
          <a:solidFill>
            <a:schemeClr val="lt1">
              <a:shade val="50000"/>
            </a:schemeClr>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a:t>Event</a:t>
          </a:r>
          <a:r>
            <a:rPr lang="en-US" sz="1100" baseline="0"/>
            <a:t> 7-9</a:t>
          </a:r>
          <a:endParaRPr lang="en-US" sz="1100"/>
        </a:p>
      </cdr:txBody>
    </cdr:sp>
  </cdr:relSizeAnchor>
  <cdr:relSizeAnchor xmlns:cdr="http://schemas.openxmlformats.org/drawingml/2006/chartDrawing">
    <cdr:from>
      <cdr:x>0.54703</cdr:x>
      <cdr:y>0.60494</cdr:y>
    </cdr:from>
    <cdr:to>
      <cdr:x>0.66058</cdr:x>
      <cdr:y>0.65696</cdr:y>
    </cdr:to>
    <cdr:sp macro="" textlink="">
      <cdr:nvSpPr>
        <cdr:cNvPr id="3" name="TextBox 7">
          <a:extLst xmlns:a="http://schemas.openxmlformats.org/drawingml/2006/main">
            <a:ext uri="{FF2B5EF4-FFF2-40B4-BE49-F238E27FC236}">
              <a16:creationId xmlns:a16="http://schemas.microsoft.com/office/drawing/2014/main" id="{FB59D3B8-E224-29C9-E945-19497F934BA2}"/>
            </a:ext>
          </a:extLst>
        </cdr:cNvPr>
        <cdr:cNvSpPr txBox="1"/>
      </cdr:nvSpPr>
      <cdr:spPr>
        <a:xfrm xmlns:a="http://schemas.openxmlformats.org/drawingml/2006/main">
          <a:off x="4474030" y="3254916"/>
          <a:ext cx="928761" cy="279918"/>
        </a:xfrm>
        <a:prstGeom xmlns:a="http://schemas.openxmlformats.org/drawingml/2006/main" prst="rect">
          <a:avLst/>
        </a:prstGeom>
        <a:solidFill xmlns:a="http://schemas.openxmlformats.org/drawingml/2006/main">
          <a:schemeClr val="lt1"/>
        </a:solidFill>
        <a:ln xmlns:a="http://schemas.openxmlformats.org/drawingml/2006/main" w="9525" cmpd="sng">
          <a:solidFill>
            <a:schemeClr val="lt1">
              <a:shade val="50000"/>
            </a:schemeClr>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a:t>Event</a:t>
          </a:r>
          <a:r>
            <a:rPr lang="en-US" sz="1100" baseline="0"/>
            <a:t> 10-12</a:t>
          </a:r>
          <a:endParaRPr lang="en-US" sz="1100"/>
        </a:p>
      </cdr:txBody>
    </cdr:sp>
  </cdr:relSizeAnchor>
  <cdr:relSizeAnchor xmlns:cdr="http://schemas.openxmlformats.org/drawingml/2006/chartDrawing">
    <cdr:from>
      <cdr:x>0.69644</cdr:x>
      <cdr:y>0.5186</cdr:y>
    </cdr:from>
    <cdr:to>
      <cdr:x>0.80292</cdr:x>
      <cdr:y>0.56845</cdr:y>
    </cdr:to>
    <cdr:sp macro="" textlink="">
      <cdr:nvSpPr>
        <cdr:cNvPr id="4" name="TextBox 7">
          <a:extLst xmlns:a="http://schemas.openxmlformats.org/drawingml/2006/main">
            <a:ext uri="{FF2B5EF4-FFF2-40B4-BE49-F238E27FC236}">
              <a16:creationId xmlns:a16="http://schemas.microsoft.com/office/drawing/2014/main" id="{B27E4DAA-C61D-9A99-C6C8-585F00C05E4C}"/>
            </a:ext>
          </a:extLst>
        </cdr:cNvPr>
        <cdr:cNvSpPr txBox="1"/>
      </cdr:nvSpPr>
      <cdr:spPr>
        <a:xfrm xmlns:a="http://schemas.openxmlformats.org/drawingml/2006/main">
          <a:off x="5696029" y="2790376"/>
          <a:ext cx="870930" cy="268207"/>
        </a:xfrm>
        <a:prstGeom xmlns:a="http://schemas.openxmlformats.org/drawingml/2006/main" prst="rect">
          <a:avLst/>
        </a:prstGeom>
        <a:solidFill xmlns:a="http://schemas.openxmlformats.org/drawingml/2006/main">
          <a:schemeClr val="lt1"/>
        </a:solidFill>
        <a:ln xmlns:a="http://schemas.openxmlformats.org/drawingml/2006/main" w="9525" cmpd="sng">
          <a:solidFill>
            <a:schemeClr val="lt1">
              <a:shade val="50000"/>
            </a:schemeClr>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a:t>Event</a:t>
          </a:r>
          <a:r>
            <a:rPr lang="en-US" sz="1100" baseline="0"/>
            <a:t> 13-15</a:t>
          </a:r>
          <a:endParaRPr lang="en-US" sz="1100"/>
        </a:p>
      </cdr:txBody>
    </cdr:sp>
  </cdr:relSizeAnchor>
  <cdr:relSizeAnchor xmlns:cdr="http://schemas.openxmlformats.org/drawingml/2006/chartDrawing">
    <cdr:from>
      <cdr:x>0.82703</cdr:x>
      <cdr:y>0.14752</cdr:y>
    </cdr:from>
    <cdr:to>
      <cdr:x>0.96386</cdr:x>
      <cdr:y>0.83235</cdr:y>
    </cdr:to>
    <cdr:sp macro="" textlink="">
      <cdr:nvSpPr>
        <cdr:cNvPr id="6" name="TextBox 5">
          <a:extLst xmlns:a="http://schemas.openxmlformats.org/drawingml/2006/main">
            <a:ext uri="{FF2B5EF4-FFF2-40B4-BE49-F238E27FC236}">
              <a16:creationId xmlns:a16="http://schemas.microsoft.com/office/drawing/2014/main" id="{BE373CF5-393C-EAFA-7FAB-19FAFACB19E3}"/>
            </a:ext>
          </a:extLst>
        </cdr:cNvPr>
        <cdr:cNvSpPr txBox="1"/>
      </cdr:nvSpPr>
      <cdr:spPr>
        <a:xfrm xmlns:a="http://schemas.openxmlformats.org/drawingml/2006/main">
          <a:off x="6783225" y="865568"/>
          <a:ext cx="1122276" cy="4018159"/>
        </a:xfrm>
        <a:prstGeom xmlns:a="http://schemas.openxmlformats.org/drawingml/2006/main" prst="rect">
          <a:avLst/>
        </a:prstGeom>
        <a:ln xmlns:a="http://schemas.openxmlformats.org/drawingml/2006/main" w="19050">
          <a:solidFill>
            <a:srgbClr val="FF0000"/>
          </a:solidFill>
        </a:ln>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0.84213</cdr:x>
      <cdr:y>0.07712</cdr:y>
    </cdr:from>
    <cdr:to>
      <cdr:x>0.94862</cdr:x>
      <cdr:y>0.12392</cdr:y>
    </cdr:to>
    <cdr:sp macro="" textlink="">
      <cdr:nvSpPr>
        <cdr:cNvPr id="8" name="TextBox 7">
          <a:extLst xmlns:a="http://schemas.openxmlformats.org/drawingml/2006/main">
            <a:ext uri="{FF2B5EF4-FFF2-40B4-BE49-F238E27FC236}">
              <a16:creationId xmlns:a16="http://schemas.microsoft.com/office/drawing/2014/main" id="{99585F21-BD4D-DB10-190C-C93C0B2B400D}"/>
            </a:ext>
          </a:extLst>
        </cdr:cNvPr>
        <cdr:cNvSpPr txBox="1"/>
      </cdr:nvSpPr>
      <cdr:spPr>
        <a:xfrm xmlns:a="http://schemas.openxmlformats.org/drawingml/2006/main">
          <a:off x="6887632" y="414924"/>
          <a:ext cx="870930" cy="251828"/>
        </a:xfrm>
        <a:prstGeom xmlns:a="http://schemas.openxmlformats.org/drawingml/2006/main" prst="rect">
          <a:avLst/>
        </a:prstGeom>
        <a:solidFill xmlns:a="http://schemas.openxmlformats.org/drawingml/2006/main">
          <a:schemeClr val="lt1"/>
        </a:solidFill>
        <a:ln xmlns:a="http://schemas.openxmlformats.org/drawingml/2006/main" w="9525" cmpd="sng">
          <a:solidFill>
            <a:schemeClr val="lt1">
              <a:shade val="50000"/>
            </a:schemeClr>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a:t>Event</a:t>
          </a:r>
          <a:r>
            <a:rPr lang="en-US" sz="1100" baseline="0"/>
            <a:t> 16-18</a:t>
          </a:r>
          <a:endParaRPr lang="en-US" sz="1100"/>
        </a:p>
      </cdr:txBody>
    </cdr:sp>
  </cdr:relSizeAnchor>
</c:userShapes>
</file>

<file path=xl/drawings/drawing4.xml><?xml version="1.0" encoding="utf-8"?>
<xdr:wsDr xmlns:xdr="http://schemas.openxmlformats.org/drawingml/2006/spreadsheetDrawing" xmlns:a="http://schemas.openxmlformats.org/drawingml/2006/main">
  <xdr:twoCellAnchor>
    <xdr:from>
      <xdr:col>0</xdr:col>
      <xdr:colOff>87841</xdr:colOff>
      <xdr:row>33</xdr:row>
      <xdr:rowOff>0</xdr:rowOff>
    </xdr:from>
    <xdr:to>
      <xdr:col>12</xdr:col>
      <xdr:colOff>392641</xdr:colOff>
      <xdr:row>63</xdr:row>
      <xdr:rowOff>149321</xdr:rowOff>
    </xdr:to>
    <xdr:graphicFrame macro="">
      <xdr:nvGraphicFramePr>
        <xdr:cNvPr id="2" name="Chart 1">
          <a:extLst>
            <a:ext uri="{FF2B5EF4-FFF2-40B4-BE49-F238E27FC236}">
              <a16:creationId xmlns:a16="http://schemas.microsoft.com/office/drawing/2014/main" id="{3BA78E8B-605E-4489-B200-45DD9CEB5F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474134</xdr:colOff>
      <xdr:row>33</xdr:row>
      <xdr:rowOff>3374</xdr:rowOff>
    </xdr:from>
    <xdr:to>
      <xdr:col>25</xdr:col>
      <xdr:colOff>118534</xdr:colOff>
      <xdr:row>63</xdr:row>
      <xdr:rowOff>150232</xdr:rowOff>
    </xdr:to>
    <xdr:graphicFrame macro="">
      <xdr:nvGraphicFramePr>
        <xdr:cNvPr id="3" name="Chart 2">
          <a:extLst>
            <a:ext uri="{FF2B5EF4-FFF2-40B4-BE49-F238E27FC236}">
              <a16:creationId xmlns:a16="http://schemas.microsoft.com/office/drawing/2014/main" id="{33F53065-2A52-449D-8066-C599A59A04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474131</xdr:colOff>
      <xdr:row>3</xdr:row>
      <xdr:rowOff>311729</xdr:rowOff>
    </xdr:from>
    <xdr:to>
      <xdr:col>25</xdr:col>
      <xdr:colOff>118531</xdr:colOff>
      <xdr:row>32</xdr:row>
      <xdr:rowOff>172507</xdr:rowOff>
    </xdr:to>
    <xdr:graphicFrame macro="">
      <xdr:nvGraphicFramePr>
        <xdr:cNvPr id="4" name="Chart 3">
          <a:extLst>
            <a:ext uri="{FF2B5EF4-FFF2-40B4-BE49-F238E27FC236}">
              <a16:creationId xmlns:a16="http://schemas.microsoft.com/office/drawing/2014/main" id="{C43A39C1-B9DB-4A30-9442-3090B1D152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68792</xdr:colOff>
      <xdr:row>3</xdr:row>
      <xdr:rowOff>300182</xdr:rowOff>
    </xdr:from>
    <xdr:to>
      <xdr:col>12</xdr:col>
      <xdr:colOff>373592</xdr:colOff>
      <xdr:row>32</xdr:row>
      <xdr:rowOff>152399</xdr:rowOff>
    </xdr:to>
    <xdr:graphicFrame macro="">
      <xdr:nvGraphicFramePr>
        <xdr:cNvPr id="5" name="Chart 4">
          <a:extLst>
            <a:ext uri="{FF2B5EF4-FFF2-40B4-BE49-F238E27FC236}">
              <a16:creationId xmlns:a16="http://schemas.microsoft.com/office/drawing/2014/main" id="{7AAB56A5-E710-4E83-9CD5-CBEDFF897D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366182</xdr:colOff>
      <xdr:row>165</xdr:row>
      <xdr:rowOff>6351</xdr:rowOff>
    </xdr:from>
    <xdr:to>
      <xdr:col>13</xdr:col>
      <xdr:colOff>65615</xdr:colOff>
      <xdr:row>187</xdr:row>
      <xdr:rowOff>154517</xdr:rowOff>
    </xdr:to>
    <xdr:graphicFrame macro="">
      <xdr:nvGraphicFramePr>
        <xdr:cNvPr id="6" name="Chart 5">
          <a:extLst>
            <a:ext uri="{FF2B5EF4-FFF2-40B4-BE49-F238E27FC236}">
              <a16:creationId xmlns:a16="http://schemas.microsoft.com/office/drawing/2014/main" id="{1852FE02-9C85-4CC0-BBC7-97DA83DB80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347133</xdr:colOff>
      <xdr:row>19</xdr:row>
      <xdr:rowOff>8466</xdr:rowOff>
    </xdr:from>
    <xdr:to>
      <xdr:col>2</xdr:col>
      <xdr:colOff>457200</xdr:colOff>
      <xdr:row>20</xdr:row>
      <xdr:rowOff>76199</xdr:rowOff>
    </xdr:to>
    <xdr:sp macro="" textlink="">
      <xdr:nvSpPr>
        <xdr:cNvPr id="7" name="TextBox 6">
          <a:extLst>
            <a:ext uri="{FF2B5EF4-FFF2-40B4-BE49-F238E27FC236}">
              <a16:creationId xmlns:a16="http://schemas.microsoft.com/office/drawing/2014/main" id="{472D5F48-45CA-4B06-8963-371FD5F306B4}"/>
            </a:ext>
          </a:extLst>
        </xdr:cNvPr>
        <xdr:cNvSpPr txBox="1"/>
      </xdr:nvSpPr>
      <xdr:spPr>
        <a:xfrm>
          <a:off x="1007533" y="4574116"/>
          <a:ext cx="770467" cy="2645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Event</a:t>
          </a:r>
          <a:r>
            <a:rPr lang="en-US" sz="1100" baseline="0"/>
            <a:t> 1-3</a:t>
          </a:r>
          <a:endParaRPr lang="en-US" sz="1100"/>
        </a:p>
      </xdr:txBody>
    </xdr:sp>
    <xdr:clientData/>
  </xdr:twoCellAnchor>
  <xdr:twoCellAnchor>
    <xdr:from>
      <xdr:col>3</xdr:col>
      <xdr:colOff>194733</xdr:colOff>
      <xdr:row>20</xdr:row>
      <xdr:rowOff>84665</xdr:rowOff>
    </xdr:from>
    <xdr:to>
      <xdr:col>4</xdr:col>
      <xdr:colOff>304800</xdr:colOff>
      <xdr:row>21</xdr:row>
      <xdr:rowOff>152399</xdr:rowOff>
    </xdr:to>
    <xdr:sp macro="" textlink="">
      <xdr:nvSpPr>
        <xdr:cNvPr id="8" name="TextBox 7">
          <a:extLst>
            <a:ext uri="{FF2B5EF4-FFF2-40B4-BE49-F238E27FC236}">
              <a16:creationId xmlns:a16="http://schemas.microsoft.com/office/drawing/2014/main" id="{CA84E3F9-723E-428C-957E-3487761B6A5B}"/>
            </a:ext>
          </a:extLst>
        </xdr:cNvPr>
        <xdr:cNvSpPr txBox="1"/>
      </xdr:nvSpPr>
      <xdr:spPr>
        <a:xfrm>
          <a:off x="2175933" y="4847165"/>
          <a:ext cx="770467" cy="26458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Event</a:t>
          </a:r>
          <a:r>
            <a:rPr lang="en-US" sz="1100" baseline="0"/>
            <a:t> 4-6</a:t>
          </a:r>
          <a:endParaRPr lang="en-US" sz="1100"/>
        </a:p>
      </xdr:txBody>
    </xdr:sp>
    <xdr:clientData/>
  </xdr:twoCellAnchor>
  <xdr:twoCellAnchor>
    <xdr:from>
      <xdr:col>22</xdr:col>
      <xdr:colOff>639232</xdr:colOff>
      <xdr:row>8</xdr:row>
      <xdr:rowOff>179916</xdr:rowOff>
    </xdr:from>
    <xdr:to>
      <xdr:col>24</xdr:col>
      <xdr:colOff>448733</xdr:colOff>
      <xdr:row>27</xdr:row>
      <xdr:rowOff>173182</xdr:rowOff>
    </xdr:to>
    <xdr:sp macro="" textlink="">
      <xdr:nvSpPr>
        <xdr:cNvPr id="9" name="TextBox 1">
          <a:extLst>
            <a:ext uri="{FF2B5EF4-FFF2-40B4-BE49-F238E27FC236}">
              <a16:creationId xmlns:a16="http://schemas.microsoft.com/office/drawing/2014/main" id="{0A12EE35-4AC5-481B-8C91-C10AFA28623C}"/>
            </a:ext>
          </a:extLst>
        </xdr:cNvPr>
        <xdr:cNvSpPr txBox="1"/>
      </xdr:nvSpPr>
      <xdr:spPr>
        <a:xfrm>
          <a:off x="15168032" y="2580216"/>
          <a:ext cx="1130301" cy="3733416"/>
        </a:xfrm>
        <a:prstGeom prst="rect">
          <a:avLst/>
        </a:prstGeom>
        <a:ln w="19050">
          <a:solidFill>
            <a:srgbClr val="FF0000"/>
          </a:solidFill>
        </a:ln>
      </xdr:spPr>
      <xdr:txBody>
        <a:bodyPr wrap="square" rtlCol="0"/>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endParaRPr lang="en-US" sz="1100"/>
        </a:p>
      </xdr:txBody>
    </xdr:sp>
    <xdr:clientData/>
  </xdr:twoCellAnchor>
  <xdr:twoCellAnchor>
    <xdr:from>
      <xdr:col>23</xdr:col>
      <xdr:colOff>20012</xdr:colOff>
      <xdr:row>42</xdr:row>
      <xdr:rowOff>39255</xdr:rowOff>
    </xdr:from>
    <xdr:to>
      <xdr:col>24</xdr:col>
      <xdr:colOff>485679</xdr:colOff>
      <xdr:row>58</xdr:row>
      <xdr:rowOff>127000</xdr:rowOff>
    </xdr:to>
    <xdr:sp macro="" textlink="">
      <xdr:nvSpPr>
        <xdr:cNvPr id="10" name="TextBox 1">
          <a:extLst>
            <a:ext uri="{FF2B5EF4-FFF2-40B4-BE49-F238E27FC236}">
              <a16:creationId xmlns:a16="http://schemas.microsoft.com/office/drawing/2014/main" id="{533D784A-9EA6-4E6C-9A9D-DA2A0A65DBCC}"/>
            </a:ext>
          </a:extLst>
        </xdr:cNvPr>
        <xdr:cNvSpPr txBox="1"/>
      </xdr:nvSpPr>
      <xdr:spPr>
        <a:xfrm>
          <a:off x="15209212" y="9132455"/>
          <a:ext cx="1126067" cy="3237345"/>
        </a:xfrm>
        <a:prstGeom prst="rect">
          <a:avLst/>
        </a:prstGeom>
        <a:ln w="19050">
          <a:solidFill>
            <a:srgbClr val="FF0000"/>
          </a:solidFill>
        </a:ln>
      </xdr:spPr>
      <xdr:txBody>
        <a:bodyPr wrap="square" rtlCol="0"/>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endParaRPr lang="en-US" sz="1100"/>
        </a:p>
      </xdr:txBody>
    </xdr:sp>
    <xdr:clientData/>
  </xdr:twoCellAnchor>
  <xdr:twoCellAnchor>
    <xdr:from>
      <xdr:col>10</xdr:col>
      <xdr:colOff>327890</xdr:colOff>
      <xdr:row>40</xdr:row>
      <xdr:rowOff>150091</xdr:rowOff>
    </xdr:from>
    <xdr:to>
      <xdr:col>12</xdr:col>
      <xdr:colOff>133157</xdr:colOff>
      <xdr:row>58</xdr:row>
      <xdr:rowOff>115455</xdr:rowOff>
    </xdr:to>
    <xdr:sp macro="" textlink="">
      <xdr:nvSpPr>
        <xdr:cNvPr id="11" name="TextBox 1">
          <a:extLst>
            <a:ext uri="{FF2B5EF4-FFF2-40B4-BE49-F238E27FC236}">
              <a16:creationId xmlns:a16="http://schemas.microsoft.com/office/drawing/2014/main" id="{6EE59670-1F1E-490E-A555-7EA1006AB1B7}"/>
            </a:ext>
          </a:extLst>
        </xdr:cNvPr>
        <xdr:cNvSpPr txBox="1"/>
      </xdr:nvSpPr>
      <xdr:spPr>
        <a:xfrm>
          <a:off x="6931890" y="8849591"/>
          <a:ext cx="1126067" cy="3508664"/>
        </a:xfrm>
        <a:prstGeom prst="rect">
          <a:avLst/>
        </a:prstGeom>
        <a:ln w="19050">
          <a:solidFill>
            <a:srgbClr val="FF0000"/>
          </a:solidFill>
        </a:ln>
      </xdr:spPr>
      <xdr:txBody>
        <a:bodyPr wrap="square" rtlCol="0"/>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endParaRPr lang="en-US" sz="1100"/>
        </a:p>
      </xdr:txBody>
    </xdr:sp>
    <xdr:clientData/>
  </xdr:twoCellAnchor>
  <xdr:twoCellAnchor>
    <xdr:from>
      <xdr:col>14</xdr:col>
      <xdr:colOff>23283</xdr:colOff>
      <xdr:row>8</xdr:row>
      <xdr:rowOff>124882</xdr:rowOff>
    </xdr:from>
    <xdr:to>
      <xdr:col>15</xdr:col>
      <xdr:colOff>133349</xdr:colOff>
      <xdr:row>9</xdr:row>
      <xdr:rowOff>192616</xdr:rowOff>
    </xdr:to>
    <xdr:sp macro="" textlink="">
      <xdr:nvSpPr>
        <xdr:cNvPr id="12" name="TextBox 11">
          <a:extLst>
            <a:ext uri="{FF2B5EF4-FFF2-40B4-BE49-F238E27FC236}">
              <a16:creationId xmlns:a16="http://schemas.microsoft.com/office/drawing/2014/main" id="{A4CFEFE3-5483-405B-B15C-DC0EF91D5FF7}"/>
            </a:ext>
          </a:extLst>
        </xdr:cNvPr>
        <xdr:cNvSpPr txBox="1"/>
      </xdr:nvSpPr>
      <xdr:spPr>
        <a:xfrm>
          <a:off x="9268883" y="2525182"/>
          <a:ext cx="770466" cy="26458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Event</a:t>
          </a:r>
          <a:r>
            <a:rPr lang="en-US" sz="1100" baseline="0"/>
            <a:t> 1-3</a:t>
          </a:r>
          <a:endParaRPr lang="en-US" sz="1100"/>
        </a:p>
      </xdr:txBody>
    </xdr:sp>
    <xdr:clientData/>
  </xdr:twoCellAnchor>
  <xdr:twoCellAnchor>
    <xdr:from>
      <xdr:col>15</xdr:col>
      <xdr:colOff>527049</xdr:colOff>
      <xdr:row>9</xdr:row>
      <xdr:rowOff>57149</xdr:rowOff>
    </xdr:from>
    <xdr:to>
      <xdr:col>16</xdr:col>
      <xdr:colOff>637116</xdr:colOff>
      <xdr:row>10</xdr:row>
      <xdr:rowOff>131233</xdr:rowOff>
    </xdr:to>
    <xdr:sp macro="" textlink="">
      <xdr:nvSpPr>
        <xdr:cNvPr id="13" name="TextBox 12">
          <a:extLst>
            <a:ext uri="{FF2B5EF4-FFF2-40B4-BE49-F238E27FC236}">
              <a16:creationId xmlns:a16="http://schemas.microsoft.com/office/drawing/2014/main" id="{10915493-6713-4D29-8FDC-8BFA64DAE725}"/>
            </a:ext>
          </a:extLst>
        </xdr:cNvPr>
        <xdr:cNvSpPr txBox="1"/>
      </xdr:nvSpPr>
      <xdr:spPr>
        <a:xfrm>
          <a:off x="10433049" y="2654299"/>
          <a:ext cx="770467" cy="2709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Event</a:t>
          </a:r>
          <a:r>
            <a:rPr lang="en-US" sz="1100" baseline="0"/>
            <a:t> 4-6</a:t>
          </a:r>
          <a:endParaRPr lang="en-US" sz="1100"/>
        </a:p>
      </xdr:txBody>
    </xdr:sp>
    <xdr:clientData/>
  </xdr:twoCellAnchor>
  <xdr:twoCellAnchor>
    <xdr:from>
      <xdr:col>17</xdr:col>
      <xdr:colOff>463549</xdr:colOff>
      <xdr:row>13</xdr:row>
      <xdr:rowOff>152399</xdr:rowOff>
    </xdr:from>
    <xdr:to>
      <xdr:col>18</xdr:col>
      <xdr:colOff>573093</xdr:colOff>
      <xdr:row>15</xdr:row>
      <xdr:rowOff>34587</xdr:rowOff>
    </xdr:to>
    <xdr:sp macro="" textlink="">
      <xdr:nvSpPr>
        <xdr:cNvPr id="14" name="TextBox 7">
          <a:extLst>
            <a:ext uri="{FF2B5EF4-FFF2-40B4-BE49-F238E27FC236}">
              <a16:creationId xmlns:a16="http://schemas.microsoft.com/office/drawing/2014/main" id="{BDE9B6A7-4E3C-4F0B-ADCE-53F0AFFB5F6D}"/>
            </a:ext>
          </a:extLst>
        </xdr:cNvPr>
        <xdr:cNvSpPr txBox="1"/>
      </xdr:nvSpPr>
      <xdr:spPr>
        <a:xfrm>
          <a:off x="11690349" y="3536949"/>
          <a:ext cx="769944" cy="2758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lang="en-US" sz="1100"/>
            <a:t>Event</a:t>
          </a:r>
          <a:r>
            <a:rPr lang="en-US" sz="1100" baseline="0"/>
            <a:t> 7-9</a:t>
          </a:r>
          <a:endParaRPr lang="en-US" sz="1100"/>
        </a:p>
      </xdr:txBody>
    </xdr:sp>
    <xdr:clientData/>
  </xdr:twoCellAnchor>
  <xdr:twoCellAnchor>
    <xdr:from>
      <xdr:col>19</xdr:col>
      <xdr:colOff>222251</xdr:colOff>
      <xdr:row>11</xdr:row>
      <xdr:rowOff>63500</xdr:rowOff>
    </xdr:from>
    <xdr:to>
      <xdr:col>20</xdr:col>
      <xdr:colOff>460911</xdr:colOff>
      <xdr:row>12</xdr:row>
      <xdr:rowOff>158750</xdr:rowOff>
    </xdr:to>
    <xdr:sp macro="" textlink="">
      <xdr:nvSpPr>
        <xdr:cNvPr id="15" name="TextBox 7">
          <a:extLst>
            <a:ext uri="{FF2B5EF4-FFF2-40B4-BE49-F238E27FC236}">
              <a16:creationId xmlns:a16="http://schemas.microsoft.com/office/drawing/2014/main" id="{C6CFD5B2-E758-4DEF-BD6D-375BD269C59D}"/>
            </a:ext>
          </a:extLst>
        </xdr:cNvPr>
        <xdr:cNvSpPr txBox="1"/>
      </xdr:nvSpPr>
      <xdr:spPr>
        <a:xfrm>
          <a:off x="12769851" y="3054350"/>
          <a:ext cx="899060" cy="292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lang="en-US" sz="1100"/>
            <a:t>Event</a:t>
          </a:r>
          <a:r>
            <a:rPr lang="en-US" sz="1100" baseline="0"/>
            <a:t> 10-12</a:t>
          </a:r>
          <a:endParaRPr lang="en-US" sz="1100"/>
        </a:p>
      </xdr:txBody>
    </xdr:sp>
    <xdr:clientData/>
  </xdr:twoCellAnchor>
  <xdr:twoCellAnchor>
    <xdr:from>
      <xdr:col>21</xdr:col>
      <xdr:colOff>162985</xdr:colOff>
      <xdr:row>16</xdr:row>
      <xdr:rowOff>131234</xdr:rowOff>
    </xdr:from>
    <xdr:to>
      <xdr:col>22</xdr:col>
      <xdr:colOff>401644</xdr:colOff>
      <xdr:row>18</xdr:row>
      <xdr:rowOff>25400</xdr:rowOff>
    </xdr:to>
    <xdr:sp macro="" textlink="">
      <xdr:nvSpPr>
        <xdr:cNvPr id="16" name="TextBox 7">
          <a:extLst>
            <a:ext uri="{FF2B5EF4-FFF2-40B4-BE49-F238E27FC236}">
              <a16:creationId xmlns:a16="http://schemas.microsoft.com/office/drawing/2014/main" id="{CC27F71A-6229-4AA2-BF2E-B8113FF0D816}"/>
            </a:ext>
          </a:extLst>
        </xdr:cNvPr>
        <xdr:cNvSpPr txBox="1"/>
      </xdr:nvSpPr>
      <xdr:spPr>
        <a:xfrm>
          <a:off x="14031385" y="4106334"/>
          <a:ext cx="899059" cy="28786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lang="en-US" sz="1100"/>
            <a:t>Event</a:t>
          </a:r>
          <a:r>
            <a:rPr lang="en-US" sz="1100" baseline="0"/>
            <a:t> 13-15</a:t>
          </a:r>
          <a:endParaRPr lang="en-US" sz="1100"/>
        </a:p>
      </xdr:txBody>
    </xdr:sp>
    <xdr:clientData/>
  </xdr:twoCellAnchor>
  <xdr:twoCellAnchor>
    <xdr:from>
      <xdr:col>23</xdr:col>
      <xdr:colOff>105834</xdr:colOff>
      <xdr:row>7</xdr:row>
      <xdr:rowOff>21167</xdr:rowOff>
    </xdr:from>
    <xdr:to>
      <xdr:col>24</xdr:col>
      <xdr:colOff>344493</xdr:colOff>
      <xdr:row>8</xdr:row>
      <xdr:rowOff>74083</xdr:rowOff>
    </xdr:to>
    <xdr:sp macro="" textlink="">
      <xdr:nvSpPr>
        <xdr:cNvPr id="17" name="TextBox 7">
          <a:extLst>
            <a:ext uri="{FF2B5EF4-FFF2-40B4-BE49-F238E27FC236}">
              <a16:creationId xmlns:a16="http://schemas.microsoft.com/office/drawing/2014/main" id="{5D7338F8-30D4-4318-8100-C55C7E058938}"/>
            </a:ext>
          </a:extLst>
        </xdr:cNvPr>
        <xdr:cNvSpPr txBox="1"/>
      </xdr:nvSpPr>
      <xdr:spPr>
        <a:xfrm>
          <a:off x="15295034" y="2224617"/>
          <a:ext cx="899059" cy="24976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lang="en-US" sz="1100"/>
            <a:t>Event</a:t>
          </a:r>
          <a:r>
            <a:rPr lang="en-US" sz="1100" baseline="0"/>
            <a:t> 16-18</a:t>
          </a:r>
          <a:endParaRPr lang="en-US" sz="1100"/>
        </a:p>
      </xdr:txBody>
    </xdr:sp>
    <xdr:clientData/>
  </xdr:twoCellAnchor>
  <xdr:twoCellAnchor>
    <xdr:from>
      <xdr:col>17</xdr:col>
      <xdr:colOff>575349</xdr:colOff>
      <xdr:row>5</xdr:row>
      <xdr:rowOff>143357</xdr:rowOff>
    </xdr:from>
    <xdr:to>
      <xdr:col>22</xdr:col>
      <xdr:colOff>92364</xdr:colOff>
      <xdr:row>9</xdr:row>
      <xdr:rowOff>23092</xdr:rowOff>
    </xdr:to>
    <xdr:sp macro="" textlink="">
      <xdr:nvSpPr>
        <xdr:cNvPr id="18" name="TextBox 17">
          <a:extLst>
            <a:ext uri="{FF2B5EF4-FFF2-40B4-BE49-F238E27FC236}">
              <a16:creationId xmlns:a16="http://schemas.microsoft.com/office/drawing/2014/main" id="{080E2A71-9164-4221-8C98-055032EC8677}"/>
            </a:ext>
          </a:extLst>
        </xdr:cNvPr>
        <xdr:cNvSpPr txBox="1"/>
      </xdr:nvSpPr>
      <xdr:spPr>
        <a:xfrm>
          <a:off x="11802149" y="1953107"/>
          <a:ext cx="2819015" cy="667135"/>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a:t>Event 7-9 vs Event 13-15: Average total load reduction improved for TP yet declined for TIN after the addition of Muhly </a:t>
          </a:r>
        </a:p>
      </xdr:txBody>
    </xdr:sp>
    <xdr:clientData/>
  </xdr:twoCellAnchor>
  <xdr:twoCellAnchor>
    <xdr:from>
      <xdr:col>13</xdr:col>
      <xdr:colOff>634037</xdr:colOff>
      <xdr:row>50</xdr:row>
      <xdr:rowOff>90438</xdr:rowOff>
    </xdr:from>
    <xdr:to>
      <xdr:col>16</xdr:col>
      <xdr:colOff>157787</xdr:colOff>
      <xdr:row>55</xdr:row>
      <xdr:rowOff>132772</xdr:rowOff>
    </xdr:to>
    <xdr:sp macro="" textlink="">
      <xdr:nvSpPr>
        <xdr:cNvPr id="19" name="TextBox 18">
          <a:extLst>
            <a:ext uri="{FF2B5EF4-FFF2-40B4-BE49-F238E27FC236}">
              <a16:creationId xmlns:a16="http://schemas.microsoft.com/office/drawing/2014/main" id="{14F8C8BD-2487-4FF8-AD51-6A8903C9DC1F}"/>
            </a:ext>
          </a:extLst>
        </xdr:cNvPr>
        <xdr:cNvSpPr txBox="1"/>
      </xdr:nvSpPr>
      <xdr:spPr>
        <a:xfrm>
          <a:off x="9219237" y="10758438"/>
          <a:ext cx="1504950" cy="1026584"/>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Negative % load</a:t>
          </a:r>
          <a:r>
            <a:rPr lang="en-US" sz="1100" baseline="0"/>
            <a:t> reduction of TP indicates phosphate release (P desorption) in PBA unit</a:t>
          </a:r>
          <a:endParaRPr lang="en-US" sz="1100"/>
        </a:p>
      </xdr:txBody>
    </xdr:sp>
    <xdr:clientData/>
  </xdr:twoCellAnchor>
  <xdr:twoCellAnchor>
    <xdr:from>
      <xdr:col>16</xdr:col>
      <xdr:colOff>7698</xdr:colOff>
      <xdr:row>48</xdr:row>
      <xdr:rowOff>76008</xdr:rowOff>
    </xdr:from>
    <xdr:to>
      <xdr:col>16</xdr:col>
      <xdr:colOff>378114</xdr:colOff>
      <xdr:row>57</xdr:row>
      <xdr:rowOff>113530</xdr:rowOff>
    </xdr:to>
    <xdr:sp macro="" textlink="">
      <xdr:nvSpPr>
        <xdr:cNvPr id="20" name="Left Brace 19">
          <a:extLst>
            <a:ext uri="{FF2B5EF4-FFF2-40B4-BE49-F238E27FC236}">
              <a16:creationId xmlns:a16="http://schemas.microsoft.com/office/drawing/2014/main" id="{BF422109-F527-4A5D-B165-62587B62E590}"/>
            </a:ext>
          </a:extLst>
        </xdr:cNvPr>
        <xdr:cNvSpPr/>
      </xdr:nvSpPr>
      <xdr:spPr>
        <a:xfrm>
          <a:off x="10574098" y="10350308"/>
          <a:ext cx="370416" cy="1809172"/>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9</xdr:col>
      <xdr:colOff>300182</xdr:colOff>
      <xdr:row>36</xdr:row>
      <xdr:rowOff>0</xdr:rowOff>
    </xdr:from>
    <xdr:to>
      <xdr:col>12</xdr:col>
      <xdr:colOff>161637</xdr:colOff>
      <xdr:row>39</xdr:row>
      <xdr:rowOff>57727</xdr:rowOff>
    </xdr:to>
    <xdr:sp macro="" textlink="">
      <xdr:nvSpPr>
        <xdr:cNvPr id="21" name="TextBox 20">
          <a:extLst>
            <a:ext uri="{FF2B5EF4-FFF2-40B4-BE49-F238E27FC236}">
              <a16:creationId xmlns:a16="http://schemas.microsoft.com/office/drawing/2014/main" id="{FA0C6064-A440-40C8-B245-3015B7101D18}"/>
            </a:ext>
          </a:extLst>
        </xdr:cNvPr>
        <xdr:cNvSpPr txBox="1"/>
      </xdr:nvSpPr>
      <xdr:spPr>
        <a:xfrm>
          <a:off x="6243782" y="7912100"/>
          <a:ext cx="1842655" cy="648277"/>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a:t>At</a:t>
          </a:r>
          <a:r>
            <a:rPr lang="en-US" sz="1100" baseline="0"/>
            <a:t> optimal configuration, get optimal TIN load reduction for both CBA and PBA units</a:t>
          </a:r>
          <a:endParaRPr lang="en-US" sz="1100"/>
        </a:p>
      </xdr:txBody>
    </xdr:sp>
    <xdr:clientData/>
  </xdr:twoCellAnchor>
  <xdr:twoCellAnchor>
    <xdr:from>
      <xdr:col>8</xdr:col>
      <xdr:colOff>201084</xdr:colOff>
      <xdr:row>9</xdr:row>
      <xdr:rowOff>88901</xdr:rowOff>
    </xdr:from>
    <xdr:to>
      <xdr:col>10</xdr:col>
      <xdr:colOff>57150</xdr:colOff>
      <xdr:row>12</xdr:row>
      <xdr:rowOff>137583</xdr:rowOff>
    </xdr:to>
    <xdr:sp macro="" textlink="">
      <xdr:nvSpPr>
        <xdr:cNvPr id="22" name="TextBox 21">
          <a:extLst>
            <a:ext uri="{FF2B5EF4-FFF2-40B4-BE49-F238E27FC236}">
              <a16:creationId xmlns:a16="http://schemas.microsoft.com/office/drawing/2014/main" id="{1F8CB9F4-BD56-4B7B-A55D-3670F516CFB6}"/>
            </a:ext>
          </a:extLst>
        </xdr:cNvPr>
        <xdr:cNvSpPr txBox="1"/>
      </xdr:nvSpPr>
      <xdr:spPr>
        <a:xfrm>
          <a:off x="5484284" y="2686051"/>
          <a:ext cx="1176866" cy="639232"/>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a:t>Event 16-18:</a:t>
          </a:r>
          <a:r>
            <a:rPr lang="en-US" sz="1100" b="0" baseline="0"/>
            <a:t> High influent TIN concentrations</a:t>
          </a:r>
          <a:endParaRPr lang="en-US" sz="1100" b="0"/>
        </a:p>
      </xdr:txBody>
    </xdr:sp>
    <xdr:clientData/>
  </xdr:twoCellAnchor>
  <xdr:twoCellAnchor>
    <xdr:from>
      <xdr:col>14</xdr:col>
      <xdr:colOff>201083</xdr:colOff>
      <xdr:row>165</xdr:row>
      <xdr:rowOff>10583</xdr:rowOff>
    </xdr:from>
    <xdr:to>
      <xdr:col>26</xdr:col>
      <xdr:colOff>556683</xdr:colOff>
      <xdr:row>187</xdr:row>
      <xdr:rowOff>158749</xdr:rowOff>
    </xdr:to>
    <xdr:graphicFrame macro="">
      <xdr:nvGraphicFramePr>
        <xdr:cNvPr id="23" name="Chart 22">
          <a:extLst>
            <a:ext uri="{FF2B5EF4-FFF2-40B4-BE49-F238E27FC236}">
              <a16:creationId xmlns:a16="http://schemas.microsoft.com/office/drawing/2014/main" id="{9D85F174-DE72-4745-A00A-76A9679D8F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487218</xdr:colOff>
      <xdr:row>94</xdr:row>
      <xdr:rowOff>21736</xdr:rowOff>
    </xdr:from>
    <xdr:to>
      <xdr:col>14</xdr:col>
      <xdr:colOff>25400</xdr:colOff>
      <xdr:row>121</xdr:row>
      <xdr:rowOff>187036</xdr:rowOff>
    </xdr:to>
    <xdr:grpSp>
      <xdr:nvGrpSpPr>
        <xdr:cNvPr id="24" name="Group 23">
          <a:extLst>
            <a:ext uri="{FF2B5EF4-FFF2-40B4-BE49-F238E27FC236}">
              <a16:creationId xmlns:a16="http://schemas.microsoft.com/office/drawing/2014/main" id="{699D613E-DC43-4675-B1AB-BF886C743B09}"/>
            </a:ext>
          </a:extLst>
        </xdr:cNvPr>
        <xdr:cNvGrpSpPr/>
      </xdr:nvGrpSpPr>
      <xdr:grpSpPr>
        <a:xfrm>
          <a:off x="487218" y="19498918"/>
          <a:ext cx="8751455" cy="5464663"/>
          <a:chOff x="1339273" y="13458336"/>
          <a:chExt cx="8751455" cy="5464664"/>
        </a:xfrm>
      </xdr:grpSpPr>
      <mc:AlternateContent xmlns:mc="http://schemas.openxmlformats.org/markup-compatibility/2006">
        <mc:Choice xmlns:cx1="http://schemas.microsoft.com/office/drawing/2015/9/8/chartex" Requires="cx1">
          <xdr:graphicFrame macro="">
            <xdr:nvGraphicFramePr>
              <xdr:cNvPr id="25" name="Chart 24">
                <a:extLst>
                  <a:ext uri="{FF2B5EF4-FFF2-40B4-BE49-F238E27FC236}">
                    <a16:creationId xmlns:a16="http://schemas.microsoft.com/office/drawing/2014/main" id="{C50EBE31-F3CF-D829-8EC6-68E4733C953E}"/>
                  </a:ext>
                </a:extLst>
              </xdr:cNvPr>
              <xdr:cNvGraphicFramePr/>
            </xdr:nvGraphicFramePr>
            <xdr:xfrm>
              <a:off x="6865441" y="13465692"/>
              <a:ext cx="3225287" cy="5457308"/>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6865441" y="13465692"/>
                <a:ext cx="3225287" cy="545730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mc:AlternateContent xmlns:mc="http://schemas.openxmlformats.org/markup-compatibility/2006">
        <mc:Choice xmlns:cx1="http://schemas.microsoft.com/office/drawing/2015/9/8/chartex" Requires="cx1">
          <xdr:graphicFrame macro="">
            <xdr:nvGraphicFramePr>
              <xdr:cNvPr id="26" name="Chart 25">
                <a:extLst>
                  <a:ext uri="{FF2B5EF4-FFF2-40B4-BE49-F238E27FC236}">
                    <a16:creationId xmlns:a16="http://schemas.microsoft.com/office/drawing/2014/main" id="{AC5CEFAD-7EF6-B979-7D8F-B717D2E06476}"/>
                  </a:ext>
                </a:extLst>
              </xdr:cNvPr>
              <xdr:cNvGraphicFramePr/>
            </xdr:nvGraphicFramePr>
            <xdr:xfrm>
              <a:off x="4099874" y="13458336"/>
              <a:ext cx="3225287" cy="5457308"/>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4099874" y="13458336"/>
                <a:ext cx="3225287" cy="545730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mc:AlternateContent xmlns:mc="http://schemas.openxmlformats.org/markup-compatibility/2006">
        <mc:Choice xmlns:cx1="http://schemas.microsoft.com/office/drawing/2015/9/8/chartex" Requires="cx1">
          <xdr:graphicFrame macro="">
            <xdr:nvGraphicFramePr>
              <xdr:cNvPr id="27" name="Chart 26">
                <a:extLst>
                  <a:ext uri="{FF2B5EF4-FFF2-40B4-BE49-F238E27FC236}">
                    <a16:creationId xmlns:a16="http://schemas.microsoft.com/office/drawing/2014/main" id="{9036FE53-B1C5-A7C0-49D1-E5EDA69FDB79}"/>
                  </a:ext>
                </a:extLst>
              </xdr:cNvPr>
              <xdr:cNvGraphicFramePr/>
            </xdr:nvGraphicFramePr>
            <xdr:xfrm>
              <a:off x="1339273" y="13462707"/>
              <a:ext cx="3200400" cy="5457308"/>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1339273" y="13462707"/>
                <a:ext cx="3200400" cy="545730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sp macro="" textlink="">
        <xdr:nvSpPr>
          <xdr:cNvPr id="28" name="TextBox 27">
            <a:extLst>
              <a:ext uri="{FF2B5EF4-FFF2-40B4-BE49-F238E27FC236}">
                <a16:creationId xmlns:a16="http://schemas.microsoft.com/office/drawing/2014/main" id="{6B5F621D-767D-D4F3-8D2B-03C6A3492C4D}"/>
              </a:ext>
            </a:extLst>
          </xdr:cNvPr>
          <xdr:cNvSpPr txBox="1"/>
        </xdr:nvSpPr>
        <xdr:spPr>
          <a:xfrm>
            <a:off x="2828636" y="18659765"/>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CBA Unit</a:t>
            </a:r>
          </a:p>
        </xdr:txBody>
      </xdr:sp>
      <xdr:sp macro="" textlink="">
        <xdr:nvSpPr>
          <xdr:cNvPr id="29" name="TextBox 28">
            <a:extLst>
              <a:ext uri="{FF2B5EF4-FFF2-40B4-BE49-F238E27FC236}">
                <a16:creationId xmlns:a16="http://schemas.microsoft.com/office/drawing/2014/main" id="{B745DC0E-6B67-05C4-730C-1FB753C8D458}"/>
              </a:ext>
            </a:extLst>
          </xdr:cNvPr>
          <xdr:cNvSpPr txBox="1"/>
        </xdr:nvSpPr>
        <xdr:spPr>
          <a:xfrm>
            <a:off x="3683000" y="18657455"/>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PBA Unit</a:t>
            </a:r>
          </a:p>
        </xdr:txBody>
      </xdr:sp>
      <xdr:sp macro="" textlink="">
        <xdr:nvSpPr>
          <xdr:cNvPr id="30" name="TextBox 29">
            <a:extLst>
              <a:ext uri="{FF2B5EF4-FFF2-40B4-BE49-F238E27FC236}">
                <a16:creationId xmlns:a16="http://schemas.microsoft.com/office/drawing/2014/main" id="{B4B210CD-379A-1E46-25EA-5943ECCCEC44}"/>
              </a:ext>
            </a:extLst>
          </xdr:cNvPr>
          <xdr:cNvSpPr txBox="1"/>
        </xdr:nvSpPr>
        <xdr:spPr>
          <a:xfrm>
            <a:off x="1997364" y="18657454"/>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Influent</a:t>
            </a:r>
          </a:p>
        </xdr:txBody>
      </xdr:sp>
      <xdr:sp macro="" textlink="">
        <xdr:nvSpPr>
          <xdr:cNvPr id="31" name="TextBox 30">
            <a:extLst>
              <a:ext uri="{FF2B5EF4-FFF2-40B4-BE49-F238E27FC236}">
                <a16:creationId xmlns:a16="http://schemas.microsoft.com/office/drawing/2014/main" id="{91335798-D474-5070-423B-08F6E61B256F}"/>
              </a:ext>
            </a:extLst>
          </xdr:cNvPr>
          <xdr:cNvSpPr txBox="1"/>
        </xdr:nvSpPr>
        <xdr:spPr>
          <a:xfrm>
            <a:off x="5440217" y="18650529"/>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CBA Unit</a:t>
            </a:r>
          </a:p>
        </xdr:txBody>
      </xdr:sp>
      <xdr:sp macro="" textlink="">
        <xdr:nvSpPr>
          <xdr:cNvPr id="32" name="TextBox 31">
            <a:extLst>
              <a:ext uri="{FF2B5EF4-FFF2-40B4-BE49-F238E27FC236}">
                <a16:creationId xmlns:a16="http://schemas.microsoft.com/office/drawing/2014/main" id="{47F5E1A6-71AE-1607-42B7-F2B0A255C4F8}"/>
              </a:ext>
            </a:extLst>
          </xdr:cNvPr>
          <xdr:cNvSpPr txBox="1"/>
        </xdr:nvSpPr>
        <xdr:spPr>
          <a:xfrm>
            <a:off x="6294581" y="18648219"/>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PBA Unit</a:t>
            </a:r>
          </a:p>
        </xdr:txBody>
      </xdr:sp>
      <xdr:sp macro="" textlink="">
        <xdr:nvSpPr>
          <xdr:cNvPr id="33" name="TextBox 32">
            <a:extLst>
              <a:ext uri="{FF2B5EF4-FFF2-40B4-BE49-F238E27FC236}">
                <a16:creationId xmlns:a16="http://schemas.microsoft.com/office/drawing/2014/main" id="{4B6BEF02-C6FA-EB0C-24AF-E4C8301A6664}"/>
              </a:ext>
            </a:extLst>
          </xdr:cNvPr>
          <xdr:cNvSpPr txBox="1"/>
        </xdr:nvSpPr>
        <xdr:spPr>
          <a:xfrm>
            <a:off x="4608945" y="18648218"/>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Influent</a:t>
            </a:r>
          </a:p>
        </xdr:txBody>
      </xdr:sp>
      <xdr:sp macro="" textlink="">
        <xdr:nvSpPr>
          <xdr:cNvPr id="34" name="TextBox 33">
            <a:extLst>
              <a:ext uri="{FF2B5EF4-FFF2-40B4-BE49-F238E27FC236}">
                <a16:creationId xmlns:a16="http://schemas.microsoft.com/office/drawing/2014/main" id="{5816C431-A13A-97B0-3CC0-5984C7EF1B8F}"/>
              </a:ext>
            </a:extLst>
          </xdr:cNvPr>
          <xdr:cNvSpPr txBox="1"/>
        </xdr:nvSpPr>
        <xdr:spPr>
          <a:xfrm>
            <a:off x="8271163" y="18641293"/>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CBA Unit</a:t>
            </a:r>
          </a:p>
        </xdr:txBody>
      </xdr:sp>
      <xdr:sp macro="" textlink="">
        <xdr:nvSpPr>
          <xdr:cNvPr id="35" name="TextBox 34">
            <a:extLst>
              <a:ext uri="{FF2B5EF4-FFF2-40B4-BE49-F238E27FC236}">
                <a16:creationId xmlns:a16="http://schemas.microsoft.com/office/drawing/2014/main" id="{311EC663-66D5-50D4-804D-4E71E07E3B6B}"/>
              </a:ext>
            </a:extLst>
          </xdr:cNvPr>
          <xdr:cNvSpPr txBox="1"/>
        </xdr:nvSpPr>
        <xdr:spPr>
          <a:xfrm>
            <a:off x="9125527" y="18638983"/>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PBA Unit</a:t>
            </a:r>
          </a:p>
        </xdr:txBody>
      </xdr:sp>
      <xdr:sp macro="" textlink="">
        <xdr:nvSpPr>
          <xdr:cNvPr id="36" name="TextBox 35">
            <a:extLst>
              <a:ext uri="{FF2B5EF4-FFF2-40B4-BE49-F238E27FC236}">
                <a16:creationId xmlns:a16="http://schemas.microsoft.com/office/drawing/2014/main" id="{54A64AED-4888-C6D2-88CA-AA90B1183A98}"/>
              </a:ext>
            </a:extLst>
          </xdr:cNvPr>
          <xdr:cNvSpPr txBox="1"/>
        </xdr:nvSpPr>
        <xdr:spPr>
          <a:xfrm>
            <a:off x="7439891" y="18638982"/>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Influent</a:t>
            </a:r>
          </a:p>
        </xdr:txBody>
      </xdr:sp>
    </xdr:grpSp>
    <xdr:clientData/>
  </xdr:twoCellAnchor>
  <xdr:twoCellAnchor>
    <xdr:from>
      <xdr:col>14</xdr:col>
      <xdr:colOff>247072</xdr:colOff>
      <xdr:row>93</xdr:row>
      <xdr:rowOff>174136</xdr:rowOff>
    </xdr:from>
    <xdr:to>
      <xdr:col>27</xdr:col>
      <xdr:colOff>443345</xdr:colOff>
      <xdr:row>121</xdr:row>
      <xdr:rowOff>143163</xdr:rowOff>
    </xdr:to>
    <xdr:grpSp>
      <xdr:nvGrpSpPr>
        <xdr:cNvPr id="37" name="Group 36">
          <a:extLst>
            <a:ext uri="{FF2B5EF4-FFF2-40B4-BE49-F238E27FC236}">
              <a16:creationId xmlns:a16="http://schemas.microsoft.com/office/drawing/2014/main" id="{170C84DB-BE5A-4CAC-A266-37734E13CDC5}"/>
            </a:ext>
          </a:extLst>
        </xdr:cNvPr>
        <xdr:cNvGrpSpPr/>
      </xdr:nvGrpSpPr>
      <xdr:grpSpPr>
        <a:xfrm>
          <a:off x="9460345" y="19455045"/>
          <a:ext cx="8751455" cy="5464663"/>
          <a:chOff x="1339273" y="13458336"/>
          <a:chExt cx="8751455" cy="5464664"/>
        </a:xfrm>
      </xdr:grpSpPr>
      <mc:AlternateContent xmlns:mc="http://schemas.openxmlformats.org/markup-compatibility/2006">
        <mc:Choice xmlns:cx1="http://schemas.microsoft.com/office/drawing/2015/9/8/chartex" Requires="cx1">
          <xdr:graphicFrame macro="">
            <xdr:nvGraphicFramePr>
              <xdr:cNvPr id="38" name="Chart 37">
                <a:extLst>
                  <a:ext uri="{FF2B5EF4-FFF2-40B4-BE49-F238E27FC236}">
                    <a16:creationId xmlns:a16="http://schemas.microsoft.com/office/drawing/2014/main" id="{F782180D-CEB4-51E8-DC5D-925C41B6DEC0}"/>
                  </a:ext>
                </a:extLst>
              </xdr:cNvPr>
              <xdr:cNvGraphicFramePr/>
            </xdr:nvGraphicFramePr>
            <xdr:xfrm>
              <a:off x="6865441" y="13465692"/>
              <a:ext cx="3225287" cy="5457308"/>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6865441" y="13465692"/>
                <a:ext cx="3225287" cy="545730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mc:AlternateContent xmlns:mc="http://schemas.openxmlformats.org/markup-compatibility/2006">
        <mc:Choice xmlns:cx1="http://schemas.microsoft.com/office/drawing/2015/9/8/chartex" Requires="cx1">
          <xdr:graphicFrame macro="">
            <xdr:nvGraphicFramePr>
              <xdr:cNvPr id="39" name="Chart 38">
                <a:extLst>
                  <a:ext uri="{FF2B5EF4-FFF2-40B4-BE49-F238E27FC236}">
                    <a16:creationId xmlns:a16="http://schemas.microsoft.com/office/drawing/2014/main" id="{4FBDB619-0184-A5F3-3953-7581159E0383}"/>
                  </a:ext>
                </a:extLst>
              </xdr:cNvPr>
              <xdr:cNvGraphicFramePr/>
            </xdr:nvGraphicFramePr>
            <xdr:xfrm>
              <a:off x="4099874" y="13458336"/>
              <a:ext cx="3225287" cy="5457308"/>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4099874" y="13458336"/>
                <a:ext cx="3225287" cy="545730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mc:AlternateContent xmlns:mc="http://schemas.openxmlformats.org/markup-compatibility/2006">
        <mc:Choice xmlns:cx1="http://schemas.microsoft.com/office/drawing/2015/9/8/chartex" Requires="cx1">
          <xdr:graphicFrame macro="">
            <xdr:nvGraphicFramePr>
              <xdr:cNvPr id="40" name="Chart 39">
                <a:extLst>
                  <a:ext uri="{FF2B5EF4-FFF2-40B4-BE49-F238E27FC236}">
                    <a16:creationId xmlns:a16="http://schemas.microsoft.com/office/drawing/2014/main" id="{E51A5848-A0DA-74FD-CF26-FEB0D221B2F4}"/>
                  </a:ext>
                </a:extLst>
              </xdr:cNvPr>
              <xdr:cNvGraphicFramePr/>
            </xdr:nvGraphicFramePr>
            <xdr:xfrm>
              <a:off x="1339273" y="13462707"/>
              <a:ext cx="3200400" cy="5457308"/>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1339273" y="13462707"/>
                <a:ext cx="3200400" cy="545730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sp macro="" textlink="">
        <xdr:nvSpPr>
          <xdr:cNvPr id="41" name="TextBox 40">
            <a:extLst>
              <a:ext uri="{FF2B5EF4-FFF2-40B4-BE49-F238E27FC236}">
                <a16:creationId xmlns:a16="http://schemas.microsoft.com/office/drawing/2014/main" id="{63A1FA7B-27FF-610F-2542-2D077A523C38}"/>
              </a:ext>
            </a:extLst>
          </xdr:cNvPr>
          <xdr:cNvSpPr txBox="1"/>
        </xdr:nvSpPr>
        <xdr:spPr>
          <a:xfrm>
            <a:off x="2828636" y="18659765"/>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CBA Unit</a:t>
            </a:r>
          </a:p>
        </xdr:txBody>
      </xdr:sp>
      <xdr:sp macro="" textlink="">
        <xdr:nvSpPr>
          <xdr:cNvPr id="42" name="TextBox 41">
            <a:extLst>
              <a:ext uri="{FF2B5EF4-FFF2-40B4-BE49-F238E27FC236}">
                <a16:creationId xmlns:a16="http://schemas.microsoft.com/office/drawing/2014/main" id="{F516636F-0932-9336-3009-DB5D9BF18553}"/>
              </a:ext>
            </a:extLst>
          </xdr:cNvPr>
          <xdr:cNvSpPr txBox="1"/>
        </xdr:nvSpPr>
        <xdr:spPr>
          <a:xfrm>
            <a:off x="3683000" y="18657455"/>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PBA Unit</a:t>
            </a:r>
          </a:p>
        </xdr:txBody>
      </xdr:sp>
      <xdr:sp macro="" textlink="">
        <xdr:nvSpPr>
          <xdr:cNvPr id="43" name="TextBox 42">
            <a:extLst>
              <a:ext uri="{FF2B5EF4-FFF2-40B4-BE49-F238E27FC236}">
                <a16:creationId xmlns:a16="http://schemas.microsoft.com/office/drawing/2014/main" id="{B95ADF73-6960-E910-6432-F80F848137EC}"/>
              </a:ext>
            </a:extLst>
          </xdr:cNvPr>
          <xdr:cNvSpPr txBox="1"/>
        </xdr:nvSpPr>
        <xdr:spPr>
          <a:xfrm>
            <a:off x="1997364" y="18657454"/>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Influent</a:t>
            </a:r>
          </a:p>
        </xdr:txBody>
      </xdr:sp>
      <xdr:sp macro="" textlink="">
        <xdr:nvSpPr>
          <xdr:cNvPr id="44" name="TextBox 43">
            <a:extLst>
              <a:ext uri="{FF2B5EF4-FFF2-40B4-BE49-F238E27FC236}">
                <a16:creationId xmlns:a16="http://schemas.microsoft.com/office/drawing/2014/main" id="{CB693512-C0D2-F6AC-D2B4-43965CAE8CD4}"/>
              </a:ext>
            </a:extLst>
          </xdr:cNvPr>
          <xdr:cNvSpPr txBox="1"/>
        </xdr:nvSpPr>
        <xdr:spPr>
          <a:xfrm>
            <a:off x="5440217" y="18650529"/>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CBA Unit</a:t>
            </a:r>
          </a:p>
        </xdr:txBody>
      </xdr:sp>
      <xdr:sp macro="" textlink="">
        <xdr:nvSpPr>
          <xdr:cNvPr id="45" name="TextBox 44">
            <a:extLst>
              <a:ext uri="{FF2B5EF4-FFF2-40B4-BE49-F238E27FC236}">
                <a16:creationId xmlns:a16="http://schemas.microsoft.com/office/drawing/2014/main" id="{9A325EBD-5625-5746-3830-C1FB0F907991}"/>
              </a:ext>
            </a:extLst>
          </xdr:cNvPr>
          <xdr:cNvSpPr txBox="1"/>
        </xdr:nvSpPr>
        <xdr:spPr>
          <a:xfrm>
            <a:off x="6294581" y="18648219"/>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PBA Unit</a:t>
            </a:r>
          </a:p>
        </xdr:txBody>
      </xdr:sp>
      <xdr:sp macro="" textlink="">
        <xdr:nvSpPr>
          <xdr:cNvPr id="46" name="TextBox 45">
            <a:extLst>
              <a:ext uri="{FF2B5EF4-FFF2-40B4-BE49-F238E27FC236}">
                <a16:creationId xmlns:a16="http://schemas.microsoft.com/office/drawing/2014/main" id="{8CBAD357-9DC2-D0A8-4F95-090F289A0221}"/>
              </a:ext>
            </a:extLst>
          </xdr:cNvPr>
          <xdr:cNvSpPr txBox="1"/>
        </xdr:nvSpPr>
        <xdr:spPr>
          <a:xfrm>
            <a:off x="4608945" y="18648218"/>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Influent</a:t>
            </a:r>
          </a:p>
        </xdr:txBody>
      </xdr:sp>
      <xdr:sp macro="" textlink="">
        <xdr:nvSpPr>
          <xdr:cNvPr id="47" name="TextBox 46">
            <a:extLst>
              <a:ext uri="{FF2B5EF4-FFF2-40B4-BE49-F238E27FC236}">
                <a16:creationId xmlns:a16="http://schemas.microsoft.com/office/drawing/2014/main" id="{403A006B-7E6F-03D5-6E8C-6A715701F278}"/>
              </a:ext>
            </a:extLst>
          </xdr:cNvPr>
          <xdr:cNvSpPr txBox="1"/>
        </xdr:nvSpPr>
        <xdr:spPr>
          <a:xfrm>
            <a:off x="8271163" y="18641293"/>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CBA Unit</a:t>
            </a:r>
          </a:p>
        </xdr:txBody>
      </xdr:sp>
      <xdr:sp macro="" textlink="">
        <xdr:nvSpPr>
          <xdr:cNvPr id="48" name="TextBox 47">
            <a:extLst>
              <a:ext uri="{FF2B5EF4-FFF2-40B4-BE49-F238E27FC236}">
                <a16:creationId xmlns:a16="http://schemas.microsoft.com/office/drawing/2014/main" id="{049F95D4-3435-9D09-6391-3E5E5A53AABB}"/>
              </a:ext>
            </a:extLst>
          </xdr:cNvPr>
          <xdr:cNvSpPr txBox="1"/>
        </xdr:nvSpPr>
        <xdr:spPr>
          <a:xfrm>
            <a:off x="9125527" y="18638983"/>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PBA Unit</a:t>
            </a:r>
          </a:p>
        </xdr:txBody>
      </xdr:sp>
      <xdr:sp macro="" textlink="">
        <xdr:nvSpPr>
          <xdr:cNvPr id="49" name="TextBox 48">
            <a:extLst>
              <a:ext uri="{FF2B5EF4-FFF2-40B4-BE49-F238E27FC236}">
                <a16:creationId xmlns:a16="http://schemas.microsoft.com/office/drawing/2014/main" id="{BE8502D5-0828-7ADD-BCB5-3B018B181E4B}"/>
              </a:ext>
            </a:extLst>
          </xdr:cNvPr>
          <xdr:cNvSpPr txBox="1"/>
        </xdr:nvSpPr>
        <xdr:spPr>
          <a:xfrm>
            <a:off x="7439891" y="18638982"/>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Influent</a:t>
            </a:r>
          </a:p>
        </xdr:txBody>
      </xdr:sp>
    </xdr:grpSp>
    <xdr:clientData/>
  </xdr:twoCellAnchor>
  <xdr:twoCellAnchor>
    <xdr:from>
      <xdr:col>4</xdr:col>
      <xdr:colOff>25399</xdr:colOff>
      <xdr:row>43</xdr:row>
      <xdr:rowOff>173182</xdr:rowOff>
    </xdr:from>
    <xdr:to>
      <xdr:col>6</xdr:col>
      <xdr:colOff>11546</xdr:colOff>
      <xdr:row>45</xdr:row>
      <xdr:rowOff>57727</xdr:rowOff>
    </xdr:to>
    <xdr:sp macro="" textlink="">
      <xdr:nvSpPr>
        <xdr:cNvPr id="50" name="Left Brace 49">
          <a:extLst>
            <a:ext uri="{FF2B5EF4-FFF2-40B4-BE49-F238E27FC236}">
              <a16:creationId xmlns:a16="http://schemas.microsoft.com/office/drawing/2014/main" id="{7D30A886-1C80-4758-B415-907459842C2A}"/>
            </a:ext>
          </a:extLst>
        </xdr:cNvPr>
        <xdr:cNvSpPr/>
      </xdr:nvSpPr>
      <xdr:spPr>
        <a:xfrm rot="5400000">
          <a:off x="3181350" y="8948881"/>
          <a:ext cx="278245" cy="1306947"/>
        </a:xfrm>
        <a:prstGeom prst="leftBrace">
          <a:avLst>
            <a:gd name="adj1" fmla="val 8333"/>
            <a:gd name="adj2" fmla="val 47222"/>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2</xdr:col>
      <xdr:colOff>150092</xdr:colOff>
      <xdr:row>37</xdr:row>
      <xdr:rowOff>34636</xdr:rowOff>
    </xdr:from>
    <xdr:to>
      <xdr:col>3</xdr:col>
      <xdr:colOff>554183</xdr:colOff>
      <xdr:row>40</xdr:row>
      <xdr:rowOff>126998</xdr:rowOff>
    </xdr:to>
    <xdr:sp macro="" textlink="">
      <xdr:nvSpPr>
        <xdr:cNvPr id="51" name="TextBox 50">
          <a:extLst>
            <a:ext uri="{FF2B5EF4-FFF2-40B4-BE49-F238E27FC236}">
              <a16:creationId xmlns:a16="http://schemas.microsoft.com/office/drawing/2014/main" id="{A6D19244-4D37-4694-A37C-F68F71046B71}"/>
            </a:ext>
          </a:extLst>
        </xdr:cNvPr>
        <xdr:cNvSpPr txBox="1"/>
      </xdr:nvSpPr>
      <xdr:spPr>
        <a:xfrm>
          <a:off x="1470892" y="8143586"/>
          <a:ext cx="1064491" cy="682912"/>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dk1"/>
              </a:solidFill>
              <a:effectLst/>
              <a:latin typeface="+mn-lt"/>
              <a:ea typeface="+mn-ea"/>
              <a:cs typeface="+mn-cs"/>
            </a:rPr>
            <a:t>Low HLR vs. Med HLR</a:t>
          </a:r>
        </a:p>
        <a:p>
          <a:pPr algn="ctr"/>
          <a:r>
            <a:rPr lang="en-US" sz="1100" b="0" i="0" u="none" strike="noStrike">
              <a:solidFill>
                <a:schemeClr val="dk1"/>
              </a:solidFill>
              <a:effectLst/>
              <a:latin typeface="+mn-lt"/>
              <a:ea typeface="+mn-ea"/>
              <a:cs typeface="+mn-cs"/>
            </a:rPr>
            <a:t>P = 0.61</a:t>
          </a:r>
          <a:r>
            <a:rPr lang="en-US" sz="1100" b="0" i="0" u="none" strike="noStrike" baseline="0">
              <a:solidFill>
                <a:schemeClr val="dk1"/>
              </a:solidFill>
              <a:effectLst/>
              <a:latin typeface="+mn-lt"/>
              <a:ea typeface="+mn-ea"/>
              <a:cs typeface="+mn-cs"/>
            </a:rPr>
            <a:t> = NS</a:t>
          </a:r>
          <a:endParaRPr lang="en-US" sz="1100"/>
        </a:p>
      </xdr:txBody>
    </xdr:sp>
    <xdr:clientData/>
  </xdr:twoCellAnchor>
  <xdr:twoCellAnchor>
    <xdr:from>
      <xdr:col>4</xdr:col>
      <xdr:colOff>256308</xdr:colOff>
      <xdr:row>40</xdr:row>
      <xdr:rowOff>161636</xdr:rowOff>
    </xdr:from>
    <xdr:to>
      <xdr:col>5</xdr:col>
      <xdr:colOff>508000</xdr:colOff>
      <xdr:row>43</xdr:row>
      <xdr:rowOff>196271</xdr:rowOff>
    </xdr:to>
    <xdr:sp macro="" textlink="">
      <xdr:nvSpPr>
        <xdr:cNvPr id="52" name="TextBox 51">
          <a:extLst>
            <a:ext uri="{FF2B5EF4-FFF2-40B4-BE49-F238E27FC236}">
              <a16:creationId xmlns:a16="http://schemas.microsoft.com/office/drawing/2014/main" id="{09BE0BB7-B120-4D21-B554-3FBAE31E05F2}"/>
            </a:ext>
          </a:extLst>
        </xdr:cNvPr>
        <xdr:cNvSpPr txBox="1"/>
      </xdr:nvSpPr>
      <xdr:spPr>
        <a:xfrm>
          <a:off x="2897908" y="8861136"/>
          <a:ext cx="912092" cy="625185"/>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dk1"/>
              </a:solidFill>
              <a:effectLst/>
              <a:latin typeface="+mn-lt"/>
              <a:ea typeface="+mn-ea"/>
              <a:cs typeface="+mn-cs"/>
            </a:rPr>
            <a:t>Med HLR vs. High HLR</a:t>
          </a:r>
        </a:p>
        <a:p>
          <a:pPr algn="ctr"/>
          <a:r>
            <a:rPr lang="en-US" sz="1100" b="0" i="0" u="none" strike="noStrike">
              <a:solidFill>
                <a:schemeClr val="dk1"/>
              </a:solidFill>
              <a:effectLst/>
              <a:latin typeface="+mn-lt"/>
              <a:ea typeface="+mn-ea"/>
              <a:cs typeface="+mn-cs"/>
            </a:rPr>
            <a:t>P = 0.046</a:t>
          </a:r>
          <a:r>
            <a:rPr lang="en-US" sz="1100" b="0" i="0" u="none" strike="noStrike" baseline="0">
              <a:solidFill>
                <a:schemeClr val="dk1"/>
              </a:solidFill>
              <a:effectLst/>
              <a:latin typeface="+mn-lt"/>
              <a:ea typeface="+mn-ea"/>
              <a:cs typeface="+mn-cs"/>
            </a:rPr>
            <a:t> = *</a:t>
          </a:r>
          <a:endParaRPr lang="en-US" sz="1100"/>
        </a:p>
      </xdr:txBody>
    </xdr:sp>
    <xdr:clientData/>
  </xdr:twoCellAnchor>
  <xdr:twoCellAnchor>
    <xdr:from>
      <xdr:col>2</xdr:col>
      <xdr:colOff>138542</xdr:colOff>
      <xdr:row>36</xdr:row>
      <xdr:rowOff>34640</xdr:rowOff>
    </xdr:from>
    <xdr:to>
      <xdr:col>5</xdr:col>
      <xdr:colOff>554180</xdr:colOff>
      <xdr:row>37</xdr:row>
      <xdr:rowOff>69274</xdr:rowOff>
    </xdr:to>
    <xdr:sp macro="" textlink="">
      <xdr:nvSpPr>
        <xdr:cNvPr id="53" name="Left Brace 52">
          <a:extLst>
            <a:ext uri="{FF2B5EF4-FFF2-40B4-BE49-F238E27FC236}">
              <a16:creationId xmlns:a16="http://schemas.microsoft.com/office/drawing/2014/main" id="{73B5BC47-D2CB-44AF-8D83-45328679EB34}"/>
            </a:ext>
          </a:extLst>
        </xdr:cNvPr>
        <xdr:cNvSpPr/>
      </xdr:nvSpPr>
      <xdr:spPr>
        <a:xfrm rot="5400000">
          <a:off x="2542019" y="6864063"/>
          <a:ext cx="231484" cy="2396838"/>
        </a:xfrm>
        <a:prstGeom prst="leftBrace">
          <a:avLst>
            <a:gd name="adj1" fmla="val 8333"/>
            <a:gd name="adj2" fmla="val 47222"/>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3</xdr:col>
      <xdr:colOff>327891</xdr:colOff>
      <xdr:row>33</xdr:row>
      <xdr:rowOff>34637</xdr:rowOff>
    </xdr:from>
    <xdr:to>
      <xdr:col>5</xdr:col>
      <xdr:colOff>73891</xdr:colOff>
      <xdr:row>36</xdr:row>
      <xdr:rowOff>50800</xdr:rowOff>
    </xdr:to>
    <xdr:sp macro="" textlink="">
      <xdr:nvSpPr>
        <xdr:cNvPr id="54" name="TextBox 53">
          <a:extLst>
            <a:ext uri="{FF2B5EF4-FFF2-40B4-BE49-F238E27FC236}">
              <a16:creationId xmlns:a16="http://schemas.microsoft.com/office/drawing/2014/main" id="{D665B6E4-4DB8-4446-8FE9-2C9D95163A0C}"/>
            </a:ext>
          </a:extLst>
        </xdr:cNvPr>
        <xdr:cNvSpPr txBox="1"/>
      </xdr:nvSpPr>
      <xdr:spPr>
        <a:xfrm>
          <a:off x="2309091" y="7356187"/>
          <a:ext cx="1066800" cy="6067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dk1"/>
              </a:solidFill>
              <a:effectLst/>
              <a:latin typeface="+mn-lt"/>
              <a:ea typeface="+mn-ea"/>
              <a:cs typeface="+mn-cs"/>
            </a:rPr>
            <a:t>Low HLR vs. High HLR</a:t>
          </a:r>
        </a:p>
        <a:p>
          <a:pPr algn="ctr"/>
          <a:r>
            <a:rPr lang="en-US" sz="1100" b="0" i="0" u="none" strike="noStrike">
              <a:solidFill>
                <a:schemeClr val="dk1"/>
              </a:solidFill>
              <a:effectLst/>
              <a:latin typeface="+mn-lt"/>
              <a:ea typeface="+mn-ea"/>
              <a:cs typeface="+mn-cs"/>
            </a:rPr>
            <a:t>P = 0.022</a:t>
          </a:r>
          <a:r>
            <a:rPr lang="en-US" sz="1100" b="0" i="0" u="none" strike="noStrike" baseline="0">
              <a:solidFill>
                <a:schemeClr val="dk1"/>
              </a:solidFill>
              <a:effectLst/>
              <a:latin typeface="+mn-lt"/>
              <a:ea typeface="+mn-ea"/>
              <a:cs typeface="+mn-cs"/>
            </a:rPr>
            <a:t> = *</a:t>
          </a:r>
          <a:endParaRPr lang="en-US" sz="1100"/>
        </a:p>
      </xdr:txBody>
    </xdr:sp>
    <xdr:clientData/>
  </xdr:twoCellAnchor>
  <xdr:twoCellAnchor>
    <xdr:from>
      <xdr:col>20</xdr:col>
      <xdr:colOff>563224</xdr:colOff>
      <xdr:row>36</xdr:row>
      <xdr:rowOff>94673</xdr:rowOff>
    </xdr:from>
    <xdr:to>
      <xdr:col>24</xdr:col>
      <xdr:colOff>579581</xdr:colOff>
      <xdr:row>39</xdr:row>
      <xdr:rowOff>36945</xdr:rowOff>
    </xdr:to>
    <xdr:sp macro="" textlink="">
      <xdr:nvSpPr>
        <xdr:cNvPr id="55" name="TextBox 54">
          <a:extLst>
            <a:ext uri="{FF2B5EF4-FFF2-40B4-BE49-F238E27FC236}">
              <a16:creationId xmlns:a16="http://schemas.microsoft.com/office/drawing/2014/main" id="{783C5767-87A0-4945-AF62-30417AEC8419}"/>
            </a:ext>
          </a:extLst>
        </xdr:cNvPr>
        <xdr:cNvSpPr txBox="1"/>
      </xdr:nvSpPr>
      <xdr:spPr>
        <a:xfrm>
          <a:off x="13771224" y="8006773"/>
          <a:ext cx="2657957" cy="532822"/>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a:t>At</a:t>
          </a:r>
          <a:r>
            <a:rPr lang="en-US" sz="1100" baseline="0"/>
            <a:t> optimal configuration, get optimal TP load reduction for both CBA and PBA units</a:t>
          </a:r>
          <a:endParaRPr lang="en-US" sz="1100"/>
        </a:p>
      </xdr:txBody>
    </xdr:sp>
    <xdr:clientData/>
  </xdr:twoCellAnchor>
  <xdr:twoCellAnchor>
    <xdr:from>
      <xdr:col>14</xdr:col>
      <xdr:colOff>544945</xdr:colOff>
      <xdr:row>39</xdr:row>
      <xdr:rowOff>36945</xdr:rowOff>
    </xdr:from>
    <xdr:to>
      <xdr:col>16</xdr:col>
      <xdr:colOff>542636</xdr:colOff>
      <xdr:row>41</xdr:row>
      <xdr:rowOff>23091</xdr:rowOff>
    </xdr:to>
    <xdr:sp macro="" textlink="">
      <xdr:nvSpPr>
        <xdr:cNvPr id="56" name="Left Brace 55">
          <a:extLst>
            <a:ext uri="{FF2B5EF4-FFF2-40B4-BE49-F238E27FC236}">
              <a16:creationId xmlns:a16="http://schemas.microsoft.com/office/drawing/2014/main" id="{0763757B-3CCF-4F09-A92D-5B6894091E4A}"/>
            </a:ext>
          </a:extLst>
        </xdr:cNvPr>
        <xdr:cNvSpPr/>
      </xdr:nvSpPr>
      <xdr:spPr>
        <a:xfrm rot="5400000">
          <a:off x="10259868" y="8070272"/>
          <a:ext cx="379846" cy="1318491"/>
        </a:xfrm>
        <a:prstGeom prst="leftBrace">
          <a:avLst>
            <a:gd name="adj1" fmla="val 8333"/>
            <a:gd name="adj2" fmla="val 47222"/>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16</xdr:col>
      <xdr:colOff>454890</xdr:colOff>
      <xdr:row>42</xdr:row>
      <xdr:rowOff>143164</xdr:rowOff>
    </xdr:from>
    <xdr:to>
      <xdr:col>18</xdr:col>
      <xdr:colOff>369455</xdr:colOff>
      <xdr:row>44</xdr:row>
      <xdr:rowOff>138546</xdr:rowOff>
    </xdr:to>
    <xdr:sp macro="" textlink="">
      <xdr:nvSpPr>
        <xdr:cNvPr id="57" name="Left Brace 56">
          <a:extLst>
            <a:ext uri="{FF2B5EF4-FFF2-40B4-BE49-F238E27FC236}">
              <a16:creationId xmlns:a16="http://schemas.microsoft.com/office/drawing/2014/main" id="{DF1F29D3-9431-4E70-B77F-355756940D57}"/>
            </a:ext>
          </a:extLst>
        </xdr:cNvPr>
        <xdr:cNvSpPr/>
      </xdr:nvSpPr>
      <xdr:spPr>
        <a:xfrm rot="5400000">
          <a:off x="11444432" y="8813222"/>
          <a:ext cx="389082" cy="1235365"/>
        </a:xfrm>
        <a:prstGeom prst="leftBrace">
          <a:avLst>
            <a:gd name="adj1" fmla="val 8333"/>
            <a:gd name="adj2" fmla="val 47222"/>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15</xdr:col>
      <xdr:colOff>94672</xdr:colOff>
      <xdr:row>37</xdr:row>
      <xdr:rowOff>129310</xdr:rowOff>
    </xdr:from>
    <xdr:to>
      <xdr:col>16</xdr:col>
      <xdr:colOff>498763</xdr:colOff>
      <xdr:row>38</xdr:row>
      <xdr:rowOff>175491</xdr:rowOff>
    </xdr:to>
    <xdr:sp macro="" textlink="">
      <xdr:nvSpPr>
        <xdr:cNvPr id="58" name="TextBox 57">
          <a:extLst>
            <a:ext uri="{FF2B5EF4-FFF2-40B4-BE49-F238E27FC236}">
              <a16:creationId xmlns:a16="http://schemas.microsoft.com/office/drawing/2014/main" id="{C572B346-2698-41AC-A410-0962ACBDB04B}"/>
            </a:ext>
          </a:extLst>
        </xdr:cNvPr>
        <xdr:cNvSpPr txBox="1"/>
      </xdr:nvSpPr>
      <xdr:spPr>
        <a:xfrm>
          <a:off x="10000672" y="8238260"/>
          <a:ext cx="1064491" cy="24303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dk1"/>
              </a:solidFill>
              <a:effectLst/>
              <a:latin typeface="+mn-lt"/>
              <a:ea typeface="+mn-ea"/>
              <a:cs typeface="+mn-cs"/>
            </a:rPr>
            <a:t>P = 0.52 </a:t>
          </a:r>
          <a:r>
            <a:rPr lang="en-US" sz="1100" b="0" i="0" u="none" strike="noStrike" baseline="0">
              <a:solidFill>
                <a:schemeClr val="dk1"/>
              </a:solidFill>
              <a:effectLst/>
              <a:latin typeface="+mn-lt"/>
              <a:ea typeface="+mn-ea"/>
              <a:cs typeface="+mn-cs"/>
            </a:rPr>
            <a:t>= NS</a:t>
          </a:r>
          <a:endParaRPr lang="en-US" sz="1100"/>
        </a:p>
      </xdr:txBody>
    </xdr:sp>
    <xdr:clientData/>
  </xdr:twoCellAnchor>
  <xdr:twoCellAnchor>
    <xdr:from>
      <xdr:col>16</xdr:col>
      <xdr:colOff>616526</xdr:colOff>
      <xdr:row>41</xdr:row>
      <xdr:rowOff>62347</xdr:rowOff>
    </xdr:from>
    <xdr:to>
      <xdr:col>18</xdr:col>
      <xdr:colOff>362527</xdr:colOff>
      <xdr:row>42</xdr:row>
      <xdr:rowOff>108528</xdr:rowOff>
    </xdr:to>
    <xdr:sp macro="" textlink="">
      <xdr:nvSpPr>
        <xdr:cNvPr id="59" name="TextBox 58">
          <a:extLst>
            <a:ext uri="{FF2B5EF4-FFF2-40B4-BE49-F238E27FC236}">
              <a16:creationId xmlns:a16="http://schemas.microsoft.com/office/drawing/2014/main" id="{B3D3A774-E467-4D17-A3C7-0AB0CBAEF3C8}"/>
            </a:ext>
          </a:extLst>
        </xdr:cNvPr>
        <xdr:cNvSpPr txBox="1"/>
      </xdr:nvSpPr>
      <xdr:spPr>
        <a:xfrm>
          <a:off x="11182926" y="8958697"/>
          <a:ext cx="1066801" cy="24303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dk1"/>
              </a:solidFill>
              <a:effectLst/>
              <a:latin typeface="+mn-lt"/>
              <a:ea typeface="+mn-ea"/>
              <a:cs typeface="+mn-cs"/>
            </a:rPr>
            <a:t>P = 0.26</a:t>
          </a:r>
          <a:r>
            <a:rPr lang="en-US"/>
            <a:t> </a:t>
          </a:r>
          <a:r>
            <a:rPr lang="en-US" sz="1100" b="0" i="0" u="none" strike="noStrike" baseline="0">
              <a:solidFill>
                <a:schemeClr val="dk1"/>
              </a:solidFill>
              <a:effectLst/>
              <a:latin typeface="+mn-lt"/>
              <a:ea typeface="+mn-ea"/>
              <a:cs typeface="+mn-cs"/>
            </a:rPr>
            <a:t>= NS</a:t>
          </a:r>
          <a:endParaRPr lang="en-US" sz="1100"/>
        </a:p>
      </xdr:txBody>
    </xdr:sp>
    <xdr:clientData/>
  </xdr:twoCellAnchor>
  <xdr:twoCellAnchor>
    <xdr:from>
      <xdr:col>14</xdr:col>
      <xdr:colOff>579581</xdr:colOff>
      <xdr:row>35</xdr:row>
      <xdr:rowOff>87746</xdr:rowOff>
    </xdr:from>
    <xdr:to>
      <xdr:col>18</xdr:col>
      <xdr:colOff>311728</xdr:colOff>
      <xdr:row>38</xdr:row>
      <xdr:rowOff>94674</xdr:rowOff>
    </xdr:to>
    <xdr:sp macro="" textlink="">
      <xdr:nvSpPr>
        <xdr:cNvPr id="60" name="Left Brace 59">
          <a:extLst>
            <a:ext uri="{FF2B5EF4-FFF2-40B4-BE49-F238E27FC236}">
              <a16:creationId xmlns:a16="http://schemas.microsoft.com/office/drawing/2014/main" id="{2277C082-D5DC-43ED-A83C-ED7052BF38C5}"/>
            </a:ext>
          </a:extLst>
        </xdr:cNvPr>
        <xdr:cNvSpPr/>
      </xdr:nvSpPr>
      <xdr:spPr>
        <a:xfrm rot="5400000">
          <a:off x="10713316" y="6914861"/>
          <a:ext cx="597478" cy="2373747"/>
        </a:xfrm>
        <a:prstGeom prst="leftBrace">
          <a:avLst>
            <a:gd name="adj1" fmla="val 8333"/>
            <a:gd name="adj2" fmla="val 47222"/>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15</xdr:col>
      <xdr:colOff>641926</xdr:colOff>
      <xdr:row>33</xdr:row>
      <xdr:rowOff>191655</xdr:rowOff>
    </xdr:from>
    <xdr:to>
      <xdr:col>17</xdr:col>
      <xdr:colOff>387927</xdr:colOff>
      <xdr:row>35</xdr:row>
      <xdr:rowOff>41563</xdr:rowOff>
    </xdr:to>
    <xdr:sp macro="" textlink="">
      <xdr:nvSpPr>
        <xdr:cNvPr id="61" name="TextBox 60">
          <a:extLst>
            <a:ext uri="{FF2B5EF4-FFF2-40B4-BE49-F238E27FC236}">
              <a16:creationId xmlns:a16="http://schemas.microsoft.com/office/drawing/2014/main" id="{6B88576B-E04E-40B2-8235-B440E29DA146}"/>
            </a:ext>
          </a:extLst>
        </xdr:cNvPr>
        <xdr:cNvSpPr txBox="1"/>
      </xdr:nvSpPr>
      <xdr:spPr>
        <a:xfrm>
          <a:off x="10547926" y="7513205"/>
          <a:ext cx="1066801" cy="24360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dk1"/>
              </a:solidFill>
              <a:effectLst/>
              <a:latin typeface="+mn-lt"/>
              <a:ea typeface="+mn-ea"/>
              <a:cs typeface="+mn-cs"/>
            </a:rPr>
            <a:t>P = 0.13</a:t>
          </a:r>
          <a:r>
            <a:rPr lang="en-US" sz="1100" b="0" i="0" u="none" strike="noStrike" baseline="0">
              <a:solidFill>
                <a:schemeClr val="dk1"/>
              </a:solidFill>
              <a:effectLst/>
              <a:latin typeface="+mn-lt"/>
              <a:ea typeface="+mn-ea"/>
              <a:cs typeface="+mn-cs"/>
            </a:rPr>
            <a:t> = NS</a:t>
          </a:r>
          <a:endParaRPr lang="en-US" sz="1100"/>
        </a:p>
      </xdr:txBody>
    </xdr:sp>
    <xdr:clientData/>
  </xdr:twoCellAnchor>
  <xdr:twoCellAnchor>
    <xdr:from>
      <xdr:col>1</xdr:col>
      <xdr:colOff>277091</xdr:colOff>
      <xdr:row>65</xdr:row>
      <xdr:rowOff>173182</xdr:rowOff>
    </xdr:from>
    <xdr:to>
      <xdr:col>8</xdr:col>
      <xdr:colOff>242455</xdr:colOff>
      <xdr:row>88</xdr:row>
      <xdr:rowOff>173182</xdr:rowOff>
    </xdr:to>
    <xdr:grpSp>
      <xdr:nvGrpSpPr>
        <xdr:cNvPr id="62" name="Group 61">
          <a:extLst>
            <a:ext uri="{FF2B5EF4-FFF2-40B4-BE49-F238E27FC236}">
              <a16:creationId xmlns:a16="http://schemas.microsoft.com/office/drawing/2014/main" id="{220C622A-7F3C-43D3-8205-D63A9EF9FACD}"/>
            </a:ext>
          </a:extLst>
        </xdr:cNvPr>
        <xdr:cNvGrpSpPr/>
      </xdr:nvGrpSpPr>
      <xdr:grpSpPr>
        <a:xfrm>
          <a:off x="935182" y="13739091"/>
          <a:ext cx="4572000" cy="4572000"/>
          <a:chOff x="17318182" y="5611092"/>
          <a:chExt cx="5033818" cy="4572000"/>
        </a:xfrm>
      </xdr:grpSpPr>
      <xdr:graphicFrame macro="">
        <xdr:nvGraphicFramePr>
          <xdr:cNvPr id="63" name="Chart 62">
            <a:extLst>
              <a:ext uri="{FF2B5EF4-FFF2-40B4-BE49-F238E27FC236}">
                <a16:creationId xmlns:a16="http://schemas.microsoft.com/office/drawing/2014/main" id="{04F0685B-3C4F-B48E-6374-7DD89CB5A2B7}"/>
              </a:ext>
            </a:extLst>
          </xdr:cNvPr>
          <xdr:cNvGraphicFramePr>
            <a:graphicFrameLocks/>
          </xdr:cNvGraphicFramePr>
        </xdr:nvGraphicFramePr>
        <xdr:xfrm>
          <a:off x="17318182" y="5611092"/>
          <a:ext cx="5033818" cy="4572000"/>
        </xdr:xfrm>
        <a:graphic>
          <a:graphicData uri="http://schemas.openxmlformats.org/drawingml/2006/chart">
            <c:chart xmlns:c="http://schemas.openxmlformats.org/drawingml/2006/chart" xmlns:r="http://schemas.openxmlformats.org/officeDocument/2006/relationships" r:id="rId13"/>
          </a:graphicData>
        </a:graphic>
      </xdr:graphicFrame>
      <xdr:sp macro="" textlink="">
        <xdr:nvSpPr>
          <xdr:cNvPr id="64" name="Left Brace 63">
            <a:extLst>
              <a:ext uri="{FF2B5EF4-FFF2-40B4-BE49-F238E27FC236}">
                <a16:creationId xmlns:a16="http://schemas.microsoft.com/office/drawing/2014/main" id="{D968F2B3-58E4-D912-4305-9293E3AE7E23}"/>
              </a:ext>
            </a:extLst>
          </xdr:cNvPr>
          <xdr:cNvSpPr/>
        </xdr:nvSpPr>
        <xdr:spPr>
          <a:xfrm rot="5400000">
            <a:off x="19899744" y="5479475"/>
            <a:ext cx="371766" cy="1808019"/>
          </a:xfrm>
          <a:prstGeom prst="leftBrace">
            <a:avLst>
              <a:gd name="adj1" fmla="val 8333"/>
              <a:gd name="adj2" fmla="val 47222"/>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sp macro="" textlink="">
        <xdr:nvSpPr>
          <xdr:cNvPr id="65" name="TextBox 64">
            <a:extLst>
              <a:ext uri="{FF2B5EF4-FFF2-40B4-BE49-F238E27FC236}">
                <a16:creationId xmlns:a16="http://schemas.microsoft.com/office/drawing/2014/main" id="{169B8390-8535-D1A1-BEE1-BB44F7D40540}"/>
              </a:ext>
            </a:extLst>
          </xdr:cNvPr>
          <xdr:cNvSpPr txBox="1"/>
        </xdr:nvSpPr>
        <xdr:spPr>
          <a:xfrm>
            <a:off x="19661910" y="5715001"/>
            <a:ext cx="1050285" cy="4849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dk1"/>
                </a:solidFill>
                <a:effectLst/>
                <a:latin typeface="+mn-lt"/>
                <a:ea typeface="+mn-ea"/>
                <a:cs typeface="+mn-cs"/>
              </a:rPr>
              <a:t>CBS vs. PBA</a:t>
            </a:r>
          </a:p>
          <a:p>
            <a:pPr algn="ctr"/>
            <a:r>
              <a:rPr lang="en-US" sz="1100" b="0" i="0" u="none" strike="noStrike">
                <a:solidFill>
                  <a:schemeClr val="dk1"/>
                </a:solidFill>
                <a:effectLst/>
                <a:latin typeface="+mn-lt"/>
                <a:ea typeface="+mn-ea"/>
                <a:cs typeface="+mn-cs"/>
              </a:rPr>
              <a:t>P = 0.031</a:t>
            </a:r>
            <a:r>
              <a:rPr lang="en-US" sz="1100" b="0" i="0" u="none" strike="noStrike" baseline="0">
                <a:solidFill>
                  <a:schemeClr val="dk1"/>
                </a:solidFill>
                <a:effectLst/>
                <a:latin typeface="+mn-lt"/>
                <a:ea typeface="+mn-ea"/>
                <a:cs typeface="+mn-cs"/>
              </a:rPr>
              <a:t> = *</a:t>
            </a:r>
            <a:endParaRPr lang="en-US" sz="1100"/>
          </a:p>
        </xdr:txBody>
      </xdr:sp>
    </xdr:grpSp>
    <xdr:clientData/>
  </xdr:twoCellAnchor>
  <xdr:twoCellAnchor>
    <xdr:from>
      <xdr:col>14</xdr:col>
      <xdr:colOff>533400</xdr:colOff>
      <xdr:row>65</xdr:row>
      <xdr:rowOff>60036</xdr:rowOff>
    </xdr:from>
    <xdr:to>
      <xdr:col>21</xdr:col>
      <xdr:colOff>498764</xdr:colOff>
      <xdr:row>88</xdr:row>
      <xdr:rowOff>60036</xdr:rowOff>
    </xdr:to>
    <xdr:grpSp>
      <xdr:nvGrpSpPr>
        <xdr:cNvPr id="66" name="Group 65">
          <a:extLst>
            <a:ext uri="{FF2B5EF4-FFF2-40B4-BE49-F238E27FC236}">
              <a16:creationId xmlns:a16="http://schemas.microsoft.com/office/drawing/2014/main" id="{3544A007-ACE4-4CA9-B619-E0FC075EFA03}"/>
            </a:ext>
          </a:extLst>
        </xdr:cNvPr>
        <xdr:cNvGrpSpPr/>
      </xdr:nvGrpSpPr>
      <xdr:grpSpPr>
        <a:xfrm>
          <a:off x="9746673" y="13625945"/>
          <a:ext cx="4572000" cy="4572000"/>
          <a:chOff x="17318182" y="5611092"/>
          <a:chExt cx="5033818" cy="4572000"/>
        </a:xfrm>
      </xdr:grpSpPr>
      <xdr:graphicFrame macro="">
        <xdr:nvGraphicFramePr>
          <xdr:cNvPr id="67" name="Chart 66">
            <a:extLst>
              <a:ext uri="{FF2B5EF4-FFF2-40B4-BE49-F238E27FC236}">
                <a16:creationId xmlns:a16="http://schemas.microsoft.com/office/drawing/2014/main" id="{DDE995B7-A3FC-2717-FF9D-88B3EB9F5AF9}"/>
              </a:ext>
            </a:extLst>
          </xdr:cNvPr>
          <xdr:cNvGraphicFramePr>
            <a:graphicFrameLocks/>
          </xdr:cNvGraphicFramePr>
        </xdr:nvGraphicFramePr>
        <xdr:xfrm>
          <a:off x="17318182" y="5611092"/>
          <a:ext cx="5033818" cy="4572000"/>
        </xdr:xfrm>
        <a:graphic>
          <a:graphicData uri="http://schemas.openxmlformats.org/drawingml/2006/chart">
            <c:chart xmlns:c="http://schemas.openxmlformats.org/drawingml/2006/chart" xmlns:r="http://schemas.openxmlformats.org/officeDocument/2006/relationships" r:id="rId14"/>
          </a:graphicData>
        </a:graphic>
      </xdr:graphicFrame>
      <xdr:sp macro="" textlink="">
        <xdr:nvSpPr>
          <xdr:cNvPr id="68" name="Left Brace 67">
            <a:extLst>
              <a:ext uri="{FF2B5EF4-FFF2-40B4-BE49-F238E27FC236}">
                <a16:creationId xmlns:a16="http://schemas.microsoft.com/office/drawing/2014/main" id="{95B387CF-11AF-AE29-C66C-6C93C7F8513D}"/>
              </a:ext>
            </a:extLst>
          </xdr:cNvPr>
          <xdr:cNvSpPr/>
        </xdr:nvSpPr>
        <xdr:spPr>
          <a:xfrm rot="5400000">
            <a:off x="19964400" y="5264728"/>
            <a:ext cx="242454" cy="1808019"/>
          </a:xfrm>
          <a:prstGeom prst="leftBrace">
            <a:avLst>
              <a:gd name="adj1" fmla="val 8333"/>
              <a:gd name="adj2" fmla="val 47222"/>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sp macro="" textlink="">
        <xdr:nvSpPr>
          <xdr:cNvPr id="69" name="TextBox 68">
            <a:extLst>
              <a:ext uri="{FF2B5EF4-FFF2-40B4-BE49-F238E27FC236}">
                <a16:creationId xmlns:a16="http://schemas.microsoft.com/office/drawing/2014/main" id="{9F20161F-FDD7-9097-1656-7F73AA97DAAA}"/>
              </a:ext>
            </a:extLst>
          </xdr:cNvPr>
          <xdr:cNvSpPr txBox="1"/>
        </xdr:nvSpPr>
        <xdr:spPr>
          <a:xfrm>
            <a:off x="19560218" y="5703456"/>
            <a:ext cx="1098590" cy="28632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dk1"/>
                </a:solidFill>
                <a:effectLst/>
                <a:latin typeface="+mn-lt"/>
                <a:ea typeface="+mn-ea"/>
                <a:cs typeface="+mn-cs"/>
              </a:rPr>
              <a:t>P = 0.06</a:t>
            </a:r>
            <a:r>
              <a:rPr lang="en-US" sz="1100" b="0" i="0" u="none" strike="noStrike" baseline="0">
                <a:solidFill>
                  <a:schemeClr val="dk1"/>
                </a:solidFill>
                <a:effectLst/>
                <a:latin typeface="+mn-lt"/>
                <a:ea typeface="+mn-ea"/>
                <a:cs typeface="+mn-cs"/>
              </a:rPr>
              <a:t> = NS</a:t>
            </a:r>
            <a:endParaRPr lang="en-US" sz="1100"/>
          </a:p>
        </xdr:txBody>
      </xdr:sp>
    </xdr:grpSp>
    <xdr:clientData/>
  </xdr:twoCellAnchor>
  <xdr:twoCellAnchor>
    <xdr:from>
      <xdr:col>6</xdr:col>
      <xdr:colOff>57727</xdr:colOff>
      <xdr:row>39</xdr:row>
      <xdr:rowOff>46183</xdr:rowOff>
    </xdr:from>
    <xdr:to>
      <xdr:col>7</xdr:col>
      <xdr:colOff>554182</xdr:colOff>
      <xdr:row>43</xdr:row>
      <xdr:rowOff>23090</xdr:rowOff>
    </xdr:to>
    <xdr:sp macro="" textlink="">
      <xdr:nvSpPr>
        <xdr:cNvPr id="70" name="TextBox 69">
          <a:extLst>
            <a:ext uri="{FF2B5EF4-FFF2-40B4-BE49-F238E27FC236}">
              <a16:creationId xmlns:a16="http://schemas.microsoft.com/office/drawing/2014/main" id="{CFC7A191-F661-4126-9990-02E08D5D2937}"/>
            </a:ext>
          </a:extLst>
        </xdr:cNvPr>
        <xdr:cNvSpPr txBox="1"/>
      </xdr:nvSpPr>
      <xdr:spPr>
        <a:xfrm>
          <a:off x="4020127" y="8548833"/>
          <a:ext cx="1156855" cy="7643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b="0" i="0">
              <a:solidFill>
                <a:schemeClr val="dk1"/>
              </a:solidFill>
              <a:effectLst/>
              <a:latin typeface="+mn-lt"/>
              <a:ea typeface="+mn-ea"/>
              <a:cs typeface="+mn-cs"/>
            </a:rPr>
            <a:t>Lower vs. Upper Outlet Height</a:t>
          </a:r>
          <a:endParaRPr lang="en-US">
            <a:effectLst/>
          </a:endParaRPr>
        </a:p>
        <a:p>
          <a:pPr algn="ctr"/>
          <a:r>
            <a:rPr lang="en-US" sz="1100" b="0" i="0" u="none" strike="noStrike">
              <a:solidFill>
                <a:schemeClr val="dk1"/>
              </a:solidFill>
              <a:effectLst/>
              <a:latin typeface="+mn-lt"/>
              <a:ea typeface="+mn-ea"/>
              <a:cs typeface="+mn-cs"/>
            </a:rPr>
            <a:t>P = 0.31</a:t>
          </a:r>
          <a:r>
            <a:rPr lang="en-US" sz="1100" b="0" i="0" u="none" strike="noStrike" baseline="0">
              <a:solidFill>
                <a:schemeClr val="dk1"/>
              </a:solidFill>
              <a:effectLst/>
              <a:latin typeface="+mn-lt"/>
              <a:ea typeface="+mn-ea"/>
              <a:cs typeface="+mn-cs"/>
            </a:rPr>
            <a:t> = NS</a:t>
          </a:r>
          <a:endParaRPr lang="en-US" sz="1100"/>
        </a:p>
      </xdr:txBody>
    </xdr:sp>
    <xdr:clientData/>
  </xdr:twoCellAnchor>
  <xdr:twoCellAnchor>
    <xdr:from>
      <xdr:col>5</xdr:col>
      <xdr:colOff>595742</xdr:colOff>
      <xdr:row>37</xdr:row>
      <xdr:rowOff>23091</xdr:rowOff>
    </xdr:from>
    <xdr:to>
      <xdr:col>9</xdr:col>
      <xdr:colOff>279398</xdr:colOff>
      <xdr:row>39</xdr:row>
      <xdr:rowOff>127000</xdr:rowOff>
    </xdr:to>
    <xdr:sp macro="" textlink="">
      <xdr:nvSpPr>
        <xdr:cNvPr id="71" name="Left Brace 70">
          <a:extLst>
            <a:ext uri="{FF2B5EF4-FFF2-40B4-BE49-F238E27FC236}">
              <a16:creationId xmlns:a16="http://schemas.microsoft.com/office/drawing/2014/main" id="{EFA63CC6-319B-4A70-9200-75AF5CDDD273}"/>
            </a:ext>
          </a:extLst>
        </xdr:cNvPr>
        <xdr:cNvSpPr/>
      </xdr:nvSpPr>
      <xdr:spPr>
        <a:xfrm rot="5400000">
          <a:off x="4811565" y="7218218"/>
          <a:ext cx="497609" cy="2325256"/>
        </a:xfrm>
        <a:prstGeom prst="leftBrace">
          <a:avLst>
            <a:gd name="adj1" fmla="val 8333"/>
            <a:gd name="adj2" fmla="val 47222"/>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6</xdr:col>
      <xdr:colOff>637311</xdr:colOff>
      <xdr:row>33</xdr:row>
      <xdr:rowOff>92365</xdr:rowOff>
    </xdr:from>
    <xdr:to>
      <xdr:col>8</xdr:col>
      <xdr:colOff>300183</xdr:colOff>
      <xdr:row>37</xdr:row>
      <xdr:rowOff>92364</xdr:rowOff>
    </xdr:to>
    <xdr:sp macro="" textlink="">
      <xdr:nvSpPr>
        <xdr:cNvPr id="72" name="TextBox 71">
          <a:extLst>
            <a:ext uri="{FF2B5EF4-FFF2-40B4-BE49-F238E27FC236}">
              <a16:creationId xmlns:a16="http://schemas.microsoft.com/office/drawing/2014/main" id="{8E3AEF26-7669-44A8-BB13-ABF6797AA0AA}"/>
            </a:ext>
          </a:extLst>
        </xdr:cNvPr>
        <xdr:cNvSpPr txBox="1"/>
      </xdr:nvSpPr>
      <xdr:spPr>
        <a:xfrm>
          <a:off x="4599711" y="7413915"/>
          <a:ext cx="983672" cy="7873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dk1"/>
              </a:solidFill>
              <a:effectLst/>
              <a:latin typeface="+mn-lt"/>
              <a:ea typeface="+mn-ea"/>
              <a:cs typeface="+mn-cs"/>
            </a:rPr>
            <a:t>No</a:t>
          </a:r>
          <a:r>
            <a:rPr lang="en-US" sz="1100" b="0" i="0" u="none" strike="noStrike" baseline="0">
              <a:solidFill>
                <a:schemeClr val="dk1"/>
              </a:solidFill>
              <a:effectLst/>
              <a:latin typeface="+mn-lt"/>
              <a:ea typeface="+mn-ea"/>
              <a:cs typeface="+mn-cs"/>
            </a:rPr>
            <a:t> Plants vs. Plants</a:t>
          </a:r>
        </a:p>
        <a:p>
          <a:pPr algn="ctr"/>
          <a:r>
            <a:rPr lang="en-US" sz="1100" b="0" i="0" u="none" strike="noStrike">
              <a:solidFill>
                <a:schemeClr val="dk1"/>
              </a:solidFill>
              <a:effectLst/>
              <a:latin typeface="+mn-lt"/>
              <a:ea typeface="+mn-ea"/>
              <a:cs typeface="+mn-cs"/>
            </a:rPr>
            <a:t>P = 0.06</a:t>
          </a:r>
          <a:r>
            <a:rPr lang="en-US" sz="1100" b="0" i="0" u="none" strike="noStrike" baseline="0">
              <a:solidFill>
                <a:schemeClr val="dk1"/>
              </a:solidFill>
              <a:effectLst/>
              <a:latin typeface="+mn-lt"/>
              <a:ea typeface="+mn-ea"/>
              <a:cs typeface="+mn-cs"/>
            </a:rPr>
            <a:t> = NS</a:t>
          </a:r>
          <a:endParaRPr lang="en-US" sz="1100"/>
        </a:p>
      </xdr:txBody>
    </xdr:sp>
    <xdr:clientData/>
  </xdr:twoCellAnchor>
  <xdr:twoCellAnchor>
    <xdr:from>
      <xdr:col>5</xdr:col>
      <xdr:colOff>658089</xdr:colOff>
      <xdr:row>42</xdr:row>
      <xdr:rowOff>161638</xdr:rowOff>
    </xdr:from>
    <xdr:to>
      <xdr:col>7</xdr:col>
      <xdr:colOff>508000</xdr:colOff>
      <xdr:row>44</xdr:row>
      <xdr:rowOff>11548</xdr:rowOff>
    </xdr:to>
    <xdr:sp macro="" textlink="">
      <xdr:nvSpPr>
        <xdr:cNvPr id="73" name="Left Brace 72">
          <a:extLst>
            <a:ext uri="{FF2B5EF4-FFF2-40B4-BE49-F238E27FC236}">
              <a16:creationId xmlns:a16="http://schemas.microsoft.com/office/drawing/2014/main" id="{28E2A13A-2E3A-4B96-A482-EF790337AA27}"/>
            </a:ext>
          </a:extLst>
        </xdr:cNvPr>
        <xdr:cNvSpPr/>
      </xdr:nvSpPr>
      <xdr:spPr>
        <a:xfrm rot="5400000">
          <a:off x="4423640" y="8791287"/>
          <a:ext cx="243610" cy="1170711"/>
        </a:xfrm>
        <a:prstGeom prst="leftBrace">
          <a:avLst>
            <a:gd name="adj1" fmla="val 8333"/>
            <a:gd name="adj2" fmla="val 47222"/>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xdr:col>
      <xdr:colOff>554182</xdr:colOff>
      <xdr:row>40</xdr:row>
      <xdr:rowOff>46185</xdr:rowOff>
    </xdr:from>
    <xdr:to>
      <xdr:col>4</xdr:col>
      <xdr:colOff>-1</xdr:colOff>
      <xdr:row>41</xdr:row>
      <xdr:rowOff>161640</xdr:rowOff>
    </xdr:to>
    <xdr:sp macro="" textlink="">
      <xdr:nvSpPr>
        <xdr:cNvPr id="74" name="Left Brace 73">
          <a:extLst>
            <a:ext uri="{FF2B5EF4-FFF2-40B4-BE49-F238E27FC236}">
              <a16:creationId xmlns:a16="http://schemas.microsoft.com/office/drawing/2014/main" id="{E79B87A3-E200-4F94-9A5A-7C5D4948487F}"/>
            </a:ext>
          </a:extLst>
        </xdr:cNvPr>
        <xdr:cNvSpPr/>
      </xdr:nvSpPr>
      <xdr:spPr>
        <a:xfrm rot="5400000">
          <a:off x="1771938" y="8188329"/>
          <a:ext cx="312305" cy="1427017"/>
        </a:xfrm>
        <a:prstGeom prst="leftBrace">
          <a:avLst>
            <a:gd name="adj1" fmla="val 8333"/>
            <a:gd name="adj2" fmla="val 48035"/>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18</xdr:col>
      <xdr:colOff>424870</xdr:colOff>
      <xdr:row>43</xdr:row>
      <xdr:rowOff>152399</xdr:rowOff>
    </xdr:from>
    <xdr:to>
      <xdr:col>22</xdr:col>
      <xdr:colOff>108525</xdr:colOff>
      <xdr:row>46</xdr:row>
      <xdr:rowOff>60036</xdr:rowOff>
    </xdr:to>
    <xdr:sp macro="" textlink="">
      <xdr:nvSpPr>
        <xdr:cNvPr id="75" name="Left Brace 74">
          <a:extLst>
            <a:ext uri="{FF2B5EF4-FFF2-40B4-BE49-F238E27FC236}">
              <a16:creationId xmlns:a16="http://schemas.microsoft.com/office/drawing/2014/main" id="{7149739D-A499-4E3A-95A8-7496D56631EA}"/>
            </a:ext>
          </a:extLst>
        </xdr:cNvPr>
        <xdr:cNvSpPr/>
      </xdr:nvSpPr>
      <xdr:spPr>
        <a:xfrm rot="5400000">
          <a:off x="13225604" y="8528915"/>
          <a:ext cx="498187" cy="2325255"/>
        </a:xfrm>
        <a:prstGeom prst="leftBrace">
          <a:avLst>
            <a:gd name="adj1" fmla="val 8333"/>
            <a:gd name="adj2" fmla="val 47222"/>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19</xdr:col>
      <xdr:colOff>466438</xdr:colOff>
      <xdr:row>40</xdr:row>
      <xdr:rowOff>25400</xdr:rowOff>
    </xdr:from>
    <xdr:to>
      <xdr:col>21</xdr:col>
      <xdr:colOff>129310</xdr:colOff>
      <xdr:row>44</xdr:row>
      <xdr:rowOff>25400</xdr:rowOff>
    </xdr:to>
    <xdr:sp macro="" textlink="">
      <xdr:nvSpPr>
        <xdr:cNvPr id="76" name="TextBox 75">
          <a:extLst>
            <a:ext uri="{FF2B5EF4-FFF2-40B4-BE49-F238E27FC236}">
              <a16:creationId xmlns:a16="http://schemas.microsoft.com/office/drawing/2014/main" id="{D85B6B3F-EFB2-45BB-B128-0E10ADA23ADD}"/>
            </a:ext>
          </a:extLst>
        </xdr:cNvPr>
        <xdr:cNvSpPr txBox="1"/>
      </xdr:nvSpPr>
      <xdr:spPr>
        <a:xfrm>
          <a:off x="13014038" y="8724900"/>
          <a:ext cx="983672" cy="787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dk1"/>
              </a:solidFill>
              <a:effectLst/>
              <a:latin typeface="+mn-lt"/>
              <a:ea typeface="+mn-ea"/>
              <a:cs typeface="+mn-cs"/>
            </a:rPr>
            <a:t>No</a:t>
          </a:r>
          <a:r>
            <a:rPr lang="en-US" sz="1100" b="0" i="0" u="none" strike="noStrike" baseline="0">
              <a:solidFill>
                <a:schemeClr val="dk1"/>
              </a:solidFill>
              <a:effectLst/>
              <a:latin typeface="+mn-lt"/>
              <a:ea typeface="+mn-ea"/>
              <a:cs typeface="+mn-cs"/>
            </a:rPr>
            <a:t> Plants vs. Plants</a:t>
          </a:r>
        </a:p>
        <a:p>
          <a:pPr algn="ctr"/>
          <a:r>
            <a:rPr lang="en-US" sz="1100" b="0" i="0" u="none" strike="noStrike">
              <a:solidFill>
                <a:schemeClr val="dk1"/>
              </a:solidFill>
              <a:effectLst/>
              <a:latin typeface="+mn-lt"/>
              <a:ea typeface="+mn-ea"/>
              <a:cs typeface="+mn-cs"/>
            </a:rPr>
            <a:t>P = 0.45</a:t>
          </a:r>
          <a:r>
            <a:rPr lang="en-US" sz="1100" b="0" i="0" u="none" strike="noStrike" baseline="0">
              <a:solidFill>
                <a:schemeClr val="dk1"/>
              </a:solidFill>
              <a:effectLst/>
              <a:latin typeface="+mn-lt"/>
              <a:ea typeface="+mn-ea"/>
              <a:cs typeface="+mn-cs"/>
            </a:rPr>
            <a:t> = NS</a:t>
          </a:r>
          <a:endParaRPr lang="en-US" sz="1100"/>
        </a:p>
      </xdr:txBody>
    </xdr:sp>
    <xdr:clientData/>
  </xdr:twoCellAnchor>
  <xdr:twoCellAnchor>
    <xdr:from>
      <xdr:col>18</xdr:col>
      <xdr:colOff>348672</xdr:colOff>
      <xdr:row>34</xdr:row>
      <xdr:rowOff>187038</xdr:rowOff>
    </xdr:from>
    <xdr:to>
      <xdr:col>20</xdr:col>
      <xdr:colOff>187036</xdr:colOff>
      <xdr:row>38</xdr:row>
      <xdr:rowOff>163945</xdr:rowOff>
    </xdr:to>
    <xdr:sp macro="" textlink="">
      <xdr:nvSpPr>
        <xdr:cNvPr id="77" name="TextBox 76">
          <a:extLst>
            <a:ext uri="{FF2B5EF4-FFF2-40B4-BE49-F238E27FC236}">
              <a16:creationId xmlns:a16="http://schemas.microsoft.com/office/drawing/2014/main" id="{4FAD5F44-BB1C-4A60-B737-CEC0AFD279CD}"/>
            </a:ext>
          </a:extLst>
        </xdr:cNvPr>
        <xdr:cNvSpPr txBox="1"/>
      </xdr:nvSpPr>
      <xdr:spPr>
        <a:xfrm>
          <a:off x="12235872" y="7705438"/>
          <a:ext cx="1159164" cy="7643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b="0" i="0">
              <a:solidFill>
                <a:schemeClr val="dk1"/>
              </a:solidFill>
              <a:effectLst/>
              <a:latin typeface="+mn-lt"/>
              <a:ea typeface="+mn-ea"/>
              <a:cs typeface="+mn-cs"/>
            </a:rPr>
            <a:t>Lower vs. Upper Outlet Height</a:t>
          </a:r>
          <a:endParaRPr lang="en-US">
            <a:effectLst/>
          </a:endParaRPr>
        </a:p>
        <a:p>
          <a:pPr algn="ctr"/>
          <a:r>
            <a:rPr lang="en-US" sz="1100" b="0" i="0" u="none" strike="noStrike">
              <a:solidFill>
                <a:schemeClr val="dk1"/>
              </a:solidFill>
              <a:effectLst/>
              <a:latin typeface="+mn-lt"/>
              <a:ea typeface="+mn-ea"/>
              <a:cs typeface="+mn-cs"/>
            </a:rPr>
            <a:t>P = 0.75</a:t>
          </a:r>
          <a:r>
            <a:rPr lang="en-US" sz="1100" b="0" i="0" u="none" strike="noStrike" baseline="0">
              <a:solidFill>
                <a:schemeClr val="dk1"/>
              </a:solidFill>
              <a:effectLst/>
              <a:latin typeface="+mn-lt"/>
              <a:ea typeface="+mn-ea"/>
              <a:cs typeface="+mn-cs"/>
            </a:rPr>
            <a:t> = NS</a:t>
          </a:r>
          <a:endParaRPr lang="en-US" sz="1100"/>
        </a:p>
      </xdr:txBody>
    </xdr:sp>
    <xdr:clientData/>
  </xdr:twoCellAnchor>
  <xdr:twoCellAnchor>
    <xdr:from>
      <xdr:col>18</xdr:col>
      <xdr:colOff>290944</xdr:colOff>
      <xdr:row>38</xdr:row>
      <xdr:rowOff>106220</xdr:rowOff>
    </xdr:from>
    <xdr:to>
      <xdr:col>20</xdr:col>
      <xdr:colOff>140854</xdr:colOff>
      <xdr:row>39</xdr:row>
      <xdr:rowOff>152402</xdr:rowOff>
    </xdr:to>
    <xdr:sp macro="" textlink="">
      <xdr:nvSpPr>
        <xdr:cNvPr id="78" name="Left Brace 77">
          <a:extLst>
            <a:ext uri="{FF2B5EF4-FFF2-40B4-BE49-F238E27FC236}">
              <a16:creationId xmlns:a16="http://schemas.microsoft.com/office/drawing/2014/main" id="{E46D19F1-3E0C-4D96-98A8-70B3743A6D8B}"/>
            </a:ext>
          </a:extLst>
        </xdr:cNvPr>
        <xdr:cNvSpPr/>
      </xdr:nvSpPr>
      <xdr:spPr>
        <a:xfrm rot="5400000">
          <a:off x="12641983" y="7948181"/>
          <a:ext cx="243032" cy="1170710"/>
        </a:xfrm>
        <a:prstGeom prst="leftBrace">
          <a:avLst>
            <a:gd name="adj1" fmla="val 8333"/>
            <a:gd name="adj2" fmla="val 47222"/>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27</xdr:col>
      <xdr:colOff>547252</xdr:colOff>
      <xdr:row>94</xdr:row>
      <xdr:rowOff>39963</xdr:rowOff>
    </xdr:from>
    <xdr:to>
      <xdr:col>38</xdr:col>
      <xdr:colOff>623452</xdr:colOff>
      <xdr:row>122</xdr:row>
      <xdr:rowOff>30727</xdr:rowOff>
    </xdr:to>
    <xdr:grpSp>
      <xdr:nvGrpSpPr>
        <xdr:cNvPr id="79" name="Group 78">
          <a:extLst>
            <a:ext uri="{FF2B5EF4-FFF2-40B4-BE49-F238E27FC236}">
              <a16:creationId xmlns:a16="http://schemas.microsoft.com/office/drawing/2014/main" id="{5A153826-A1CB-47A2-8888-D7E3332C5412}"/>
            </a:ext>
          </a:extLst>
        </xdr:cNvPr>
        <xdr:cNvGrpSpPr/>
      </xdr:nvGrpSpPr>
      <xdr:grpSpPr>
        <a:xfrm>
          <a:off x="18315707" y="19517145"/>
          <a:ext cx="7315200" cy="5486400"/>
          <a:chOff x="18315707" y="20048236"/>
          <a:chExt cx="7315200" cy="5486400"/>
        </a:xfrm>
      </xdr:grpSpPr>
      <mc:AlternateContent xmlns:mc="http://schemas.openxmlformats.org/markup-compatibility/2006">
        <mc:Choice xmlns:cx1="http://schemas.microsoft.com/office/drawing/2015/9/8/chartex" Requires="cx1">
          <xdr:graphicFrame macro="">
            <xdr:nvGraphicFramePr>
              <xdr:cNvPr id="80" name="Chart 79">
                <a:extLst>
                  <a:ext uri="{FF2B5EF4-FFF2-40B4-BE49-F238E27FC236}">
                    <a16:creationId xmlns:a16="http://schemas.microsoft.com/office/drawing/2014/main" id="{F9EE093F-2097-C2E8-AF72-A5D555AAA4F5}"/>
                  </a:ext>
                </a:extLst>
              </xdr:cNvPr>
              <xdr:cNvGraphicFramePr/>
            </xdr:nvGraphicFramePr>
            <xdr:xfrm>
              <a:off x="18315707" y="20048236"/>
              <a:ext cx="7315200" cy="548640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18315707" y="20048236"/>
                <a:ext cx="7315200" cy="54864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sp macro="" textlink="">
        <xdr:nvSpPr>
          <xdr:cNvPr id="81" name="TextBox 80">
            <a:extLst>
              <a:ext uri="{FF2B5EF4-FFF2-40B4-BE49-F238E27FC236}">
                <a16:creationId xmlns:a16="http://schemas.microsoft.com/office/drawing/2014/main" id="{A5F344C5-6D3F-CBDA-E33D-5C74EB00829E}"/>
              </a:ext>
            </a:extLst>
          </xdr:cNvPr>
          <xdr:cNvSpPr txBox="1"/>
        </xdr:nvSpPr>
        <xdr:spPr>
          <a:xfrm>
            <a:off x="21883259" y="25264720"/>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CBA Unit</a:t>
            </a:r>
          </a:p>
        </xdr:txBody>
      </xdr:sp>
      <xdr:sp macro="" textlink="">
        <xdr:nvSpPr>
          <xdr:cNvPr id="82" name="TextBox 81">
            <a:extLst>
              <a:ext uri="{FF2B5EF4-FFF2-40B4-BE49-F238E27FC236}">
                <a16:creationId xmlns:a16="http://schemas.microsoft.com/office/drawing/2014/main" id="{779CC801-2D1A-3D75-FBA8-5B0A87BDED0B}"/>
              </a:ext>
            </a:extLst>
          </xdr:cNvPr>
          <xdr:cNvSpPr txBox="1"/>
        </xdr:nvSpPr>
        <xdr:spPr>
          <a:xfrm>
            <a:off x="24053806" y="25262410"/>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PBA Unit</a:t>
            </a:r>
          </a:p>
        </xdr:txBody>
      </xdr:sp>
      <xdr:sp macro="" textlink="">
        <xdr:nvSpPr>
          <xdr:cNvPr id="83" name="TextBox 82">
            <a:extLst>
              <a:ext uri="{FF2B5EF4-FFF2-40B4-BE49-F238E27FC236}">
                <a16:creationId xmlns:a16="http://schemas.microsoft.com/office/drawing/2014/main" id="{8F1508DD-D290-D375-5BE7-81BCDB8C3A43}"/>
              </a:ext>
            </a:extLst>
          </xdr:cNvPr>
          <xdr:cNvSpPr txBox="1"/>
        </xdr:nvSpPr>
        <xdr:spPr>
          <a:xfrm>
            <a:off x="19724254" y="25262409"/>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Influent</a:t>
            </a:r>
          </a:p>
        </xdr:txBody>
      </xdr:sp>
    </xdr:grpSp>
    <xdr:clientData/>
  </xdr:twoCellAnchor>
  <xdr:twoCellAnchor>
    <xdr:from>
      <xdr:col>5</xdr:col>
      <xdr:colOff>559952</xdr:colOff>
      <xdr:row>98</xdr:row>
      <xdr:rowOff>106989</xdr:rowOff>
    </xdr:from>
    <xdr:to>
      <xdr:col>9</xdr:col>
      <xdr:colOff>367530</xdr:colOff>
      <xdr:row>103</xdr:row>
      <xdr:rowOff>128155</xdr:rowOff>
    </xdr:to>
    <xdr:sp macro="" textlink="">
      <xdr:nvSpPr>
        <xdr:cNvPr id="84" name="TextBox 83">
          <a:extLst>
            <a:ext uri="{FF2B5EF4-FFF2-40B4-BE49-F238E27FC236}">
              <a16:creationId xmlns:a16="http://schemas.microsoft.com/office/drawing/2014/main" id="{FCDA0EF5-917E-4EAE-8739-4DABDF6BA8DB}"/>
            </a:ext>
          </a:extLst>
        </xdr:cNvPr>
        <xdr:cNvSpPr txBox="1"/>
      </xdr:nvSpPr>
      <xdr:spPr>
        <a:xfrm>
          <a:off x="3861952" y="20446039"/>
          <a:ext cx="2449178" cy="10054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Medium HLR shows</a:t>
          </a:r>
          <a:r>
            <a:rPr lang="en-US" sz="1100" baseline="0"/>
            <a:t> best performance considering the cost benefit (greatest TIN reduction; lowest TIN concentrations in unit effluent). See ANOVA for statistical analysis.</a:t>
          </a:r>
          <a:endParaRPr lang="en-US" sz="1100"/>
        </a:p>
      </xdr:txBody>
    </xdr:sp>
    <xdr:clientData/>
  </xdr:twoCellAnchor>
  <xdr:twoCellAnchor>
    <xdr:from>
      <xdr:col>23</xdr:col>
      <xdr:colOff>445846</xdr:colOff>
      <xdr:row>97</xdr:row>
      <xdr:rowOff>163177</xdr:rowOff>
    </xdr:from>
    <xdr:to>
      <xdr:col>27</xdr:col>
      <xdr:colOff>230909</xdr:colOff>
      <xdr:row>102</xdr:row>
      <xdr:rowOff>161637</xdr:rowOff>
    </xdr:to>
    <xdr:sp macro="" textlink="">
      <xdr:nvSpPr>
        <xdr:cNvPr id="85" name="TextBox 84">
          <a:extLst>
            <a:ext uri="{FF2B5EF4-FFF2-40B4-BE49-F238E27FC236}">
              <a16:creationId xmlns:a16="http://schemas.microsoft.com/office/drawing/2014/main" id="{8BA9BDD7-6475-4A89-812F-2C26F89530A2}"/>
            </a:ext>
          </a:extLst>
        </xdr:cNvPr>
        <xdr:cNvSpPr txBox="1"/>
      </xdr:nvSpPr>
      <xdr:spPr>
        <a:xfrm>
          <a:off x="15635046" y="20305377"/>
          <a:ext cx="2426663" cy="9827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Results show higher TIN concentration (less load reduction) with plant addition. Most</a:t>
          </a:r>
          <a:r>
            <a:rPr lang="en-US" sz="1100" baseline="0"/>
            <a:t> likely due to the presence of TIN in fertilizer in plant. Requires further investigation.</a:t>
          </a:r>
          <a:endParaRPr lang="en-US" sz="1100"/>
        </a:p>
      </xdr:txBody>
    </xdr:sp>
    <xdr:clientData/>
  </xdr:twoCellAnchor>
  <xdr:twoCellAnchor>
    <xdr:from>
      <xdr:col>32</xdr:col>
      <xdr:colOff>523007</xdr:colOff>
      <xdr:row>98</xdr:row>
      <xdr:rowOff>72350</xdr:rowOff>
    </xdr:from>
    <xdr:to>
      <xdr:col>37</xdr:col>
      <xdr:colOff>173181</xdr:colOff>
      <xdr:row>103</xdr:row>
      <xdr:rowOff>23091</xdr:rowOff>
    </xdr:to>
    <xdr:sp macro="" textlink="">
      <xdr:nvSpPr>
        <xdr:cNvPr id="86" name="TextBox 85">
          <a:extLst>
            <a:ext uri="{FF2B5EF4-FFF2-40B4-BE49-F238E27FC236}">
              <a16:creationId xmlns:a16="http://schemas.microsoft.com/office/drawing/2014/main" id="{12DC5E6D-0483-4B76-8C26-873EDA28EA7F}"/>
            </a:ext>
          </a:extLst>
        </xdr:cNvPr>
        <xdr:cNvSpPr txBox="1"/>
      </xdr:nvSpPr>
      <xdr:spPr>
        <a:xfrm>
          <a:off x="21655807" y="20411400"/>
          <a:ext cx="2952174" cy="93499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a:t>At the optimal configuration (Med HLR, Upper outlet height, with</a:t>
          </a:r>
          <a:r>
            <a:rPr lang="en-US" sz="1100" baseline="0"/>
            <a:t> plants), </a:t>
          </a:r>
          <a:r>
            <a:rPr lang="en-US" sz="1100"/>
            <a:t>CBA shows greatest TIN reduction (83.70</a:t>
          </a:r>
          <a:r>
            <a:rPr lang="en-US" sz="1100" baseline="0"/>
            <a:t> %), with lowest TIN concentrations in the unit effluent.</a:t>
          </a:r>
          <a:endParaRPr lang="en-US" sz="1100"/>
        </a:p>
      </xdr:txBody>
    </xdr:sp>
    <xdr:clientData/>
  </xdr:twoCellAnchor>
  <xdr:twoCellAnchor>
    <xdr:from>
      <xdr:col>1</xdr:col>
      <xdr:colOff>0</xdr:colOff>
      <xdr:row>123</xdr:row>
      <xdr:rowOff>43872</xdr:rowOff>
    </xdr:from>
    <xdr:to>
      <xdr:col>14</xdr:col>
      <xdr:colOff>196273</xdr:colOff>
      <xdr:row>151</xdr:row>
      <xdr:rowOff>12900</xdr:rowOff>
    </xdr:to>
    <xdr:grpSp>
      <xdr:nvGrpSpPr>
        <xdr:cNvPr id="87" name="Group 86">
          <a:extLst>
            <a:ext uri="{FF2B5EF4-FFF2-40B4-BE49-F238E27FC236}">
              <a16:creationId xmlns:a16="http://schemas.microsoft.com/office/drawing/2014/main" id="{DCF455D1-6444-45B1-9225-9B197A2339D8}"/>
            </a:ext>
          </a:extLst>
        </xdr:cNvPr>
        <xdr:cNvGrpSpPr/>
      </xdr:nvGrpSpPr>
      <xdr:grpSpPr>
        <a:xfrm>
          <a:off x="658091" y="25212963"/>
          <a:ext cx="8751455" cy="5464664"/>
          <a:chOff x="1339273" y="13458336"/>
          <a:chExt cx="8751455" cy="5464664"/>
        </a:xfrm>
      </xdr:grpSpPr>
      <mc:AlternateContent xmlns:mc="http://schemas.openxmlformats.org/markup-compatibility/2006">
        <mc:Choice xmlns:cx1="http://schemas.microsoft.com/office/drawing/2015/9/8/chartex" Requires="cx1">
          <xdr:graphicFrame macro="">
            <xdr:nvGraphicFramePr>
              <xdr:cNvPr id="88" name="Chart 87">
                <a:extLst>
                  <a:ext uri="{FF2B5EF4-FFF2-40B4-BE49-F238E27FC236}">
                    <a16:creationId xmlns:a16="http://schemas.microsoft.com/office/drawing/2014/main" id="{E59D206B-5FEA-E055-E2E1-329710F39121}"/>
                  </a:ext>
                </a:extLst>
              </xdr:cNvPr>
              <xdr:cNvGraphicFramePr/>
            </xdr:nvGraphicFramePr>
            <xdr:xfrm>
              <a:off x="6865441" y="13465692"/>
              <a:ext cx="3225287" cy="5457308"/>
            </xdr:xfrm>
            <a:graphic>
              <a:graphicData uri="http://schemas.microsoft.com/office/drawing/2014/chartex">
                <cx:chart xmlns:cx="http://schemas.microsoft.com/office/drawing/2014/chartex" xmlns:r="http://schemas.openxmlformats.org/officeDocument/2006/relationships" r:id="rId16"/>
              </a:graphicData>
            </a:graphic>
          </xdr:graphicFrame>
        </mc:Choice>
        <mc:Fallback>
          <xdr:sp macro="" textlink="">
            <xdr:nvSpPr>
              <xdr:cNvPr id="0" name=""/>
              <xdr:cNvSpPr>
                <a:spLocks noTextEdit="1"/>
              </xdr:cNvSpPr>
            </xdr:nvSpPr>
            <xdr:spPr>
              <a:xfrm>
                <a:off x="6865441" y="13465692"/>
                <a:ext cx="3225287" cy="545730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mc:AlternateContent xmlns:mc="http://schemas.openxmlformats.org/markup-compatibility/2006">
        <mc:Choice xmlns:cx1="http://schemas.microsoft.com/office/drawing/2015/9/8/chartex" Requires="cx1">
          <xdr:graphicFrame macro="">
            <xdr:nvGraphicFramePr>
              <xdr:cNvPr id="89" name="Chart 88">
                <a:extLst>
                  <a:ext uri="{FF2B5EF4-FFF2-40B4-BE49-F238E27FC236}">
                    <a16:creationId xmlns:a16="http://schemas.microsoft.com/office/drawing/2014/main" id="{CE8AC157-3B77-F664-F5E3-CC5E7EA795A4}"/>
                  </a:ext>
                </a:extLst>
              </xdr:cNvPr>
              <xdr:cNvGraphicFramePr/>
            </xdr:nvGraphicFramePr>
            <xdr:xfrm>
              <a:off x="4099874" y="13458336"/>
              <a:ext cx="3225287" cy="5457308"/>
            </xdr:xfrm>
            <a:graphic>
              <a:graphicData uri="http://schemas.microsoft.com/office/drawing/2014/chartex">
                <cx:chart xmlns:cx="http://schemas.microsoft.com/office/drawing/2014/chartex" xmlns:r="http://schemas.openxmlformats.org/officeDocument/2006/relationships" r:id="rId17"/>
              </a:graphicData>
            </a:graphic>
          </xdr:graphicFrame>
        </mc:Choice>
        <mc:Fallback>
          <xdr:sp macro="" textlink="">
            <xdr:nvSpPr>
              <xdr:cNvPr id="0" name=""/>
              <xdr:cNvSpPr>
                <a:spLocks noTextEdit="1"/>
              </xdr:cNvSpPr>
            </xdr:nvSpPr>
            <xdr:spPr>
              <a:xfrm>
                <a:off x="4099874" y="13458336"/>
                <a:ext cx="3225287" cy="545730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mc:AlternateContent xmlns:mc="http://schemas.openxmlformats.org/markup-compatibility/2006">
        <mc:Choice xmlns:cx1="http://schemas.microsoft.com/office/drawing/2015/9/8/chartex" Requires="cx1">
          <xdr:graphicFrame macro="">
            <xdr:nvGraphicFramePr>
              <xdr:cNvPr id="90" name="Chart 89">
                <a:extLst>
                  <a:ext uri="{FF2B5EF4-FFF2-40B4-BE49-F238E27FC236}">
                    <a16:creationId xmlns:a16="http://schemas.microsoft.com/office/drawing/2014/main" id="{E6BCF5D0-DC98-9AD8-CFD5-93D2564F1C21}"/>
                  </a:ext>
                </a:extLst>
              </xdr:cNvPr>
              <xdr:cNvGraphicFramePr/>
            </xdr:nvGraphicFramePr>
            <xdr:xfrm>
              <a:off x="1339273" y="13462707"/>
              <a:ext cx="3200400" cy="5457308"/>
            </xdr:xfrm>
            <a:graphic>
              <a:graphicData uri="http://schemas.microsoft.com/office/drawing/2014/chartex">
                <cx:chart xmlns:cx="http://schemas.microsoft.com/office/drawing/2014/chartex" xmlns:r="http://schemas.openxmlformats.org/officeDocument/2006/relationships" r:id="rId18"/>
              </a:graphicData>
            </a:graphic>
          </xdr:graphicFrame>
        </mc:Choice>
        <mc:Fallback>
          <xdr:sp macro="" textlink="">
            <xdr:nvSpPr>
              <xdr:cNvPr id="0" name=""/>
              <xdr:cNvSpPr>
                <a:spLocks noTextEdit="1"/>
              </xdr:cNvSpPr>
            </xdr:nvSpPr>
            <xdr:spPr>
              <a:xfrm>
                <a:off x="1339273" y="13462707"/>
                <a:ext cx="3200400" cy="545730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sp macro="" textlink="">
        <xdr:nvSpPr>
          <xdr:cNvPr id="91" name="TextBox 90">
            <a:extLst>
              <a:ext uri="{FF2B5EF4-FFF2-40B4-BE49-F238E27FC236}">
                <a16:creationId xmlns:a16="http://schemas.microsoft.com/office/drawing/2014/main" id="{33B1C2E0-A92C-2933-BD8A-733AC189738D}"/>
              </a:ext>
            </a:extLst>
          </xdr:cNvPr>
          <xdr:cNvSpPr txBox="1"/>
        </xdr:nvSpPr>
        <xdr:spPr>
          <a:xfrm>
            <a:off x="2828636" y="18659765"/>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CBA Unit</a:t>
            </a:r>
          </a:p>
        </xdr:txBody>
      </xdr:sp>
      <xdr:sp macro="" textlink="">
        <xdr:nvSpPr>
          <xdr:cNvPr id="92" name="TextBox 91">
            <a:extLst>
              <a:ext uri="{FF2B5EF4-FFF2-40B4-BE49-F238E27FC236}">
                <a16:creationId xmlns:a16="http://schemas.microsoft.com/office/drawing/2014/main" id="{9E020438-2D0F-734F-A373-EB665CB646F8}"/>
              </a:ext>
            </a:extLst>
          </xdr:cNvPr>
          <xdr:cNvSpPr txBox="1"/>
        </xdr:nvSpPr>
        <xdr:spPr>
          <a:xfrm>
            <a:off x="3683000" y="18657455"/>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PBA Unit</a:t>
            </a:r>
          </a:p>
        </xdr:txBody>
      </xdr:sp>
      <xdr:sp macro="" textlink="">
        <xdr:nvSpPr>
          <xdr:cNvPr id="93" name="TextBox 92">
            <a:extLst>
              <a:ext uri="{FF2B5EF4-FFF2-40B4-BE49-F238E27FC236}">
                <a16:creationId xmlns:a16="http://schemas.microsoft.com/office/drawing/2014/main" id="{4BC7AE91-3D59-D2A7-886B-48F332CDEC67}"/>
              </a:ext>
            </a:extLst>
          </xdr:cNvPr>
          <xdr:cNvSpPr txBox="1"/>
        </xdr:nvSpPr>
        <xdr:spPr>
          <a:xfrm>
            <a:off x="1997364" y="18657454"/>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Influent</a:t>
            </a:r>
          </a:p>
        </xdr:txBody>
      </xdr:sp>
      <xdr:sp macro="" textlink="">
        <xdr:nvSpPr>
          <xdr:cNvPr id="94" name="TextBox 93">
            <a:extLst>
              <a:ext uri="{FF2B5EF4-FFF2-40B4-BE49-F238E27FC236}">
                <a16:creationId xmlns:a16="http://schemas.microsoft.com/office/drawing/2014/main" id="{AD8F79B4-DEA8-6DAE-9C47-257A4545DF21}"/>
              </a:ext>
            </a:extLst>
          </xdr:cNvPr>
          <xdr:cNvSpPr txBox="1"/>
        </xdr:nvSpPr>
        <xdr:spPr>
          <a:xfrm>
            <a:off x="5440217" y="18650529"/>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CBA Unit</a:t>
            </a:r>
          </a:p>
        </xdr:txBody>
      </xdr:sp>
      <xdr:sp macro="" textlink="">
        <xdr:nvSpPr>
          <xdr:cNvPr id="95" name="TextBox 94">
            <a:extLst>
              <a:ext uri="{FF2B5EF4-FFF2-40B4-BE49-F238E27FC236}">
                <a16:creationId xmlns:a16="http://schemas.microsoft.com/office/drawing/2014/main" id="{FB50AAE9-A0BC-0544-5A2B-BA9877DFFFAD}"/>
              </a:ext>
            </a:extLst>
          </xdr:cNvPr>
          <xdr:cNvSpPr txBox="1"/>
        </xdr:nvSpPr>
        <xdr:spPr>
          <a:xfrm>
            <a:off x="6294581" y="18648219"/>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PBA Unit</a:t>
            </a:r>
          </a:p>
        </xdr:txBody>
      </xdr:sp>
      <xdr:sp macro="" textlink="">
        <xdr:nvSpPr>
          <xdr:cNvPr id="96" name="TextBox 95">
            <a:extLst>
              <a:ext uri="{FF2B5EF4-FFF2-40B4-BE49-F238E27FC236}">
                <a16:creationId xmlns:a16="http://schemas.microsoft.com/office/drawing/2014/main" id="{DDCE15BB-283E-FDFD-752A-F40865EED764}"/>
              </a:ext>
            </a:extLst>
          </xdr:cNvPr>
          <xdr:cNvSpPr txBox="1"/>
        </xdr:nvSpPr>
        <xdr:spPr>
          <a:xfrm>
            <a:off x="4608945" y="18648218"/>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Influent</a:t>
            </a:r>
          </a:p>
        </xdr:txBody>
      </xdr:sp>
      <xdr:sp macro="" textlink="">
        <xdr:nvSpPr>
          <xdr:cNvPr id="97" name="TextBox 96">
            <a:extLst>
              <a:ext uri="{FF2B5EF4-FFF2-40B4-BE49-F238E27FC236}">
                <a16:creationId xmlns:a16="http://schemas.microsoft.com/office/drawing/2014/main" id="{44BCE67D-1C3B-BAF8-CA6C-93199D02AD5C}"/>
              </a:ext>
            </a:extLst>
          </xdr:cNvPr>
          <xdr:cNvSpPr txBox="1"/>
        </xdr:nvSpPr>
        <xdr:spPr>
          <a:xfrm>
            <a:off x="8271163" y="18641293"/>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CBA Unit</a:t>
            </a:r>
          </a:p>
        </xdr:txBody>
      </xdr:sp>
      <xdr:sp macro="" textlink="">
        <xdr:nvSpPr>
          <xdr:cNvPr id="98" name="TextBox 97">
            <a:extLst>
              <a:ext uri="{FF2B5EF4-FFF2-40B4-BE49-F238E27FC236}">
                <a16:creationId xmlns:a16="http://schemas.microsoft.com/office/drawing/2014/main" id="{F38B98E7-A136-7D22-35BC-ACF60E6254B4}"/>
              </a:ext>
            </a:extLst>
          </xdr:cNvPr>
          <xdr:cNvSpPr txBox="1"/>
        </xdr:nvSpPr>
        <xdr:spPr>
          <a:xfrm>
            <a:off x="9125527" y="18638983"/>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PBA Unit</a:t>
            </a:r>
          </a:p>
        </xdr:txBody>
      </xdr:sp>
      <xdr:sp macro="" textlink="">
        <xdr:nvSpPr>
          <xdr:cNvPr id="99" name="TextBox 98">
            <a:extLst>
              <a:ext uri="{FF2B5EF4-FFF2-40B4-BE49-F238E27FC236}">
                <a16:creationId xmlns:a16="http://schemas.microsoft.com/office/drawing/2014/main" id="{C0E63381-DFF9-AF96-A51C-18074BC33383}"/>
              </a:ext>
            </a:extLst>
          </xdr:cNvPr>
          <xdr:cNvSpPr txBox="1"/>
        </xdr:nvSpPr>
        <xdr:spPr>
          <a:xfrm>
            <a:off x="7439891" y="18638982"/>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Influent</a:t>
            </a:r>
          </a:p>
        </xdr:txBody>
      </xdr:sp>
    </xdr:grpSp>
    <xdr:clientData/>
  </xdr:twoCellAnchor>
  <xdr:twoCellAnchor>
    <xdr:from>
      <xdr:col>14</xdr:col>
      <xdr:colOff>417945</xdr:colOff>
      <xdr:row>123</xdr:row>
      <xdr:rowOff>0</xdr:rowOff>
    </xdr:from>
    <xdr:to>
      <xdr:col>27</xdr:col>
      <xdr:colOff>614218</xdr:colOff>
      <xdr:row>150</xdr:row>
      <xdr:rowOff>165300</xdr:rowOff>
    </xdr:to>
    <xdr:grpSp>
      <xdr:nvGrpSpPr>
        <xdr:cNvPr id="100" name="Group 99">
          <a:extLst>
            <a:ext uri="{FF2B5EF4-FFF2-40B4-BE49-F238E27FC236}">
              <a16:creationId xmlns:a16="http://schemas.microsoft.com/office/drawing/2014/main" id="{5DCF0404-456E-4B4E-9481-85CDCB200FC6}"/>
            </a:ext>
          </a:extLst>
        </xdr:cNvPr>
        <xdr:cNvGrpSpPr/>
      </xdr:nvGrpSpPr>
      <xdr:grpSpPr>
        <a:xfrm>
          <a:off x="9631218" y="25169091"/>
          <a:ext cx="8751455" cy="5464664"/>
          <a:chOff x="1339273" y="13458336"/>
          <a:chExt cx="8751455" cy="5464664"/>
        </a:xfrm>
      </xdr:grpSpPr>
      <mc:AlternateContent xmlns:mc="http://schemas.openxmlformats.org/markup-compatibility/2006">
        <mc:Choice xmlns:cx1="http://schemas.microsoft.com/office/drawing/2015/9/8/chartex" Requires="cx1">
          <xdr:graphicFrame macro="">
            <xdr:nvGraphicFramePr>
              <xdr:cNvPr id="101" name="Chart 100">
                <a:extLst>
                  <a:ext uri="{FF2B5EF4-FFF2-40B4-BE49-F238E27FC236}">
                    <a16:creationId xmlns:a16="http://schemas.microsoft.com/office/drawing/2014/main" id="{E7D44CD7-E87C-91FB-46B5-F1C0905D4FEA}"/>
                  </a:ext>
                </a:extLst>
              </xdr:cNvPr>
              <xdr:cNvGraphicFramePr/>
            </xdr:nvGraphicFramePr>
            <xdr:xfrm>
              <a:off x="6865441" y="13465692"/>
              <a:ext cx="3225287" cy="5457308"/>
            </xdr:xfrm>
            <a:graphic>
              <a:graphicData uri="http://schemas.microsoft.com/office/drawing/2014/chartex">
                <cx:chart xmlns:cx="http://schemas.microsoft.com/office/drawing/2014/chartex" xmlns:r="http://schemas.openxmlformats.org/officeDocument/2006/relationships" r:id="rId19"/>
              </a:graphicData>
            </a:graphic>
          </xdr:graphicFrame>
        </mc:Choice>
        <mc:Fallback>
          <xdr:sp macro="" textlink="">
            <xdr:nvSpPr>
              <xdr:cNvPr id="0" name=""/>
              <xdr:cNvSpPr>
                <a:spLocks noTextEdit="1"/>
              </xdr:cNvSpPr>
            </xdr:nvSpPr>
            <xdr:spPr>
              <a:xfrm>
                <a:off x="6865441" y="13465692"/>
                <a:ext cx="3225287" cy="545730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mc:AlternateContent xmlns:mc="http://schemas.openxmlformats.org/markup-compatibility/2006">
        <mc:Choice xmlns:cx1="http://schemas.microsoft.com/office/drawing/2015/9/8/chartex" Requires="cx1">
          <xdr:graphicFrame macro="">
            <xdr:nvGraphicFramePr>
              <xdr:cNvPr id="102" name="Chart 101">
                <a:extLst>
                  <a:ext uri="{FF2B5EF4-FFF2-40B4-BE49-F238E27FC236}">
                    <a16:creationId xmlns:a16="http://schemas.microsoft.com/office/drawing/2014/main" id="{4CDB8532-6EAC-1156-5EF2-AC29EE893686}"/>
                  </a:ext>
                </a:extLst>
              </xdr:cNvPr>
              <xdr:cNvGraphicFramePr/>
            </xdr:nvGraphicFramePr>
            <xdr:xfrm>
              <a:off x="4099874" y="13458336"/>
              <a:ext cx="3225287" cy="5457308"/>
            </xdr:xfrm>
            <a:graphic>
              <a:graphicData uri="http://schemas.microsoft.com/office/drawing/2014/chartex">
                <cx:chart xmlns:cx="http://schemas.microsoft.com/office/drawing/2014/chartex" xmlns:r="http://schemas.openxmlformats.org/officeDocument/2006/relationships" r:id="rId20"/>
              </a:graphicData>
            </a:graphic>
          </xdr:graphicFrame>
        </mc:Choice>
        <mc:Fallback>
          <xdr:sp macro="" textlink="">
            <xdr:nvSpPr>
              <xdr:cNvPr id="0" name=""/>
              <xdr:cNvSpPr>
                <a:spLocks noTextEdit="1"/>
              </xdr:cNvSpPr>
            </xdr:nvSpPr>
            <xdr:spPr>
              <a:xfrm>
                <a:off x="4099874" y="13458336"/>
                <a:ext cx="3225287" cy="545730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mc:AlternateContent xmlns:mc="http://schemas.openxmlformats.org/markup-compatibility/2006">
        <mc:Choice xmlns:cx1="http://schemas.microsoft.com/office/drawing/2015/9/8/chartex" Requires="cx1">
          <xdr:graphicFrame macro="">
            <xdr:nvGraphicFramePr>
              <xdr:cNvPr id="103" name="Chart 102">
                <a:extLst>
                  <a:ext uri="{FF2B5EF4-FFF2-40B4-BE49-F238E27FC236}">
                    <a16:creationId xmlns:a16="http://schemas.microsoft.com/office/drawing/2014/main" id="{CB5FD21F-79C6-3E0A-0456-0814D81CF5C3}"/>
                  </a:ext>
                </a:extLst>
              </xdr:cNvPr>
              <xdr:cNvGraphicFramePr/>
            </xdr:nvGraphicFramePr>
            <xdr:xfrm>
              <a:off x="1339273" y="13462707"/>
              <a:ext cx="3200400" cy="5457308"/>
            </xdr:xfrm>
            <a:graphic>
              <a:graphicData uri="http://schemas.microsoft.com/office/drawing/2014/chartex">
                <cx:chart xmlns:cx="http://schemas.microsoft.com/office/drawing/2014/chartex" xmlns:r="http://schemas.openxmlformats.org/officeDocument/2006/relationships" r:id="rId21"/>
              </a:graphicData>
            </a:graphic>
          </xdr:graphicFrame>
        </mc:Choice>
        <mc:Fallback>
          <xdr:sp macro="" textlink="">
            <xdr:nvSpPr>
              <xdr:cNvPr id="0" name=""/>
              <xdr:cNvSpPr>
                <a:spLocks noTextEdit="1"/>
              </xdr:cNvSpPr>
            </xdr:nvSpPr>
            <xdr:spPr>
              <a:xfrm>
                <a:off x="1339273" y="13462707"/>
                <a:ext cx="3200400" cy="545730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sp macro="" textlink="">
        <xdr:nvSpPr>
          <xdr:cNvPr id="104" name="TextBox 103">
            <a:extLst>
              <a:ext uri="{FF2B5EF4-FFF2-40B4-BE49-F238E27FC236}">
                <a16:creationId xmlns:a16="http://schemas.microsoft.com/office/drawing/2014/main" id="{0ABA0696-8DB6-216F-F848-8AF6B02382F6}"/>
              </a:ext>
            </a:extLst>
          </xdr:cNvPr>
          <xdr:cNvSpPr txBox="1"/>
        </xdr:nvSpPr>
        <xdr:spPr>
          <a:xfrm>
            <a:off x="2828636" y="18659765"/>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CBA Unit</a:t>
            </a:r>
          </a:p>
        </xdr:txBody>
      </xdr:sp>
      <xdr:sp macro="" textlink="">
        <xdr:nvSpPr>
          <xdr:cNvPr id="105" name="TextBox 104">
            <a:extLst>
              <a:ext uri="{FF2B5EF4-FFF2-40B4-BE49-F238E27FC236}">
                <a16:creationId xmlns:a16="http://schemas.microsoft.com/office/drawing/2014/main" id="{83DB30E8-80BE-2749-6008-46FC550C036A}"/>
              </a:ext>
            </a:extLst>
          </xdr:cNvPr>
          <xdr:cNvSpPr txBox="1"/>
        </xdr:nvSpPr>
        <xdr:spPr>
          <a:xfrm>
            <a:off x="3683000" y="18657455"/>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PBA Unit</a:t>
            </a:r>
          </a:p>
        </xdr:txBody>
      </xdr:sp>
      <xdr:sp macro="" textlink="">
        <xdr:nvSpPr>
          <xdr:cNvPr id="106" name="TextBox 105">
            <a:extLst>
              <a:ext uri="{FF2B5EF4-FFF2-40B4-BE49-F238E27FC236}">
                <a16:creationId xmlns:a16="http://schemas.microsoft.com/office/drawing/2014/main" id="{6CFFFED0-8B50-4D81-4D95-8444F76EAEA3}"/>
              </a:ext>
            </a:extLst>
          </xdr:cNvPr>
          <xdr:cNvSpPr txBox="1"/>
        </xdr:nvSpPr>
        <xdr:spPr>
          <a:xfrm>
            <a:off x="1997364" y="18657454"/>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Influent</a:t>
            </a:r>
          </a:p>
        </xdr:txBody>
      </xdr:sp>
      <xdr:sp macro="" textlink="">
        <xdr:nvSpPr>
          <xdr:cNvPr id="107" name="TextBox 106">
            <a:extLst>
              <a:ext uri="{FF2B5EF4-FFF2-40B4-BE49-F238E27FC236}">
                <a16:creationId xmlns:a16="http://schemas.microsoft.com/office/drawing/2014/main" id="{FFA1F51E-AE19-E488-3FCC-3F2FBD88AAB2}"/>
              </a:ext>
            </a:extLst>
          </xdr:cNvPr>
          <xdr:cNvSpPr txBox="1"/>
        </xdr:nvSpPr>
        <xdr:spPr>
          <a:xfrm>
            <a:off x="5440217" y="18650529"/>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CBA Unit</a:t>
            </a:r>
          </a:p>
        </xdr:txBody>
      </xdr:sp>
      <xdr:sp macro="" textlink="">
        <xdr:nvSpPr>
          <xdr:cNvPr id="108" name="TextBox 107">
            <a:extLst>
              <a:ext uri="{FF2B5EF4-FFF2-40B4-BE49-F238E27FC236}">
                <a16:creationId xmlns:a16="http://schemas.microsoft.com/office/drawing/2014/main" id="{F2FF3814-2537-CBE6-96DA-EA91F494A137}"/>
              </a:ext>
            </a:extLst>
          </xdr:cNvPr>
          <xdr:cNvSpPr txBox="1"/>
        </xdr:nvSpPr>
        <xdr:spPr>
          <a:xfrm>
            <a:off x="6294581" y="18648219"/>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PBA Unit</a:t>
            </a:r>
          </a:p>
        </xdr:txBody>
      </xdr:sp>
      <xdr:sp macro="" textlink="">
        <xdr:nvSpPr>
          <xdr:cNvPr id="109" name="TextBox 108">
            <a:extLst>
              <a:ext uri="{FF2B5EF4-FFF2-40B4-BE49-F238E27FC236}">
                <a16:creationId xmlns:a16="http://schemas.microsoft.com/office/drawing/2014/main" id="{31E9D400-9D2E-D278-03C2-BABAE22DB2FA}"/>
              </a:ext>
            </a:extLst>
          </xdr:cNvPr>
          <xdr:cNvSpPr txBox="1"/>
        </xdr:nvSpPr>
        <xdr:spPr>
          <a:xfrm>
            <a:off x="4608945" y="18648218"/>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Influent</a:t>
            </a:r>
          </a:p>
        </xdr:txBody>
      </xdr:sp>
      <xdr:sp macro="" textlink="">
        <xdr:nvSpPr>
          <xdr:cNvPr id="110" name="TextBox 109">
            <a:extLst>
              <a:ext uri="{FF2B5EF4-FFF2-40B4-BE49-F238E27FC236}">
                <a16:creationId xmlns:a16="http://schemas.microsoft.com/office/drawing/2014/main" id="{9958ADD0-C846-A65A-1260-A40590EFDC5B}"/>
              </a:ext>
            </a:extLst>
          </xdr:cNvPr>
          <xdr:cNvSpPr txBox="1"/>
        </xdr:nvSpPr>
        <xdr:spPr>
          <a:xfrm>
            <a:off x="8271163" y="18641293"/>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CBA Unit</a:t>
            </a:r>
          </a:p>
        </xdr:txBody>
      </xdr:sp>
      <xdr:sp macro="" textlink="">
        <xdr:nvSpPr>
          <xdr:cNvPr id="111" name="TextBox 110">
            <a:extLst>
              <a:ext uri="{FF2B5EF4-FFF2-40B4-BE49-F238E27FC236}">
                <a16:creationId xmlns:a16="http://schemas.microsoft.com/office/drawing/2014/main" id="{D7F3C01A-E294-B17E-49F5-ABCADA559235}"/>
              </a:ext>
            </a:extLst>
          </xdr:cNvPr>
          <xdr:cNvSpPr txBox="1"/>
        </xdr:nvSpPr>
        <xdr:spPr>
          <a:xfrm>
            <a:off x="9125527" y="18638983"/>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PBA Unit</a:t>
            </a:r>
          </a:p>
        </xdr:txBody>
      </xdr:sp>
      <xdr:sp macro="" textlink="">
        <xdr:nvSpPr>
          <xdr:cNvPr id="112" name="TextBox 111">
            <a:extLst>
              <a:ext uri="{FF2B5EF4-FFF2-40B4-BE49-F238E27FC236}">
                <a16:creationId xmlns:a16="http://schemas.microsoft.com/office/drawing/2014/main" id="{E7D2D629-C15C-B40E-BF42-68BB86D83068}"/>
              </a:ext>
            </a:extLst>
          </xdr:cNvPr>
          <xdr:cNvSpPr txBox="1"/>
        </xdr:nvSpPr>
        <xdr:spPr>
          <a:xfrm>
            <a:off x="7439891" y="18638982"/>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Influent</a:t>
            </a:r>
          </a:p>
        </xdr:txBody>
      </xdr:sp>
    </xdr:grpSp>
    <xdr:clientData/>
  </xdr:twoCellAnchor>
  <xdr:twoCellAnchor>
    <xdr:from>
      <xdr:col>28</xdr:col>
      <xdr:colOff>60035</xdr:colOff>
      <xdr:row>123</xdr:row>
      <xdr:rowOff>62099</xdr:rowOff>
    </xdr:from>
    <xdr:to>
      <xdr:col>39</xdr:col>
      <xdr:colOff>136235</xdr:colOff>
      <xdr:row>151</xdr:row>
      <xdr:rowOff>52864</xdr:rowOff>
    </xdr:to>
    <xdr:grpSp>
      <xdr:nvGrpSpPr>
        <xdr:cNvPr id="113" name="Group 112">
          <a:extLst>
            <a:ext uri="{FF2B5EF4-FFF2-40B4-BE49-F238E27FC236}">
              <a16:creationId xmlns:a16="http://schemas.microsoft.com/office/drawing/2014/main" id="{E53227E5-2BD5-4404-8638-78978F4AF907}"/>
            </a:ext>
          </a:extLst>
        </xdr:cNvPr>
        <xdr:cNvGrpSpPr/>
      </xdr:nvGrpSpPr>
      <xdr:grpSpPr>
        <a:xfrm>
          <a:off x="18486580" y="25231190"/>
          <a:ext cx="7315200" cy="5486401"/>
          <a:chOff x="18315707" y="20048236"/>
          <a:chExt cx="7315200" cy="5486400"/>
        </a:xfrm>
      </xdr:grpSpPr>
      <mc:AlternateContent xmlns:mc="http://schemas.openxmlformats.org/markup-compatibility/2006">
        <mc:Choice xmlns:cx1="http://schemas.microsoft.com/office/drawing/2015/9/8/chartex" Requires="cx1">
          <xdr:graphicFrame macro="">
            <xdr:nvGraphicFramePr>
              <xdr:cNvPr id="114" name="Chart 113">
                <a:extLst>
                  <a:ext uri="{FF2B5EF4-FFF2-40B4-BE49-F238E27FC236}">
                    <a16:creationId xmlns:a16="http://schemas.microsoft.com/office/drawing/2014/main" id="{F5BDAAE6-978D-70E7-FA9A-D834E0DD10FF}"/>
                  </a:ext>
                </a:extLst>
              </xdr:cNvPr>
              <xdr:cNvGraphicFramePr/>
            </xdr:nvGraphicFramePr>
            <xdr:xfrm>
              <a:off x="18315707" y="20048236"/>
              <a:ext cx="7315200" cy="5486400"/>
            </xdr:xfrm>
            <a:graphic>
              <a:graphicData uri="http://schemas.microsoft.com/office/drawing/2014/chartex">
                <cx:chart xmlns:cx="http://schemas.microsoft.com/office/drawing/2014/chartex" xmlns:r="http://schemas.openxmlformats.org/officeDocument/2006/relationships" r:id="rId22"/>
              </a:graphicData>
            </a:graphic>
          </xdr:graphicFrame>
        </mc:Choice>
        <mc:Fallback>
          <xdr:sp macro="" textlink="">
            <xdr:nvSpPr>
              <xdr:cNvPr id="0" name=""/>
              <xdr:cNvSpPr>
                <a:spLocks noTextEdit="1"/>
              </xdr:cNvSpPr>
            </xdr:nvSpPr>
            <xdr:spPr>
              <a:xfrm>
                <a:off x="18315707" y="20048236"/>
                <a:ext cx="7315200" cy="54864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sp macro="" textlink="">
        <xdr:nvSpPr>
          <xdr:cNvPr id="115" name="TextBox 114">
            <a:extLst>
              <a:ext uri="{FF2B5EF4-FFF2-40B4-BE49-F238E27FC236}">
                <a16:creationId xmlns:a16="http://schemas.microsoft.com/office/drawing/2014/main" id="{EC9DE9E1-B876-C835-2334-8A3282706134}"/>
              </a:ext>
            </a:extLst>
          </xdr:cNvPr>
          <xdr:cNvSpPr txBox="1"/>
        </xdr:nvSpPr>
        <xdr:spPr>
          <a:xfrm>
            <a:off x="21883259" y="25264720"/>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CBA Unit</a:t>
            </a:r>
          </a:p>
        </xdr:txBody>
      </xdr:sp>
      <xdr:sp macro="" textlink="">
        <xdr:nvSpPr>
          <xdr:cNvPr id="116" name="TextBox 115">
            <a:extLst>
              <a:ext uri="{FF2B5EF4-FFF2-40B4-BE49-F238E27FC236}">
                <a16:creationId xmlns:a16="http://schemas.microsoft.com/office/drawing/2014/main" id="{C508CE45-7C14-446D-7754-29CC8DDD78A6}"/>
              </a:ext>
            </a:extLst>
          </xdr:cNvPr>
          <xdr:cNvSpPr txBox="1"/>
        </xdr:nvSpPr>
        <xdr:spPr>
          <a:xfrm>
            <a:off x="24053806" y="25262410"/>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PBA Unit</a:t>
            </a:r>
          </a:p>
        </xdr:txBody>
      </xdr:sp>
      <xdr:sp macro="" textlink="">
        <xdr:nvSpPr>
          <xdr:cNvPr id="117" name="TextBox 116">
            <a:extLst>
              <a:ext uri="{FF2B5EF4-FFF2-40B4-BE49-F238E27FC236}">
                <a16:creationId xmlns:a16="http://schemas.microsoft.com/office/drawing/2014/main" id="{91B20703-EA2A-C663-D152-A360203FB856}"/>
              </a:ext>
            </a:extLst>
          </xdr:cNvPr>
          <xdr:cNvSpPr txBox="1"/>
        </xdr:nvSpPr>
        <xdr:spPr>
          <a:xfrm>
            <a:off x="19724254" y="25262409"/>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Influent</a:t>
            </a:r>
          </a:p>
        </xdr:txBody>
      </xdr:sp>
    </xdr:grpSp>
    <xdr:clientData/>
  </xdr:twoCellAnchor>
  <xdr:twoCellAnchor>
    <xdr:from>
      <xdr:col>6</xdr:col>
      <xdr:colOff>72735</xdr:colOff>
      <xdr:row>127</xdr:row>
      <xdr:rowOff>129126</xdr:rowOff>
    </xdr:from>
    <xdr:to>
      <xdr:col>9</xdr:col>
      <xdr:colOff>538403</xdr:colOff>
      <xdr:row>132</xdr:row>
      <xdr:rowOff>150292</xdr:rowOff>
    </xdr:to>
    <xdr:sp macro="" textlink="">
      <xdr:nvSpPr>
        <xdr:cNvPr id="118" name="TextBox 117">
          <a:extLst>
            <a:ext uri="{FF2B5EF4-FFF2-40B4-BE49-F238E27FC236}">
              <a16:creationId xmlns:a16="http://schemas.microsoft.com/office/drawing/2014/main" id="{6E4888BE-FC33-4410-804F-F57843E372F0}"/>
            </a:ext>
          </a:extLst>
        </xdr:cNvPr>
        <xdr:cNvSpPr txBox="1"/>
      </xdr:nvSpPr>
      <xdr:spPr>
        <a:xfrm>
          <a:off x="4035135" y="26176826"/>
          <a:ext cx="2446868" cy="10054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Medium HLR shows</a:t>
          </a:r>
          <a:r>
            <a:rPr lang="en-US" sz="1100" baseline="0"/>
            <a:t> best performance considering the cost benefit (greatest TP reduction; lowest TP concentrations in unit effluent). See ANOVA for statistical analysis.</a:t>
          </a:r>
          <a:endParaRPr lang="en-US" sz="1100"/>
        </a:p>
      </xdr:txBody>
    </xdr:sp>
    <xdr:clientData/>
  </xdr:twoCellAnchor>
  <xdr:twoCellAnchor>
    <xdr:from>
      <xdr:col>23</xdr:col>
      <xdr:colOff>616719</xdr:colOff>
      <xdr:row>126</xdr:row>
      <xdr:rowOff>185314</xdr:rowOff>
    </xdr:from>
    <xdr:to>
      <xdr:col>27</xdr:col>
      <xdr:colOff>401782</xdr:colOff>
      <xdr:row>131</xdr:row>
      <xdr:rowOff>183774</xdr:rowOff>
    </xdr:to>
    <xdr:sp macro="" textlink="">
      <xdr:nvSpPr>
        <xdr:cNvPr id="119" name="TextBox 118">
          <a:extLst>
            <a:ext uri="{FF2B5EF4-FFF2-40B4-BE49-F238E27FC236}">
              <a16:creationId xmlns:a16="http://schemas.microsoft.com/office/drawing/2014/main" id="{609D1230-B0A1-4E5C-A0F0-83A01C20B181}"/>
            </a:ext>
          </a:extLst>
        </xdr:cNvPr>
        <xdr:cNvSpPr txBox="1"/>
      </xdr:nvSpPr>
      <xdr:spPr>
        <a:xfrm>
          <a:off x="15805919" y="26036164"/>
          <a:ext cx="2426663" cy="9827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Results show higher TP concentration (less load reduction) with plant addition. Most</a:t>
          </a:r>
          <a:r>
            <a:rPr lang="en-US" sz="1100" baseline="0"/>
            <a:t> likely due to the presence of TP in fertilizer in plant. Requires further investigation.</a:t>
          </a:r>
          <a:endParaRPr lang="en-US" sz="1100"/>
        </a:p>
      </xdr:txBody>
    </xdr:sp>
    <xdr:clientData/>
  </xdr:twoCellAnchor>
  <xdr:twoCellAnchor>
    <xdr:from>
      <xdr:col>32</xdr:col>
      <xdr:colOff>128154</xdr:colOff>
      <xdr:row>127</xdr:row>
      <xdr:rowOff>94487</xdr:rowOff>
    </xdr:from>
    <xdr:to>
      <xdr:col>35</xdr:col>
      <xdr:colOff>623455</xdr:colOff>
      <xdr:row>132</xdr:row>
      <xdr:rowOff>69088</xdr:rowOff>
    </xdr:to>
    <xdr:sp macro="" textlink="">
      <xdr:nvSpPr>
        <xdr:cNvPr id="120" name="TextBox 119">
          <a:extLst>
            <a:ext uri="{FF2B5EF4-FFF2-40B4-BE49-F238E27FC236}">
              <a16:creationId xmlns:a16="http://schemas.microsoft.com/office/drawing/2014/main" id="{3DAF59CA-39CD-4348-859D-7B3B4E542524}"/>
            </a:ext>
          </a:extLst>
        </xdr:cNvPr>
        <xdr:cNvSpPr txBox="1"/>
      </xdr:nvSpPr>
      <xdr:spPr>
        <a:xfrm>
          <a:off x="21260954" y="26142187"/>
          <a:ext cx="2476501" cy="9588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At the optimal configuration (Med HLR, Upper outlet height, with</a:t>
          </a:r>
          <a:r>
            <a:rPr lang="en-US" sz="1100" baseline="0"/>
            <a:t> plants), </a:t>
          </a:r>
          <a:r>
            <a:rPr lang="en-US" sz="1100"/>
            <a:t>CBA shows greatest TP reduction (54.25 </a:t>
          </a:r>
          <a:r>
            <a:rPr lang="en-US" sz="1100" baseline="0"/>
            <a:t>%), with lowest TP concentrations in the unit effluent.</a:t>
          </a:r>
          <a:endParaRPr lang="en-US" sz="1100"/>
        </a:p>
      </xdr:txBody>
    </xdr:sp>
    <xdr:clientData/>
  </xdr:twoCellAnchor>
  <xdr:twoCellAnchor>
    <xdr:from>
      <xdr:col>32</xdr:col>
      <xdr:colOff>611908</xdr:colOff>
      <xdr:row>112</xdr:row>
      <xdr:rowOff>138543</xdr:rowOff>
    </xdr:from>
    <xdr:to>
      <xdr:col>34</xdr:col>
      <xdr:colOff>588818</xdr:colOff>
      <xdr:row>114</xdr:row>
      <xdr:rowOff>184727</xdr:rowOff>
    </xdr:to>
    <xdr:sp macro="" textlink="">
      <xdr:nvSpPr>
        <xdr:cNvPr id="121" name="TextBox 120">
          <a:extLst>
            <a:ext uri="{FF2B5EF4-FFF2-40B4-BE49-F238E27FC236}">
              <a16:creationId xmlns:a16="http://schemas.microsoft.com/office/drawing/2014/main" id="{796F7C93-4D84-4EF4-B76B-E4204570E31A}"/>
            </a:ext>
          </a:extLst>
        </xdr:cNvPr>
        <xdr:cNvSpPr txBox="1"/>
      </xdr:nvSpPr>
      <xdr:spPr>
        <a:xfrm>
          <a:off x="21744708" y="23233493"/>
          <a:ext cx="1297710" cy="43988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Arial" panose="020B0604020202020204" pitchFamily="34" charset="0"/>
              <a:cs typeface="Arial" panose="020B0604020202020204" pitchFamily="34" charset="0"/>
            </a:rPr>
            <a:t>CBA:</a:t>
          </a:r>
          <a:r>
            <a:rPr lang="en-US" sz="1100" baseline="0">
              <a:latin typeface="Arial" panose="020B0604020202020204" pitchFamily="34" charset="0"/>
              <a:cs typeface="Arial" panose="020B0604020202020204" pitchFamily="34" charset="0"/>
            </a:rPr>
            <a:t> 83.70% TIN load reduction</a:t>
          </a:r>
          <a:endParaRPr lang="en-US" sz="1100">
            <a:latin typeface="Arial" panose="020B0604020202020204" pitchFamily="34" charset="0"/>
            <a:cs typeface="Arial" panose="020B0604020202020204" pitchFamily="34" charset="0"/>
          </a:endParaRPr>
        </a:p>
      </xdr:txBody>
    </xdr:sp>
    <xdr:clientData/>
  </xdr:twoCellAnchor>
  <xdr:twoCellAnchor>
    <xdr:from>
      <xdr:col>36</xdr:col>
      <xdr:colOff>117762</xdr:colOff>
      <xdr:row>108</xdr:row>
      <xdr:rowOff>152398</xdr:rowOff>
    </xdr:from>
    <xdr:to>
      <xdr:col>38</xdr:col>
      <xdr:colOff>94672</xdr:colOff>
      <xdr:row>111</xdr:row>
      <xdr:rowOff>2309</xdr:rowOff>
    </xdr:to>
    <xdr:sp macro="" textlink="">
      <xdr:nvSpPr>
        <xdr:cNvPr id="122" name="TextBox 121">
          <a:extLst>
            <a:ext uri="{FF2B5EF4-FFF2-40B4-BE49-F238E27FC236}">
              <a16:creationId xmlns:a16="http://schemas.microsoft.com/office/drawing/2014/main" id="{926419C5-612D-4FE2-B03D-2B8F3837CC84}"/>
            </a:ext>
          </a:extLst>
        </xdr:cNvPr>
        <xdr:cNvSpPr txBox="1"/>
      </xdr:nvSpPr>
      <xdr:spPr>
        <a:xfrm>
          <a:off x="23892162" y="22459948"/>
          <a:ext cx="1297710" cy="44046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Arial" panose="020B0604020202020204" pitchFamily="34" charset="0"/>
              <a:cs typeface="Arial" panose="020B0604020202020204" pitchFamily="34" charset="0"/>
            </a:rPr>
            <a:t>PBA:</a:t>
          </a:r>
          <a:r>
            <a:rPr lang="en-US" sz="1100" baseline="0">
              <a:latin typeface="Arial" panose="020B0604020202020204" pitchFamily="34" charset="0"/>
              <a:cs typeface="Arial" panose="020B0604020202020204" pitchFamily="34" charset="0"/>
            </a:rPr>
            <a:t> 78.60% TIN load reduction</a:t>
          </a:r>
          <a:endParaRPr lang="en-US" sz="1100">
            <a:latin typeface="Arial" panose="020B0604020202020204" pitchFamily="34" charset="0"/>
            <a:cs typeface="Arial" panose="020B0604020202020204" pitchFamily="34" charset="0"/>
          </a:endParaRPr>
        </a:p>
      </xdr:txBody>
    </xdr:sp>
    <xdr:clientData/>
  </xdr:twoCellAnchor>
  <xdr:twoCellAnchor>
    <xdr:from>
      <xdr:col>33</xdr:col>
      <xdr:colOff>36944</xdr:colOff>
      <xdr:row>138</xdr:row>
      <xdr:rowOff>25399</xdr:rowOff>
    </xdr:from>
    <xdr:to>
      <xdr:col>35</xdr:col>
      <xdr:colOff>13854</xdr:colOff>
      <xdr:row>140</xdr:row>
      <xdr:rowOff>71582</xdr:rowOff>
    </xdr:to>
    <xdr:sp macro="" textlink="">
      <xdr:nvSpPr>
        <xdr:cNvPr id="123" name="TextBox 122">
          <a:extLst>
            <a:ext uri="{FF2B5EF4-FFF2-40B4-BE49-F238E27FC236}">
              <a16:creationId xmlns:a16="http://schemas.microsoft.com/office/drawing/2014/main" id="{E717EF5A-E6D3-41F0-BBCA-7D75D297DD42}"/>
            </a:ext>
          </a:extLst>
        </xdr:cNvPr>
        <xdr:cNvSpPr txBox="1"/>
      </xdr:nvSpPr>
      <xdr:spPr>
        <a:xfrm>
          <a:off x="21830144" y="28238449"/>
          <a:ext cx="1297710" cy="4398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Arial" panose="020B0604020202020204" pitchFamily="34" charset="0"/>
              <a:cs typeface="Arial" panose="020B0604020202020204" pitchFamily="34" charset="0"/>
            </a:rPr>
            <a:t>CBA:</a:t>
          </a:r>
          <a:r>
            <a:rPr lang="en-US" sz="1100" baseline="0">
              <a:latin typeface="Arial" panose="020B0604020202020204" pitchFamily="34" charset="0"/>
              <a:cs typeface="Arial" panose="020B0604020202020204" pitchFamily="34" charset="0"/>
            </a:rPr>
            <a:t> 54.25% TP load reduction</a:t>
          </a:r>
          <a:endParaRPr lang="en-US" sz="1100">
            <a:latin typeface="Arial" panose="020B0604020202020204" pitchFamily="34" charset="0"/>
            <a:cs typeface="Arial" panose="020B0604020202020204" pitchFamily="34" charset="0"/>
          </a:endParaRPr>
        </a:p>
      </xdr:txBody>
    </xdr:sp>
    <xdr:clientData/>
  </xdr:twoCellAnchor>
  <xdr:twoCellAnchor>
    <xdr:from>
      <xdr:col>36</xdr:col>
      <xdr:colOff>235525</xdr:colOff>
      <xdr:row>130</xdr:row>
      <xdr:rowOff>131616</xdr:rowOff>
    </xdr:from>
    <xdr:to>
      <xdr:col>38</xdr:col>
      <xdr:colOff>212435</xdr:colOff>
      <xdr:row>132</xdr:row>
      <xdr:rowOff>177800</xdr:rowOff>
    </xdr:to>
    <xdr:sp macro="" textlink="">
      <xdr:nvSpPr>
        <xdr:cNvPr id="124" name="TextBox 123">
          <a:extLst>
            <a:ext uri="{FF2B5EF4-FFF2-40B4-BE49-F238E27FC236}">
              <a16:creationId xmlns:a16="http://schemas.microsoft.com/office/drawing/2014/main" id="{284B897C-68C1-4319-9D5E-484F0F1D6C55}"/>
            </a:ext>
          </a:extLst>
        </xdr:cNvPr>
        <xdr:cNvSpPr txBox="1"/>
      </xdr:nvSpPr>
      <xdr:spPr>
        <a:xfrm>
          <a:off x="24009925" y="26769866"/>
          <a:ext cx="1297710" cy="43988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Arial" panose="020B0604020202020204" pitchFamily="34" charset="0"/>
              <a:cs typeface="Arial" panose="020B0604020202020204" pitchFamily="34" charset="0"/>
            </a:rPr>
            <a:t>PBA:</a:t>
          </a:r>
          <a:r>
            <a:rPr lang="en-US" sz="1100" baseline="0">
              <a:latin typeface="Arial" panose="020B0604020202020204" pitchFamily="34" charset="0"/>
              <a:cs typeface="Arial" panose="020B0604020202020204" pitchFamily="34" charset="0"/>
            </a:rPr>
            <a:t> 6.94% TP load reduction</a:t>
          </a:r>
          <a:endParaRPr lang="en-US" sz="1100">
            <a:latin typeface="Arial" panose="020B0604020202020204" pitchFamily="34" charset="0"/>
            <a:cs typeface="Arial" panose="020B0604020202020204" pitchFamily="34" charset="0"/>
          </a:endParaRPr>
        </a:p>
      </xdr:txBody>
    </xdr:sp>
    <xdr:clientData/>
  </xdr:twoCellAnchor>
  <xdr:twoCellAnchor>
    <xdr:from>
      <xdr:col>1</xdr:col>
      <xdr:colOff>0</xdr:colOff>
      <xdr:row>201</xdr:row>
      <xdr:rowOff>0</xdr:rowOff>
    </xdr:from>
    <xdr:to>
      <xdr:col>13</xdr:col>
      <xdr:colOff>357524</xdr:colOff>
      <xdr:row>223</xdr:row>
      <xdr:rowOff>148166</xdr:rowOff>
    </xdr:to>
    <xdr:graphicFrame macro="">
      <xdr:nvGraphicFramePr>
        <xdr:cNvPr id="125" name="Chart 124">
          <a:extLst>
            <a:ext uri="{FF2B5EF4-FFF2-40B4-BE49-F238E27FC236}">
              <a16:creationId xmlns:a16="http://schemas.microsoft.com/office/drawing/2014/main" id="{A1C95563-2BDD-42CA-981F-F6641E32BF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14</xdr:col>
      <xdr:colOff>492992</xdr:colOff>
      <xdr:row>201</xdr:row>
      <xdr:rowOff>4232</xdr:rowOff>
    </xdr:from>
    <xdr:to>
      <xdr:col>27</xdr:col>
      <xdr:colOff>190501</xdr:colOff>
      <xdr:row>223</xdr:row>
      <xdr:rowOff>152398</xdr:rowOff>
    </xdr:to>
    <xdr:graphicFrame macro="">
      <xdr:nvGraphicFramePr>
        <xdr:cNvPr id="126" name="Chart 125">
          <a:extLst>
            <a:ext uri="{FF2B5EF4-FFF2-40B4-BE49-F238E27FC236}">
              <a16:creationId xmlns:a16="http://schemas.microsoft.com/office/drawing/2014/main" id="{C877E22A-5E69-4056-BF22-70E79F3502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1</xdr:col>
      <xdr:colOff>0</xdr:colOff>
      <xdr:row>237</xdr:row>
      <xdr:rowOff>0</xdr:rowOff>
    </xdr:from>
    <xdr:to>
      <xdr:col>13</xdr:col>
      <xdr:colOff>357524</xdr:colOff>
      <xdr:row>259</xdr:row>
      <xdr:rowOff>148166</xdr:rowOff>
    </xdr:to>
    <xdr:graphicFrame macro="">
      <xdr:nvGraphicFramePr>
        <xdr:cNvPr id="127" name="Chart 126">
          <a:extLst>
            <a:ext uri="{FF2B5EF4-FFF2-40B4-BE49-F238E27FC236}">
              <a16:creationId xmlns:a16="http://schemas.microsoft.com/office/drawing/2014/main" id="{08691074-2924-468B-B655-92FD94D4CA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14</xdr:col>
      <xdr:colOff>492992</xdr:colOff>
      <xdr:row>237</xdr:row>
      <xdr:rowOff>4232</xdr:rowOff>
    </xdr:from>
    <xdr:to>
      <xdr:col>27</xdr:col>
      <xdr:colOff>190501</xdr:colOff>
      <xdr:row>259</xdr:row>
      <xdr:rowOff>152398</xdr:rowOff>
    </xdr:to>
    <xdr:graphicFrame macro="">
      <xdr:nvGraphicFramePr>
        <xdr:cNvPr id="128" name="Chart 127">
          <a:extLst>
            <a:ext uri="{FF2B5EF4-FFF2-40B4-BE49-F238E27FC236}">
              <a16:creationId xmlns:a16="http://schemas.microsoft.com/office/drawing/2014/main" id="{FDF8E529-3197-4952-9DD2-D95A9A98AB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1</xdr:col>
      <xdr:colOff>0</xdr:colOff>
      <xdr:row>273</xdr:row>
      <xdr:rowOff>0</xdr:rowOff>
    </xdr:from>
    <xdr:to>
      <xdr:col>13</xdr:col>
      <xdr:colOff>357524</xdr:colOff>
      <xdr:row>295</xdr:row>
      <xdr:rowOff>148166</xdr:rowOff>
    </xdr:to>
    <xdr:graphicFrame macro="">
      <xdr:nvGraphicFramePr>
        <xdr:cNvPr id="129" name="Chart 128">
          <a:extLst>
            <a:ext uri="{FF2B5EF4-FFF2-40B4-BE49-F238E27FC236}">
              <a16:creationId xmlns:a16="http://schemas.microsoft.com/office/drawing/2014/main" id="{18B60F71-B6E4-44A0-961C-C9BF107DEA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14</xdr:col>
      <xdr:colOff>492992</xdr:colOff>
      <xdr:row>273</xdr:row>
      <xdr:rowOff>4232</xdr:rowOff>
    </xdr:from>
    <xdr:to>
      <xdr:col>27</xdr:col>
      <xdr:colOff>190501</xdr:colOff>
      <xdr:row>295</xdr:row>
      <xdr:rowOff>152398</xdr:rowOff>
    </xdr:to>
    <xdr:graphicFrame macro="">
      <xdr:nvGraphicFramePr>
        <xdr:cNvPr id="130" name="Chart 129">
          <a:extLst>
            <a:ext uri="{FF2B5EF4-FFF2-40B4-BE49-F238E27FC236}">
              <a16:creationId xmlns:a16="http://schemas.microsoft.com/office/drawing/2014/main" id="{B19705EF-3A37-45F3-906F-1E1427DE34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1</xdr:col>
      <xdr:colOff>0</xdr:colOff>
      <xdr:row>309</xdr:row>
      <xdr:rowOff>0</xdr:rowOff>
    </xdr:from>
    <xdr:to>
      <xdr:col>13</xdr:col>
      <xdr:colOff>357524</xdr:colOff>
      <xdr:row>331</xdr:row>
      <xdr:rowOff>148166</xdr:rowOff>
    </xdr:to>
    <xdr:graphicFrame macro="">
      <xdr:nvGraphicFramePr>
        <xdr:cNvPr id="131" name="Chart 130">
          <a:extLst>
            <a:ext uri="{FF2B5EF4-FFF2-40B4-BE49-F238E27FC236}">
              <a16:creationId xmlns:a16="http://schemas.microsoft.com/office/drawing/2014/main" id="{75CB8883-70BB-481C-9332-97077BCDF8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14</xdr:col>
      <xdr:colOff>492992</xdr:colOff>
      <xdr:row>309</xdr:row>
      <xdr:rowOff>4232</xdr:rowOff>
    </xdr:from>
    <xdr:to>
      <xdr:col>27</xdr:col>
      <xdr:colOff>190501</xdr:colOff>
      <xdr:row>331</xdr:row>
      <xdr:rowOff>152398</xdr:rowOff>
    </xdr:to>
    <xdr:graphicFrame macro="">
      <xdr:nvGraphicFramePr>
        <xdr:cNvPr id="132" name="Chart 131">
          <a:extLst>
            <a:ext uri="{FF2B5EF4-FFF2-40B4-BE49-F238E27FC236}">
              <a16:creationId xmlns:a16="http://schemas.microsoft.com/office/drawing/2014/main" id="{7B77A687-E470-4AC0-BB58-AB4593FDD6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1</xdr:col>
      <xdr:colOff>0</xdr:colOff>
      <xdr:row>345</xdr:row>
      <xdr:rowOff>0</xdr:rowOff>
    </xdr:from>
    <xdr:to>
      <xdr:col>13</xdr:col>
      <xdr:colOff>357524</xdr:colOff>
      <xdr:row>367</xdr:row>
      <xdr:rowOff>148166</xdr:rowOff>
    </xdr:to>
    <xdr:graphicFrame macro="">
      <xdr:nvGraphicFramePr>
        <xdr:cNvPr id="133" name="Chart 132">
          <a:extLst>
            <a:ext uri="{FF2B5EF4-FFF2-40B4-BE49-F238E27FC236}">
              <a16:creationId xmlns:a16="http://schemas.microsoft.com/office/drawing/2014/main" id="{66973872-F57B-4EE2-8762-BCCE19E214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26</xdr:col>
      <xdr:colOff>496454</xdr:colOff>
      <xdr:row>5</xdr:row>
      <xdr:rowOff>57728</xdr:rowOff>
    </xdr:from>
    <xdr:to>
      <xdr:col>39</xdr:col>
      <xdr:colOff>187806</xdr:colOff>
      <xdr:row>30</xdr:row>
      <xdr:rowOff>2309</xdr:rowOff>
    </xdr:to>
    <xdr:graphicFrame macro="">
      <xdr:nvGraphicFramePr>
        <xdr:cNvPr id="134" name="Chart 133">
          <a:extLst>
            <a:ext uri="{FF2B5EF4-FFF2-40B4-BE49-F238E27FC236}">
              <a16:creationId xmlns:a16="http://schemas.microsoft.com/office/drawing/2014/main" id="{ED572096-7EA3-477E-B0D9-FC03274F14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26</xdr:col>
      <xdr:colOff>374073</xdr:colOff>
      <xdr:row>33</xdr:row>
      <xdr:rowOff>92364</xdr:rowOff>
    </xdr:from>
    <xdr:to>
      <xdr:col>39</xdr:col>
      <xdr:colOff>65425</xdr:colOff>
      <xdr:row>58</xdr:row>
      <xdr:rowOff>36946</xdr:rowOff>
    </xdr:to>
    <xdr:graphicFrame macro="">
      <xdr:nvGraphicFramePr>
        <xdr:cNvPr id="135" name="Chart 134">
          <a:extLst>
            <a:ext uri="{FF2B5EF4-FFF2-40B4-BE49-F238E27FC236}">
              <a16:creationId xmlns:a16="http://schemas.microsoft.com/office/drawing/2014/main" id="{5D56CAA7-C2FD-453C-AF32-C313ECC53B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28</xdr:col>
      <xdr:colOff>57728</xdr:colOff>
      <xdr:row>0</xdr:row>
      <xdr:rowOff>173182</xdr:rowOff>
    </xdr:from>
    <xdr:to>
      <xdr:col>37</xdr:col>
      <xdr:colOff>300181</xdr:colOff>
      <xdr:row>4</xdr:row>
      <xdr:rowOff>219365</xdr:rowOff>
    </xdr:to>
    <xdr:sp macro="" textlink="">
      <xdr:nvSpPr>
        <xdr:cNvPr id="136" name="TextBox 135">
          <a:extLst>
            <a:ext uri="{FF2B5EF4-FFF2-40B4-BE49-F238E27FC236}">
              <a16:creationId xmlns:a16="http://schemas.microsoft.com/office/drawing/2014/main" id="{5C0B96FF-0B8D-4C2C-B325-BF210863E23E}"/>
            </a:ext>
          </a:extLst>
        </xdr:cNvPr>
        <xdr:cNvSpPr txBox="1"/>
      </xdr:nvSpPr>
      <xdr:spPr>
        <a:xfrm>
          <a:off x="18548928" y="173182"/>
          <a:ext cx="6186053" cy="14939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t>Use EBCT instead of HRT because not enough data from tracer study and</a:t>
          </a:r>
          <a:r>
            <a:rPr lang="en-US" sz="1600" baseline="0"/>
            <a:t> wasn't able to keep HLR constant. </a:t>
          </a:r>
        </a:p>
        <a:p>
          <a:endParaRPr lang="en-US" sz="1600" baseline="0"/>
        </a:p>
        <a:p>
          <a:r>
            <a:rPr lang="en-US" sz="1600" baseline="0"/>
            <a:t>Note: EBCT will be shorter than HRT, since it did not take into account media and void space. Might overestimate removal rate.</a:t>
          </a:r>
          <a:endParaRPr lang="en-US" sz="1600"/>
        </a:p>
      </xdr:txBody>
    </xdr:sp>
    <xdr:clientData/>
  </xdr:twoCellAnchor>
  <xdr:twoCellAnchor>
    <xdr:from>
      <xdr:col>39</xdr:col>
      <xdr:colOff>473364</xdr:colOff>
      <xdr:row>5</xdr:row>
      <xdr:rowOff>69273</xdr:rowOff>
    </xdr:from>
    <xdr:to>
      <xdr:col>52</xdr:col>
      <xdr:colOff>164715</xdr:colOff>
      <xdr:row>30</xdr:row>
      <xdr:rowOff>13854</xdr:rowOff>
    </xdr:to>
    <xdr:graphicFrame macro="">
      <xdr:nvGraphicFramePr>
        <xdr:cNvPr id="137" name="Chart 136">
          <a:extLst>
            <a:ext uri="{FF2B5EF4-FFF2-40B4-BE49-F238E27FC236}">
              <a16:creationId xmlns:a16="http://schemas.microsoft.com/office/drawing/2014/main" id="{478C4CF6-32B3-4FF0-B61C-19E114F46D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40</xdr:col>
      <xdr:colOff>0</xdr:colOff>
      <xdr:row>34</xdr:row>
      <xdr:rowOff>0</xdr:rowOff>
    </xdr:from>
    <xdr:to>
      <xdr:col>52</xdr:col>
      <xdr:colOff>349442</xdr:colOff>
      <xdr:row>58</xdr:row>
      <xdr:rowOff>140855</xdr:rowOff>
    </xdr:to>
    <xdr:graphicFrame macro="">
      <xdr:nvGraphicFramePr>
        <xdr:cNvPr id="138" name="Chart 137">
          <a:extLst>
            <a:ext uri="{FF2B5EF4-FFF2-40B4-BE49-F238E27FC236}">
              <a16:creationId xmlns:a16="http://schemas.microsoft.com/office/drawing/2014/main" id="{8E9458EA-1D01-4114-BF0E-853978C57C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wsDr>
</file>

<file path=xl/drawings/drawing5.xml><?xml version="1.0" encoding="utf-8"?>
<c:userShapes xmlns:c="http://schemas.openxmlformats.org/drawingml/2006/chart">
  <cdr:relSizeAnchor xmlns:cdr="http://schemas.openxmlformats.org/drawingml/2006/chartDrawing">
    <cdr:from>
      <cdr:x>0.40435</cdr:x>
      <cdr:y>0.60726</cdr:y>
    </cdr:from>
    <cdr:to>
      <cdr:x>0.49797</cdr:x>
      <cdr:y>0.65893</cdr:y>
    </cdr:to>
    <cdr:sp macro="" textlink="">
      <cdr:nvSpPr>
        <cdr:cNvPr id="2" name="TextBox 7">
          <a:extLst xmlns:a="http://schemas.openxmlformats.org/drawingml/2006/main">
            <a:ext uri="{FF2B5EF4-FFF2-40B4-BE49-F238E27FC236}">
              <a16:creationId xmlns:a16="http://schemas.microsoft.com/office/drawing/2014/main" id="{FB59D3B8-E224-29C9-E945-19497F934BA2}"/>
            </a:ext>
          </a:extLst>
        </cdr:cNvPr>
        <cdr:cNvSpPr txBox="1"/>
      </cdr:nvSpPr>
      <cdr:spPr>
        <a:xfrm xmlns:a="http://schemas.openxmlformats.org/drawingml/2006/main">
          <a:off x="3307121" y="3267412"/>
          <a:ext cx="765711" cy="278005"/>
        </a:xfrm>
        <a:prstGeom xmlns:a="http://schemas.openxmlformats.org/drawingml/2006/main" prst="rect">
          <a:avLst/>
        </a:prstGeom>
        <a:solidFill xmlns:a="http://schemas.openxmlformats.org/drawingml/2006/main">
          <a:schemeClr val="lt1"/>
        </a:solidFill>
        <a:ln xmlns:a="http://schemas.openxmlformats.org/drawingml/2006/main" w="9525" cmpd="sng">
          <a:solidFill>
            <a:schemeClr val="lt1">
              <a:shade val="50000"/>
            </a:schemeClr>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a:t>Event</a:t>
          </a:r>
          <a:r>
            <a:rPr lang="en-US" sz="1100" baseline="0"/>
            <a:t> 7-9</a:t>
          </a:r>
          <a:endParaRPr lang="en-US" sz="1100"/>
        </a:p>
      </cdr:txBody>
    </cdr:sp>
  </cdr:relSizeAnchor>
  <cdr:relSizeAnchor xmlns:cdr="http://schemas.openxmlformats.org/drawingml/2006/chartDrawing">
    <cdr:from>
      <cdr:x>0.54703</cdr:x>
      <cdr:y>0.60494</cdr:y>
    </cdr:from>
    <cdr:to>
      <cdr:x>0.66058</cdr:x>
      <cdr:y>0.65696</cdr:y>
    </cdr:to>
    <cdr:sp macro="" textlink="">
      <cdr:nvSpPr>
        <cdr:cNvPr id="3" name="TextBox 7">
          <a:extLst xmlns:a="http://schemas.openxmlformats.org/drawingml/2006/main">
            <a:ext uri="{FF2B5EF4-FFF2-40B4-BE49-F238E27FC236}">
              <a16:creationId xmlns:a16="http://schemas.microsoft.com/office/drawing/2014/main" id="{FB59D3B8-E224-29C9-E945-19497F934BA2}"/>
            </a:ext>
          </a:extLst>
        </cdr:cNvPr>
        <cdr:cNvSpPr txBox="1"/>
      </cdr:nvSpPr>
      <cdr:spPr>
        <a:xfrm xmlns:a="http://schemas.openxmlformats.org/drawingml/2006/main">
          <a:off x="4474030" y="3254916"/>
          <a:ext cx="928761" cy="279918"/>
        </a:xfrm>
        <a:prstGeom xmlns:a="http://schemas.openxmlformats.org/drawingml/2006/main" prst="rect">
          <a:avLst/>
        </a:prstGeom>
        <a:solidFill xmlns:a="http://schemas.openxmlformats.org/drawingml/2006/main">
          <a:schemeClr val="lt1"/>
        </a:solidFill>
        <a:ln xmlns:a="http://schemas.openxmlformats.org/drawingml/2006/main" w="9525" cmpd="sng">
          <a:solidFill>
            <a:schemeClr val="lt1">
              <a:shade val="50000"/>
            </a:schemeClr>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a:t>Event</a:t>
          </a:r>
          <a:r>
            <a:rPr lang="en-US" sz="1100" baseline="0"/>
            <a:t> 10-12</a:t>
          </a:r>
          <a:endParaRPr lang="en-US" sz="1100"/>
        </a:p>
      </cdr:txBody>
    </cdr:sp>
  </cdr:relSizeAnchor>
  <cdr:relSizeAnchor xmlns:cdr="http://schemas.openxmlformats.org/drawingml/2006/chartDrawing">
    <cdr:from>
      <cdr:x>0.69644</cdr:x>
      <cdr:y>0.5186</cdr:y>
    </cdr:from>
    <cdr:to>
      <cdr:x>0.80292</cdr:x>
      <cdr:y>0.56845</cdr:y>
    </cdr:to>
    <cdr:sp macro="" textlink="">
      <cdr:nvSpPr>
        <cdr:cNvPr id="4" name="TextBox 7">
          <a:extLst xmlns:a="http://schemas.openxmlformats.org/drawingml/2006/main">
            <a:ext uri="{FF2B5EF4-FFF2-40B4-BE49-F238E27FC236}">
              <a16:creationId xmlns:a16="http://schemas.microsoft.com/office/drawing/2014/main" id="{B27E4DAA-C61D-9A99-C6C8-585F00C05E4C}"/>
            </a:ext>
          </a:extLst>
        </cdr:cNvPr>
        <cdr:cNvSpPr txBox="1"/>
      </cdr:nvSpPr>
      <cdr:spPr>
        <a:xfrm xmlns:a="http://schemas.openxmlformats.org/drawingml/2006/main">
          <a:off x="5696029" y="2790376"/>
          <a:ext cx="870930" cy="268207"/>
        </a:xfrm>
        <a:prstGeom xmlns:a="http://schemas.openxmlformats.org/drawingml/2006/main" prst="rect">
          <a:avLst/>
        </a:prstGeom>
        <a:solidFill xmlns:a="http://schemas.openxmlformats.org/drawingml/2006/main">
          <a:schemeClr val="lt1"/>
        </a:solidFill>
        <a:ln xmlns:a="http://schemas.openxmlformats.org/drawingml/2006/main" w="9525" cmpd="sng">
          <a:solidFill>
            <a:schemeClr val="lt1">
              <a:shade val="50000"/>
            </a:schemeClr>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a:t>Event</a:t>
          </a:r>
          <a:r>
            <a:rPr lang="en-US" sz="1100" baseline="0"/>
            <a:t> 13-15</a:t>
          </a:r>
          <a:endParaRPr lang="en-US" sz="1100"/>
        </a:p>
      </cdr:txBody>
    </cdr:sp>
  </cdr:relSizeAnchor>
  <cdr:relSizeAnchor xmlns:cdr="http://schemas.openxmlformats.org/drawingml/2006/chartDrawing">
    <cdr:from>
      <cdr:x>0.82703</cdr:x>
      <cdr:y>0.14752</cdr:y>
    </cdr:from>
    <cdr:to>
      <cdr:x>0.96386</cdr:x>
      <cdr:y>0.83235</cdr:y>
    </cdr:to>
    <cdr:sp macro="" textlink="">
      <cdr:nvSpPr>
        <cdr:cNvPr id="6" name="TextBox 5">
          <a:extLst xmlns:a="http://schemas.openxmlformats.org/drawingml/2006/main">
            <a:ext uri="{FF2B5EF4-FFF2-40B4-BE49-F238E27FC236}">
              <a16:creationId xmlns:a16="http://schemas.microsoft.com/office/drawing/2014/main" id="{BE373CF5-393C-EAFA-7FAB-19FAFACB19E3}"/>
            </a:ext>
          </a:extLst>
        </cdr:cNvPr>
        <cdr:cNvSpPr txBox="1"/>
      </cdr:nvSpPr>
      <cdr:spPr>
        <a:xfrm xmlns:a="http://schemas.openxmlformats.org/drawingml/2006/main">
          <a:off x="6783225" y="865568"/>
          <a:ext cx="1122276" cy="4018159"/>
        </a:xfrm>
        <a:prstGeom xmlns:a="http://schemas.openxmlformats.org/drawingml/2006/main" prst="rect">
          <a:avLst/>
        </a:prstGeom>
        <a:ln xmlns:a="http://schemas.openxmlformats.org/drawingml/2006/main" w="19050">
          <a:solidFill>
            <a:srgbClr val="FF0000"/>
          </a:solidFill>
        </a:ln>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0.84213</cdr:x>
      <cdr:y>0.07712</cdr:y>
    </cdr:from>
    <cdr:to>
      <cdr:x>0.94862</cdr:x>
      <cdr:y>0.12392</cdr:y>
    </cdr:to>
    <cdr:sp macro="" textlink="">
      <cdr:nvSpPr>
        <cdr:cNvPr id="8" name="TextBox 7">
          <a:extLst xmlns:a="http://schemas.openxmlformats.org/drawingml/2006/main">
            <a:ext uri="{FF2B5EF4-FFF2-40B4-BE49-F238E27FC236}">
              <a16:creationId xmlns:a16="http://schemas.microsoft.com/office/drawing/2014/main" id="{99585F21-BD4D-DB10-190C-C93C0B2B400D}"/>
            </a:ext>
          </a:extLst>
        </cdr:cNvPr>
        <cdr:cNvSpPr txBox="1"/>
      </cdr:nvSpPr>
      <cdr:spPr>
        <a:xfrm xmlns:a="http://schemas.openxmlformats.org/drawingml/2006/main">
          <a:off x="6887632" y="414924"/>
          <a:ext cx="870930" cy="251828"/>
        </a:xfrm>
        <a:prstGeom xmlns:a="http://schemas.openxmlformats.org/drawingml/2006/main" prst="rect">
          <a:avLst/>
        </a:prstGeom>
        <a:solidFill xmlns:a="http://schemas.openxmlformats.org/drawingml/2006/main">
          <a:schemeClr val="lt1"/>
        </a:solidFill>
        <a:ln xmlns:a="http://schemas.openxmlformats.org/drawingml/2006/main" w="9525" cmpd="sng">
          <a:solidFill>
            <a:schemeClr val="lt1">
              <a:shade val="50000"/>
            </a:schemeClr>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a:t>Event</a:t>
          </a:r>
          <a:r>
            <a:rPr lang="en-US" sz="1100" baseline="0"/>
            <a:t> 16-18</a:t>
          </a:r>
          <a:endParaRPr lang="en-US" sz="1100"/>
        </a:p>
      </cdr:txBody>
    </cdr:sp>
  </cdr:relSizeAnchor>
</c:userShapes>
</file>

<file path=xl/drawings/drawing6.xml><?xml version="1.0" encoding="utf-8"?>
<xdr:wsDr xmlns:xdr="http://schemas.openxmlformats.org/drawingml/2006/spreadsheetDrawing" xmlns:a="http://schemas.openxmlformats.org/drawingml/2006/main">
  <xdr:twoCellAnchor>
    <xdr:from>
      <xdr:col>33</xdr:col>
      <xdr:colOff>254000</xdr:colOff>
      <xdr:row>46</xdr:row>
      <xdr:rowOff>427566</xdr:rowOff>
    </xdr:from>
    <xdr:to>
      <xdr:col>43</xdr:col>
      <xdr:colOff>112183</xdr:colOff>
      <xdr:row>69</xdr:row>
      <xdr:rowOff>51857</xdr:rowOff>
    </xdr:to>
    <xdr:graphicFrame macro="">
      <xdr:nvGraphicFramePr>
        <xdr:cNvPr id="5" name="Chart 4">
          <a:extLst>
            <a:ext uri="{FF2B5EF4-FFF2-40B4-BE49-F238E27FC236}">
              <a16:creationId xmlns:a16="http://schemas.microsoft.com/office/drawing/2014/main" id="{B464E9F1-E2FA-496C-AE6C-6C0BB41DA1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22</xdr:col>
      <xdr:colOff>347133</xdr:colOff>
      <xdr:row>0</xdr:row>
      <xdr:rowOff>93133</xdr:rowOff>
    </xdr:from>
    <xdr:to>
      <xdr:col>27</xdr:col>
      <xdr:colOff>618068</xdr:colOff>
      <xdr:row>13</xdr:row>
      <xdr:rowOff>110066</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B022EEAC-C3B5-45C4-8A6D-EA25013698C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1270383" y="93133"/>
              <a:ext cx="4919135" cy="310938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651933</xdr:colOff>
      <xdr:row>0</xdr:row>
      <xdr:rowOff>0</xdr:rowOff>
    </xdr:from>
    <xdr:to>
      <xdr:col>34</xdr:col>
      <xdr:colOff>84666</xdr:colOff>
      <xdr:row>13</xdr:row>
      <xdr:rowOff>25400</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830A86CD-3110-4D40-B8FB-5CA4473FB3D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6223383" y="0"/>
              <a:ext cx="5300133" cy="31178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338666</xdr:colOff>
      <xdr:row>14</xdr:row>
      <xdr:rowOff>25399</xdr:rowOff>
    </xdr:from>
    <xdr:to>
      <xdr:col>27</xdr:col>
      <xdr:colOff>668867</xdr:colOff>
      <xdr:row>27</xdr:row>
      <xdr:rowOff>25400</xdr:rowOff>
    </xdr:to>
    <mc:AlternateContent xmlns:mc="http://schemas.openxmlformats.org/markup-compatibility/2006">
      <mc:Choice xmlns:cx1="http://schemas.microsoft.com/office/drawing/2015/9/8/chartex" Requires="cx1">
        <xdr:graphicFrame macro="">
          <xdr:nvGraphicFramePr>
            <xdr:cNvPr id="10" name="Chart 9">
              <a:extLst>
                <a:ext uri="{FF2B5EF4-FFF2-40B4-BE49-F238E27FC236}">
                  <a16:creationId xmlns:a16="http://schemas.microsoft.com/office/drawing/2014/main" id="{F6D5DDDF-76F7-4A58-935B-7CE82644829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1261916" y="3314699"/>
              <a:ext cx="4978401" cy="255905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702734</xdr:colOff>
      <xdr:row>14</xdr:row>
      <xdr:rowOff>16933</xdr:rowOff>
    </xdr:from>
    <xdr:to>
      <xdr:col>33</xdr:col>
      <xdr:colOff>651935</xdr:colOff>
      <xdr:row>27</xdr:row>
      <xdr:rowOff>16934</xdr:rowOff>
    </xdr:to>
    <mc:AlternateContent xmlns:mc="http://schemas.openxmlformats.org/markup-compatibility/2006">
      <mc:Choice xmlns:cx1="http://schemas.microsoft.com/office/drawing/2015/9/8/chartex" Requires="cx1">
        <xdr:graphicFrame macro="">
          <xdr:nvGraphicFramePr>
            <xdr:cNvPr id="11" name="Chart 10">
              <a:extLst>
                <a:ext uri="{FF2B5EF4-FFF2-40B4-BE49-F238E27FC236}">
                  <a16:creationId xmlns:a16="http://schemas.microsoft.com/office/drawing/2014/main" id="{4F75BAE0-AE51-408B-A87C-2B615ECBFD3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26274184" y="3306233"/>
              <a:ext cx="4978401" cy="255905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347135</xdr:colOff>
      <xdr:row>28</xdr:row>
      <xdr:rowOff>101600</xdr:rowOff>
    </xdr:from>
    <xdr:to>
      <xdr:col>27</xdr:col>
      <xdr:colOff>677336</xdr:colOff>
      <xdr:row>41</xdr:row>
      <xdr:rowOff>101600</xdr:rowOff>
    </xdr:to>
    <mc:AlternateContent xmlns:mc="http://schemas.openxmlformats.org/markup-compatibility/2006">
      <mc:Choice xmlns:cx1="http://schemas.microsoft.com/office/drawing/2015/9/8/chartex" Requires="cx1">
        <xdr:graphicFrame macro="">
          <xdr:nvGraphicFramePr>
            <xdr:cNvPr id="12" name="Chart 11">
              <a:extLst>
                <a:ext uri="{FF2B5EF4-FFF2-40B4-BE49-F238E27FC236}">
                  <a16:creationId xmlns:a16="http://schemas.microsoft.com/office/drawing/2014/main" id="{10885159-3A57-417D-B6E0-EED448B3641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21270385" y="6146800"/>
              <a:ext cx="4978401" cy="25590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753535</xdr:colOff>
      <xdr:row>28</xdr:row>
      <xdr:rowOff>76200</xdr:rowOff>
    </xdr:from>
    <xdr:to>
      <xdr:col>33</xdr:col>
      <xdr:colOff>702736</xdr:colOff>
      <xdr:row>41</xdr:row>
      <xdr:rowOff>76200</xdr:rowOff>
    </xdr:to>
    <mc:AlternateContent xmlns:mc="http://schemas.openxmlformats.org/markup-compatibility/2006">
      <mc:Choice xmlns:cx1="http://schemas.microsoft.com/office/drawing/2015/9/8/chartex" Requires="cx1">
        <xdr:graphicFrame macro="">
          <xdr:nvGraphicFramePr>
            <xdr:cNvPr id="13" name="Chart 12">
              <a:extLst>
                <a:ext uri="{FF2B5EF4-FFF2-40B4-BE49-F238E27FC236}">
                  <a16:creationId xmlns:a16="http://schemas.microsoft.com/office/drawing/2014/main" id="{C6A43D5B-15E0-4F99-9F10-B963B1DF881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6324985" y="6121400"/>
              <a:ext cx="4978401" cy="25590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26</xdr:col>
      <xdr:colOff>258234</xdr:colOff>
      <xdr:row>78</xdr:row>
      <xdr:rowOff>38101</xdr:rowOff>
    </xdr:from>
    <xdr:to>
      <xdr:col>31</xdr:col>
      <xdr:colOff>639234</xdr:colOff>
      <xdr:row>92</xdr:row>
      <xdr:rowOff>55034</xdr:rowOff>
    </xdr:to>
    <xdr:graphicFrame macro="">
      <xdr:nvGraphicFramePr>
        <xdr:cNvPr id="2" name="Chart 1">
          <a:extLst>
            <a:ext uri="{FF2B5EF4-FFF2-40B4-BE49-F238E27FC236}">
              <a16:creationId xmlns:a16="http://schemas.microsoft.com/office/drawing/2014/main" id="{66421297-D581-F8DB-2BB4-FDFA1404FF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1</xdr:row>
      <xdr:rowOff>63500</xdr:rowOff>
    </xdr:from>
    <xdr:to>
      <xdr:col>6</xdr:col>
      <xdr:colOff>19321</xdr:colOff>
      <xdr:row>6</xdr:row>
      <xdr:rowOff>95302</xdr:rowOff>
    </xdr:to>
    <xdr:pic>
      <xdr:nvPicPr>
        <xdr:cNvPr id="2" name="Picture 1">
          <a:extLst>
            <a:ext uri="{FF2B5EF4-FFF2-40B4-BE49-F238E27FC236}">
              <a16:creationId xmlns:a16="http://schemas.microsoft.com/office/drawing/2014/main" id="{A1B9952E-91F2-E4C2-9426-B609E1DF5169}"/>
            </a:ext>
          </a:extLst>
        </xdr:cNvPr>
        <xdr:cNvPicPr>
          <a:picLocks noChangeAspect="1"/>
        </xdr:cNvPicPr>
      </xdr:nvPicPr>
      <xdr:blipFill>
        <a:blip xmlns:r="http://schemas.openxmlformats.org/officeDocument/2006/relationships" r:embed="rId1"/>
        <a:stretch>
          <a:fillRect/>
        </a:stretch>
      </xdr:blipFill>
      <xdr:spPr>
        <a:xfrm>
          <a:off x="0" y="260350"/>
          <a:ext cx="5264421" cy="1016052"/>
        </a:xfrm>
        <a:prstGeom prst="rect">
          <a:avLst/>
        </a:prstGeom>
      </xdr:spPr>
    </xdr:pic>
    <xdr:clientData/>
  </xdr:twoCellAnchor>
  <xdr:twoCellAnchor>
    <xdr:from>
      <xdr:col>0</xdr:col>
      <xdr:colOff>0</xdr:colOff>
      <xdr:row>26</xdr:row>
      <xdr:rowOff>0</xdr:rowOff>
    </xdr:from>
    <xdr:to>
      <xdr:col>14</xdr:col>
      <xdr:colOff>311150</xdr:colOff>
      <xdr:row>30</xdr:row>
      <xdr:rowOff>107950</xdr:rowOff>
    </xdr:to>
    <xdr:sp macro="" textlink="">
      <xdr:nvSpPr>
        <xdr:cNvPr id="5" name="TextBox 4">
          <a:extLst>
            <a:ext uri="{FF2B5EF4-FFF2-40B4-BE49-F238E27FC236}">
              <a16:creationId xmlns:a16="http://schemas.microsoft.com/office/drawing/2014/main" id="{7C99696A-BDAF-409F-8AF9-15652FA311B8}"/>
            </a:ext>
          </a:extLst>
        </xdr:cNvPr>
        <xdr:cNvSpPr txBox="1"/>
      </xdr:nvSpPr>
      <xdr:spPr>
        <a:xfrm>
          <a:off x="0" y="5314950"/>
          <a:ext cx="11626850" cy="8953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u="sng"/>
            <a:t>Results</a:t>
          </a:r>
          <a:r>
            <a:rPr lang="en-US" sz="1200" u="none"/>
            <a:t>:  </a:t>
          </a:r>
        </a:p>
        <a:p>
          <a:r>
            <a:rPr lang="en-US" sz="1100"/>
            <a:t>Low vs. Med (P-value = 0.67 = NS); Med vs High (P-value = 0.047 = *) </a:t>
          </a:r>
        </a:p>
        <a:p>
          <a:r>
            <a:rPr lang="en-US" sz="1100"/>
            <a:t>Low vs Medium no drastic change in % removal performance; </a:t>
          </a:r>
        </a:p>
        <a:p>
          <a:r>
            <a:rPr lang="en-US" sz="1100" b="1">
              <a:solidFill>
                <a:sysClr val="windowText" lastClr="000000"/>
              </a:solidFill>
            </a:rPr>
            <a:t>Select: </a:t>
          </a:r>
          <a:r>
            <a:rPr lang="en-US" sz="1100" b="0">
              <a:solidFill>
                <a:schemeClr val="dk1"/>
              </a:solidFill>
              <a:effectLst/>
              <a:latin typeface="+mn-lt"/>
              <a:ea typeface="+mn-ea"/>
              <a:cs typeface="+mn-cs"/>
            </a:rPr>
            <a:t>Low HLR best performance (78% removal)</a:t>
          </a:r>
          <a:r>
            <a:rPr lang="en-US" sz="1100" b="0" baseline="0">
              <a:solidFill>
                <a:schemeClr val="dk1"/>
              </a:solidFill>
              <a:effectLst/>
              <a:latin typeface="+mn-lt"/>
              <a:ea typeface="+mn-ea"/>
              <a:cs typeface="+mn-cs"/>
            </a:rPr>
            <a:t>, however,</a:t>
          </a:r>
          <a:r>
            <a:rPr lang="en-US" sz="1100" b="0">
              <a:solidFill>
                <a:schemeClr val="dk1"/>
              </a:solidFill>
              <a:effectLst/>
              <a:latin typeface="+mn-lt"/>
              <a:ea typeface="+mn-ea"/>
              <a:cs typeface="+mn-cs"/>
            </a:rPr>
            <a:t> </a:t>
          </a:r>
          <a:r>
            <a:rPr lang="en-US" sz="1100" b="1">
              <a:solidFill>
                <a:srgbClr val="FF0000"/>
              </a:solidFill>
            </a:rPr>
            <a:t>Medium HLR </a:t>
          </a:r>
          <a:r>
            <a:rPr lang="en-US" sz="1100">
              <a:solidFill>
                <a:srgbClr val="FF0000"/>
              </a:solidFill>
            </a:rPr>
            <a:t>best performance (72% removal) considering cost benefit</a:t>
          </a:r>
          <a:r>
            <a:rPr lang="en-US" sz="1100"/>
            <a:t>; High HLR worst performance (49% avg removal) less time in unit. </a:t>
          </a:r>
        </a:p>
      </xdr:txBody>
    </xdr:sp>
    <xdr:clientData/>
  </xdr:twoCellAnchor>
  <xdr:twoCellAnchor>
    <xdr:from>
      <xdr:col>0</xdr:col>
      <xdr:colOff>0</xdr:colOff>
      <xdr:row>47</xdr:row>
      <xdr:rowOff>44450</xdr:rowOff>
    </xdr:from>
    <xdr:to>
      <xdr:col>13</xdr:col>
      <xdr:colOff>38100</xdr:colOff>
      <xdr:row>52</xdr:row>
      <xdr:rowOff>146050</xdr:rowOff>
    </xdr:to>
    <xdr:sp macro="" textlink="">
      <xdr:nvSpPr>
        <xdr:cNvPr id="6" name="TextBox 5">
          <a:extLst>
            <a:ext uri="{FF2B5EF4-FFF2-40B4-BE49-F238E27FC236}">
              <a16:creationId xmlns:a16="http://schemas.microsoft.com/office/drawing/2014/main" id="{C71424E8-0392-41C9-89E7-9851BAF81A25}"/>
            </a:ext>
          </a:extLst>
        </xdr:cNvPr>
        <xdr:cNvSpPr txBox="1"/>
      </xdr:nvSpPr>
      <xdr:spPr>
        <a:xfrm>
          <a:off x="0" y="9588500"/>
          <a:ext cx="10693400" cy="10858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u="sng"/>
            <a:t>Results</a:t>
          </a:r>
          <a:r>
            <a:rPr lang="en-US" sz="1200" u="none"/>
            <a:t>:  </a:t>
          </a:r>
        </a:p>
        <a:p>
          <a:r>
            <a:rPr lang="en-US" sz="1200" u="none"/>
            <a:t>If NH4+ concentrations in runoff are high, then we want IWSZ (sat'd zone) to be low;</a:t>
          </a:r>
          <a:r>
            <a:rPr lang="en-US" sz="1200" u="none" baseline="0"/>
            <a:t> if NO3- concentrations are high, then we want IWSZ to be high. We increase IWSZ by adjusting outlet height, where upper outlet height = higher IWSZ. </a:t>
          </a:r>
          <a:r>
            <a:rPr lang="en-US" sz="1200" u="none"/>
            <a:t>We know</a:t>
          </a:r>
          <a:r>
            <a:rPr lang="en-US" sz="1200" u="none" baseline="0"/>
            <a:t> NO3- is dominant in our influent water. Want water to be stored in IWSZ because want NO3--&gt;N2 (anoxic) so must raised outlet height, therefore expext upper outlet height to perform better. This was confirmed by result.</a:t>
          </a:r>
          <a:endParaRPr lang="en-US" sz="1200" u="none"/>
        </a:p>
        <a:p>
          <a:r>
            <a:rPr lang="en-US" sz="1100" b="1"/>
            <a:t>Select: </a:t>
          </a:r>
          <a:r>
            <a:rPr lang="en-US" sz="1100" b="1">
              <a:solidFill>
                <a:srgbClr val="FF0000"/>
              </a:solidFill>
            </a:rPr>
            <a:t>Upper outlet height </a:t>
          </a:r>
          <a:r>
            <a:rPr lang="en-US" sz="1100">
              <a:solidFill>
                <a:srgbClr val="FF0000"/>
              </a:solidFill>
            </a:rPr>
            <a:t>performs better</a:t>
          </a:r>
          <a:r>
            <a:rPr lang="en-US" sz="1100" baseline="0">
              <a:solidFill>
                <a:srgbClr val="FF0000"/>
              </a:solidFill>
            </a:rPr>
            <a:t> to remove TIN where NO3- dominates.</a:t>
          </a:r>
          <a:endParaRPr lang="en-US" sz="1100">
            <a:solidFill>
              <a:srgbClr val="FF0000"/>
            </a:solidFill>
          </a:endParaRPr>
        </a:p>
      </xdr:txBody>
    </xdr:sp>
    <xdr:clientData/>
  </xdr:twoCellAnchor>
  <xdr:twoCellAnchor>
    <xdr:from>
      <xdr:col>0</xdr:col>
      <xdr:colOff>0</xdr:colOff>
      <xdr:row>70</xdr:row>
      <xdr:rowOff>0</xdr:rowOff>
    </xdr:from>
    <xdr:to>
      <xdr:col>7</xdr:col>
      <xdr:colOff>304800</xdr:colOff>
      <xdr:row>74</xdr:row>
      <xdr:rowOff>82550</xdr:rowOff>
    </xdr:to>
    <xdr:sp macro="" textlink="">
      <xdr:nvSpPr>
        <xdr:cNvPr id="7" name="TextBox 6">
          <a:extLst>
            <a:ext uri="{FF2B5EF4-FFF2-40B4-BE49-F238E27FC236}">
              <a16:creationId xmlns:a16="http://schemas.microsoft.com/office/drawing/2014/main" id="{8758D26A-34FE-47A8-841E-A0029EC4DB50}"/>
            </a:ext>
          </a:extLst>
        </xdr:cNvPr>
        <xdr:cNvSpPr txBox="1"/>
      </xdr:nvSpPr>
      <xdr:spPr>
        <a:xfrm>
          <a:off x="0" y="14166850"/>
          <a:ext cx="6210300" cy="869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u="sng"/>
            <a:t>Results</a:t>
          </a:r>
          <a:r>
            <a:rPr lang="en-US" sz="1200" u="none"/>
            <a:t>:  </a:t>
          </a:r>
        </a:p>
        <a:p>
          <a:r>
            <a:rPr lang="en-US" sz="1100"/>
            <a:t>Know from literature that plant can help enhance</a:t>
          </a:r>
          <a:r>
            <a:rPr lang="en-US" sz="1100" baseline="0"/>
            <a:t> removal. However, results show worst </a:t>
          </a:r>
          <a:r>
            <a:rPr lang="en-US" sz="1100"/>
            <a:t>removal with plant addition. Discover</a:t>
          </a:r>
          <a:r>
            <a:rPr lang="en-US" sz="1100" baseline="0"/>
            <a:t> later that this could possibly be due to fertilizer in plant. </a:t>
          </a:r>
        </a:p>
        <a:p>
          <a:r>
            <a:rPr lang="en-US" sz="1100" b="1" baseline="0"/>
            <a:t>Select: </a:t>
          </a:r>
          <a:r>
            <a:rPr lang="en-US" sz="1100" b="1" baseline="0">
              <a:solidFill>
                <a:srgbClr val="FF0000"/>
              </a:solidFill>
            </a:rPr>
            <a:t>Plant</a:t>
          </a:r>
          <a:r>
            <a:rPr lang="en-US" sz="1100" baseline="0">
              <a:solidFill>
                <a:srgbClr val="FF0000"/>
              </a:solidFill>
            </a:rPr>
            <a:t>.</a:t>
          </a:r>
          <a:endParaRPr lang="en-US" sz="1100">
            <a:solidFill>
              <a:srgbClr val="FF0000"/>
            </a:solidFill>
          </a:endParaRPr>
        </a:p>
      </xdr:txBody>
    </xdr:sp>
    <xdr:clientData/>
  </xdr:twoCellAnchor>
  <xdr:twoCellAnchor>
    <xdr:from>
      <xdr:col>0</xdr:col>
      <xdr:colOff>0</xdr:colOff>
      <xdr:row>92</xdr:row>
      <xdr:rowOff>0</xdr:rowOff>
    </xdr:from>
    <xdr:to>
      <xdr:col>2</xdr:col>
      <xdr:colOff>603250</xdr:colOff>
      <xdr:row>95</xdr:row>
      <xdr:rowOff>57150</xdr:rowOff>
    </xdr:to>
    <xdr:sp macro="" textlink="">
      <xdr:nvSpPr>
        <xdr:cNvPr id="8" name="TextBox 7">
          <a:extLst>
            <a:ext uri="{FF2B5EF4-FFF2-40B4-BE49-F238E27FC236}">
              <a16:creationId xmlns:a16="http://schemas.microsoft.com/office/drawing/2014/main" id="{34169C44-1C45-40EF-A6E9-4D0A8CF131DF}"/>
            </a:ext>
          </a:extLst>
        </xdr:cNvPr>
        <xdr:cNvSpPr txBox="1"/>
      </xdr:nvSpPr>
      <xdr:spPr>
        <a:xfrm>
          <a:off x="0" y="18592800"/>
          <a:ext cx="3206750" cy="647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u="sng"/>
            <a:t>Results</a:t>
          </a:r>
          <a:r>
            <a:rPr lang="en-US" sz="1200" u="none"/>
            <a:t>:  </a:t>
          </a:r>
        </a:p>
        <a:p>
          <a:r>
            <a:rPr lang="en-US" sz="1100"/>
            <a:t>CBA is</a:t>
          </a:r>
          <a:r>
            <a:rPr lang="en-US" sz="1100" baseline="0"/>
            <a:t> better for TIN removal compared to PBA.</a:t>
          </a:r>
          <a:endParaRPr lang="en-US" sz="1100"/>
        </a:p>
        <a:p>
          <a:r>
            <a:rPr lang="en-US" sz="1100" b="1">
              <a:solidFill>
                <a:sysClr val="windowText" lastClr="000000"/>
              </a:solidFill>
            </a:rPr>
            <a:t>Select: </a:t>
          </a:r>
          <a:r>
            <a:rPr lang="en-US" sz="1100" b="1">
              <a:solidFill>
                <a:srgbClr val="FF0000"/>
              </a:solidFill>
            </a:rPr>
            <a:t>Tank</a:t>
          </a:r>
          <a:r>
            <a:rPr lang="en-US" sz="1100" b="1" baseline="0">
              <a:solidFill>
                <a:srgbClr val="FF0000"/>
              </a:solidFill>
            </a:rPr>
            <a:t> 1 (CBA) </a:t>
          </a:r>
          <a:r>
            <a:rPr lang="en-US" sz="1100" b="0" baseline="0">
              <a:solidFill>
                <a:srgbClr val="FF0000"/>
              </a:solidFill>
            </a:rPr>
            <a:t>for better performance.</a:t>
          </a:r>
          <a:endParaRPr lang="en-US" sz="1100"/>
        </a:p>
      </xdr:txBody>
    </xdr:sp>
    <xdr:clientData/>
  </xdr:twoCellAnchor>
  <xdr:twoCellAnchor>
    <xdr:from>
      <xdr:col>0</xdr:col>
      <xdr:colOff>0</xdr:colOff>
      <xdr:row>97</xdr:row>
      <xdr:rowOff>0</xdr:rowOff>
    </xdr:from>
    <xdr:to>
      <xdr:col>8</xdr:col>
      <xdr:colOff>457200</xdr:colOff>
      <xdr:row>100</xdr:row>
      <xdr:rowOff>177800</xdr:rowOff>
    </xdr:to>
    <xdr:sp macro="" textlink="">
      <xdr:nvSpPr>
        <xdr:cNvPr id="9" name="TextBox 8">
          <a:extLst>
            <a:ext uri="{FF2B5EF4-FFF2-40B4-BE49-F238E27FC236}">
              <a16:creationId xmlns:a16="http://schemas.microsoft.com/office/drawing/2014/main" id="{0A156434-8622-419C-A4DC-04D0E3FDC70B}"/>
            </a:ext>
          </a:extLst>
        </xdr:cNvPr>
        <xdr:cNvSpPr txBox="1"/>
      </xdr:nvSpPr>
      <xdr:spPr>
        <a:xfrm>
          <a:off x="0" y="19577050"/>
          <a:ext cx="7023100" cy="7683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u="none"/>
            <a:t>CONCLUSION: </a:t>
          </a:r>
          <a:r>
            <a:rPr lang="en-US" sz="1200" u="none"/>
            <a:t>Configuration 6</a:t>
          </a:r>
          <a:r>
            <a:rPr lang="en-US" sz="1200" u="none" baseline="0"/>
            <a:t> with </a:t>
          </a:r>
          <a:r>
            <a:rPr lang="en-US" sz="1200" u="none">
              <a:solidFill>
                <a:srgbClr val="FF0000"/>
              </a:solidFill>
            </a:rPr>
            <a:t>Medium HLR</a:t>
          </a:r>
          <a:r>
            <a:rPr lang="en-US" sz="1200" u="none"/>
            <a:t>, </a:t>
          </a:r>
          <a:r>
            <a:rPr lang="en-US" sz="1200" u="none">
              <a:solidFill>
                <a:srgbClr val="FF0000"/>
              </a:solidFill>
            </a:rPr>
            <a:t>Upper outlet height</a:t>
          </a:r>
          <a:r>
            <a:rPr lang="en-US" sz="1200" u="none"/>
            <a:t>, and </a:t>
          </a:r>
          <a:r>
            <a:rPr lang="en-US" sz="1200" u="none">
              <a:solidFill>
                <a:srgbClr val="FF0000"/>
              </a:solidFill>
            </a:rPr>
            <a:t>plant addition</a:t>
          </a:r>
          <a:r>
            <a:rPr lang="en-US" sz="1200" u="none" baseline="0">
              <a:solidFill>
                <a:srgbClr val="FF0000"/>
              </a:solidFill>
            </a:rPr>
            <a:t> </a:t>
          </a:r>
          <a:r>
            <a:rPr lang="en-US" sz="1200" u="none" baseline="0"/>
            <a:t>with </a:t>
          </a:r>
          <a:r>
            <a:rPr lang="en-US" sz="1200" u="none" baseline="0">
              <a:solidFill>
                <a:srgbClr val="FF0000"/>
              </a:solidFill>
            </a:rPr>
            <a:t>complete bioretention ammendment (CBA) </a:t>
          </a:r>
          <a:r>
            <a:rPr lang="en-US" sz="1200" u="none" baseline="0"/>
            <a:t>has</a:t>
          </a:r>
          <a:r>
            <a:rPr lang="en-US" sz="1200" u="none"/>
            <a:t> proven to be the most optimal in terms of performance and cost benefit for TIN removal</a:t>
          </a:r>
          <a:r>
            <a:rPr lang="en-US" sz="1200" u="none" baseline="0"/>
            <a:t> from fertilizer runoff.</a:t>
          </a:r>
          <a:endParaRPr lang="en-US" sz="1100" u="none"/>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1</xdr:row>
      <xdr:rowOff>63500</xdr:rowOff>
    </xdr:from>
    <xdr:to>
      <xdr:col>6</xdr:col>
      <xdr:colOff>19321</xdr:colOff>
      <xdr:row>6</xdr:row>
      <xdr:rowOff>95302</xdr:rowOff>
    </xdr:to>
    <xdr:pic>
      <xdr:nvPicPr>
        <xdr:cNvPr id="2" name="Picture 1">
          <a:extLst>
            <a:ext uri="{FF2B5EF4-FFF2-40B4-BE49-F238E27FC236}">
              <a16:creationId xmlns:a16="http://schemas.microsoft.com/office/drawing/2014/main" id="{6C83430B-98A3-4A52-BE11-BE265FA1D8A4}"/>
            </a:ext>
          </a:extLst>
        </xdr:cNvPr>
        <xdr:cNvPicPr>
          <a:picLocks noChangeAspect="1"/>
        </xdr:cNvPicPr>
      </xdr:nvPicPr>
      <xdr:blipFill>
        <a:blip xmlns:r="http://schemas.openxmlformats.org/officeDocument/2006/relationships" r:embed="rId1"/>
        <a:stretch>
          <a:fillRect/>
        </a:stretch>
      </xdr:blipFill>
      <xdr:spPr>
        <a:xfrm>
          <a:off x="0" y="260350"/>
          <a:ext cx="5264421" cy="1016052"/>
        </a:xfrm>
        <a:prstGeom prst="rect">
          <a:avLst/>
        </a:prstGeom>
      </xdr:spPr>
    </xdr:pic>
    <xdr:clientData/>
  </xdr:twoCellAnchor>
  <xdr:twoCellAnchor>
    <xdr:from>
      <xdr:col>0</xdr:col>
      <xdr:colOff>0</xdr:colOff>
      <xdr:row>26</xdr:row>
      <xdr:rowOff>0</xdr:rowOff>
    </xdr:from>
    <xdr:to>
      <xdr:col>14</xdr:col>
      <xdr:colOff>381000</xdr:colOff>
      <xdr:row>30</xdr:row>
      <xdr:rowOff>190500</xdr:rowOff>
    </xdr:to>
    <xdr:sp macro="" textlink="">
      <xdr:nvSpPr>
        <xdr:cNvPr id="3" name="TextBox 2">
          <a:extLst>
            <a:ext uri="{FF2B5EF4-FFF2-40B4-BE49-F238E27FC236}">
              <a16:creationId xmlns:a16="http://schemas.microsoft.com/office/drawing/2014/main" id="{7EC46910-A6B8-4B2E-9A29-23239C090C7A}"/>
            </a:ext>
          </a:extLst>
        </xdr:cNvPr>
        <xdr:cNvSpPr txBox="1"/>
      </xdr:nvSpPr>
      <xdr:spPr>
        <a:xfrm>
          <a:off x="0" y="5314950"/>
          <a:ext cx="11696700" cy="977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u="sng"/>
            <a:t>Results</a:t>
          </a:r>
          <a:r>
            <a:rPr lang="en-US" sz="1200" u="none"/>
            <a:t>:  </a:t>
          </a:r>
        </a:p>
        <a:p>
          <a:r>
            <a:rPr lang="en-US" sz="1100"/>
            <a:t>Low vs. Med (P-value = 0.52 = NS)</a:t>
          </a:r>
        </a:p>
        <a:p>
          <a:r>
            <a:rPr lang="en-US" sz="1100"/>
            <a:t>Low vs Medium no drastic change in % removal performance.</a:t>
          </a:r>
        </a:p>
        <a:p>
          <a:r>
            <a:rPr lang="en-US" sz="1100" b="1">
              <a:solidFill>
                <a:sysClr val="windowText" lastClr="000000"/>
              </a:solidFill>
            </a:rPr>
            <a:t>Select: </a:t>
          </a:r>
          <a:r>
            <a:rPr lang="en-US" sz="1100" b="0">
              <a:solidFill>
                <a:sysClr val="windowText" lastClr="000000"/>
              </a:solidFill>
            </a:rPr>
            <a:t>Low HLR best performance (51% removal)</a:t>
          </a:r>
          <a:r>
            <a:rPr lang="en-US" sz="1100" b="0" baseline="0">
              <a:solidFill>
                <a:sysClr val="windowText" lastClr="000000"/>
              </a:solidFill>
            </a:rPr>
            <a:t>, however,</a:t>
          </a:r>
          <a:r>
            <a:rPr lang="en-US" sz="1100" b="0">
              <a:solidFill>
                <a:sysClr val="windowText" lastClr="000000"/>
              </a:solidFill>
            </a:rPr>
            <a:t> </a:t>
          </a:r>
          <a:r>
            <a:rPr lang="en-US" sz="1100" b="1">
              <a:solidFill>
                <a:srgbClr val="FF0000"/>
              </a:solidFill>
            </a:rPr>
            <a:t>Medium HLR </a:t>
          </a:r>
          <a:r>
            <a:rPr lang="en-US" sz="1100">
              <a:solidFill>
                <a:srgbClr val="FF0000"/>
              </a:solidFill>
            </a:rPr>
            <a:t>optimal performance (27% removal) considering cost benefit</a:t>
          </a:r>
          <a:r>
            <a:rPr lang="en-US" sz="1100"/>
            <a:t>; High HLR worst performance (-19% avg removal) less time in unit. </a:t>
          </a:r>
        </a:p>
      </xdr:txBody>
    </xdr:sp>
    <xdr:clientData/>
  </xdr:twoCellAnchor>
  <xdr:twoCellAnchor>
    <xdr:from>
      <xdr:col>0</xdr:col>
      <xdr:colOff>0</xdr:colOff>
      <xdr:row>47</xdr:row>
      <xdr:rowOff>44450</xdr:rowOff>
    </xdr:from>
    <xdr:to>
      <xdr:col>2</xdr:col>
      <xdr:colOff>342900</xdr:colOff>
      <xdr:row>49</xdr:row>
      <xdr:rowOff>177800</xdr:rowOff>
    </xdr:to>
    <xdr:sp macro="" textlink="">
      <xdr:nvSpPr>
        <xdr:cNvPr id="4" name="TextBox 3">
          <a:extLst>
            <a:ext uri="{FF2B5EF4-FFF2-40B4-BE49-F238E27FC236}">
              <a16:creationId xmlns:a16="http://schemas.microsoft.com/office/drawing/2014/main" id="{79C9EECF-246C-4FA0-8DB8-D790D5DB488D}"/>
            </a:ext>
          </a:extLst>
        </xdr:cNvPr>
        <xdr:cNvSpPr txBox="1"/>
      </xdr:nvSpPr>
      <xdr:spPr>
        <a:xfrm>
          <a:off x="0" y="9588500"/>
          <a:ext cx="2946400" cy="5270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u="sng"/>
            <a:t>Results</a:t>
          </a:r>
          <a:r>
            <a:rPr lang="en-US" sz="1200" u="none"/>
            <a:t>:  </a:t>
          </a:r>
        </a:p>
        <a:p>
          <a:r>
            <a:rPr lang="en-US" sz="1100" b="1"/>
            <a:t>Select: </a:t>
          </a:r>
          <a:r>
            <a:rPr lang="en-US" sz="1100" b="1">
              <a:solidFill>
                <a:srgbClr val="FF0000"/>
              </a:solidFill>
            </a:rPr>
            <a:t>Upper outlet height </a:t>
          </a:r>
          <a:r>
            <a:rPr lang="en-US" sz="1100">
              <a:solidFill>
                <a:srgbClr val="FF0000"/>
              </a:solidFill>
            </a:rPr>
            <a:t>performs better</a:t>
          </a:r>
          <a:r>
            <a:rPr lang="en-US" sz="1100" baseline="0">
              <a:solidFill>
                <a:srgbClr val="FF0000"/>
              </a:solidFill>
            </a:rPr>
            <a:t>.</a:t>
          </a:r>
          <a:endParaRPr lang="en-US" sz="1100">
            <a:solidFill>
              <a:srgbClr val="FF0000"/>
            </a:solidFill>
          </a:endParaRPr>
        </a:p>
      </xdr:txBody>
    </xdr:sp>
    <xdr:clientData/>
  </xdr:twoCellAnchor>
  <xdr:twoCellAnchor>
    <xdr:from>
      <xdr:col>0</xdr:col>
      <xdr:colOff>0</xdr:colOff>
      <xdr:row>70</xdr:row>
      <xdr:rowOff>0</xdr:rowOff>
    </xdr:from>
    <xdr:to>
      <xdr:col>7</xdr:col>
      <xdr:colOff>304800</xdr:colOff>
      <xdr:row>74</xdr:row>
      <xdr:rowOff>82550</xdr:rowOff>
    </xdr:to>
    <xdr:sp macro="" textlink="">
      <xdr:nvSpPr>
        <xdr:cNvPr id="5" name="TextBox 4">
          <a:extLst>
            <a:ext uri="{FF2B5EF4-FFF2-40B4-BE49-F238E27FC236}">
              <a16:creationId xmlns:a16="http://schemas.microsoft.com/office/drawing/2014/main" id="{1BFB4EF4-43B2-4EA9-9410-5A2A755010CF}"/>
            </a:ext>
          </a:extLst>
        </xdr:cNvPr>
        <xdr:cNvSpPr txBox="1"/>
      </xdr:nvSpPr>
      <xdr:spPr>
        <a:xfrm>
          <a:off x="0" y="14166850"/>
          <a:ext cx="6210300" cy="869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u="sng"/>
            <a:t>Results</a:t>
          </a:r>
          <a:r>
            <a:rPr lang="en-US" sz="1200" u="none"/>
            <a:t>:  </a:t>
          </a:r>
        </a:p>
        <a:p>
          <a:r>
            <a:rPr lang="en-US" sz="1100"/>
            <a:t>Know from literature that plant can help enhance</a:t>
          </a:r>
          <a:r>
            <a:rPr lang="en-US" sz="1100" baseline="0"/>
            <a:t> removal. However, results show worst </a:t>
          </a:r>
          <a:r>
            <a:rPr lang="en-US" sz="1100"/>
            <a:t>removal with plant addition. Discover</a:t>
          </a:r>
          <a:r>
            <a:rPr lang="en-US" sz="1100" baseline="0"/>
            <a:t> later that this could possibly be due to fertilizer in plant. </a:t>
          </a:r>
        </a:p>
        <a:p>
          <a:r>
            <a:rPr lang="en-US" sz="1100" b="1" baseline="0"/>
            <a:t>Select: </a:t>
          </a:r>
          <a:r>
            <a:rPr lang="en-US" sz="1100" b="1" baseline="0">
              <a:solidFill>
                <a:srgbClr val="FF0000"/>
              </a:solidFill>
            </a:rPr>
            <a:t>Plant</a:t>
          </a:r>
          <a:r>
            <a:rPr lang="en-US" sz="1100" baseline="0">
              <a:solidFill>
                <a:srgbClr val="FF0000"/>
              </a:solidFill>
            </a:rPr>
            <a:t>.</a:t>
          </a:r>
          <a:endParaRPr lang="en-US" sz="1100">
            <a:solidFill>
              <a:srgbClr val="FF0000"/>
            </a:solidFill>
          </a:endParaRPr>
        </a:p>
      </xdr:txBody>
    </xdr:sp>
    <xdr:clientData/>
  </xdr:twoCellAnchor>
  <xdr:twoCellAnchor>
    <xdr:from>
      <xdr:col>0</xdr:col>
      <xdr:colOff>0</xdr:colOff>
      <xdr:row>92</xdr:row>
      <xdr:rowOff>0</xdr:rowOff>
    </xdr:from>
    <xdr:to>
      <xdr:col>2</xdr:col>
      <xdr:colOff>603250</xdr:colOff>
      <xdr:row>95</xdr:row>
      <xdr:rowOff>57150</xdr:rowOff>
    </xdr:to>
    <xdr:sp macro="" textlink="">
      <xdr:nvSpPr>
        <xdr:cNvPr id="6" name="TextBox 5">
          <a:extLst>
            <a:ext uri="{FF2B5EF4-FFF2-40B4-BE49-F238E27FC236}">
              <a16:creationId xmlns:a16="http://schemas.microsoft.com/office/drawing/2014/main" id="{36176972-E914-4CFF-8E58-2D67F6755B81}"/>
            </a:ext>
          </a:extLst>
        </xdr:cNvPr>
        <xdr:cNvSpPr txBox="1"/>
      </xdr:nvSpPr>
      <xdr:spPr>
        <a:xfrm>
          <a:off x="0" y="18592800"/>
          <a:ext cx="3206750" cy="647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u="sng"/>
            <a:t>Results</a:t>
          </a:r>
          <a:r>
            <a:rPr lang="en-US" sz="1200" u="none"/>
            <a:t>:  </a:t>
          </a:r>
        </a:p>
        <a:p>
          <a:r>
            <a:rPr lang="en-US" sz="1100"/>
            <a:t>CBA is</a:t>
          </a:r>
          <a:r>
            <a:rPr lang="en-US" sz="1100" baseline="0"/>
            <a:t> better for TIN removal compared to PBA.</a:t>
          </a:r>
          <a:endParaRPr lang="en-US" sz="1100"/>
        </a:p>
        <a:p>
          <a:r>
            <a:rPr lang="en-US" sz="1100" b="1">
              <a:solidFill>
                <a:sysClr val="windowText" lastClr="000000"/>
              </a:solidFill>
            </a:rPr>
            <a:t>Select: </a:t>
          </a:r>
          <a:r>
            <a:rPr lang="en-US" sz="1100" b="1">
              <a:solidFill>
                <a:srgbClr val="FF0000"/>
              </a:solidFill>
            </a:rPr>
            <a:t>Tank</a:t>
          </a:r>
          <a:r>
            <a:rPr lang="en-US" sz="1100" b="1" baseline="0">
              <a:solidFill>
                <a:srgbClr val="FF0000"/>
              </a:solidFill>
            </a:rPr>
            <a:t> 1 (CBA) </a:t>
          </a:r>
          <a:r>
            <a:rPr lang="en-US" sz="1100" b="0" baseline="0">
              <a:solidFill>
                <a:srgbClr val="FF0000"/>
              </a:solidFill>
            </a:rPr>
            <a:t>for better performance.</a:t>
          </a:r>
          <a:endParaRPr lang="en-US" sz="1100"/>
        </a:p>
      </xdr:txBody>
    </xdr:sp>
    <xdr:clientData/>
  </xdr:twoCellAnchor>
  <xdr:twoCellAnchor>
    <xdr:from>
      <xdr:col>0</xdr:col>
      <xdr:colOff>0</xdr:colOff>
      <xdr:row>97</xdr:row>
      <xdr:rowOff>0</xdr:rowOff>
    </xdr:from>
    <xdr:to>
      <xdr:col>8</xdr:col>
      <xdr:colOff>457200</xdr:colOff>
      <xdr:row>100</xdr:row>
      <xdr:rowOff>177800</xdr:rowOff>
    </xdr:to>
    <xdr:sp macro="" textlink="">
      <xdr:nvSpPr>
        <xdr:cNvPr id="7" name="TextBox 6">
          <a:extLst>
            <a:ext uri="{FF2B5EF4-FFF2-40B4-BE49-F238E27FC236}">
              <a16:creationId xmlns:a16="http://schemas.microsoft.com/office/drawing/2014/main" id="{FD2C1F33-6F08-4FCF-89A1-B252A66E08B2}"/>
            </a:ext>
          </a:extLst>
        </xdr:cNvPr>
        <xdr:cNvSpPr txBox="1"/>
      </xdr:nvSpPr>
      <xdr:spPr>
        <a:xfrm>
          <a:off x="0" y="19577050"/>
          <a:ext cx="7023100" cy="7683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u="none"/>
            <a:t>CONCLUSION: </a:t>
          </a:r>
          <a:r>
            <a:rPr lang="en-US" sz="1200" u="none"/>
            <a:t>Configuration 6</a:t>
          </a:r>
          <a:r>
            <a:rPr lang="en-US" sz="1200" u="none" baseline="0"/>
            <a:t> with </a:t>
          </a:r>
          <a:r>
            <a:rPr lang="en-US" sz="1200" u="none">
              <a:solidFill>
                <a:srgbClr val="FF0000"/>
              </a:solidFill>
            </a:rPr>
            <a:t>Medium HLR</a:t>
          </a:r>
          <a:r>
            <a:rPr lang="en-US" sz="1200" u="none"/>
            <a:t>, </a:t>
          </a:r>
          <a:r>
            <a:rPr lang="en-US" sz="1200" u="none">
              <a:solidFill>
                <a:srgbClr val="FF0000"/>
              </a:solidFill>
            </a:rPr>
            <a:t>Upper outlet height</a:t>
          </a:r>
          <a:r>
            <a:rPr lang="en-US" sz="1200" u="none"/>
            <a:t>, and </a:t>
          </a:r>
          <a:r>
            <a:rPr lang="en-US" sz="1200" u="none">
              <a:solidFill>
                <a:srgbClr val="FF0000"/>
              </a:solidFill>
            </a:rPr>
            <a:t>plant addition</a:t>
          </a:r>
          <a:r>
            <a:rPr lang="en-US" sz="1200" u="none" baseline="0">
              <a:solidFill>
                <a:srgbClr val="FF0000"/>
              </a:solidFill>
            </a:rPr>
            <a:t> </a:t>
          </a:r>
          <a:r>
            <a:rPr lang="en-US" sz="1200" u="none" baseline="0"/>
            <a:t>with </a:t>
          </a:r>
          <a:r>
            <a:rPr lang="en-US" sz="1200" u="none" baseline="0">
              <a:solidFill>
                <a:srgbClr val="FF0000"/>
              </a:solidFill>
            </a:rPr>
            <a:t>complete bioretention ammendment (CBA) </a:t>
          </a:r>
          <a:r>
            <a:rPr lang="en-US" sz="1200" u="none" baseline="0"/>
            <a:t>has</a:t>
          </a:r>
          <a:r>
            <a:rPr lang="en-US" sz="1200" u="none"/>
            <a:t> proven to be the most optimal in terms of performance and cost benefit for TP removal</a:t>
          </a:r>
          <a:r>
            <a:rPr lang="en-US" sz="1200" u="none" baseline="0"/>
            <a:t> from fertilizer runoff.</a:t>
          </a:r>
          <a:endParaRPr lang="en-US" sz="1100" u="none"/>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22</xdr:col>
      <xdr:colOff>330199</xdr:colOff>
      <xdr:row>0</xdr:row>
      <xdr:rowOff>93133</xdr:rowOff>
    </xdr:from>
    <xdr:to>
      <xdr:col>27</xdr:col>
      <xdr:colOff>601134</xdr:colOff>
      <xdr:row>13</xdr:row>
      <xdr:rowOff>110066</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A208860D-C919-403B-8F29-C588A0ACE3E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1253449" y="93133"/>
              <a:ext cx="4919135" cy="310938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634999</xdr:colOff>
      <xdr:row>0</xdr:row>
      <xdr:rowOff>0</xdr:rowOff>
    </xdr:from>
    <xdr:to>
      <xdr:col>34</xdr:col>
      <xdr:colOff>67732</xdr:colOff>
      <xdr:row>13</xdr:row>
      <xdr:rowOff>25400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121D678B-6742-478C-8635-16EAA2D7D41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6206449" y="0"/>
              <a:ext cx="5300133" cy="31178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321732</xdr:colOff>
      <xdr:row>14</xdr:row>
      <xdr:rowOff>25399</xdr:rowOff>
    </xdr:from>
    <xdr:to>
      <xdr:col>27</xdr:col>
      <xdr:colOff>651933</xdr:colOff>
      <xdr:row>27</xdr:row>
      <xdr:rowOff>25400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BF87AFC2-743F-412E-8586-1342DDABDF4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1244982" y="3314699"/>
              <a:ext cx="4978401" cy="255905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685800</xdr:colOff>
      <xdr:row>14</xdr:row>
      <xdr:rowOff>16933</xdr:rowOff>
    </xdr:from>
    <xdr:to>
      <xdr:col>33</xdr:col>
      <xdr:colOff>635001</xdr:colOff>
      <xdr:row>27</xdr:row>
      <xdr:rowOff>16934</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6A24A3FE-F376-4926-BF0B-8D13F22A269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26257250" y="3306233"/>
              <a:ext cx="4978401" cy="255905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330201</xdr:colOff>
      <xdr:row>28</xdr:row>
      <xdr:rowOff>101600</xdr:rowOff>
    </xdr:from>
    <xdr:to>
      <xdr:col>27</xdr:col>
      <xdr:colOff>660402</xdr:colOff>
      <xdr:row>41</xdr:row>
      <xdr:rowOff>101600</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AC8C01AE-A2E7-49DF-8C25-C08EA0821F3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21253451" y="6146800"/>
              <a:ext cx="4978401" cy="25590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736601</xdr:colOff>
      <xdr:row>28</xdr:row>
      <xdr:rowOff>76200</xdr:rowOff>
    </xdr:from>
    <xdr:to>
      <xdr:col>33</xdr:col>
      <xdr:colOff>685802</xdr:colOff>
      <xdr:row>41</xdr:row>
      <xdr:rowOff>76200</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12FADFD0-535B-462D-98CC-3AEB3C862E2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6308051" y="6121400"/>
              <a:ext cx="4978401" cy="25590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26</xdr:col>
      <xdr:colOff>258234</xdr:colOff>
      <xdr:row>78</xdr:row>
      <xdr:rowOff>38101</xdr:rowOff>
    </xdr:from>
    <xdr:to>
      <xdr:col>31</xdr:col>
      <xdr:colOff>639234</xdr:colOff>
      <xdr:row>92</xdr:row>
      <xdr:rowOff>55034</xdr:rowOff>
    </xdr:to>
    <xdr:graphicFrame macro="">
      <xdr:nvGraphicFramePr>
        <xdr:cNvPr id="8" name="Chart 7">
          <a:extLst>
            <a:ext uri="{FF2B5EF4-FFF2-40B4-BE49-F238E27FC236}">
              <a16:creationId xmlns:a16="http://schemas.microsoft.com/office/drawing/2014/main" id="{066CF5F6-1A6C-4A5F-9E42-77E5CAA82F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22</xdr:col>
      <xdr:colOff>330199</xdr:colOff>
      <xdr:row>0</xdr:row>
      <xdr:rowOff>93133</xdr:rowOff>
    </xdr:from>
    <xdr:to>
      <xdr:col>27</xdr:col>
      <xdr:colOff>601134</xdr:colOff>
      <xdr:row>13</xdr:row>
      <xdr:rowOff>110066</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E066DAC4-86D9-429C-A1D3-0B96E444E82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1253449" y="93133"/>
              <a:ext cx="4919135" cy="310938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634999</xdr:colOff>
      <xdr:row>0</xdr:row>
      <xdr:rowOff>0</xdr:rowOff>
    </xdr:from>
    <xdr:to>
      <xdr:col>34</xdr:col>
      <xdr:colOff>67732</xdr:colOff>
      <xdr:row>13</xdr:row>
      <xdr:rowOff>25400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14CE1E69-9DBB-4806-BFFD-94F95244F11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6206449" y="0"/>
              <a:ext cx="5300133" cy="31178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321732</xdr:colOff>
      <xdr:row>14</xdr:row>
      <xdr:rowOff>25399</xdr:rowOff>
    </xdr:from>
    <xdr:to>
      <xdr:col>27</xdr:col>
      <xdr:colOff>651933</xdr:colOff>
      <xdr:row>27</xdr:row>
      <xdr:rowOff>25400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27B02DB6-41E4-41CE-8585-1C7B14C9687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1244982" y="3314699"/>
              <a:ext cx="4978401" cy="255905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685800</xdr:colOff>
      <xdr:row>14</xdr:row>
      <xdr:rowOff>16933</xdr:rowOff>
    </xdr:from>
    <xdr:to>
      <xdr:col>33</xdr:col>
      <xdr:colOff>635001</xdr:colOff>
      <xdr:row>27</xdr:row>
      <xdr:rowOff>16934</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68AE278B-92DA-4B11-AE54-3377B4F3B52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26257250" y="3306233"/>
              <a:ext cx="4978401" cy="255905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330201</xdr:colOff>
      <xdr:row>28</xdr:row>
      <xdr:rowOff>101600</xdr:rowOff>
    </xdr:from>
    <xdr:to>
      <xdr:col>27</xdr:col>
      <xdr:colOff>660402</xdr:colOff>
      <xdr:row>41</xdr:row>
      <xdr:rowOff>101600</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F7C22B9A-4C95-4247-B1A0-D49C82CF493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21253451" y="6146800"/>
              <a:ext cx="4978401" cy="25590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736601</xdr:colOff>
      <xdr:row>28</xdr:row>
      <xdr:rowOff>76200</xdr:rowOff>
    </xdr:from>
    <xdr:to>
      <xdr:col>33</xdr:col>
      <xdr:colOff>685802</xdr:colOff>
      <xdr:row>41</xdr:row>
      <xdr:rowOff>76200</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6C6819A5-F42B-45B4-AC2F-DC301ABFE08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6308051" y="6121400"/>
              <a:ext cx="4978401" cy="25590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26</xdr:col>
      <xdr:colOff>258234</xdr:colOff>
      <xdr:row>78</xdr:row>
      <xdr:rowOff>38101</xdr:rowOff>
    </xdr:from>
    <xdr:to>
      <xdr:col>31</xdr:col>
      <xdr:colOff>639234</xdr:colOff>
      <xdr:row>92</xdr:row>
      <xdr:rowOff>55034</xdr:rowOff>
    </xdr:to>
    <xdr:graphicFrame macro="">
      <xdr:nvGraphicFramePr>
        <xdr:cNvPr id="8" name="Chart 7">
          <a:extLst>
            <a:ext uri="{FF2B5EF4-FFF2-40B4-BE49-F238E27FC236}">
              <a16:creationId xmlns:a16="http://schemas.microsoft.com/office/drawing/2014/main" id="{9D53EE84-E380-4BC2-8719-93F3B57DD4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22</xdr:col>
      <xdr:colOff>330199</xdr:colOff>
      <xdr:row>0</xdr:row>
      <xdr:rowOff>93133</xdr:rowOff>
    </xdr:from>
    <xdr:to>
      <xdr:col>27</xdr:col>
      <xdr:colOff>601134</xdr:colOff>
      <xdr:row>13</xdr:row>
      <xdr:rowOff>110066</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2357D455-4672-4DAC-A837-60C85D0118B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1253449" y="93133"/>
              <a:ext cx="4919135" cy="310938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634999</xdr:colOff>
      <xdr:row>0</xdr:row>
      <xdr:rowOff>0</xdr:rowOff>
    </xdr:from>
    <xdr:to>
      <xdr:col>34</xdr:col>
      <xdr:colOff>67732</xdr:colOff>
      <xdr:row>13</xdr:row>
      <xdr:rowOff>25400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6F07F33A-D173-4690-8D6F-9BBADFEC748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6206449" y="0"/>
              <a:ext cx="5300133" cy="31178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321732</xdr:colOff>
      <xdr:row>14</xdr:row>
      <xdr:rowOff>25399</xdr:rowOff>
    </xdr:from>
    <xdr:to>
      <xdr:col>27</xdr:col>
      <xdr:colOff>651933</xdr:colOff>
      <xdr:row>27</xdr:row>
      <xdr:rowOff>25400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2D3257A3-B6F8-4FC5-86A4-1C486B0CE14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1244982" y="3314699"/>
              <a:ext cx="4978401" cy="255905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685800</xdr:colOff>
      <xdr:row>14</xdr:row>
      <xdr:rowOff>16933</xdr:rowOff>
    </xdr:from>
    <xdr:to>
      <xdr:col>33</xdr:col>
      <xdr:colOff>635001</xdr:colOff>
      <xdr:row>27</xdr:row>
      <xdr:rowOff>16934</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5BA08584-A938-4964-B07D-DEAAD8C1016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26257250" y="3306233"/>
              <a:ext cx="4978401" cy="255905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330201</xdr:colOff>
      <xdr:row>28</xdr:row>
      <xdr:rowOff>101600</xdr:rowOff>
    </xdr:from>
    <xdr:to>
      <xdr:col>27</xdr:col>
      <xdr:colOff>660402</xdr:colOff>
      <xdr:row>41</xdr:row>
      <xdr:rowOff>101600</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A660DE81-B0EE-4AD0-915B-61E020314B2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21253451" y="6146800"/>
              <a:ext cx="4978401" cy="25590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736601</xdr:colOff>
      <xdr:row>28</xdr:row>
      <xdr:rowOff>76200</xdr:rowOff>
    </xdr:from>
    <xdr:to>
      <xdr:col>33</xdr:col>
      <xdr:colOff>685802</xdr:colOff>
      <xdr:row>41</xdr:row>
      <xdr:rowOff>76200</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DA99EE23-102F-469C-B191-0BB2E52752D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6308051" y="6121400"/>
              <a:ext cx="4978401" cy="25590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26</xdr:col>
      <xdr:colOff>258234</xdr:colOff>
      <xdr:row>78</xdr:row>
      <xdr:rowOff>38101</xdr:rowOff>
    </xdr:from>
    <xdr:to>
      <xdr:col>31</xdr:col>
      <xdr:colOff>639234</xdr:colOff>
      <xdr:row>92</xdr:row>
      <xdr:rowOff>55034</xdr:rowOff>
    </xdr:to>
    <xdr:graphicFrame macro="">
      <xdr:nvGraphicFramePr>
        <xdr:cNvPr id="8" name="Chart 7">
          <a:extLst>
            <a:ext uri="{FF2B5EF4-FFF2-40B4-BE49-F238E27FC236}">
              <a16:creationId xmlns:a16="http://schemas.microsoft.com/office/drawing/2014/main" id="{2FA64635-32F8-4BF7-8C54-75EF99AACC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22</xdr:col>
      <xdr:colOff>330199</xdr:colOff>
      <xdr:row>0</xdr:row>
      <xdr:rowOff>93133</xdr:rowOff>
    </xdr:from>
    <xdr:to>
      <xdr:col>27</xdr:col>
      <xdr:colOff>601134</xdr:colOff>
      <xdr:row>13</xdr:row>
      <xdr:rowOff>110066</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EDFF1553-EF21-4EF1-8062-8C451747E8A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1253449" y="93133"/>
              <a:ext cx="4919135" cy="310938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634999</xdr:colOff>
      <xdr:row>0</xdr:row>
      <xdr:rowOff>0</xdr:rowOff>
    </xdr:from>
    <xdr:to>
      <xdr:col>34</xdr:col>
      <xdr:colOff>67732</xdr:colOff>
      <xdr:row>13</xdr:row>
      <xdr:rowOff>25400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E368FA01-B3EE-4116-A3EC-CB35B8E322A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6206449" y="0"/>
              <a:ext cx="5300133" cy="31178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321732</xdr:colOff>
      <xdr:row>14</xdr:row>
      <xdr:rowOff>25399</xdr:rowOff>
    </xdr:from>
    <xdr:to>
      <xdr:col>27</xdr:col>
      <xdr:colOff>651933</xdr:colOff>
      <xdr:row>27</xdr:row>
      <xdr:rowOff>25400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8302614F-91B8-4169-9400-963ED3F132F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1244982" y="3314699"/>
              <a:ext cx="4978401" cy="255905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685800</xdr:colOff>
      <xdr:row>14</xdr:row>
      <xdr:rowOff>16933</xdr:rowOff>
    </xdr:from>
    <xdr:to>
      <xdr:col>33</xdr:col>
      <xdr:colOff>635001</xdr:colOff>
      <xdr:row>27</xdr:row>
      <xdr:rowOff>16934</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AB5AF023-1A00-4086-B869-27D8B215EB3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26257250" y="3306233"/>
              <a:ext cx="4978401" cy="255905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330201</xdr:colOff>
      <xdr:row>28</xdr:row>
      <xdr:rowOff>101600</xdr:rowOff>
    </xdr:from>
    <xdr:to>
      <xdr:col>27</xdr:col>
      <xdr:colOff>660402</xdr:colOff>
      <xdr:row>41</xdr:row>
      <xdr:rowOff>101600</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415196D8-41F1-4DB8-873F-ECFC334330F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21253451" y="6146800"/>
              <a:ext cx="4978401" cy="25590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736601</xdr:colOff>
      <xdr:row>28</xdr:row>
      <xdr:rowOff>76200</xdr:rowOff>
    </xdr:from>
    <xdr:to>
      <xdr:col>33</xdr:col>
      <xdr:colOff>685802</xdr:colOff>
      <xdr:row>41</xdr:row>
      <xdr:rowOff>76200</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2A71740D-1220-430E-98B9-A6D4F16C98D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6308051" y="6121400"/>
              <a:ext cx="4978401" cy="25590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26</xdr:col>
      <xdr:colOff>258234</xdr:colOff>
      <xdr:row>78</xdr:row>
      <xdr:rowOff>38101</xdr:rowOff>
    </xdr:from>
    <xdr:to>
      <xdr:col>31</xdr:col>
      <xdr:colOff>639234</xdr:colOff>
      <xdr:row>92</xdr:row>
      <xdr:rowOff>55034</xdr:rowOff>
    </xdr:to>
    <xdr:graphicFrame macro="">
      <xdr:nvGraphicFramePr>
        <xdr:cNvPr id="8" name="Chart 7">
          <a:extLst>
            <a:ext uri="{FF2B5EF4-FFF2-40B4-BE49-F238E27FC236}">
              <a16:creationId xmlns:a16="http://schemas.microsoft.com/office/drawing/2014/main" id="{BACAEE43-67BB-4F30-AEF0-BB6BDE014A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22</xdr:col>
      <xdr:colOff>330199</xdr:colOff>
      <xdr:row>0</xdr:row>
      <xdr:rowOff>93133</xdr:rowOff>
    </xdr:from>
    <xdr:to>
      <xdr:col>27</xdr:col>
      <xdr:colOff>601134</xdr:colOff>
      <xdr:row>13</xdr:row>
      <xdr:rowOff>110066</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A9CABEB3-663A-4C2A-85A9-6844D6231F2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1253449" y="93133"/>
              <a:ext cx="4919135" cy="310938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634999</xdr:colOff>
      <xdr:row>0</xdr:row>
      <xdr:rowOff>0</xdr:rowOff>
    </xdr:from>
    <xdr:to>
      <xdr:col>34</xdr:col>
      <xdr:colOff>67732</xdr:colOff>
      <xdr:row>13</xdr:row>
      <xdr:rowOff>25400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5A20B78E-B42F-479E-BFA6-E403A22FB6F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6206449" y="0"/>
              <a:ext cx="5300133" cy="31178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321732</xdr:colOff>
      <xdr:row>14</xdr:row>
      <xdr:rowOff>25399</xdr:rowOff>
    </xdr:from>
    <xdr:to>
      <xdr:col>27</xdr:col>
      <xdr:colOff>651933</xdr:colOff>
      <xdr:row>27</xdr:row>
      <xdr:rowOff>25400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DFFB5826-7144-49C1-A876-5D5AA564412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1244982" y="3314699"/>
              <a:ext cx="4978401" cy="255905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685800</xdr:colOff>
      <xdr:row>14</xdr:row>
      <xdr:rowOff>16933</xdr:rowOff>
    </xdr:from>
    <xdr:to>
      <xdr:col>33</xdr:col>
      <xdr:colOff>635001</xdr:colOff>
      <xdr:row>27</xdr:row>
      <xdr:rowOff>16934</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23AD67FE-ADBD-4886-86FF-E51F1D053DE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26257250" y="3306233"/>
              <a:ext cx="4978401" cy="255905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330201</xdr:colOff>
      <xdr:row>28</xdr:row>
      <xdr:rowOff>101600</xdr:rowOff>
    </xdr:from>
    <xdr:to>
      <xdr:col>27</xdr:col>
      <xdr:colOff>660402</xdr:colOff>
      <xdr:row>41</xdr:row>
      <xdr:rowOff>101600</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711338BC-0359-4EB8-9597-BD958B99DAC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21253451" y="6146800"/>
              <a:ext cx="4978401" cy="25590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736601</xdr:colOff>
      <xdr:row>28</xdr:row>
      <xdr:rowOff>76200</xdr:rowOff>
    </xdr:from>
    <xdr:to>
      <xdr:col>33</xdr:col>
      <xdr:colOff>685802</xdr:colOff>
      <xdr:row>41</xdr:row>
      <xdr:rowOff>76200</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0BA5E51E-F940-4976-BF06-0BCAB727BCC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6308051" y="6121400"/>
              <a:ext cx="4978401" cy="25590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26</xdr:col>
      <xdr:colOff>258234</xdr:colOff>
      <xdr:row>78</xdr:row>
      <xdr:rowOff>38101</xdr:rowOff>
    </xdr:from>
    <xdr:to>
      <xdr:col>31</xdr:col>
      <xdr:colOff>639234</xdr:colOff>
      <xdr:row>92</xdr:row>
      <xdr:rowOff>55034</xdr:rowOff>
    </xdr:to>
    <xdr:graphicFrame macro="">
      <xdr:nvGraphicFramePr>
        <xdr:cNvPr id="8" name="Chart 7">
          <a:extLst>
            <a:ext uri="{FF2B5EF4-FFF2-40B4-BE49-F238E27FC236}">
              <a16:creationId xmlns:a16="http://schemas.microsoft.com/office/drawing/2014/main" id="{AC99A472-E846-4053-A082-6441B1AF6F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25</xdr:col>
      <xdr:colOff>330199</xdr:colOff>
      <xdr:row>0</xdr:row>
      <xdr:rowOff>93133</xdr:rowOff>
    </xdr:from>
    <xdr:to>
      <xdr:col>30</xdr:col>
      <xdr:colOff>601134</xdr:colOff>
      <xdr:row>13</xdr:row>
      <xdr:rowOff>110066</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889EC529-3568-48B6-92BA-08E08970D42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3768049" y="93133"/>
              <a:ext cx="4919135" cy="310938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30</xdr:col>
      <xdr:colOff>634999</xdr:colOff>
      <xdr:row>0</xdr:row>
      <xdr:rowOff>0</xdr:rowOff>
    </xdr:from>
    <xdr:to>
      <xdr:col>37</xdr:col>
      <xdr:colOff>67732</xdr:colOff>
      <xdr:row>13</xdr:row>
      <xdr:rowOff>25400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B2856CBF-7526-48E0-B0E0-AD2A9FD0EA6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8721049" y="0"/>
              <a:ext cx="5300133" cy="31178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25</xdr:col>
      <xdr:colOff>321732</xdr:colOff>
      <xdr:row>14</xdr:row>
      <xdr:rowOff>25399</xdr:rowOff>
    </xdr:from>
    <xdr:to>
      <xdr:col>30</xdr:col>
      <xdr:colOff>651933</xdr:colOff>
      <xdr:row>27</xdr:row>
      <xdr:rowOff>25400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623C3E7F-EEE0-4BA5-82E7-4B2723246BD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3759582" y="3314699"/>
              <a:ext cx="4978401" cy="255905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30</xdr:col>
      <xdr:colOff>685800</xdr:colOff>
      <xdr:row>14</xdr:row>
      <xdr:rowOff>16933</xdr:rowOff>
    </xdr:from>
    <xdr:to>
      <xdr:col>36</xdr:col>
      <xdr:colOff>635001</xdr:colOff>
      <xdr:row>27</xdr:row>
      <xdr:rowOff>16934</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92354257-5B02-4AAA-860C-922F26ECA77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28771850" y="3306233"/>
              <a:ext cx="4978401" cy="255905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25</xdr:col>
      <xdr:colOff>330201</xdr:colOff>
      <xdr:row>28</xdr:row>
      <xdr:rowOff>101600</xdr:rowOff>
    </xdr:from>
    <xdr:to>
      <xdr:col>30</xdr:col>
      <xdr:colOff>660402</xdr:colOff>
      <xdr:row>41</xdr:row>
      <xdr:rowOff>101600</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D0EA8295-9456-4F13-ACE5-1355A30CB5B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23768051" y="6146800"/>
              <a:ext cx="4978401" cy="25590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30</xdr:col>
      <xdr:colOff>736601</xdr:colOff>
      <xdr:row>28</xdr:row>
      <xdr:rowOff>76200</xdr:rowOff>
    </xdr:from>
    <xdr:to>
      <xdr:col>36</xdr:col>
      <xdr:colOff>685802</xdr:colOff>
      <xdr:row>41</xdr:row>
      <xdr:rowOff>76200</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2AA7A3EF-BCC1-4992-9200-027A47901AD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8822651" y="6121400"/>
              <a:ext cx="4978401" cy="25590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29</xdr:col>
      <xdr:colOff>258234</xdr:colOff>
      <xdr:row>78</xdr:row>
      <xdr:rowOff>38101</xdr:rowOff>
    </xdr:from>
    <xdr:to>
      <xdr:col>34</xdr:col>
      <xdr:colOff>639234</xdr:colOff>
      <xdr:row>92</xdr:row>
      <xdr:rowOff>55034</xdr:rowOff>
    </xdr:to>
    <xdr:graphicFrame macro="">
      <xdr:nvGraphicFramePr>
        <xdr:cNvPr id="8" name="Chart 7">
          <a:extLst>
            <a:ext uri="{FF2B5EF4-FFF2-40B4-BE49-F238E27FC236}">
              <a16:creationId xmlns:a16="http://schemas.microsoft.com/office/drawing/2014/main" id="{3D613BBB-8E76-4C5A-BC70-9B3600A522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122766</xdr:colOff>
      <xdr:row>83</xdr:row>
      <xdr:rowOff>76200</xdr:rowOff>
    </xdr:from>
    <xdr:to>
      <xdr:col>19</xdr:col>
      <xdr:colOff>347133</xdr:colOff>
      <xdr:row>101</xdr:row>
      <xdr:rowOff>190500</xdr:rowOff>
    </xdr:to>
    <xdr:graphicFrame macro="">
      <xdr:nvGraphicFramePr>
        <xdr:cNvPr id="11" name="Chart 10">
          <a:extLst>
            <a:ext uri="{FF2B5EF4-FFF2-40B4-BE49-F238E27FC236}">
              <a16:creationId xmlns:a16="http://schemas.microsoft.com/office/drawing/2014/main" id="{8E761FBB-DEF7-E523-0B55-7E88F2B46F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22</xdr:col>
      <xdr:colOff>330199</xdr:colOff>
      <xdr:row>0</xdr:row>
      <xdr:rowOff>93133</xdr:rowOff>
    </xdr:from>
    <xdr:to>
      <xdr:col>27</xdr:col>
      <xdr:colOff>601134</xdr:colOff>
      <xdr:row>13</xdr:row>
      <xdr:rowOff>110066</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FE69F98C-398E-43DC-B195-80797470DEC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1253449" y="93133"/>
              <a:ext cx="4919135" cy="310938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634999</xdr:colOff>
      <xdr:row>0</xdr:row>
      <xdr:rowOff>0</xdr:rowOff>
    </xdr:from>
    <xdr:to>
      <xdr:col>34</xdr:col>
      <xdr:colOff>67732</xdr:colOff>
      <xdr:row>13</xdr:row>
      <xdr:rowOff>25400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5DE135D2-9ABA-474D-9CCB-F85E39DF2F5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6206449" y="0"/>
              <a:ext cx="5300133" cy="31178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321732</xdr:colOff>
      <xdr:row>14</xdr:row>
      <xdr:rowOff>25399</xdr:rowOff>
    </xdr:from>
    <xdr:to>
      <xdr:col>27</xdr:col>
      <xdr:colOff>651933</xdr:colOff>
      <xdr:row>27</xdr:row>
      <xdr:rowOff>25400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83048C05-540C-40F6-B69F-16281347BD1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1244982" y="3314699"/>
              <a:ext cx="4978401" cy="255905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685800</xdr:colOff>
      <xdr:row>14</xdr:row>
      <xdr:rowOff>16933</xdr:rowOff>
    </xdr:from>
    <xdr:to>
      <xdr:col>33</xdr:col>
      <xdr:colOff>635001</xdr:colOff>
      <xdr:row>27</xdr:row>
      <xdr:rowOff>16934</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2A3B15BB-021D-463E-AE84-8008D9FC454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26257250" y="3306233"/>
              <a:ext cx="4978401" cy="255905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330201</xdr:colOff>
      <xdr:row>28</xdr:row>
      <xdr:rowOff>101600</xdr:rowOff>
    </xdr:from>
    <xdr:to>
      <xdr:col>27</xdr:col>
      <xdr:colOff>660402</xdr:colOff>
      <xdr:row>41</xdr:row>
      <xdr:rowOff>101600</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A78518EE-6DA8-4F08-B9DA-AB368EF9050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21253451" y="6146800"/>
              <a:ext cx="4978401" cy="25590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736601</xdr:colOff>
      <xdr:row>28</xdr:row>
      <xdr:rowOff>76200</xdr:rowOff>
    </xdr:from>
    <xdr:to>
      <xdr:col>33</xdr:col>
      <xdr:colOff>685802</xdr:colOff>
      <xdr:row>41</xdr:row>
      <xdr:rowOff>76200</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7E33546A-2602-4463-87BD-71A211FD340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6308051" y="6121400"/>
              <a:ext cx="4978401" cy="25590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26</xdr:col>
      <xdr:colOff>258234</xdr:colOff>
      <xdr:row>78</xdr:row>
      <xdr:rowOff>38101</xdr:rowOff>
    </xdr:from>
    <xdr:to>
      <xdr:col>31</xdr:col>
      <xdr:colOff>639234</xdr:colOff>
      <xdr:row>92</xdr:row>
      <xdr:rowOff>55034</xdr:rowOff>
    </xdr:to>
    <xdr:graphicFrame macro="">
      <xdr:nvGraphicFramePr>
        <xdr:cNvPr id="8" name="Chart 7">
          <a:extLst>
            <a:ext uri="{FF2B5EF4-FFF2-40B4-BE49-F238E27FC236}">
              <a16:creationId xmlns:a16="http://schemas.microsoft.com/office/drawing/2014/main" id="{C1490AB0-9ABE-419C-A05A-7F1BA56DFD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22</xdr:col>
      <xdr:colOff>330199</xdr:colOff>
      <xdr:row>0</xdr:row>
      <xdr:rowOff>93133</xdr:rowOff>
    </xdr:from>
    <xdr:to>
      <xdr:col>27</xdr:col>
      <xdr:colOff>601134</xdr:colOff>
      <xdr:row>13</xdr:row>
      <xdr:rowOff>110066</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5A4E4E20-08AB-41D3-808C-DBB3883B694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1253449" y="93133"/>
              <a:ext cx="4919135" cy="310938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634999</xdr:colOff>
      <xdr:row>0</xdr:row>
      <xdr:rowOff>0</xdr:rowOff>
    </xdr:from>
    <xdr:to>
      <xdr:col>34</xdr:col>
      <xdr:colOff>67732</xdr:colOff>
      <xdr:row>13</xdr:row>
      <xdr:rowOff>25400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ACA58653-15B9-4544-B1E7-B010D82857E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6206449" y="0"/>
              <a:ext cx="5300133" cy="31178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321732</xdr:colOff>
      <xdr:row>14</xdr:row>
      <xdr:rowOff>25399</xdr:rowOff>
    </xdr:from>
    <xdr:to>
      <xdr:col>27</xdr:col>
      <xdr:colOff>651933</xdr:colOff>
      <xdr:row>27</xdr:row>
      <xdr:rowOff>25400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4270653F-EE1B-4981-BE40-B2C1608ED51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1244982" y="3314699"/>
              <a:ext cx="4978401" cy="255905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685800</xdr:colOff>
      <xdr:row>14</xdr:row>
      <xdr:rowOff>16933</xdr:rowOff>
    </xdr:from>
    <xdr:to>
      <xdr:col>33</xdr:col>
      <xdr:colOff>635001</xdr:colOff>
      <xdr:row>27</xdr:row>
      <xdr:rowOff>16934</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7125D5C6-9A9C-4A8C-8EF7-FE225DBD68E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26257250" y="3306233"/>
              <a:ext cx="4978401" cy="255905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330201</xdr:colOff>
      <xdr:row>28</xdr:row>
      <xdr:rowOff>101600</xdr:rowOff>
    </xdr:from>
    <xdr:to>
      <xdr:col>27</xdr:col>
      <xdr:colOff>660402</xdr:colOff>
      <xdr:row>41</xdr:row>
      <xdr:rowOff>101600</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B8C98FBC-1D3D-450E-BD3F-C8C4C890DBE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21253451" y="6146800"/>
              <a:ext cx="4978401" cy="25590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736601</xdr:colOff>
      <xdr:row>28</xdr:row>
      <xdr:rowOff>76200</xdr:rowOff>
    </xdr:from>
    <xdr:to>
      <xdr:col>33</xdr:col>
      <xdr:colOff>685802</xdr:colOff>
      <xdr:row>41</xdr:row>
      <xdr:rowOff>76200</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BD12F857-293B-46C6-820D-F739E3BC63E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6308051" y="6121400"/>
              <a:ext cx="4978401" cy="25590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26</xdr:col>
      <xdr:colOff>258234</xdr:colOff>
      <xdr:row>78</xdr:row>
      <xdr:rowOff>38101</xdr:rowOff>
    </xdr:from>
    <xdr:to>
      <xdr:col>31</xdr:col>
      <xdr:colOff>639234</xdr:colOff>
      <xdr:row>92</xdr:row>
      <xdr:rowOff>55034</xdr:rowOff>
    </xdr:to>
    <xdr:graphicFrame macro="">
      <xdr:nvGraphicFramePr>
        <xdr:cNvPr id="8" name="Chart 7">
          <a:extLst>
            <a:ext uri="{FF2B5EF4-FFF2-40B4-BE49-F238E27FC236}">
              <a16:creationId xmlns:a16="http://schemas.microsoft.com/office/drawing/2014/main" id="{C3103175-3ABB-4BAE-8CEC-0C04E0FF99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22</xdr:col>
      <xdr:colOff>330199</xdr:colOff>
      <xdr:row>0</xdr:row>
      <xdr:rowOff>93133</xdr:rowOff>
    </xdr:from>
    <xdr:to>
      <xdr:col>27</xdr:col>
      <xdr:colOff>601134</xdr:colOff>
      <xdr:row>13</xdr:row>
      <xdr:rowOff>110066</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BF932D48-8B97-4EA3-9DAF-8B963FEDAC9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1253449" y="93133"/>
              <a:ext cx="4919135" cy="310938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634999</xdr:colOff>
      <xdr:row>0</xdr:row>
      <xdr:rowOff>0</xdr:rowOff>
    </xdr:from>
    <xdr:to>
      <xdr:col>34</xdr:col>
      <xdr:colOff>67732</xdr:colOff>
      <xdr:row>13</xdr:row>
      <xdr:rowOff>25400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7A01F6DB-5319-4ACB-B103-65EA8C13EAD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6206449" y="0"/>
              <a:ext cx="5300133" cy="31178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321732</xdr:colOff>
      <xdr:row>14</xdr:row>
      <xdr:rowOff>25399</xdr:rowOff>
    </xdr:from>
    <xdr:to>
      <xdr:col>27</xdr:col>
      <xdr:colOff>651933</xdr:colOff>
      <xdr:row>27</xdr:row>
      <xdr:rowOff>25400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1FF9E50C-8D4F-4EF5-A097-E78713E2945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1244982" y="3314699"/>
              <a:ext cx="4978401" cy="255905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685800</xdr:colOff>
      <xdr:row>14</xdr:row>
      <xdr:rowOff>16933</xdr:rowOff>
    </xdr:from>
    <xdr:to>
      <xdr:col>33</xdr:col>
      <xdr:colOff>635001</xdr:colOff>
      <xdr:row>27</xdr:row>
      <xdr:rowOff>16934</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D2318955-6655-415A-8432-2BCF010FBF0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26257250" y="3306233"/>
              <a:ext cx="4978401" cy="255905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330201</xdr:colOff>
      <xdr:row>28</xdr:row>
      <xdr:rowOff>101600</xdr:rowOff>
    </xdr:from>
    <xdr:to>
      <xdr:col>27</xdr:col>
      <xdr:colOff>660402</xdr:colOff>
      <xdr:row>41</xdr:row>
      <xdr:rowOff>101600</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21214B8C-767A-4FBB-A914-157768CBE1A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21253451" y="6146800"/>
              <a:ext cx="4978401" cy="25590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736601</xdr:colOff>
      <xdr:row>28</xdr:row>
      <xdr:rowOff>76200</xdr:rowOff>
    </xdr:from>
    <xdr:to>
      <xdr:col>33</xdr:col>
      <xdr:colOff>685802</xdr:colOff>
      <xdr:row>41</xdr:row>
      <xdr:rowOff>76200</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32709B38-F445-4DBE-BBC8-97D53DC9817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6308051" y="6121400"/>
              <a:ext cx="4978401" cy="25590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26</xdr:col>
      <xdr:colOff>258234</xdr:colOff>
      <xdr:row>78</xdr:row>
      <xdr:rowOff>38101</xdr:rowOff>
    </xdr:from>
    <xdr:to>
      <xdr:col>31</xdr:col>
      <xdr:colOff>639234</xdr:colOff>
      <xdr:row>92</xdr:row>
      <xdr:rowOff>55034</xdr:rowOff>
    </xdr:to>
    <xdr:graphicFrame macro="">
      <xdr:nvGraphicFramePr>
        <xdr:cNvPr id="8" name="Chart 7">
          <a:extLst>
            <a:ext uri="{FF2B5EF4-FFF2-40B4-BE49-F238E27FC236}">
              <a16:creationId xmlns:a16="http://schemas.microsoft.com/office/drawing/2014/main" id="{59116ED3-3093-4500-9018-B12B7984FC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22</xdr:col>
      <xdr:colOff>330199</xdr:colOff>
      <xdr:row>0</xdr:row>
      <xdr:rowOff>93133</xdr:rowOff>
    </xdr:from>
    <xdr:to>
      <xdr:col>27</xdr:col>
      <xdr:colOff>601134</xdr:colOff>
      <xdr:row>13</xdr:row>
      <xdr:rowOff>110066</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33D12B9B-6547-44B4-9218-392A130160D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1253449" y="93133"/>
              <a:ext cx="4919135" cy="310938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634999</xdr:colOff>
      <xdr:row>0</xdr:row>
      <xdr:rowOff>0</xdr:rowOff>
    </xdr:from>
    <xdr:to>
      <xdr:col>34</xdr:col>
      <xdr:colOff>67732</xdr:colOff>
      <xdr:row>13</xdr:row>
      <xdr:rowOff>25400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0C66297F-F6E6-4D92-B588-D4D0E1A972E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6206449" y="0"/>
              <a:ext cx="5300133" cy="31178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321732</xdr:colOff>
      <xdr:row>14</xdr:row>
      <xdr:rowOff>25399</xdr:rowOff>
    </xdr:from>
    <xdr:to>
      <xdr:col>27</xdr:col>
      <xdr:colOff>651933</xdr:colOff>
      <xdr:row>27</xdr:row>
      <xdr:rowOff>25400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8B2F23B3-5D0B-4239-BAE3-628807CEC93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1244982" y="3314699"/>
              <a:ext cx="4978401" cy="255905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685800</xdr:colOff>
      <xdr:row>14</xdr:row>
      <xdr:rowOff>16933</xdr:rowOff>
    </xdr:from>
    <xdr:to>
      <xdr:col>33</xdr:col>
      <xdr:colOff>635001</xdr:colOff>
      <xdr:row>27</xdr:row>
      <xdr:rowOff>16934</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E1DB31F8-3D30-44DC-8849-B969566D7EF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26257250" y="3306233"/>
              <a:ext cx="4978401" cy="255905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330201</xdr:colOff>
      <xdr:row>28</xdr:row>
      <xdr:rowOff>101600</xdr:rowOff>
    </xdr:from>
    <xdr:to>
      <xdr:col>27</xdr:col>
      <xdr:colOff>660402</xdr:colOff>
      <xdr:row>41</xdr:row>
      <xdr:rowOff>101600</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ED3773B6-B5BD-419B-8528-91BB68E0415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21253451" y="6146800"/>
              <a:ext cx="4978401" cy="25590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736601</xdr:colOff>
      <xdr:row>28</xdr:row>
      <xdr:rowOff>76200</xdr:rowOff>
    </xdr:from>
    <xdr:to>
      <xdr:col>33</xdr:col>
      <xdr:colOff>685802</xdr:colOff>
      <xdr:row>41</xdr:row>
      <xdr:rowOff>76200</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DCEF0AF1-2A23-4186-A43F-BDA7DFB9E5E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6308051" y="6121400"/>
              <a:ext cx="4978401" cy="25590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26</xdr:col>
      <xdr:colOff>258234</xdr:colOff>
      <xdr:row>78</xdr:row>
      <xdr:rowOff>38101</xdr:rowOff>
    </xdr:from>
    <xdr:to>
      <xdr:col>31</xdr:col>
      <xdr:colOff>639234</xdr:colOff>
      <xdr:row>92</xdr:row>
      <xdr:rowOff>55034</xdr:rowOff>
    </xdr:to>
    <xdr:graphicFrame macro="">
      <xdr:nvGraphicFramePr>
        <xdr:cNvPr id="8" name="Chart 7">
          <a:extLst>
            <a:ext uri="{FF2B5EF4-FFF2-40B4-BE49-F238E27FC236}">
              <a16:creationId xmlns:a16="http://schemas.microsoft.com/office/drawing/2014/main" id="{03F2A874-E2E3-4BC5-A0DC-93368DDD68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25</xdr:col>
      <xdr:colOff>330199</xdr:colOff>
      <xdr:row>0</xdr:row>
      <xdr:rowOff>93133</xdr:rowOff>
    </xdr:from>
    <xdr:to>
      <xdr:col>30</xdr:col>
      <xdr:colOff>601134</xdr:colOff>
      <xdr:row>13</xdr:row>
      <xdr:rowOff>110066</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34F30A96-0A8B-4854-B821-1B4F101A947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3768049" y="93133"/>
              <a:ext cx="4919135" cy="310938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30</xdr:col>
      <xdr:colOff>634999</xdr:colOff>
      <xdr:row>0</xdr:row>
      <xdr:rowOff>0</xdr:rowOff>
    </xdr:from>
    <xdr:to>
      <xdr:col>37</xdr:col>
      <xdr:colOff>67732</xdr:colOff>
      <xdr:row>13</xdr:row>
      <xdr:rowOff>25400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2A3FCF8A-30F0-48C4-9084-95DE4168E19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8721049" y="0"/>
              <a:ext cx="5300133" cy="31178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25</xdr:col>
      <xdr:colOff>321732</xdr:colOff>
      <xdr:row>14</xdr:row>
      <xdr:rowOff>25399</xdr:rowOff>
    </xdr:from>
    <xdr:to>
      <xdr:col>30</xdr:col>
      <xdr:colOff>651933</xdr:colOff>
      <xdr:row>27</xdr:row>
      <xdr:rowOff>25400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6FFE4ADA-93D5-443C-93A3-056B33AE867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3759582" y="3314699"/>
              <a:ext cx="4978401" cy="255905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30</xdr:col>
      <xdr:colOff>685800</xdr:colOff>
      <xdr:row>14</xdr:row>
      <xdr:rowOff>16933</xdr:rowOff>
    </xdr:from>
    <xdr:to>
      <xdr:col>36</xdr:col>
      <xdr:colOff>635001</xdr:colOff>
      <xdr:row>27</xdr:row>
      <xdr:rowOff>16934</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448BE5CA-FB53-4A52-92D8-0CEFF30CD0A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28771850" y="3306233"/>
              <a:ext cx="4978401" cy="255905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25</xdr:col>
      <xdr:colOff>330201</xdr:colOff>
      <xdr:row>28</xdr:row>
      <xdr:rowOff>101600</xdr:rowOff>
    </xdr:from>
    <xdr:to>
      <xdr:col>30</xdr:col>
      <xdr:colOff>660402</xdr:colOff>
      <xdr:row>41</xdr:row>
      <xdr:rowOff>101600</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074190FC-6302-4E3A-86C6-CB01831FCE7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23768051" y="6146800"/>
              <a:ext cx="4978401" cy="25590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30</xdr:col>
      <xdr:colOff>736601</xdr:colOff>
      <xdr:row>28</xdr:row>
      <xdr:rowOff>76200</xdr:rowOff>
    </xdr:from>
    <xdr:to>
      <xdr:col>36</xdr:col>
      <xdr:colOff>685802</xdr:colOff>
      <xdr:row>41</xdr:row>
      <xdr:rowOff>76200</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0DD55940-E8AA-4360-9305-FA70F0241B8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8822651" y="6121400"/>
              <a:ext cx="4978401" cy="25590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29</xdr:col>
      <xdr:colOff>258234</xdr:colOff>
      <xdr:row>78</xdr:row>
      <xdr:rowOff>38101</xdr:rowOff>
    </xdr:from>
    <xdr:to>
      <xdr:col>34</xdr:col>
      <xdr:colOff>639234</xdr:colOff>
      <xdr:row>92</xdr:row>
      <xdr:rowOff>55034</xdr:rowOff>
    </xdr:to>
    <xdr:graphicFrame macro="">
      <xdr:nvGraphicFramePr>
        <xdr:cNvPr id="8" name="Chart 7">
          <a:extLst>
            <a:ext uri="{FF2B5EF4-FFF2-40B4-BE49-F238E27FC236}">
              <a16:creationId xmlns:a16="http://schemas.microsoft.com/office/drawing/2014/main" id="{F460234D-E059-4505-AFAC-584DA94D9A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nluan\Box%20Sync\Bioretention_Ergas\Flow%20rate%20data%20+%20porosity.xlsx" TargetMode="External"/><Relationship Id="rId1" Type="http://schemas.openxmlformats.org/officeDocument/2006/relationships/externalLinkPath" Target="Flow%20rate%20data%20+%20poros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flow rate 6-14"/>
      <sheetName val="flow rate 4-19"/>
      <sheetName val="flow rate 3-29"/>
      <sheetName val="Porosity test and HRT"/>
      <sheetName val="HLR of % area"/>
      <sheetName val="Porosity test- STRMIX &amp; GRAVEL"/>
      <sheetName val="Flow rate data from nusrat"/>
      <sheetName val="flow rate data 8-10"/>
      <sheetName val="MT + NR Constant head test"/>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5">
          <cell r="Y25">
            <v>1.5564240363636364</v>
          </cell>
        </row>
      </sheetData>
      <sheetData sheetId="8"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97AE5A6-49ED-4968-AC99-BA532C345976}" name="Table2" displayName="Table2" ref="A1:Y379" totalsRowShown="0" headerRowDxfId="29" dataDxfId="28" tableBorderDxfId="27">
  <autoFilter ref="A1:Y379" xr:uid="{D97AE5A6-49ED-4968-AC99-BA532C345976}"/>
  <tableColumns count="25">
    <tableColumn id="1" xr3:uid="{1808A3E4-9B4F-42AA-8837-48E7C2187341}" name="Event" dataDxfId="26"/>
    <tableColumn id="2" xr3:uid="{25750040-0B99-493E-A523-9E49FC4A20BD}" name="Date" dataDxfId="25"/>
    <tableColumn id="3" xr3:uid="{C97AF691-AC7E-45E4-8721-0148F7A16124}" name="HLR" dataDxfId="24"/>
    <tableColumn id="4" xr3:uid="{777A47E6-8BD2-4433-9A37-609C3351ED9E}" name="Vial ID" dataDxfId="23"/>
    <tableColumn id="5" xr3:uid="{414C2A27-ACC6-4F22-8903-D6C4C02640E5}" name="Name" dataDxfId="22"/>
    <tableColumn id="6" xr3:uid="{576F1EA6-049E-44DD-908C-5CE1416D6E5B}" name="Tank ID" dataDxfId="21">
      <calculatedColumnFormula>MID(E2, SEARCH(" ", E2) + 1, LEN(E2))</calculatedColumnFormula>
    </tableColumn>
    <tableColumn id="25" xr3:uid="{B611C1D0-201E-41A4-B15F-757474EDFBE4}" name="Configuration ID" dataDxfId="20">
      <calculatedColumnFormula>IFERROR(INDEX('Date Key'!$I$2:$I$19, MATCH(B2,'Date Key'!$B$2:$B$19, 0)), "")</calculatedColumnFormula>
    </tableColumn>
    <tableColumn id="7" xr3:uid="{F19E6927-0779-4738-AB36-F51BA0A202E8}" name="Elapsed Time after first sample (min)" dataDxfId="19"/>
    <tableColumn id="8" xr3:uid="{D590BC38-F22D-4507-ABCE-529CA980F906}" name="NH4-N" dataDxfId="18"/>
    <tableColumn id="9" xr3:uid="{3D20D97C-0CC7-43F9-A2CA-3554C41332D6}" name="NO2-N" dataDxfId="17"/>
    <tableColumn id="10" xr3:uid="{3FFB744C-4D24-43B3-9AC7-2605CC04540D}" name="NO3-N" dataDxfId="16"/>
    <tableColumn id="11" xr3:uid="{6B964F9C-4A20-4FC8-AE38-D2A7E1C2FD0B}" name="PO4-P" dataDxfId="15"/>
    <tableColumn id="12" xr3:uid="{5B7FB31B-EB91-4E8E-83BE-3EB0132E8B10}" name="SO4" dataDxfId="14"/>
    <tableColumn id="13" xr3:uid="{B933E02B-9BF5-435A-96F4-002D2E0F194F}" name="in org TN" dataDxfId="13"/>
    <tableColumn id="14" xr3:uid="{0DFE3E5A-6402-4B92-89B1-D474D3C3D0A9}" name="DO" dataDxfId="12"/>
    <tableColumn id="15" xr3:uid="{F0202FA9-4C6E-4FE6-A37A-6D6EC1A1913C}" name="Starting pH" dataDxfId="11"/>
    <tableColumn id="16" xr3:uid="{A5EF455A-97FC-462D-B04E-DF20678CD469}" name="ALK mgCaCO3/L" dataDxfId="10"/>
    <tableColumn id="17" xr3:uid="{FD76CD70-DF63-40D1-8761-AA73B362F428}" name="COD at 420" dataDxfId="9"/>
    <tableColumn id="18" xr3:uid="{C664E09C-4039-4CB3-AC94-33441D40C299}" name="TP mg P /L" dataDxfId="8"/>
    <tableColumn id="19" xr3:uid="{224AB2B5-8216-4044-A524-B4168181700A}" name="Sampling Point" dataDxfId="7">
      <calculatedColumnFormula>IFERROR(INDEX($AB$3:$AB$5, MATCH(F2, $AA$3:$AA$5, 0)), "")</calculatedColumnFormula>
    </tableColumn>
    <tableColumn id="20" xr3:uid="{CDB9542B-3C96-4F70-8072-429F2C07373F}" name="Weir water?" dataDxfId="6">
      <calculatedColumnFormula>IFERROR(INDEX('Date Key'!$G$2:$G$19, MATCH(B2,'Date Key'!$B$2:$B$19, 0)), "")</calculatedColumnFormula>
    </tableColumn>
    <tableColumn id="21" xr3:uid="{A7C15360-6D02-409D-8A80-50564309BFEB}" name="Outlet?" dataDxfId="5"/>
    <tableColumn id="22" xr3:uid="{0D692854-322B-4461-B5C9-A5EA50E710DC}" name="Plant?" dataDxfId="4"/>
    <tableColumn id="23" xr3:uid="{829E7966-82B3-4A24-A02C-63C968397304}" name="HLR cm/min" dataDxfId="3">
      <calculatedColumnFormula>IFERROR(INDEX($AB$8:$AB$10, MATCH(C2, $AA$8:$AA$10, 0)), "")</calculatedColumnFormula>
    </tableColumn>
    <tableColumn id="24" xr3:uid="{BB92EEFC-E7A7-4738-85E1-2A440D043FAA}" name="Estimated % area covered" dataDxfId="2">
      <calculatedColumnFormula>IFERROR(INDEX($AC$8:$AC$10, MATCH(C2, $AA$8:$AA$10, 0)), "")</calculatedColumnFormula>
    </tableColumn>
  </tableColumns>
  <tableStyleInfo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usfedu.sharepoint.com/teams/SummerResearchFDACSprojectGRP/Shared%20Documents" TargetMode="External"/></Relationships>
</file>

<file path=xl/worksheets/_rels/sheet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2CA6A8-A1C7-4FD6-AA7A-CB8E776AF273}">
  <sheetPr codeName="Sheet1"/>
  <dimension ref="A1:D25"/>
  <sheetViews>
    <sheetView zoomScale="90" zoomScaleNormal="90" workbookViewId="0">
      <selection activeCell="B30" sqref="B30"/>
    </sheetView>
  </sheetViews>
  <sheetFormatPr defaultRowHeight="15.5" x14ac:dyDescent="0.35"/>
  <cols>
    <col min="1" max="1" width="27.1640625" customWidth="1"/>
    <col min="2" max="2" width="68.33203125" customWidth="1"/>
    <col min="3" max="3" width="12.6640625" bestFit="1" customWidth="1"/>
    <col min="4" max="4" width="71.5" bestFit="1" customWidth="1"/>
  </cols>
  <sheetData>
    <row r="1" spans="1:4" ht="23.5" x14ac:dyDescent="0.55000000000000004">
      <c r="A1" s="37" t="s">
        <v>451</v>
      </c>
      <c r="B1" s="38"/>
    </row>
    <row r="2" spans="1:4" ht="18.5" x14ac:dyDescent="0.45">
      <c r="A2" s="39" t="s">
        <v>446</v>
      </c>
      <c r="B2" s="39" t="s">
        <v>385</v>
      </c>
      <c r="C2" s="39" t="s">
        <v>478</v>
      </c>
      <c r="D2" s="39" t="s">
        <v>372</v>
      </c>
    </row>
    <row r="3" spans="1:4" x14ac:dyDescent="0.35">
      <c r="A3" s="53" t="s">
        <v>470</v>
      </c>
      <c r="B3" s="26" t="s">
        <v>682</v>
      </c>
      <c r="D3" t="s">
        <v>480</v>
      </c>
    </row>
    <row r="4" spans="1:4" x14ac:dyDescent="0.35">
      <c r="A4" s="53" t="s">
        <v>674</v>
      </c>
      <c r="B4" s="26" t="s">
        <v>675</v>
      </c>
      <c r="D4" t="s">
        <v>676</v>
      </c>
    </row>
    <row r="5" spans="1:4" x14ac:dyDescent="0.35">
      <c r="A5" s="54" t="s">
        <v>448</v>
      </c>
      <c r="B5" s="26" t="s">
        <v>449</v>
      </c>
      <c r="D5" t="s">
        <v>481</v>
      </c>
    </row>
    <row r="6" spans="1:4" x14ac:dyDescent="0.35">
      <c r="A6" s="54" t="s">
        <v>677</v>
      </c>
      <c r="B6" s="26" t="s">
        <v>681</v>
      </c>
      <c r="D6" t="s">
        <v>678</v>
      </c>
    </row>
    <row r="7" spans="1:4" x14ac:dyDescent="0.35">
      <c r="A7" s="54" t="s">
        <v>526</v>
      </c>
      <c r="B7" s="26" t="s">
        <v>680</v>
      </c>
      <c r="D7" t="s">
        <v>679</v>
      </c>
    </row>
    <row r="8" spans="1:4" x14ac:dyDescent="0.35">
      <c r="A8" s="54" t="s">
        <v>447</v>
      </c>
      <c r="B8" s="26" t="s">
        <v>484</v>
      </c>
      <c r="C8" s="35" t="s">
        <v>450</v>
      </c>
      <c r="D8" t="s">
        <v>452</v>
      </c>
    </row>
    <row r="9" spans="1:4" x14ac:dyDescent="0.35">
      <c r="A9" s="54" t="s">
        <v>469</v>
      </c>
      <c r="B9" s="26" t="s">
        <v>520</v>
      </c>
      <c r="D9" t="s">
        <v>518</v>
      </c>
    </row>
    <row r="10" spans="1:4" x14ac:dyDescent="0.35">
      <c r="A10" s="54" t="s">
        <v>477</v>
      </c>
      <c r="B10" s="26" t="s">
        <v>523</v>
      </c>
      <c r="D10" t="s">
        <v>482</v>
      </c>
    </row>
    <row r="11" spans="1:4" x14ac:dyDescent="0.35">
      <c r="A11" s="54" t="s">
        <v>514</v>
      </c>
      <c r="B11" s="26" t="s">
        <v>516</v>
      </c>
      <c r="D11" t="s">
        <v>524</v>
      </c>
    </row>
    <row r="12" spans="1:4" x14ac:dyDescent="0.35">
      <c r="A12" s="35" t="s">
        <v>515</v>
      </c>
      <c r="B12" s="26" t="s">
        <v>517</v>
      </c>
      <c r="D12" t="s">
        <v>525</v>
      </c>
    </row>
    <row r="13" spans="1:4" hidden="1" x14ac:dyDescent="0.35">
      <c r="A13" s="80" t="s">
        <v>17</v>
      </c>
    </row>
    <row r="14" spans="1:4" hidden="1" x14ac:dyDescent="0.35">
      <c r="A14" s="80" t="s">
        <v>18</v>
      </c>
    </row>
    <row r="15" spans="1:4" hidden="1" x14ac:dyDescent="0.35">
      <c r="A15" s="80" t="s">
        <v>19</v>
      </c>
    </row>
    <row r="16" spans="1:4" hidden="1" x14ac:dyDescent="0.35">
      <c r="A16" s="80" t="s">
        <v>20</v>
      </c>
    </row>
    <row r="17" spans="1:1" hidden="1" x14ac:dyDescent="0.35">
      <c r="A17" s="80" t="s">
        <v>21</v>
      </c>
    </row>
    <row r="18" spans="1:1" hidden="1" x14ac:dyDescent="0.35">
      <c r="A18" s="80" t="s">
        <v>319</v>
      </c>
    </row>
    <row r="19" spans="1:1" hidden="1" x14ac:dyDescent="0.35">
      <c r="A19" s="80" t="s">
        <v>23</v>
      </c>
    </row>
    <row r="20" spans="1:1" hidden="1" x14ac:dyDescent="0.35">
      <c r="A20" s="80" t="s">
        <v>322</v>
      </c>
    </row>
    <row r="21" spans="1:1" hidden="1" x14ac:dyDescent="0.35">
      <c r="A21" s="80" t="s">
        <v>531</v>
      </c>
    </row>
    <row r="22" spans="1:1" hidden="1" x14ac:dyDescent="0.35">
      <c r="A22" s="80" t="s">
        <v>321</v>
      </c>
    </row>
    <row r="23" spans="1:1" hidden="1" x14ac:dyDescent="0.35">
      <c r="A23" s="80" t="s">
        <v>479</v>
      </c>
    </row>
    <row r="25" spans="1:1" x14ac:dyDescent="0.35">
      <c r="A25" s="21" t="s">
        <v>519</v>
      </c>
    </row>
  </sheetData>
  <phoneticPr fontId="10" type="noConversion"/>
  <hyperlinks>
    <hyperlink ref="A5" location="'Date Key'!A1" display="Date Key" xr:uid="{A1E19530-7CA5-4843-AA81-7BFE526AF837}"/>
    <hyperlink ref="A8" location="'Master Data Sheet'!A1" display="Master Data Sheet" xr:uid="{CA8D56A2-7EA8-417F-A7B5-608C8CBDCCBF}"/>
    <hyperlink ref="A9" location="'Organized Data'!A1" display="Organized Data" xr:uid="{2328952B-7E06-4A30-86A5-4F0E035D50CF}"/>
    <hyperlink ref="A11" location="'ANOVA TIN'!A1" display="ANOVA TIN" xr:uid="{E8AA4D1B-FC2D-4810-97E2-0FA907BFB4CA}"/>
    <hyperlink ref="C8" r:id="rId1" xr:uid="{6548E539-B09A-4DD3-9662-86E8812D0881}"/>
    <hyperlink ref="A3" location="'Summary Report'!A1" display="Summary Report" xr:uid="{21897B4A-312F-4D33-9332-822C2B99347C}"/>
    <hyperlink ref="A10" location="'ANOVA Data'!L24" display="ANOVA Data" xr:uid="{0204B755-E82C-496D-873E-A03AE2725D99}"/>
    <hyperlink ref="A12" location="'ANOVA TP'!A1" display="ANOVA TP" xr:uid="{F35ED26E-6E5F-43C4-A3D9-4590FDF2F3A2}"/>
    <hyperlink ref="A4" location="Calculations!G9" display="Calculations" xr:uid="{88EC0827-CCF1-4637-AD31-2A14BB64566B}"/>
    <hyperlink ref="A6" location="Figures!AB6" display="Figures" xr:uid="{0D0A6AE0-63E2-47E0-BEC1-948C0B5F0451}"/>
    <hyperlink ref="A7" location="Tables!A1" display="Tables" xr:uid="{91FAD03A-7AC0-4950-87C5-1E12B0393BCC}"/>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22F692-5EF5-471C-904E-CFF4A08F58C2}">
  <sheetPr codeName="Sheet2">
    <tabColor rgb="FFFFFF00"/>
  </sheetPr>
  <dimension ref="A1:P25"/>
  <sheetViews>
    <sheetView zoomScale="85" zoomScaleNormal="85" workbookViewId="0">
      <selection activeCell="AA22" sqref="AA22"/>
    </sheetView>
  </sheetViews>
  <sheetFormatPr defaultRowHeight="15.5" x14ac:dyDescent="0.35"/>
  <cols>
    <col min="1" max="1" width="5" customWidth="1"/>
    <col min="2" max="2" width="4.4140625" customWidth="1"/>
    <col min="3" max="3" width="5.4140625" customWidth="1"/>
    <col min="4" max="4" width="4.4140625" customWidth="1"/>
    <col min="5" max="5" width="5.08203125" customWidth="1"/>
    <col min="7" max="7" width="11" customWidth="1"/>
    <col min="8" max="8" width="10.58203125" customWidth="1"/>
    <col min="9" max="9" width="11.1640625" customWidth="1"/>
    <col min="10" max="10" width="10.25" customWidth="1"/>
    <col min="11" max="11" width="11.9140625" customWidth="1"/>
    <col min="12" max="12" width="11.6640625" customWidth="1"/>
    <col min="13" max="13" width="11" customWidth="1"/>
    <col min="14" max="14" width="11.5" customWidth="1"/>
    <col min="15" max="15" width="9" customWidth="1"/>
    <col min="16" max="16" width="8.4140625" bestFit="1" customWidth="1"/>
  </cols>
  <sheetData>
    <row r="1" spans="1:15" x14ac:dyDescent="0.35">
      <c r="A1" s="93"/>
      <c r="B1" s="93"/>
      <c r="C1" s="93"/>
      <c r="D1" s="93"/>
      <c r="E1" s="93"/>
    </row>
    <row r="2" spans="1:15" ht="23.5" customHeight="1" x14ac:dyDescent="0.35">
      <c r="A2" s="93"/>
      <c r="B2" s="93"/>
      <c r="C2" s="93"/>
      <c r="D2" s="93"/>
      <c r="E2" s="93"/>
    </row>
    <row r="3" spans="1:15" ht="24.5" customHeight="1" x14ac:dyDescent="0.35">
      <c r="A3" s="93"/>
      <c r="B3" s="93"/>
      <c r="C3" s="95" t="s">
        <v>578</v>
      </c>
      <c r="D3" s="93"/>
      <c r="E3" s="93"/>
    </row>
    <row r="4" spans="1:15" ht="19" customHeight="1" x14ac:dyDescent="0.35">
      <c r="A4" s="93"/>
      <c r="B4" s="93"/>
      <c r="C4" s="93"/>
      <c r="D4" s="93"/>
      <c r="E4" s="93"/>
    </row>
    <row r="5" spans="1:15" ht="22" customHeight="1" x14ac:dyDescent="0.35">
      <c r="A5" s="94" t="s">
        <v>568</v>
      </c>
      <c r="B5" s="93"/>
      <c r="C5" s="93"/>
      <c r="D5" s="93"/>
      <c r="E5" s="93"/>
    </row>
    <row r="8" spans="1:15" x14ac:dyDescent="0.35">
      <c r="M8" s="132"/>
    </row>
    <row r="9" spans="1:15" ht="46.5" x14ac:dyDescent="0.35">
      <c r="G9" s="138" t="s">
        <v>616</v>
      </c>
      <c r="H9" s="139" t="s">
        <v>570</v>
      </c>
      <c r="I9" s="138" t="s">
        <v>617</v>
      </c>
      <c r="J9" s="140" t="s">
        <v>570</v>
      </c>
      <c r="K9" s="18" t="s">
        <v>577</v>
      </c>
      <c r="L9" s="18" t="s">
        <v>615</v>
      </c>
      <c r="N9" s="18"/>
    </row>
    <row r="10" spans="1:15" x14ac:dyDescent="0.35">
      <c r="G10" s="133">
        <v>44</v>
      </c>
      <c r="H10" t="s">
        <v>569</v>
      </c>
      <c r="I10" s="133">
        <v>12</v>
      </c>
      <c r="J10" s="134" t="s">
        <v>571</v>
      </c>
      <c r="K10" s="110">
        <v>0.01</v>
      </c>
      <c r="L10">
        <f>$I$12*K10</f>
        <v>4856400</v>
      </c>
    </row>
    <row r="11" spans="1:15" x14ac:dyDescent="0.35">
      <c r="G11" s="133">
        <f>G10/1000</f>
        <v>4.3999999999999997E-2</v>
      </c>
      <c r="H11" t="s">
        <v>573</v>
      </c>
      <c r="I11" s="133">
        <f>I10*4047</f>
        <v>48564</v>
      </c>
      <c r="J11" s="134" t="s">
        <v>572</v>
      </c>
      <c r="K11" s="110">
        <v>2.5000000000000001E-2</v>
      </c>
      <c r="L11">
        <f t="shared" ref="L11" si="0">$I$12*K11</f>
        <v>12141000</v>
      </c>
    </row>
    <row r="12" spans="1:15" x14ac:dyDescent="0.35">
      <c r="G12" s="133">
        <f>G11*(100^3)</f>
        <v>44000</v>
      </c>
      <c r="H12" t="s">
        <v>576</v>
      </c>
      <c r="I12" s="142">
        <f>I11*(100^2)</f>
        <v>485640000</v>
      </c>
      <c r="J12" s="134" t="s">
        <v>574</v>
      </c>
      <c r="K12" s="110">
        <v>0.05</v>
      </c>
      <c r="L12">
        <f>$I$12*K12</f>
        <v>24282000</v>
      </c>
    </row>
    <row r="13" spans="1:15" x14ac:dyDescent="0.35">
      <c r="G13" s="135">
        <f>G12*60</f>
        <v>2640000</v>
      </c>
      <c r="H13" s="136" t="s">
        <v>575</v>
      </c>
      <c r="I13" s="135"/>
      <c r="J13" s="137"/>
    </row>
    <row r="15" spans="1:15" x14ac:dyDescent="0.35">
      <c r="G15" t="s">
        <v>671</v>
      </c>
    </row>
    <row r="16" spans="1:15" ht="46.5" x14ac:dyDescent="0.35">
      <c r="G16" s="18" t="s">
        <v>665</v>
      </c>
      <c r="H16" s="18" t="s">
        <v>611</v>
      </c>
      <c r="I16" s="18" t="s">
        <v>609</v>
      </c>
      <c r="J16" s="18" t="s">
        <v>610</v>
      </c>
      <c r="K16" s="18" t="s">
        <v>669</v>
      </c>
      <c r="L16" s="18" t="s">
        <v>670</v>
      </c>
      <c r="M16" s="18" t="s">
        <v>606</v>
      </c>
      <c r="N16" s="18" t="s">
        <v>605</v>
      </c>
      <c r="O16" s="18" t="s">
        <v>668</v>
      </c>
    </row>
    <row r="17" spans="7:16" x14ac:dyDescent="0.35">
      <c r="G17" t="s">
        <v>5</v>
      </c>
      <c r="H17">
        <v>0.54</v>
      </c>
      <c r="I17">
        <v>0.61</v>
      </c>
      <c r="J17">
        <v>0.61</v>
      </c>
      <c r="K17">
        <f>I17*J17</f>
        <v>0.37209999999999999</v>
      </c>
      <c r="L17">
        <f>K17*(10000)</f>
        <v>3721</v>
      </c>
      <c r="M17" s="117">
        <f>H17*I17*J17</f>
        <v>0.200934</v>
      </c>
      <c r="N17" s="109">
        <f>M17*(1000000)</f>
        <v>200934</v>
      </c>
      <c r="O17" s="109">
        <f>N17/1000</f>
        <v>200.934</v>
      </c>
    </row>
    <row r="18" spans="7:16" x14ac:dyDescent="0.35">
      <c r="G18" t="s">
        <v>9</v>
      </c>
      <c r="H18">
        <v>0.79</v>
      </c>
      <c r="I18">
        <v>0.61</v>
      </c>
      <c r="J18">
        <v>0.61</v>
      </c>
      <c r="K18">
        <f>I18*J18</f>
        <v>0.37209999999999999</v>
      </c>
      <c r="L18">
        <f>K18*(10000)</f>
        <v>3721</v>
      </c>
      <c r="M18" s="117">
        <f>H18*I18*J18</f>
        <v>0.29395899999999997</v>
      </c>
      <c r="N18" s="109">
        <f>M18*(1000000)</f>
        <v>293958.99999999994</v>
      </c>
      <c r="O18" s="109">
        <f>N18/1000</f>
        <v>293.95899999999995</v>
      </c>
    </row>
    <row r="22" spans="7:16" ht="46.5" x14ac:dyDescent="0.35">
      <c r="G22" s="18" t="s">
        <v>11</v>
      </c>
      <c r="H22" s="18" t="s">
        <v>604</v>
      </c>
      <c r="I22" s="18" t="s">
        <v>662</v>
      </c>
      <c r="J22" s="18" t="s">
        <v>666</v>
      </c>
      <c r="K22" s="18" t="s">
        <v>667</v>
      </c>
      <c r="L22" s="19" t="s">
        <v>672</v>
      </c>
      <c r="M22" s="19" t="s">
        <v>673</v>
      </c>
    </row>
    <row r="23" spans="7:16" x14ac:dyDescent="0.35">
      <c r="G23" s="14">
        <f>$G$13/($I$12*K10)</f>
        <v>0.54361255250803064</v>
      </c>
      <c r="H23" s="109">
        <f>G23*$L$17</f>
        <v>2022.7823078823819</v>
      </c>
      <c r="I23" s="1">
        <f>H23/1000</f>
        <v>2.0227823078823821</v>
      </c>
      <c r="J23" s="1">
        <f>$N$17/H23</f>
        <v>99.335454545454553</v>
      </c>
      <c r="K23" s="1">
        <f>$N$18/H23</f>
        <v>145.3240909090909</v>
      </c>
      <c r="L23" s="1">
        <f>$N$17/H23/60</f>
        <v>1.6555909090909091</v>
      </c>
      <c r="M23" s="1">
        <f>$N$18/H23/60</f>
        <v>2.4220681818181817</v>
      </c>
      <c r="O23" t="s">
        <v>607</v>
      </c>
      <c r="P23" s="26" t="s">
        <v>663</v>
      </c>
    </row>
    <row r="24" spans="7:16" x14ac:dyDescent="0.35">
      <c r="G24" s="14">
        <f>$G$13/($I$12*K11)</f>
        <v>0.21744502100321225</v>
      </c>
      <c r="H24" s="109">
        <f>G24*$L$17</f>
        <v>809.11292315295282</v>
      </c>
      <c r="I24" s="1">
        <f t="shared" ref="I24:I25" si="1">H24/1000</f>
        <v>0.8091129231529528</v>
      </c>
      <c r="J24" s="1">
        <f>$N$17/H24</f>
        <v>248.33863636363637</v>
      </c>
      <c r="K24" s="1">
        <f>$N$18/H24</f>
        <v>363.31022727272722</v>
      </c>
      <c r="L24" s="1">
        <f t="shared" ref="L24:L25" si="2">$N$17/H24/60</f>
        <v>4.1389772727272724</v>
      </c>
      <c r="M24" s="1">
        <f t="shared" ref="M24:M25" si="3">$N$18/H24/60</f>
        <v>6.0551704545454532</v>
      </c>
      <c r="O24" t="s">
        <v>608</v>
      </c>
      <c r="P24" s="141" t="s">
        <v>664</v>
      </c>
    </row>
    <row r="25" spans="7:16" x14ac:dyDescent="0.35">
      <c r="G25" s="14">
        <f>$G$13/($I$12*K12)</f>
        <v>0.10872251050160613</v>
      </c>
      <c r="H25" s="109">
        <f>G25*$L$17</f>
        <v>404.55646157647641</v>
      </c>
      <c r="I25" s="1">
        <f t="shared" si="1"/>
        <v>0.4045564615764764</v>
      </c>
      <c r="J25" s="1">
        <f>$N$17/H25</f>
        <v>496.67727272727274</v>
      </c>
      <c r="K25" s="1">
        <f>$N$18/H25</f>
        <v>726.62045454545444</v>
      </c>
      <c r="L25" s="1">
        <f t="shared" si="2"/>
        <v>8.2779545454545449</v>
      </c>
      <c r="M25" s="1">
        <f t="shared" si="3"/>
        <v>12.110340909090906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364C77-61A8-F847-85BF-3D2F4726F8C6}">
  <sheetPr codeName="Sheet3">
    <tabColor rgb="FFFFFF00"/>
  </sheetPr>
  <dimension ref="A1:L71"/>
  <sheetViews>
    <sheetView topLeftCell="A24" zoomScale="75" zoomScaleNormal="75" workbookViewId="0">
      <selection activeCell="G25" sqref="G25:G42"/>
    </sheetView>
  </sheetViews>
  <sheetFormatPr defaultColWidth="11" defaultRowHeight="15.5" x14ac:dyDescent="0.35"/>
  <cols>
    <col min="3" max="3" width="15.25" customWidth="1"/>
    <col min="4" max="6" width="15.33203125" customWidth="1"/>
    <col min="8" max="8" width="11.58203125" customWidth="1"/>
    <col min="9" max="9" width="12" bestFit="1" customWidth="1"/>
    <col min="10" max="10" width="12.58203125" customWidth="1"/>
    <col min="11" max="11" width="14.5" bestFit="1" customWidth="1"/>
    <col min="12" max="12" width="126.9140625" bestFit="1" customWidth="1"/>
    <col min="13" max="13" width="15.75" bestFit="1" customWidth="1"/>
  </cols>
  <sheetData>
    <row r="1" spans="1:12" ht="46" customHeight="1" x14ac:dyDescent="0.35">
      <c r="A1" s="20" t="s">
        <v>371</v>
      </c>
      <c r="B1" s="20" t="s">
        <v>0</v>
      </c>
      <c r="C1" s="20" t="s">
        <v>1</v>
      </c>
      <c r="D1" s="20" t="s">
        <v>2</v>
      </c>
      <c r="E1" s="19" t="s">
        <v>612</v>
      </c>
      <c r="F1" s="19" t="s">
        <v>613</v>
      </c>
      <c r="G1" s="20" t="s">
        <v>3</v>
      </c>
      <c r="H1" s="20" t="s">
        <v>368</v>
      </c>
      <c r="I1" s="20" t="s">
        <v>433</v>
      </c>
      <c r="L1" s="20" t="s">
        <v>522</v>
      </c>
    </row>
    <row r="2" spans="1:12" ht="15.5" customHeight="1" x14ac:dyDescent="0.35">
      <c r="A2" s="18">
        <v>1</v>
      </c>
      <c r="B2" s="66">
        <v>45175</v>
      </c>
      <c r="C2" s="63" t="s">
        <v>4</v>
      </c>
      <c r="D2" s="63" t="s">
        <v>5</v>
      </c>
      <c r="E2" s="11">
        <f t="shared" ref="E2:E10" si="0">$D$51/F25</f>
        <v>496.67727272727274</v>
      </c>
      <c r="F2" s="11">
        <f t="shared" ref="F2:F10" si="1">$D$51/F25</f>
        <v>496.67727272727274</v>
      </c>
      <c r="G2" s="63" t="s">
        <v>15</v>
      </c>
      <c r="H2" s="63" t="s">
        <v>15</v>
      </c>
      <c r="I2" s="18" cm="1">
        <f t="array" ref="I2">IFERROR(INDEX($A$57:$A$62, MATCH(1, ($B$57:$B$62=C2) * ($C$57:$C$62=D2) * ($D$57:$D$62=H2), 0)), "")</f>
        <v>1</v>
      </c>
      <c r="L2" s="64"/>
    </row>
    <row r="3" spans="1:12" ht="46.5" x14ac:dyDescent="0.35">
      <c r="A3" s="68">
        <v>2</v>
      </c>
      <c r="B3" s="67">
        <v>45181</v>
      </c>
      <c r="C3" s="71" t="s">
        <v>4</v>
      </c>
      <c r="D3" s="71" t="s">
        <v>5</v>
      </c>
      <c r="E3" s="11">
        <f t="shared" si="0"/>
        <v>496.67727272727274</v>
      </c>
      <c r="F3" s="11">
        <f t="shared" si="1"/>
        <v>496.67727272727274</v>
      </c>
      <c r="G3" s="71" t="s">
        <v>15</v>
      </c>
      <c r="H3" s="71" t="s">
        <v>15</v>
      </c>
      <c r="I3" s="68" cm="1">
        <f t="array" ref="I3">IFERROR(INDEX($A$57:$A$62, MATCH(1, ($B$57:$B$62=C3) * ($C$57:$C$62=D3) * ($D$57:$D$62=H3), 0)), "")</f>
        <v>1</v>
      </c>
      <c r="L3" s="62" t="s">
        <v>367</v>
      </c>
    </row>
    <row r="4" spans="1:12" x14ac:dyDescent="0.35">
      <c r="A4" s="18">
        <v>3</v>
      </c>
      <c r="B4" s="66">
        <v>45195</v>
      </c>
      <c r="C4" s="63" t="s">
        <v>4</v>
      </c>
      <c r="D4" s="63" t="s">
        <v>5</v>
      </c>
      <c r="E4" s="11">
        <f t="shared" si="0"/>
        <v>496.67727272727274</v>
      </c>
      <c r="F4" s="11">
        <f t="shared" si="1"/>
        <v>496.67727272727274</v>
      </c>
      <c r="G4" s="63" t="s">
        <v>15</v>
      </c>
      <c r="H4" s="63" t="s">
        <v>15</v>
      </c>
      <c r="I4" s="18" cm="1">
        <f t="array" ref="I4">IFERROR(INDEX($A$57:$A$62, MATCH(1, ($B$57:$B$62=C4) * ($C$57:$C$62=D4) * ($D$57:$D$62=H4), 0)), "")</f>
        <v>1</v>
      </c>
      <c r="L4" s="62"/>
    </row>
    <row r="5" spans="1:12" ht="15.5" customHeight="1" x14ac:dyDescent="0.35">
      <c r="A5" s="18">
        <v>4</v>
      </c>
      <c r="B5" s="66">
        <v>45217</v>
      </c>
      <c r="C5" s="63" t="s">
        <v>6</v>
      </c>
      <c r="D5" s="63" t="s">
        <v>5</v>
      </c>
      <c r="E5" s="11">
        <f t="shared" si="0"/>
        <v>248.33863636363637</v>
      </c>
      <c r="F5" s="11">
        <f t="shared" si="1"/>
        <v>248.33863636363637</v>
      </c>
      <c r="G5" s="63" t="s">
        <v>15</v>
      </c>
      <c r="H5" s="63" t="s">
        <v>15</v>
      </c>
      <c r="I5" s="18" cm="1">
        <f t="array" ref="I5">IFERROR(INDEX($A$57:$A$62, MATCH(1, ($B$57:$B$62=C5) * ($C$57:$C$62=D5) * ($D$57:$D$62=H5), 0)), "")</f>
        <v>2</v>
      </c>
      <c r="L5" s="64"/>
    </row>
    <row r="6" spans="1:12" x14ac:dyDescent="0.35">
      <c r="A6" s="18">
        <v>5</v>
      </c>
      <c r="B6" s="66">
        <v>45224</v>
      </c>
      <c r="C6" s="63" t="s">
        <v>6</v>
      </c>
      <c r="D6" s="63" t="s">
        <v>5</v>
      </c>
      <c r="E6" s="11">
        <f t="shared" si="0"/>
        <v>248.33863636363637</v>
      </c>
      <c r="F6" s="11">
        <f t="shared" si="1"/>
        <v>248.33863636363637</v>
      </c>
      <c r="G6" s="63" t="s">
        <v>15</v>
      </c>
      <c r="H6" s="63" t="s">
        <v>15</v>
      </c>
      <c r="I6" s="18" cm="1">
        <f t="array" ref="I6">IFERROR(INDEX($A$57:$A$62, MATCH(1, ($B$57:$B$62=C6) * ($C$57:$C$62=D6) * ($D$57:$D$62=H6), 0)), "")</f>
        <v>2</v>
      </c>
      <c r="L6" s="62"/>
    </row>
    <row r="7" spans="1:12" ht="31" x14ac:dyDescent="0.35">
      <c r="A7" s="18">
        <v>6</v>
      </c>
      <c r="B7" s="66">
        <v>45230</v>
      </c>
      <c r="C7" s="63" t="s">
        <v>6</v>
      </c>
      <c r="D7" s="63" t="s">
        <v>5</v>
      </c>
      <c r="E7" s="11">
        <f t="shared" si="0"/>
        <v>248.33863636363637</v>
      </c>
      <c r="F7" s="11">
        <f t="shared" si="1"/>
        <v>248.33863636363637</v>
      </c>
      <c r="G7" s="63" t="s">
        <v>8</v>
      </c>
      <c r="H7" s="63" t="s">
        <v>15</v>
      </c>
      <c r="I7" s="18" cm="1">
        <f t="array" ref="I7">IFERROR(INDEX($A$57:$A$62, MATCH(1, ($B$57:$B$62=C7) * ($C$57:$C$62=D7) * ($D$57:$D$62=H7), 0)), "")</f>
        <v>2</v>
      </c>
      <c r="L7" s="62" t="s">
        <v>370</v>
      </c>
    </row>
    <row r="8" spans="1:12" x14ac:dyDescent="0.35">
      <c r="A8" s="18">
        <v>7</v>
      </c>
      <c r="B8" s="66">
        <v>45233</v>
      </c>
      <c r="C8" s="63" t="s">
        <v>7</v>
      </c>
      <c r="D8" s="63" t="s">
        <v>5</v>
      </c>
      <c r="E8" s="11">
        <f t="shared" si="0"/>
        <v>99.335454545454553</v>
      </c>
      <c r="F8" s="11">
        <f t="shared" si="1"/>
        <v>99.335454545454553</v>
      </c>
      <c r="G8" s="63" t="s">
        <v>15</v>
      </c>
      <c r="H8" s="63" t="s">
        <v>15</v>
      </c>
      <c r="I8" s="18" cm="1">
        <f t="array" ref="I8">IFERROR(INDEX($A$57:$A$62, MATCH(1, ($B$57:$B$62=C8) * ($C$57:$C$62=D8) * ($D$57:$D$62=H8), 0)), "")</f>
        <v>3</v>
      </c>
      <c r="L8" s="62"/>
    </row>
    <row r="9" spans="1:12" x14ac:dyDescent="0.35">
      <c r="A9" s="18">
        <v>8</v>
      </c>
      <c r="B9" s="66">
        <v>45238</v>
      </c>
      <c r="C9" s="63" t="s">
        <v>7</v>
      </c>
      <c r="D9" s="63" t="s">
        <v>5</v>
      </c>
      <c r="E9" s="11">
        <f t="shared" si="0"/>
        <v>99.335454545454553</v>
      </c>
      <c r="F9" s="11">
        <f t="shared" si="1"/>
        <v>99.335454545454553</v>
      </c>
      <c r="G9" s="63" t="s">
        <v>15</v>
      </c>
      <c r="H9" s="63" t="s">
        <v>15</v>
      </c>
      <c r="I9" s="18" cm="1">
        <f t="array" ref="I9">IFERROR(INDEX($A$57:$A$62, MATCH(1, ($B$57:$B$62=C9) * ($C$57:$C$62=D9) * ($D$57:$D$62=H9), 0)), "")</f>
        <v>3</v>
      </c>
      <c r="L9" s="62"/>
    </row>
    <row r="10" spans="1:12" x14ac:dyDescent="0.35">
      <c r="A10" s="18">
        <v>9</v>
      </c>
      <c r="B10" s="66">
        <v>45246</v>
      </c>
      <c r="C10" s="63" t="s">
        <v>7</v>
      </c>
      <c r="D10" s="63" t="s">
        <v>5</v>
      </c>
      <c r="E10" s="11">
        <f t="shared" si="0"/>
        <v>99.335454545454553</v>
      </c>
      <c r="F10" s="11">
        <f t="shared" si="1"/>
        <v>99.335454545454553</v>
      </c>
      <c r="G10" s="63" t="s">
        <v>8</v>
      </c>
      <c r="H10" s="63" t="s">
        <v>15</v>
      </c>
      <c r="I10" s="18" cm="1">
        <f t="array" ref="I10">IFERROR(INDEX($A$57:$A$62, MATCH(1, ($B$57:$B$62=C10) * ($C$57:$C$62=D10) * ($D$57:$D$62=H10), 0)), "")</f>
        <v>3</v>
      </c>
      <c r="L10" s="62"/>
    </row>
    <row r="11" spans="1:12" x14ac:dyDescent="0.35">
      <c r="A11" s="18">
        <v>10</v>
      </c>
      <c r="B11" s="66">
        <v>45250</v>
      </c>
      <c r="C11" s="63" t="s">
        <v>7</v>
      </c>
      <c r="D11" s="63" t="s">
        <v>9</v>
      </c>
      <c r="E11" s="11">
        <f>$D$52/F34</f>
        <v>145.3240909090909</v>
      </c>
      <c r="F11" s="11">
        <f>$D$52/F34</f>
        <v>145.3240909090909</v>
      </c>
      <c r="G11" s="63" t="s">
        <v>8</v>
      </c>
      <c r="H11" s="63" t="s">
        <v>15</v>
      </c>
      <c r="I11" s="18" cm="1">
        <f t="array" ref="I11">IFERROR(INDEX($A$57:$A$62, MATCH(1, ($B$57:$B$62=C11) * ($C$57:$C$62=D11) * ($D$57:$D$62=H11), 0)), "")</f>
        <v>4</v>
      </c>
      <c r="L11" s="62"/>
    </row>
    <row r="12" spans="1:12" x14ac:dyDescent="0.35">
      <c r="A12" s="18">
        <v>11</v>
      </c>
      <c r="B12" s="66">
        <v>45259</v>
      </c>
      <c r="C12" s="63" t="s">
        <v>7</v>
      </c>
      <c r="D12" s="63" t="s">
        <v>9</v>
      </c>
      <c r="E12" s="11">
        <f>$D$52/F35</f>
        <v>145.3240909090909</v>
      </c>
      <c r="F12" s="11">
        <f>$D$52/F35</f>
        <v>145.3240909090909</v>
      </c>
      <c r="G12" s="63" t="s">
        <v>15</v>
      </c>
      <c r="H12" s="63" t="s">
        <v>15</v>
      </c>
      <c r="I12" s="18" cm="1">
        <f t="array" ref="I12">IFERROR(INDEX($A$57:$A$62, MATCH(1, ($B$57:$B$62=C12) * ($C$57:$C$62=D12) * ($D$57:$D$62=H12), 0)), "")</f>
        <v>4</v>
      </c>
      <c r="L12" s="62"/>
    </row>
    <row r="13" spans="1:12" x14ac:dyDescent="0.35">
      <c r="A13" s="18">
        <v>12</v>
      </c>
      <c r="B13" s="66">
        <v>45266</v>
      </c>
      <c r="C13" s="63" t="s">
        <v>7</v>
      </c>
      <c r="D13" s="63" t="s">
        <v>9</v>
      </c>
      <c r="E13" s="11">
        <f>$D$52/F36</f>
        <v>145.3240909090909</v>
      </c>
      <c r="F13" s="11">
        <f>$D$52/F36</f>
        <v>145.3240909090909</v>
      </c>
      <c r="G13" s="63" t="s">
        <v>15</v>
      </c>
      <c r="H13" s="63" t="s">
        <v>15</v>
      </c>
      <c r="I13" s="18" cm="1">
        <f t="array" ref="I13">IFERROR(INDEX($A$57:$A$62, MATCH(1, ($B$57:$B$62=C13) * ($C$57:$C$62=D13) * ($D$57:$D$62=H13), 0)), "")</f>
        <v>4</v>
      </c>
      <c r="L13" s="62"/>
    </row>
    <row r="14" spans="1:12" x14ac:dyDescent="0.35">
      <c r="A14" s="18">
        <v>13</v>
      </c>
      <c r="B14" s="66">
        <v>45313</v>
      </c>
      <c r="C14" s="63" t="s">
        <v>7</v>
      </c>
      <c r="D14" s="63" t="s">
        <v>5</v>
      </c>
      <c r="E14" s="11">
        <f>$D$51/F37</f>
        <v>99.335454545454553</v>
      </c>
      <c r="F14" s="11">
        <f>$D$51/F37</f>
        <v>99.335454545454553</v>
      </c>
      <c r="G14" s="63" t="s">
        <v>8</v>
      </c>
      <c r="H14" s="63" t="s">
        <v>8</v>
      </c>
      <c r="I14" s="18" cm="1">
        <f t="array" ref="I14">IFERROR(INDEX($A$57:$A$62, MATCH(1, ($B$57:$B$62=C14) * ($C$57:$C$62=D14) * ($D$57:$D$62=H14), 0)), "")</f>
        <v>5</v>
      </c>
      <c r="L14" s="62"/>
    </row>
    <row r="15" spans="1:12" x14ac:dyDescent="0.35">
      <c r="A15" s="18">
        <v>14</v>
      </c>
      <c r="B15" s="66">
        <v>45322</v>
      </c>
      <c r="C15" s="63" t="s">
        <v>7</v>
      </c>
      <c r="D15" s="63" t="s">
        <v>5</v>
      </c>
      <c r="E15" s="11">
        <f>$D$51/F38</f>
        <v>99.335454545454553</v>
      </c>
      <c r="F15" s="11">
        <f>$D$51/F38</f>
        <v>99.335454545454553</v>
      </c>
      <c r="G15" s="63" t="s">
        <v>15</v>
      </c>
      <c r="H15" s="63" t="s">
        <v>8</v>
      </c>
      <c r="I15" s="18" cm="1">
        <f t="array" ref="I15">IFERROR(INDEX($A$57:$A$62, MATCH(1, ($B$57:$B$62=C15) * ($C$57:$C$62=D15) * ($D$57:$D$62=H15), 0)), "")</f>
        <v>5</v>
      </c>
      <c r="L15" s="62"/>
    </row>
    <row r="16" spans="1:12" x14ac:dyDescent="0.35">
      <c r="A16" s="18">
        <v>15</v>
      </c>
      <c r="B16" s="66">
        <v>45330</v>
      </c>
      <c r="C16" s="63" t="s">
        <v>7</v>
      </c>
      <c r="D16" s="63" t="s">
        <v>5</v>
      </c>
      <c r="E16" s="11">
        <f>$D$51/F39</f>
        <v>99.335454545454553</v>
      </c>
      <c r="F16" s="11">
        <f>$D$51/F39</f>
        <v>99.335454545454553</v>
      </c>
      <c r="G16" s="63" t="s">
        <v>15</v>
      </c>
      <c r="H16" s="63" t="s">
        <v>8</v>
      </c>
      <c r="I16" s="18" cm="1">
        <f t="array" ref="I16">IFERROR(INDEX($A$57:$A$62, MATCH(1, ($B$57:$B$62=C16) * ($C$57:$C$62=D16) * ($D$57:$D$62=H16), 0)), "")</f>
        <v>5</v>
      </c>
      <c r="L16" s="62"/>
    </row>
    <row r="17" spans="1:12" ht="15.5" customHeight="1" x14ac:dyDescent="0.35">
      <c r="A17" s="18">
        <v>16</v>
      </c>
      <c r="B17" s="66">
        <v>45371</v>
      </c>
      <c r="C17" s="63" t="s">
        <v>6</v>
      </c>
      <c r="D17" s="63" t="s">
        <v>9</v>
      </c>
      <c r="E17" s="11">
        <f>$D$52/F40</f>
        <v>363.31022727272722</v>
      </c>
      <c r="F17" s="11">
        <f>$D$52/F40</f>
        <v>363.31022727272722</v>
      </c>
      <c r="G17" s="63" t="s">
        <v>15</v>
      </c>
      <c r="H17" s="63" t="s">
        <v>8</v>
      </c>
      <c r="I17" s="18" cm="1">
        <f t="array" ref="I17">IFERROR(INDEX($A$57:$A$62, MATCH(1, ($B$57:$B$62=C17) * ($C$57:$C$62=D17) * ($D$57:$D$62=H17), 0)), "")</f>
        <v>6</v>
      </c>
      <c r="L17" s="62" t="s">
        <v>369</v>
      </c>
    </row>
    <row r="18" spans="1:12" x14ac:dyDescent="0.35">
      <c r="A18" s="18">
        <v>17</v>
      </c>
      <c r="B18" s="66">
        <v>45392</v>
      </c>
      <c r="C18" s="63" t="s">
        <v>6</v>
      </c>
      <c r="D18" s="63" t="s">
        <v>9</v>
      </c>
      <c r="E18" s="11">
        <f>$D$52/F41</f>
        <v>363.31022727272722</v>
      </c>
      <c r="F18" s="11">
        <f>$D$52/F41</f>
        <v>363.31022727272722</v>
      </c>
      <c r="G18" s="63" t="s">
        <v>15</v>
      </c>
      <c r="H18" s="63" t="s">
        <v>8</v>
      </c>
      <c r="I18" s="18" cm="1">
        <f t="array" ref="I18">IFERROR(INDEX($A$57:$A$62, MATCH(1, ($B$57:$B$62=C18) * ($C$57:$C$62=D18) * ($D$57:$D$62=H18), 0)), "")</f>
        <v>6</v>
      </c>
      <c r="L18" s="62"/>
    </row>
    <row r="19" spans="1:12" x14ac:dyDescent="0.35">
      <c r="A19" s="18">
        <v>18</v>
      </c>
      <c r="B19" s="66">
        <v>45400</v>
      </c>
      <c r="C19" s="63" t="s">
        <v>6</v>
      </c>
      <c r="D19" s="63" t="s">
        <v>9</v>
      </c>
      <c r="E19" s="11">
        <f>$D$52/F42</f>
        <v>363.31022727272722</v>
      </c>
      <c r="F19" s="11">
        <f>$D$52/F42</f>
        <v>363.31022727272722</v>
      </c>
      <c r="G19" s="63" t="s">
        <v>8</v>
      </c>
      <c r="H19" s="63" t="s">
        <v>8</v>
      </c>
      <c r="I19" s="18" cm="1">
        <f t="array" ref="I19">IFERROR(INDEX($A$57:$A$62, MATCH(1, ($B$57:$B$62=C19) * ($C$57:$C$62=D19) * ($D$57:$D$62=H19), 0)), "")</f>
        <v>6</v>
      </c>
      <c r="L19" s="62"/>
    </row>
    <row r="20" spans="1:12" x14ac:dyDescent="0.35">
      <c r="G20" s="4"/>
      <c r="H20" s="4"/>
      <c r="I20" s="4"/>
      <c r="J20" s="4"/>
      <c r="K20" s="4"/>
    </row>
    <row r="23" spans="1:12" x14ac:dyDescent="0.35">
      <c r="A23" s="21" t="s">
        <v>375</v>
      </c>
    </row>
    <row r="24" spans="1:12" ht="46.5" x14ac:dyDescent="0.35">
      <c r="A24" s="23" t="s">
        <v>10</v>
      </c>
      <c r="B24" s="23" t="s">
        <v>0</v>
      </c>
      <c r="C24" s="23" t="s">
        <v>11</v>
      </c>
      <c r="D24" s="23" t="s">
        <v>12</v>
      </c>
      <c r="E24" s="23" t="s">
        <v>615</v>
      </c>
      <c r="F24" s="23" t="s">
        <v>604</v>
      </c>
      <c r="G24" s="23" t="s">
        <v>13</v>
      </c>
      <c r="H24" s="23" t="s">
        <v>612</v>
      </c>
      <c r="I24" s="23" t="s">
        <v>613</v>
      </c>
      <c r="J24" s="23" t="s">
        <v>14</v>
      </c>
      <c r="K24" s="31" t="s">
        <v>433</v>
      </c>
    </row>
    <row r="25" spans="1:12" x14ac:dyDescent="0.35">
      <c r="A25" s="32">
        <f t="shared" ref="A25:B42" si="2">A2</f>
        <v>1</v>
      </c>
      <c r="B25" s="43">
        <f t="shared" si="2"/>
        <v>45175</v>
      </c>
      <c r="C25" s="143">
        <f t="shared" ref="C25:C42" si="3">IFERROR(INDEX($B$45:$B$47, MATCH(C2, $A$45:$A$47, 0)), "")</f>
        <v>0.10872251050160613</v>
      </c>
      <c r="D25" s="111">
        <f t="shared" ref="D25:D42" si="4">IFERROR(INDEX($C$45:$C$47, MATCH(C2, $A$45:$A$47, 0)), "")</f>
        <v>0.05</v>
      </c>
      <c r="E25" s="114">
        <f>Calculations!$L$17</f>
        <v>3721</v>
      </c>
      <c r="F25" s="114">
        <f>C25*E25</f>
        <v>404.55646157647641</v>
      </c>
      <c r="G25" s="32" t="str">
        <f t="shared" ref="G25:G42" si="5">D2</f>
        <v>Lower</v>
      </c>
      <c r="H25" s="114">
        <f>$D$51/F25</f>
        <v>496.67727272727274</v>
      </c>
      <c r="I25" s="114">
        <f>$D$51/F25</f>
        <v>496.67727272727274</v>
      </c>
      <c r="J25" s="32" t="str">
        <f t="shared" ref="J25:J42" si="6">H2</f>
        <v>No</v>
      </c>
      <c r="K25" s="32">
        <f t="shared" ref="K25:K42" si="7">I2</f>
        <v>1</v>
      </c>
    </row>
    <row r="26" spans="1:12" x14ac:dyDescent="0.35">
      <c r="A26" s="33">
        <f t="shared" si="2"/>
        <v>2</v>
      </c>
      <c r="B26" s="44">
        <f t="shared" si="2"/>
        <v>45181</v>
      </c>
      <c r="C26" s="144">
        <f t="shared" si="3"/>
        <v>0.10872251050160613</v>
      </c>
      <c r="D26" s="112">
        <f t="shared" si="4"/>
        <v>0.05</v>
      </c>
      <c r="E26" s="115">
        <f>Calculations!$L$17</f>
        <v>3721</v>
      </c>
      <c r="F26" s="115">
        <f t="shared" ref="F26:F42" si="8">C26*E26</f>
        <v>404.55646157647641</v>
      </c>
      <c r="G26" s="33" t="str">
        <f t="shared" si="5"/>
        <v>Lower</v>
      </c>
      <c r="H26" s="115">
        <f t="shared" ref="H26:H39" si="9">$D$51/F26</f>
        <v>496.67727272727274</v>
      </c>
      <c r="I26" s="115">
        <f t="shared" ref="I26:I39" si="10">$D$51/F26</f>
        <v>496.67727272727274</v>
      </c>
      <c r="J26" s="33" t="str">
        <f t="shared" si="6"/>
        <v>No</v>
      </c>
      <c r="K26" s="33">
        <f t="shared" si="7"/>
        <v>1</v>
      </c>
    </row>
    <row r="27" spans="1:12" x14ac:dyDescent="0.35">
      <c r="A27" s="34">
        <f t="shared" si="2"/>
        <v>3</v>
      </c>
      <c r="B27" s="45">
        <f t="shared" si="2"/>
        <v>45195</v>
      </c>
      <c r="C27" s="145">
        <f t="shared" si="3"/>
        <v>0.10872251050160613</v>
      </c>
      <c r="D27" s="113">
        <f t="shared" si="4"/>
        <v>0.05</v>
      </c>
      <c r="E27" s="116">
        <f>Calculations!$L$17</f>
        <v>3721</v>
      </c>
      <c r="F27" s="116">
        <f t="shared" si="8"/>
        <v>404.55646157647641</v>
      </c>
      <c r="G27" s="34" t="str">
        <f t="shared" si="5"/>
        <v>Lower</v>
      </c>
      <c r="H27" s="116">
        <f t="shared" si="9"/>
        <v>496.67727272727274</v>
      </c>
      <c r="I27" s="116">
        <f t="shared" si="10"/>
        <v>496.67727272727274</v>
      </c>
      <c r="J27" s="34" t="str">
        <f t="shared" si="6"/>
        <v>No</v>
      </c>
      <c r="K27" s="34">
        <f t="shared" si="7"/>
        <v>1</v>
      </c>
    </row>
    <row r="28" spans="1:12" x14ac:dyDescent="0.35">
      <c r="A28" s="32">
        <f t="shared" si="2"/>
        <v>4</v>
      </c>
      <c r="B28" s="43">
        <f t="shared" si="2"/>
        <v>45217</v>
      </c>
      <c r="C28" s="143">
        <f t="shared" si="3"/>
        <v>0.21744502100321225</v>
      </c>
      <c r="D28" s="111">
        <f t="shared" si="4"/>
        <v>2.5000000000000001E-2</v>
      </c>
      <c r="E28" s="114">
        <f>Calculations!$L$17</f>
        <v>3721</v>
      </c>
      <c r="F28" s="114">
        <f t="shared" si="8"/>
        <v>809.11292315295282</v>
      </c>
      <c r="G28" s="32" t="str">
        <f t="shared" si="5"/>
        <v>Lower</v>
      </c>
      <c r="H28" s="114">
        <f t="shared" si="9"/>
        <v>248.33863636363637</v>
      </c>
      <c r="I28" s="114">
        <f t="shared" si="10"/>
        <v>248.33863636363637</v>
      </c>
      <c r="J28" s="32" t="str">
        <f t="shared" si="6"/>
        <v>No</v>
      </c>
      <c r="K28" s="32">
        <f t="shared" si="7"/>
        <v>2</v>
      </c>
    </row>
    <row r="29" spans="1:12" x14ac:dyDescent="0.35">
      <c r="A29" s="33">
        <f t="shared" si="2"/>
        <v>5</v>
      </c>
      <c r="B29" s="44">
        <f t="shared" si="2"/>
        <v>45224</v>
      </c>
      <c r="C29" s="144">
        <f t="shared" si="3"/>
        <v>0.21744502100321225</v>
      </c>
      <c r="D29" s="112">
        <f t="shared" si="4"/>
        <v>2.5000000000000001E-2</v>
      </c>
      <c r="E29" s="115">
        <f>Calculations!$L$17</f>
        <v>3721</v>
      </c>
      <c r="F29" s="115">
        <f t="shared" si="8"/>
        <v>809.11292315295282</v>
      </c>
      <c r="G29" s="33" t="str">
        <f t="shared" si="5"/>
        <v>Lower</v>
      </c>
      <c r="H29" s="115">
        <f t="shared" si="9"/>
        <v>248.33863636363637</v>
      </c>
      <c r="I29" s="115">
        <f t="shared" si="10"/>
        <v>248.33863636363637</v>
      </c>
      <c r="J29" s="33" t="str">
        <f t="shared" si="6"/>
        <v>No</v>
      </c>
      <c r="K29" s="33">
        <f t="shared" si="7"/>
        <v>2</v>
      </c>
    </row>
    <row r="30" spans="1:12" x14ac:dyDescent="0.35">
      <c r="A30" s="34">
        <f t="shared" si="2"/>
        <v>6</v>
      </c>
      <c r="B30" s="45">
        <f t="shared" si="2"/>
        <v>45230</v>
      </c>
      <c r="C30" s="145">
        <f t="shared" si="3"/>
        <v>0.21744502100321225</v>
      </c>
      <c r="D30" s="113">
        <f t="shared" si="4"/>
        <v>2.5000000000000001E-2</v>
      </c>
      <c r="E30" s="116">
        <f>Calculations!$L$17</f>
        <v>3721</v>
      </c>
      <c r="F30" s="116">
        <f t="shared" si="8"/>
        <v>809.11292315295282</v>
      </c>
      <c r="G30" s="34" t="str">
        <f t="shared" si="5"/>
        <v>Lower</v>
      </c>
      <c r="H30" s="116">
        <f t="shared" si="9"/>
        <v>248.33863636363637</v>
      </c>
      <c r="I30" s="116">
        <f t="shared" si="10"/>
        <v>248.33863636363637</v>
      </c>
      <c r="J30" s="34" t="str">
        <f t="shared" si="6"/>
        <v>No</v>
      </c>
      <c r="K30" s="34">
        <f t="shared" si="7"/>
        <v>2</v>
      </c>
    </row>
    <row r="31" spans="1:12" x14ac:dyDescent="0.35">
      <c r="A31" s="32">
        <f t="shared" si="2"/>
        <v>7</v>
      </c>
      <c r="B31" s="43">
        <f t="shared" si="2"/>
        <v>45233</v>
      </c>
      <c r="C31" s="143">
        <f t="shared" si="3"/>
        <v>0.54361255250803064</v>
      </c>
      <c r="D31" s="111">
        <f t="shared" si="4"/>
        <v>0.01</v>
      </c>
      <c r="E31" s="114">
        <f>Calculations!$L$17</f>
        <v>3721</v>
      </c>
      <c r="F31" s="114">
        <f t="shared" si="8"/>
        <v>2022.7823078823819</v>
      </c>
      <c r="G31" s="32" t="str">
        <f t="shared" si="5"/>
        <v>Lower</v>
      </c>
      <c r="H31" s="114">
        <f t="shared" si="9"/>
        <v>99.335454545454553</v>
      </c>
      <c r="I31" s="114">
        <f t="shared" si="10"/>
        <v>99.335454545454553</v>
      </c>
      <c r="J31" s="32" t="str">
        <f t="shared" si="6"/>
        <v>No</v>
      </c>
      <c r="K31" s="32">
        <f t="shared" si="7"/>
        <v>3</v>
      </c>
    </row>
    <row r="32" spans="1:12" x14ac:dyDescent="0.35">
      <c r="A32" s="33">
        <f t="shared" si="2"/>
        <v>8</v>
      </c>
      <c r="B32" s="44">
        <f t="shared" si="2"/>
        <v>45238</v>
      </c>
      <c r="C32" s="144">
        <f t="shared" si="3"/>
        <v>0.54361255250803064</v>
      </c>
      <c r="D32" s="112">
        <f t="shared" si="4"/>
        <v>0.01</v>
      </c>
      <c r="E32" s="115">
        <f>Calculations!$L$17</f>
        <v>3721</v>
      </c>
      <c r="F32" s="115">
        <f t="shared" si="8"/>
        <v>2022.7823078823819</v>
      </c>
      <c r="G32" s="33" t="str">
        <f t="shared" si="5"/>
        <v>Lower</v>
      </c>
      <c r="H32" s="115">
        <f t="shared" si="9"/>
        <v>99.335454545454553</v>
      </c>
      <c r="I32" s="115">
        <f t="shared" si="10"/>
        <v>99.335454545454553</v>
      </c>
      <c r="J32" s="33" t="str">
        <f t="shared" si="6"/>
        <v>No</v>
      </c>
      <c r="K32" s="33">
        <f t="shared" si="7"/>
        <v>3</v>
      </c>
    </row>
    <row r="33" spans="1:11" x14ac:dyDescent="0.35">
      <c r="A33" s="34">
        <f t="shared" si="2"/>
        <v>9</v>
      </c>
      <c r="B33" s="45">
        <f t="shared" si="2"/>
        <v>45246</v>
      </c>
      <c r="C33" s="145">
        <f t="shared" si="3"/>
        <v>0.54361255250803064</v>
      </c>
      <c r="D33" s="113">
        <f t="shared" si="4"/>
        <v>0.01</v>
      </c>
      <c r="E33" s="116">
        <f>Calculations!$L$17</f>
        <v>3721</v>
      </c>
      <c r="F33" s="116">
        <f t="shared" si="8"/>
        <v>2022.7823078823819</v>
      </c>
      <c r="G33" s="34" t="str">
        <f t="shared" si="5"/>
        <v>Lower</v>
      </c>
      <c r="H33" s="116">
        <f t="shared" si="9"/>
        <v>99.335454545454553</v>
      </c>
      <c r="I33" s="116">
        <f t="shared" si="10"/>
        <v>99.335454545454553</v>
      </c>
      <c r="J33" s="34" t="str">
        <f t="shared" si="6"/>
        <v>No</v>
      </c>
      <c r="K33" s="34">
        <f t="shared" si="7"/>
        <v>3</v>
      </c>
    </row>
    <row r="34" spans="1:11" x14ac:dyDescent="0.35">
      <c r="A34" s="32">
        <f t="shared" si="2"/>
        <v>10</v>
      </c>
      <c r="B34" s="43">
        <f t="shared" si="2"/>
        <v>45250</v>
      </c>
      <c r="C34" s="143">
        <f t="shared" si="3"/>
        <v>0.54361255250803064</v>
      </c>
      <c r="D34" s="111">
        <f t="shared" si="4"/>
        <v>0.01</v>
      </c>
      <c r="E34" s="114">
        <f>Calculations!$L$17</f>
        <v>3721</v>
      </c>
      <c r="F34" s="114">
        <f t="shared" si="8"/>
        <v>2022.7823078823819</v>
      </c>
      <c r="G34" s="32" t="str">
        <f t="shared" si="5"/>
        <v>Upper</v>
      </c>
      <c r="H34" s="114">
        <f>$D$52/F34</f>
        <v>145.3240909090909</v>
      </c>
      <c r="I34" s="114">
        <f>$D$52/F34</f>
        <v>145.3240909090909</v>
      </c>
      <c r="J34" s="32" t="str">
        <f t="shared" si="6"/>
        <v>No</v>
      </c>
      <c r="K34" s="32">
        <f t="shared" si="7"/>
        <v>4</v>
      </c>
    </row>
    <row r="35" spans="1:11" x14ac:dyDescent="0.35">
      <c r="A35" s="33">
        <f t="shared" si="2"/>
        <v>11</v>
      </c>
      <c r="B35" s="44">
        <f t="shared" si="2"/>
        <v>45259</v>
      </c>
      <c r="C35" s="144">
        <f t="shared" si="3"/>
        <v>0.54361255250803064</v>
      </c>
      <c r="D35" s="112">
        <f t="shared" si="4"/>
        <v>0.01</v>
      </c>
      <c r="E35" s="115">
        <f>Calculations!$L$17</f>
        <v>3721</v>
      </c>
      <c r="F35" s="115">
        <f t="shared" si="8"/>
        <v>2022.7823078823819</v>
      </c>
      <c r="G35" s="33" t="str">
        <f t="shared" si="5"/>
        <v>Upper</v>
      </c>
      <c r="H35" s="115">
        <f t="shared" ref="H35:H36" si="11">$D$52/F35</f>
        <v>145.3240909090909</v>
      </c>
      <c r="I35" s="115">
        <f t="shared" ref="I35:I36" si="12">$D$52/F35</f>
        <v>145.3240909090909</v>
      </c>
      <c r="J35" s="33" t="str">
        <f t="shared" si="6"/>
        <v>No</v>
      </c>
      <c r="K35" s="33">
        <f t="shared" si="7"/>
        <v>4</v>
      </c>
    </row>
    <row r="36" spans="1:11" x14ac:dyDescent="0.35">
      <c r="A36" s="34">
        <f t="shared" si="2"/>
        <v>12</v>
      </c>
      <c r="B36" s="45">
        <f t="shared" si="2"/>
        <v>45266</v>
      </c>
      <c r="C36" s="145">
        <f t="shared" si="3"/>
        <v>0.54361255250803064</v>
      </c>
      <c r="D36" s="113">
        <f t="shared" si="4"/>
        <v>0.01</v>
      </c>
      <c r="E36" s="116">
        <f>Calculations!$L$17</f>
        <v>3721</v>
      </c>
      <c r="F36" s="116">
        <f t="shared" si="8"/>
        <v>2022.7823078823819</v>
      </c>
      <c r="G36" s="34" t="str">
        <f t="shared" si="5"/>
        <v>Upper</v>
      </c>
      <c r="H36" s="116">
        <f t="shared" si="11"/>
        <v>145.3240909090909</v>
      </c>
      <c r="I36" s="116">
        <f t="shared" si="12"/>
        <v>145.3240909090909</v>
      </c>
      <c r="J36" s="34" t="str">
        <f t="shared" si="6"/>
        <v>No</v>
      </c>
      <c r="K36" s="34">
        <f t="shared" si="7"/>
        <v>4</v>
      </c>
    </row>
    <row r="37" spans="1:11" x14ac:dyDescent="0.35">
      <c r="A37" s="32">
        <f t="shared" si="2"/>
        <v>13</v>
      </c>
      <c r="B37" s="43">
        <f t="shared" si="2"/>
        <v>45313</v>
      </c>
      <c r="C37" s="143">
        <f t="shared" si="3"/>
        <v>0.54361255250803064</v>
      </c>
      <c r="D37" s="111">
        <f t="shared" si="4"/>
        <v>0.01</v>
      </c>
      <c r="E37" s="114">
        <f>Calculations!$L$17</f>
        <v>3721</v>
      </c>
      <c r="F37" s="114">
        <f t="shared" si="8"/>
        <v>2022.7823078823819</v>
      </c>
      <c r="G37" s="32" t="str">
        <f t="shared" si="5"/>
        <v>Lower</v>
      </c>
      <c r="H37" s="114">
        <f t="shared" si="9"/>
        <v>99.335454545454553</v>
      </c>
      <c r="I37" s="114">
        <f t="shared" si="10"/>
        <v>99.335454545454553</v>
      </c>
      <c r="J37" s="32" t="str">
        <f t="shared" si="6"/>
        <v>Yes</v>
      </c>
      <c r="K37" s="32">
        <f t="shared" si="7"/>
        <v>5</v>
      </c>
    </row>
    <row r="38" spans="1:11" x14ac:dyDescent="0.35">
      <c r="A38" s="33">
        <f t="shared" si="2"/>
        <v>14</v>
      </c>
      <c r="B38" s="44">
        <f t="shared" si="2"/>
        <v>45322</v>
      </c>
      <c r="C38" s="144">
        <f t="shared" si="3"/>
        <v>0.54361255250803064</v>
      </c>
      <c r="D38" s="112">
        <f t="shared" si="4"/>
        <v>0.01</v>
      </c>
      <c r="E38" s="115">
        <f>Calculations!$L$17</f>
        <v>3721</v>
      </c>
      <c r="F38" s="115">
        <f t="shared" si="8"/>
        <v>2022.7823078823819</v>
      </c>
      <c r="G38" s="33" t="str">
        <f t="shared" si="5"/>
        <v>Lower</v>
      </c>
      <c r="H38" s="115">
        <f t="shared" si="9"/>
        <v>99.335454545454553</v>
      </c>
      <c r="I38" s="115">
        <f t="shared" si="10"/>
        <v>99.335454545454553</v>
      </c>
      <c r="J38" s="33" t="str">
        <f t="shared" si="6"/>
        <v>Yes</v>
      </c>
      <c r="K38" s="33">
        <f t="shared" si="7"/>
        <v>5</v>
      </c>
    </row>
    <row r="39" spans="1:11" x14ac:dyDescent="0.35">
      <c r="A39" s="34">
        <f t="shared" si="2"/>
        <v>15</v>
      </c>
      <c r="B39" s="45">
        <f t="shared" si="2"/>
        <v>45330</v>
      </c>
      <c r="C39" s="145">
        <f t="shared" si="3"/>
        <v>0.54361255250803064</v>
      </c>
      <c r="D39" s="113">
        <f t="shared" si="4"/>
        <v>0.01</v>
      </c>
      <c r="E39" s="116">
        <f>Calculations!$L$17</f>
        <v>3721</v>
      </c>
      <c r="F39" s="116">
        <f t="shared" si="8"/>
        <v>2022.7823078823819</v>
      </c>
      <c r="G39" s="34" t="str">
        <f t="shared" si="5"/>
        <v>Lower</v>
      </c>
      <c r="H39" s="116">
        <f t="shared" si="9"/>
        <v>99.335454545454553</v>
      </c>
      <c r="I39" s="116">
        <f t="shared" si="10"/>
        <v>99.335454545454553</v>
      </c>
      <c r="J39" s="34" t="str">
        <f t="shared" si="6"/>
        <v>Yes</v>
      </c>
      <c r="K39" s="34">
        <f t="shared" si="7"/>
        <v>5</v>
      </c>
    </row>
    <row r="40" spans="1:11" x14ac:dyDescent="0.35">
      <c r="A40" s="32">
        <f t="shared" si="2"/>
        <v>16</v>
      </c>
      <c r="B40" s="43">
        <f t="shared" si="2"/>
        <v>45371</v>
      </c>
      <c r="C40" s="144">
        <f t="shared" si="3"/>
        <v>0.21744502100321225</v>
      </c>
      <c r="D40" s="111">
        <f t="shared" si="4"/>
        <v>2.5000000000000001E-2</v>
      </c>
      <c r="E40" s="115">
        <f>Calculations!$L$17</f>
        <v>3721</v>
      </c>
      <c r="F40" s="115">
        <f t="shared" si="8"/>
        <v>809.11292315295282</v>
      </c>
      <c r="G40" s="32" t="str">
        <f t="shared" si="5"/>
        <v>Upper</v>
      </c>
      <c r="H40" s="115">
        <f>$D$52/F40</f>
        <v>363.31022727272722</v>
      </c>
      <c r="I40" s="115">
        <f>$D$52/F40</f>
        <v>363.31022727272722</v>
      </c>
      <c r="J40" s="32" t="str">
        <f t="shared" si="6"/>
        <v>Yes</v>
      </c>
      <c r="K40" s="32">
        <f t="shared" si="7"/>
        <v>6</v>
      </c>
    </row>
    <row r="41" spans="1:11" x14ac:dyDescent="0.35">
      <c r="A41" s="33">
        <f t="shared" si="2"/>
        <v>17</v>
      </c>
      <c r="B41" s="44">
        <f t="shared" si="2"/>
        <v>45392</v>
      </c>
      <c r="C41" s="144">
        <f t="shared" si="3"/>
        <v>0.21744502100321225</v>
      </c>
      <c r="D41" s="112">
        <f t="shared" si="4"/>
        <v>2.5000000000000001E-2</v>
      </c>
      <c r="E41" s="115">
        <f>Calculations!$L$17</f>
        <v>3721</v>
      </c>
      <c r="F41" s="115">
        <f t="shared" si="8"/>
        <v>809.11292315295282</v>
      </c>
      <c r="G41" s="33" t="str">
        <f t="shared" si="5"/>
        <v>Upper</v>
      </c>
      <c r="H41" s="115">
        <f t="shared" ref="H41:H42" si="13">$D$52/F41</f>
        <v>363.31022727272722</v>
      </c>
      <c r="I41" s="115">
        <f t="shared" ref="I41:I42" si="14">$D$52/F41</f>
        <v>363.31022727272722</v>
      </c>
      <c r="J41" s="33" t="str">
        <f t="shared" si="6"/>
        <v>Yes</v>
      </c>
      <c r="K41" s="33">
        <f t="shared" si="7"/>
        <v>6</v>
      </c>
    </row>
    <row r="42" spans="1:11" x14ac:dyDescent="0.35">
      <c r="A42" s="34">
        <f t="shared" si="2"/>
        <v>18</v>
      </c>
      <c r="B42" s="45">
        <f t="shared" si="2"/>
        <v>45400</v>
      </c>
      <c r="C42" s="145">
        <f t="shared" si="3"/>
        <v>0.21744502100321225</v>
      </c>
      <c r="D42" s="113">
        <f t="shared" si="4"/>
        <v>2.5000000000000001E-2</v>
      </c>
      <c r="E42" s="116">
        <f>Calculations!$L$17</f>
        <v>3721</v>
      </c>
      <c r="F42" s="116">
        <f t="shared" si="8"/>
        <v>809.11292315295282</v>
      </c>
      <c r="G42" s="34" t="str">
        <f t="shared" si="5"/>
        <v>Upper</v>
      </c>
      <c r="H42" s="116">
        <f t="shared" si="13"/>
        <v>363.31022727272722</v>
      </c>
      <c r="I42" s="116">
        <f t="shared" si="14"/>
        <v>363.31022727272722</v>
      </c>
      <c r="J42" s="34" t="str">
        <f t="shared" si="6"/>
        <v>Yes</v>
      </c>
      <c r="K42" s="34">
        <f t="shared" si="7"/>
        <v>6</v>
      </c>
    </row>
    <row r="44" spans="1:11" ht="31" x14ac:dyDescent="0.35">
      <c r="A44" s="19" t="s">
        <v>373</v>
      </c>
      <c r="B44" s="19" t="s">
        <v>374</v>
      </c>
      <c r="C44" s="19" t="s">
        <v>12</v>
      </c>
      <c r="D44" s="19" t="s">
        <v>666</v>
      </c>
      <c r="E44" s="19" t="s">
        <v>667</v>
      </c>
      <c r="G44" s="19" t="s">
        <v>386</v>
      </c>
      <c r="H44" s="19" t="s">
        <v>385</v>
      </c>
    </row>
    <row r="45" spans="1:11" x14ac:dyDescent="0.35">
      <c r="A45" t="s">
        <v>4</v>
      </c>
      <c r="B45" s="14">
        <f>Calculations!G25</f>
        <v>0.10872251050160613</v>
      </c>
      <c r="C45" s="110">
        <f>Calculations!K12</f>
        <v>0.05</v>
      </c>
      <c r="D45" s="1">
        <f>Calculations!J23</f>
        <v>99.335454545454553</v>
      </c>
      <c r="E45" s="1">
        <f>Calculations!K23</f>
        <v>145.3240909090909</v>
      </c>
      <c r="G45" t="s">
        <v>379</v>
      </c>
      <c r="H45" t="s">
        <v>344</v>
      </c>
    </row>
    <row r="46" spans="1:11" x14ac:dyDescent="0.35">
      <c r="A46" t="s">
        <v>6</v>
      </c>
      <c r="B46" s="14">
        <f>Calculations!G24</f>
        <v>0.21744502100321225</v>
      </c>
      <c r="C46" s="110">
        <f>Calculations!K11</f>
        <v>2.5000000000000001E-2</v>
      </c>
      <c r="D46" s="1">
        <f>Calculations!J24</f>
        <v>248.33863636363637</v>
      </c>
      <c r="E46" s="1">
        <f>Calculations!K24</f>
        <v>363.31022727272722</v>
      </c>
      <c r="G46" t="s">
        <v>381</v>
      </c>
      <c r="H46" t="s">
        <v>463</v>
      </c>
    </row>
    <row r="47" spans="1:11" x14ac:dyDescent="0.35">
      <c r="A47" t="s">
        <v>7</v>
      </c>
      <c r="B47" s="14">
        <f>Calculations!G23</f>
        <v>0.54361255250803064</v>
      </c>
      <c r="C47" s="110">
        <f>Calculations!K10</f>
        <v>0.01</v>
      </c>
      <c r="D47" s="1">
        <f>Calculations!J25</f>
        <v>496.67727272727274</v>
      </c>
      <c r="E47" s="1">
        <f>Calculations!K25</f>
        <v>726.62045454545444</v>
      </c>
      <c r="G47" t="s">
        <v>380</v>
      </c>
      <c r="H47" t="s">
        <v>464</v>
      </c>
    </row>
    <row r="49" spans="1:11" x14ac:dyDescent="0.35">
      <c r="B49" s="10"/>
      <c r="C49" s="10"/>
    </row>
    <row r="50" spans="1:11" x14ac:dyDescent="0.35">
      <c r="A50" s="10" t="s">
        <v>318</v>
      </c>
      <c r="B50" s="101" t="s">
        <v>598</v>
      </c>
      <c r="C50" s="101" t="s">
        <v>599</v>
      </c>
      <c r="D50" s="101" t="s">
        <v>614</v>
      </c>
      <c r="E50" s="20"/>
      <c r="G50" s="101"/>
    </row>
    <row r="51" spans="1:11" x14ac:dyDescent="0.35">
      <c r="A51" t="s">
        <v>5</v>
      </c>
      <c r="B51" s="1">
        <f>'Tracer study'!B5</f>
        <v>70.110247605277394</v>
      </c>
      <c r="C51" s="1">
        <f>'Tracer study'!C5</f>
        <v>45.617289166807517</v>
      </c>
      <c r="D51" s="109">
        <f>Calculations!N17</f>
        <v>200934</v>
      </c>
      <c r="E51" s="1"/>
    </row>
    <row r="52" spans="1:11" x14ac:dyDescent="0.35">
      <c r="A52" t="s">
        <v>9</v>
      </c>
      <c r="B52" s="1">
        <f>'Tracer study'!D5</f>
        <v>60.466793755474292</v>
      </c>
      <c r="C52" s="1">
        <f>'Tracer study'!E5</f>
        <v>61.65120768397756</v>
      </c>
      <c r="D52" s="109">
        <f>Calculations!N18</f>
        <v>293958.99999999994</v>
      </c>
      <c r="E52" s="1"/>
    </row>
    <row r="56" spans="1:11" x14ac:dyDescent="0.35">
      <c r="A56" s="20" t="s">
        <v>434</v>
      </c>
      <c r="B56" s="20" t="s">
        <v>1</v>
      </c>
      <c r="C56" s="20" t="s">
        <v>318</v>
      </c>
      <c r="D56" s="20" t="s">
        <v>435</v>
      </c>
      <c r="E56" s="20"/>
      <c r="F56" s="20"/>
      <c r="G56" s="20" t="s">
        <v>385</v>
      </c>
    </row>
    <row r="57" spans="1:11" x14ac:dyDescent="0.35">
      <c r="A57" s="4">
        <v>1</v>
      </c>
      <c r="B57" s="22" t="s">
        <v>4</v>
      </c>
      <c r="C57" s="22" t="s">
        <v>5</v>
      </c>
      <c r="D57" s="22" t="s">
        <v>15</v>
      </c>
      <c r="E57" s="22"/>
      <c r="F57" s="22"/>
      <c r="G57" s="30" t="s">
        <v>457</v>
      </c>
    </row>
    <row r="58" spans="1:11" x14ac:dyDescent="0.35">
      <c r="A58" s="4">
        <v>2</v>
      </c>
      <c r="B58" s="22" t="s">
        <v>6</v>
      </c>
      <c r="C58" s="22" t="s">
        <v>5</v>
      </c>
      <c r="D58" s="22" t="s">
        <v>15</v>
      </c>
      <c r="E58" s="22"/>
      <c r="F58" s="22"/>
      <c r="G58" s="30" t="s">
        <v>458</v>
      </c>
    </row>
    <row r="59" spans="1:11" x14ac:dyDescent="0.35">
      <c r="A59" s="4">
        <v>3</v>
      </c>
      <c r="B59" s="22" t="s">
        <v>7</v>
      </c>
      <c r="C59" s="22" t="s">
        <v>5</v>
      </c>
      <c r="D59" s="22" t="s">
        <v>15</v>
      </c>
      <c r="E59" s="22"/>
      <c r="F59" s="22"/>
      <c r="G59" s="30" t="s">
        <v>459</v>
      </c>
    </row>
    <row r="60" spans="1:11" x14ac:dyDescent="0.35">
      <c r="A60" s="4">
        <v>4</v>
      </c>
      <c r="B60" s="22" t="s">
        <v>7</v>
      </c>
      <c r="C60" s="22" t="s">
        <v>9</v>
      </c>
      <c r="D60" s="22" t="s">
        <v>15</v>
      </c>
      <c r="E60" s="22"/>
      <c r="F60" s="22"/>
      <c r="G60" s="30" t="s">
        <v>460</v>
      </c>
    </row>
    <row r="61" spans="1:11" x14ac:dyDescent="0.35">
      <c r="A61" s="4">
        <v>5</v>
      </c>
      <c r="B61" s="22" t="s">
        <v>7</v>
      </c>
      <c r="C61" s="22" t="s">
        <v>5</v>
      </c>
      <c r="D61" s="22" t="s">
        <v>8</v>
      </c>
      <c r="E61" s="22"/>
      <c r="F61" s="22"/>
      <c r="G61" s="30" t="s">
        <v>461</v>
      </c>
    </row>
    <row r="62" spans="1:11" x14ac:dyDescent="0.35">
      <c r="A62" s="4">
        <v>6</v>
      </c>
      <c r="B62" s="22" t="s">
        <v>6</v>
      </c>
      <c r="C62" s="22" t="s">
        <v>9</v>
      </c>
      <c r="D62" s="22" t="s">
        <v>8</v>
      </c>
      <c r="E62" s="22"/>
      <c r="F62" s="22"/>
      <c r="G62" s="30" t="s">
        <v>535</v>
      </c>
      <c r="J62" s="30" t="s">
        <v>442</v>
      </c>
    </row>
    <row r="63" spans="1:11" x14ac:dyDescent="0.35">
      <c r="K63" t="s">
        <v>441</v>
      </c>
    </row>
    <row r="65" spans="1:3" x14ac:dyDescent="0.35">
      <c r="A65" s="29" t="s">
        <v>440</v>
      </c>
    </row>
    <row r="66" spans="1:3" x14ac:dyDescent="0.35">
      <c r="A66" t="s">
        <v>439</v>
      </c>
    </row>
    <row r="67" spans="1:3" x14ac:dyDescent="0.35">
      <c r="A67" t="s">
        <v>436</v>
      </c>
    </row>
    <row r="68" spans="1:3" x14ac:dyDescent="0.35">
      <c r="A68" t="s">
        <v>438</v>
      </c>
    </row>
    <row r="69" spans="1:3" x14ac:dyDescent="0.35">
      <c r="A69" t="s">
        <v>437</v>
      </c>
    </row>
    <row r="70" spans="1:3" x14ac:dyDescent="0.35">
      <c r="A70" t="s">
        <v>443</v>
      </c>
    </row>
    <row r="71" spans="1:3" x14ac:dyDescent="0.35">
      <c r="A71" t="s">
        <v>444</v>
      </c>
      <c r="B71">
        <f>3*7</f>
        <v>21</v>
      </c>
      <c r="C71" t="s">
        <v>445</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FA2BF7-C014-4076-A883-8CDFC73ABF8F}">
  <sheetPr codeName="Sheet4">
    <tabColor theme="8" tint="-0.249977111117893"/>
  </sheetPr>
  <dimension ref="A1:D12"/>
  <sheetViews>
    <sheetView zoomScale="75" zoomScaleNormal="75" workbookViewId="0">
      <selection activeCell="B15" sqref="B15"/>
    </sheetView>
  </sheetViews>
  <sheetFormatPr defaultColWidth="11" defaultRowHeight="15.5" x14ac:dyDescent="0.35"/>
  <cols>
    <col min="1" max="1" width="37.5" style="80" customWidth="1"/>
    <col min="2" max="2" width="70.25" style="80" customWidth="1"/>
    <col min="3" max="3" width="16.9140625" style="80" customWidth="1"/>
    <col min="4" max="4" width="16.25" style="80" customWidth="1"/>
    <col min="5" max="16384" width="11" style="80"/>
  </cols>
  <sheetData>
    <row r="1" spans="1:4" customFormat="1" ht="21" x14ac:dyDescent="0.5">
      <c r="A1" s="79" t="s">
        <v>565</v>
      </c>
    </row>
    <row r="2" spans="1:4" customFormat="1" x14ac:dyDescent="0.35"/>
    <row r="3" spans="1:4" customFormat="1" x14ac:dyDescent="0.35">
      <c r="A3" s="80"/>
    </row>
    <row r="4" spans="1:4" customFormat="1" x14ac:dyDescent="0.35"/>
    <row r="5" spans="1:4" customFormat="1" ht="30" customHeight="1" x14ac:dyDescent="0.35">
      <c r="A5" s="5" t="s">
        <v>555</v>
      </c>
      <c r="B5" s="5" t="s">
        <v>538</v>
      </c>
      <c r="C5" s="5" t="s">
        <v>539</v>
      </c>
      <c r="D5" s="5" t="s">
        <v>544</v>
      </c>
    </row>
    <row r="6" spans="1:4" customFormat="1" ht="30" customHeight="1" x14ac:dyDescent="0.35">
      <c r="A6" s="5" t="s">
        <v>554</v>
      </c>
      <c r="B6" s="23"/>
      <c r="C6" s="23"/>
      <c r="D6" s="85" t="s">
        <v>545</v>
      </c>
    </row>
    <row r="7" spans="1:4" customFormat="1" ht="30" customHeight="1" x14ac:dyDescent="0.35">
      <c r="A7" s="23" t="s">
        <v>552</v>
      </c>
      <c r="B7" s="83" t="s">
        <v>553</v>
      </c>
      <c r="C7" s="23"/>
      <c r="D7" s="85" t="s">
        <v>545</v>
      </c>
    </row>
    <row r="8" spans="1:4" customFormat="1" ht="30" customHeight="1" x14ac:dyDescent="0.35">
      <c r="A8" s="88" t="s">
        <v>551</v>
      </c>
      <c r="B8" s="84" t="s">
        <v>556</v>
      </c>
      <c r="C8" s="23"/>
      <c r="D8" s="85" t="s">
        <v>546</v>
      </c>
    </row>
    <row r="9" spans="1:4" ht="46.5" x14ac:dyDescent="0.35">
      <c r="A9" s="81" t="s">
        <v>540</v>
      </c>
      <c r="B9" s="80" t="s">
        <v>557</v>
      </c>
      <c r="C9" s="81"/>
      <c r="D9" s="85" t="s">
        <v>546</v>
      </c>
    </row>
    <row r="10" spans="1:4" ht="31" x14ac:dyDescent="0.35">
      <c r="A10" s="81" t="s">
        <v>541</v>
      </c>
      <c r="B10" s="80" t="s">
        <v>564</v>
      </c>
      <c r="C10" s="81"/>
      <c r="D10" s="85" t="s">
        <v>546</v>
      </c>
    </row>
    <row r="11" spans="1:4" ht="31" x14ac:dyDescent="0.35">
      <c r="A11" s="81" t="s">
        <v>542</v>
      </c>
      <c r="C11" s="81"/>
      <c r="D11" s="85" t="s">
        <v>546</v>
      </c>
    </row>
    <row r="12" spans="1:4" ht="46.5" x14ac:dyDescent="0.35">
      <c r="A12" s="82" t="s">
        <v>543</v>
      </c>
      <c r="B12" s="86"/>
      <c r="C12" s="82"/>
      <c r="D12" s="87" t="s">
        <v>546</v>
      </c>
    </row>
  </sheetData>
  <phoneticPr fontId="10" type="noConversion"/>
  <conditionalFormatting sqref="D6:D12">
    <cfRule type="cellIs" dxfId="1" priority="1" operator="equal">
      <formula>"In Progress"</formula>
    </cfRule>
    <cfRule type="cellIs" dxfId="0" priority="2" operator="equal">
      <formula>"Complete"</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462287-671B-428B-AC42-6CF3D869DAD0}">
  <sheetPr codeName="Sheet5">
    <tabColor rgb="FF92D050"/>
  </sheetPr>
  <dimension ref="A1:E14"/>
  <sheetViews>
    <sheetView topLeftCell="A2" zoomScale="145" zoomScaleNormal="145" workbookViewId="0">
      <selection activeCell="F8" sqref="F8"/>
    </sheetView>
  </sheetViews>
  <sheetFormatPr defaultColWidth="11" defaultRowHeight="15.5" x14ac:dyDescent="0.35"/>
  <cols>
    <col min="1" max="1" width="18" bestFit="1" customWidth="1"/>
    <col min="2" max="2" width="11" customWidth="1"/>
    <col min="3" max="3" width="12.33203125" customWidth="1"/>
    <col min="4" max="4" width="8.5" bestFit="1" customWidth="1"/>
    <col min="5" max="5" width="12.33203125" customWidth="1"/>
  </cols>
  <sheetData>
    <row r="1" spans="1:5" x14ac:dyDescent="0.35">
      <c r="A1" t="s">
        <v>581</v>
      </c>
    </row>
    <row r="3" spans="1:5" s="64" customFormat="1" ht="61" customHeight="1" x14ac:dyDescent="0.35">
      <c r="A3" s="99"/>
      <c r="B3" s="99" t="s">
        <v>582</v>
      </c>
      <c r="C3" s="99" t="s">
        <v>583</v>
      </c>
      <c r="D3" s="99" t="s">
        <v>584</v>
      </c>
      <c r="E3" s="99" t="s">
        <v>585</v>
      </c>
    </row>
    <row r="4" spans="1:5" x14ac:dyDescent="0.35">
      <c r="A4" s="6" t="s">
        <v>11</v>
      </c>
      <c r="B4" s="100">
        <v>0.31240000000000001</v>
      </c>
      <c r="C4" s="100">
        <v>0.28660000000000002</v>
      </c>
      <c r="D4" s="100">
        <v>0.55820000000000003</v>
      </c>
      <c r="E4" s="100">
        <v>0.49939999999999996</v>
      </c>
    </row>
    <row r="5" spans="1:5" x14ac:dyDescent="0.35">
      <c r="A5" s="6" t="s">
        <v>586</v>
      </c>
      <c r="B5" s="9">
        <v>70.110247605277394</v>
      </c>
      <c r="C5" s="9">
        <v>45.617289166807517</v>
      </c>
      <c r="D5" s="9">
        <v>60.466793755474292</v>
      </c>
      <c r="E5" s="9">
        <v>61.65120768397756</v>
      </c>
    </row>
    <row r="6" spans="1:5" x14ac:dyDescent="0.35">
      <c r="A6" s="6" t="s">
        <v>587</v>
      </c>
      <c r="B6" s="9">
        <v>3.5282595499544516</v>
      </c>
      <c r="C6" s="9">
        <v>6.6744539006772685</v>
      </c>
      <c r="D6" s="9">
        <v>2.975818273387258</v>
      </c>
      <c r="E6" s="9">
        <v>2.4067733782469207</v>
      </c>
    </row>
    <row r="7" spans="1:5" x14ac:dyDescent="0.35">
      <c r="A7" s="6" t="s">
        <v>588</v>
      </c>
      <c r="B7" s="9">
        <v>1.555667203103354</v>
      </c>
      <c r="C7" s="9">
        <v>0.52051138431832844</v>
      </c>
      <c r="D7" s="9">
        <v>1.5381011314396082</v>
      </c>
      <c r="E7" s="9">
        <v>1.0974777329734107</v>
      </c>
    </row>
    <row r="8" spans="1:5" x14ac:dyDescent="0.35">
      <c r="A8" s="6" t="s">
        <v>589</v>
      </c>
      <c r="B8" s="9">
        <v>0.89092752732346792</v>
      </c>
      <c r="C8" s="9">
        <v>0.74315916355064848</v>
      </c>
      <c r="D8" s="9">
        <v>0.85402589057036316</v>
      </c>
      <c r="E8" s="9">
        <v>0.88608242544909122</v>
      </c>
    </row>
    <row r="9" spans="1:5" x14ac:dyDescent="0.35">
      <c r="A9" s="6" t="s">
        <v>590</v>
      </c>
      <c r="B9" s="9">
        <v>1019.8205726454903</v>
      </c>
      <c r="C9" s="9">
        <v>1064.9221134102033</v>
      </c>
      <c r="D9" s="9">
        <v>712.42399175731532</v>
      </c>
      <c r="E9" s="9">
        <v>510.49659259344821</v>
      </c>
    </row>
    <row r="10" spans="1:5" x14ac:dyDescent="0.35">
      <c r="A10" s="6" t="s">
        <v>591</v>
      </c>
      <c r="B10" s="9">
        <v>31.934629677600622</v>
      </c>
      <c r="C10" s="9">
        <v>32.633144399677505</v>
      </c>
      <c r="D10" s="9">
        <v>26.691271827271837</v>
      </c>
      <c r="E10" s="9">
        <v>22.594171650968935</v>
      </c>
    </row>
    <row r="11" spans="1:5" x14ac:dyDescent="0.35">
      <c r="A11" s="6" t="s">
        <v>592</v>
      </c>
      <c r="B11" s="9">
        <v>0.20747260831849659</v>
      </c>
      <c r="C11" s="9">
        <v>0.51175123375318099</v>
      </c>
      <c r="D11" s="9">
        <v>0.19485190443306477</v>
      </c>
      <c r="E11" s="9">
        <v>0.13431040876548328</v>
      </c>
    </row>
    <row r="12" spans="1:5" x14ac:dyDescent="0.35">
      <c r="A12" s="6" t="s">
        <v>593</v>
      </c>
      <c r="B12" s="9">
        <v>0.45549161168840047</v>
      </c>
      <c r="C12" s="9">
        <v>0.71536790098045422</v>
      </c>
      <c r="D12" s="9">
        <v>0.44142032625725874</v>
      </c>
      <c r="E12" s="9">
        <v>0.36648384516303484</v>
      </c>
    </row>
    <row r="13" spans="1:5" x14ac:dyDescent="0.35">
      <c r="A13" s="6" t="s">
        <v>594</v>
      </c>
      <c r="B13" s="9">
        <v>5.8199133760581736</v>
      </c>
      <c r="C13" s="9">
        <v>2.9540744292221923</v>
      </c>
      <c r="D13" s="9">
        <v>6.1321027777971677</v>
      </c>
      <c r="E13" s="9">
        <v>8.4454393311100695</v>
      </c>
    </row>
    <row r="14" spans="1:5" x14ac:dyDescent="0.35">
      <c r="A14" s="6" t="s">
        <v>595</v>
      </c>
      <c r="B14" s="16">
        <v>99.908520881670597</v>
      </c>
      <c r="C14" s="16">
        <v>98.01146328485278</v>
      </c>
      <c r="D14" s="16">
        <v>104.24468081435465</v>
      </c>
      <c r="E14" s="16">
        <v>102.15853986402979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E518C-9504-4C19-B088-6FB563616DC5}">
  <sheetPr codeName="Sheet6">
    <tabColor rgb="FFFFFF00"/>
  </sheetPr>
  <dimension ref="A1:AA343"/>
  <sheetViews>
    <sheetView topLeftCell="A30" zoomScale="55" zoomScaleNormal="55" workbookViewId="0">
      <selection activeCell="M91" sqref="M91"/>
    </sheetView>
  </sheetViews>
  <sheetFormatPr defaultRowHeight="15.5" x14ac:dyDescent="0.35"/>
  <sheetData>
    <row r="1" spans="1:3" ht="28.5" x14ac:dyDescent="0.65">
      <c r="A1" s="92" t="s">
        <v>563</v>
      </c>
    </row>
    <row r="2" spans="1:3" ht="28.5" x14ac:dyDescent="0.65">
      <c r="A2" s="92"/>
    </row>
    <row r="3" spans="1:3" ht="28.5" x14ac:dyDescent="0.65">
      <c r="A3" s="92"/>
    </row>
    <row r="4" spans="1:3" ht="28.5" x14ac:dyDescent="0.65">
      <c r="A4" s="92"/>
    </row>
    <row r="5" spans="1:3" ht="28.5" x14ac:dyDescent="0.65">
      <c r="A5" s="92"/>
    </row>
    <row r="8" spans="1:3" x14ac:dyDescent="0.35">
      <c r="C8" s="21"/>
    </row>
    <row r="77" ht="20" customHeight="1" x14ac:dyDescent="0.35"/>
    <row r="92" spans="2:2" ht="28.5" x14ac:dyDescent="0.65">
      <c r="B92" s="92" t="s">
        <v>567</v>
      </c>
    </row>
    <row r="154" spans="2:24" ht="28.5" x14ac:dyDescent="0.65">
      <c r="B154" s="92" t="s">
        <v>562</v>
      </c>
    </row>
    <row r="155" spans="2:24" ht="28.5" x14ac:dyDescent="0.65">
      <c r="B155" s="91" t="s">
        <v>566</v>
      </c>
    </row>
    <row r="157" spans="2:24" x14ac:dyDescent="0.35">
      <c r="B157" t="s">
        <v>561</v>
      </c>
      <c r="P157" t="s">
        <v>561</v>
      </c>
    </row>
    <row r="158" spans="2:24" x14ac:dyDescent="0.35">
      <c r="B158" s="90" t="s">
        <v>559</v>
      </c>
      <c r="C158" s="90" t="s">
        <v>558</v>
      </c>
      <c r="P158" s="90" t="s">
        <v>559</v>
      </c>
      <c r="Q158" s="90" t="s">
        <v>558</v>
      </c>
    </row>
    <row r="159" spans="2:24" x14ac:dyDescent="0.35">
      <c r="B159" s="89" t="s">
        <v>319</v>
      </c>
      <c r="C159" s="89">
        <v>18</v>
      </c>
      <c r="P159" s="89" t="s">
        <v>479</v>
      </c>
      <c r="Q159" s="89">
        <v>18</v>
      </c>
    </row>
    <row r="160" spans="2:24" x14ac:dyDescent="0.35">
      <c r="D160" s="156" t="s">
        <v>529</v>
      </c>
      <c r="E160" s="156"/>
      <c r="F160" s="156"/>
      <c r="G160" s="156"/>
      <c r="H160" s="156"/>
      <c r="I160" s="156"/>
      <c r="J160" s="156"/>
      <c r="R160" s="156" t="s">
        <v>529</v>
      </c>
      <c r="S160" s="156"/>
      <c r="T160" s="156"/>
      <c r="U160" s="156"/>
      <c r="V160" s="156"/>
      <c r="W160" s="156"/>
      <c r="X160" s="156"/>
    </row>
    <row r="161" spans="2:27" x14ac:dyDescent="0.35">
      <c r="C161" t="s">
        <v>560</v>
      </c>
      <c r="D161" s="10">
        <v>0</v>
      </c>
      <c r="E161" s="10">
        <f t="shared" ref="E161:J161" si="0">D161+30</f>
        <v>30</v>
      </c>
      <c r="F161" s="10">
        <f t="shared" si="0"/>
        <v>60</v>
      </c>
      <c r="G161" s="10">
        <f t="shared" si="0"/>
        <v>90</v>
      </c>
      <c r="H161" s="10">
        <f t="shared" si="0"/>
        <v>120</v>
      </c>
      <c r="I161" s="10">
        <f t="shared" si="0"/>
        <v>150</v>
      </c>
      <c r="J161" s="10">
        <f t="shared" si="0"/>
        <v>180</v>
      </c>
      <c r="Q161" t="s">
        <v>560</v>
      </c>
      <c r="R161" s="10">
        <v>0</v>
      </c>
      <c r="S161" s="10">
        <f t="shared" ref="S161:X161" si="1">R161+30</f>
        <v>30</v>
      </c>
      <c r="T161" s="10">
        <f t="shared" si="1"/>
        <v>60</v>
      </c>
      <c r="U161" s="10">
        <f t="shared" si="1"/>
        <v>90</v>
      </c>
      <c r="V161" s="10">
        <f t="shared" si="1"/>
        <v>120</v>
      </c>
      <c r="W161" s="10">
        <f t="shared" si="1"/>
        <v>150</v>
      </c>
      <c r="X161" s="10">
        <f t="shared" si="1"/>
        <v>180</v>
      </c>
    </row>
    <row r="162" spans="2:27" x14ac:dyDescent="0.35">
      <c r="B162" s="10" t="s">
        <v>344</v>
      </c>
      <c r="C162" cm="1">
        <f t="array" ref="C162">MATCH(Figures!C159 &amp; "in", 'Organized Data'!$F$3:$F$1048576 &amp; 'Organized Data'!$E$3:$E$1048576, 0)</f>
        <v>48</v>
      </c>
      <c r="D162" cm="1">
        <f t="array" aca="1" ref="D162" ca="1">INDEX(INDIRECT("'" &amp; Figures!$B$159 &amp; "'!H$3:H$1048576"),Figures!$C162)</f>
        <v>10.019994981473234</v>
      </c>
      <c r="E162" cm="1">
        <f t="array" aca="1" ref="E162" ca="1">INDEX(INDIRECT("'" &amp; Figures!$B$159 &amp; "'!I$3:I$1048576"),Figures!$C162)</f>
        <v>9.4744249012653121</v>
      </c>
      <c r="F162" cm="1">
        <f t="array" aca="1" ref="F162" ca="1">INDEX(INDIRECT("'" &amp; Figures!$B$159 &amp; "'!J$3:J$1048576"),Figures!$C162)</f>
        <v>9.2663602808205354</v>
      </c>
      <c r="G162" cm="1">
        <f t="array" aca="1" ref="G162" ca="1">INDEX(INDIRECT("'" &amp; Figures!$B$159 &amp; "'!K$3:K$1048576"),Figures!$C162)</f>
        <v>8.5059360247999543</v>
      </c>
      <c r="H162" cm="1">
        <f t="array" aca="1" ref="H162" ca="1">INDEX(INDIRECT("'" &amp; Figures!$B$159 &amp; "'!L$3:L$1048576"),Figures!$C162)</f>
        <v>8.0115846894848417</v>
      </c>
      <c r="I162" cm="1">
        <f t="array" aca="1" ref="I162" ca="1">INDEX(INDIRECT("'" &amp; Figures!$B$159 &amp; "'!M$3:M$1048576"),Figures!$C162)</f>
        <v>7.7744258927059677</v>
      </c>
      <c r="J162" cm="1">
        <f t="array" aca="1" ref="J162" ca="1">INDEX(INDIRECT("'" &amp; Figures!$B$159 &amp; "'!N$3:N$1048576"),Figures!$C162)</f>
        <v>7.4507275696419697</v>
      </c>
      <c r="P162" s="10" t="s">
        <v>344</v>
      </c>
      <c r="Q162" cm="1">
        <f t="array" ref="Q162">MATCH(Figures!Q159 &amp; "in", 'Organized Data'!$F$3:$F$1048576 &amp; 'Organized Data'!$E$3:$E$1048576, 0)</f>
        <v>48</v>
      </c>
      <c r="R162" cm="1">
        <f t="array" aca="1" ref="R162" ca="1">INDEX(INDIRECT("'" &amp; Figures!$P$159 &amp; "'!H$3:H$1048576"),Figures!$Q162)</f>
        <v>1.0042735042735043</v>
      </c>
      <c r="S162" cm="1">
        <f t="array" aca="1" ref="S162" ca="1">INDEX(INDIRECT("'" &amp; Figures!$P$159 &amp; "'!I$3:I$1048576"),Figures!$Q162)</f>
        <v>0.94932844932844929</v>
      </c>
      <c r="T162" cm="1">
        <f t="array" aca="1" ref="T162" ca="1">INDEX(INDIRECT("'" &amp; Figures!$P$159 &amp; "'!J$3:J$1048576"),Figures!$Q162)</f>
        <v>0.90659340659340659</v>
      </c>
      <c r="U162" cm="1">
        <f t="array" aca="1" ref="U162" ca="1">INDEX(INDIRECT("'" &amp; Figures!$P$159 &amp; "'!K$3:K$1048576"),Figures!$Q162)</f>
        <v>0.83333333333333337</v>
      </c>
      <c r="V162" cm="1">
        <f t="array" aca="1" ref="V162" ca="1">INDEX(INDIRECT("'" &amp; Figures!$P$159 &amp; "'!L$3:L$1048576"),Figures!$Q162)</f>
        <v>0.76617826617826612</v>
      </c>
      <c r="W162" cm="1">
        <f t="array" aca="1" ref="W162" ca="1">INDEX(INDIRECT("'" &amp; Figures!$P$159 &amp; "'!M$3:M$1048576"),Figures!$Q162)</f>
        <v>0.71733821733821734</v>
      </c>
      <c r="X162" cm="1">
        <f t="array" aca="1" ref="X162" ca="1">INDEX(INDIRECT("'" &amp; Figures!$P$159 &amp; "'!N$3:N$1048576"),Figures!$Q162)</f>
        <v>0.72344322344322343</v>
      </c>
    </row>
    <row r="163" spans="2:27" x14ac:dyDescent="0.35">
      <c r="B163" s="10" t="s">
        <v>506</v>
      </c>
      <c r="C163" cm="1">
        <f t="array" ref="C163">MATCH(Figures!C159 &amp; "tank 1", 'Organized Data'!$F$3:$F$1048576 &amp; 'Organized Data'!$E$3:$E$1048576, 0)</f>
        <v>51</v>
      </c>
      <c r="D163" cm="1">
        <f t="array" aca="1" ref="D163" ca="1">INDEX(INDIRECT("'" &amp; Figures!$B$159 &amp; "'!H$3:H$1048576"),Figures!$C163)</f>
        <v>4.2468632536653922E-2</v>
      </c>
      <c r="E163" cm="1">
        <f t="array" aca="1" ref="E163" ca="1">INDEX(INDIRECT("'" &amp; Figures!$B$159 &amp; "'!I$3:I$1048576"),Figures!$C163)</f>
        <v>0.15856810765824458</v>
      </c>
      <c r="F163" cm="1">
        <f t="array" aca="1" ref="F163" ca="1">INDEX(INDIRECT("'" &amp; Figures!$B$159 &amp; "'!J$3:J$1048576"),Figures!$C163)</f>
        <v>0.20845571905551136</v>
      </c>
      <c r="G163" cm="1">
        <f t="array" aca="1" ref="G163" ca="1">INDEX(INDIRECT("'" &amp; Figures!$B$159 &amp; "'!K$3:K$1048576"),Figures!$C163)</f>
        <v>0.76426801955243862</v>
      </c>
      <c r="H163" cm="1">
        <f t="array" aca="1" ref="H163" ca="1">INDEX(INDIRECT("'" &amp; Figures!$B$159 &amp; "'!L$3:L$1048576"),Figures!$C163)</f>
        <v>1.5869709173636359</v>
      </c>
      <c r="I163" cm="1">
        <f t="array" aca="1" ref="I163" ca="1">INDEX(INDIRECT("'" &amp; Figures!$B$159 &amp; "'!M$3:M$1048576"),Figures!$C163)</f>
        <v>2.285287901989407</v>
      </c>
      <c r="J163" cm="1">
        <f t="array" aca="1" ref="J163" ca="1">INDEX(INDIRECT("'" &amp; Figures!$B$159 &amp; "'!N$3:N$1048576"),Figures!$C163)</f>
        <v>2.4637798872975507</v>
      </c>
      <c r="P163" s="10" t="s">
        <v>506</v>
      </c>
      <c r="Q163" cm="1">
        <f t="array" ref="Q163">MATCH(Figures!Q159 &amp; "tank 1", 'Organized Data'!$F$3:$F$1048576 &amp; 'Organized Data'!$E$3:$E$1048576, 0)</f>
        <v>51</v>
      </c>
      <c r="R163" cm="1">
        <f t="array" aca="1" ref="R163" ca="1">INDEX(INDIRECT("'" &amp; Figures!$P$159 &amp; "'!H$3:H$1048576"),Figures!$Q163)</f>
        <v>0.52808302808302809</v>
      </c>
      <c r="S163" cm="1">
        <f t="array" aca="1" ref="S163" ca="1">INDEX(INDIRECT("'" &amp; Figures!$P$159 &amp; "'!I$3:I$1048576"),Figures!$Q163)</f>
        <v>0.51587301587301582</v>
      </c>
      <c r="T163" cm="1">
        <f t="array" aca="1" ref="T163" ca="1">INDEX(INDIRECT("'" &amp; Figures!$P$159 &amp; "'!J$3:J$1048576"),Figures!$Q163)</f>
        <v>0.50366300366300365</v>
      </c>
      <c r="U163" cm="1">
        <f t="array" aca="1" ref="U163" ca="1">INDEX(INDIRECT("'" &amp; Figures!$P$159 &amp; "'!K$3:K$1048576"),Figures!$Q163)</f>
        <v>0.49145299145299137</v>
      </c>
      <c r="V163" cm="1">
        <f t="array" aca="1" ref="V163" ca="1">INDEX(INDIRECT("'" &amp; Figures!$P$159 &amp; "'!L$3:L$1048576"),Figures!$Q163)</f>
        <v>0.5219780219780219</v>
      </c>
      <c r="W163" cm="1">
        <f t="array" aca="1" ref="W163" ca="1">INDEX(INDIRECT("'" &amp; Figures!$P$159 &amp; "'!M$3:M$1048576"),Figures!$Q163)</f>
        <v>0.45482295482295487</v>
      </c>
      <c r="X163" cm="1">
        <f t="array" aca="1" ref="X163" ca="1">INDEX(INDIRECT("'" &amp; Figures!$P$159 &amp; "'!N$3:N$1048576"),Figures!$Q163)</f>
        <v>0.46092796092796101</v>
      </c>
    </row>
    <row r="164" spans="2:27" x14ac:dyDescent="0.35">
      <c r="B164" s="10" t="s">
        <v>507</v>
      </c>
      <c r="C164" cm="1">
        <f t="array" ref="C164">MATCH(Figures!C159 &amp; "tank 2", 'Organized Data'!$F$3:$F$1048576 &amp; 'Organized Data'!$E$3:$E$1048576, 0)</f>
        <v>54</v>
      </c>
      <c r="D164" cm="1">
        <f t="array" aca="1" ref="D164" ca="1">INDEX(INDIRECT("'" &amp; Figures!$B$159 &amp; "'!H$3:H$1048576"),Figures!$C164)</f>
        <v>0.46798932510063407</v>
      </c>
      <c r="E164" cm="1">
        <f t="array" aca="1" ref="E164" ca="1">INDEX(INDIRECT("'" &amp; Figures!$B$159 &amp; "'!I$3:I$1048576"),Figures!$C164)</f>
        <v>0.45787737462470501</v>
      </c>
      <c r="F164" cm="1">
        <f t="array" aca="1" ref="F164" ca="1">INDEX(INDIRECT("'" &amp; Figures!$B$159 &amp; "'!J$3:J$1048576"),Figures!$C164)</f>
        <v>0.71311574784269405</v>
      </c>
      <c r="G164" cm="1">
        <f t="array" aca="1" ref="G164" ca="1">INDEX(INDIRECT("'" &amp; Figures!$B$159 &amp; "'!K$3:K$1048576"),Figures!$C164)</f>
        <v>3.3111665324843527</v>
      </c>
      <c r="H164" cm="1">
        <f t="array" aca="1" ref="H164" ca="1">INDEX(INDIRECT("'" &amp; Figures!$B$159 &amp; "'!L$3:L$1048576"),Figures!$C164)</f>
        <v>5.2009557481316406</v>
      </c>
      <c r="I164" cm="1">
        <f t="array" aca="1" ref="I164" ca="1">INDEX(INDIRECT("'" &amp; Figures!$B$159 &amp; "'!M$3:M$1048576"),Figures!$C164)</f>
        <v>6.4756862109129649</v>
      </c>
      <c r="J164" cm="1">
        <f t="array" aca="1" ref="J164" ca="1">INDEX(INDIRECT("'" &amp; Figures!$B$159 &amp; "'!N$3:N$1048576"),Figures!$C164)</f>
        <v>6.3146671716383711</v>
      </c>
      <c r="P164" s="10" t="s">
        <v>507</v>
      </c>
      <c r="Q164" cm="1">
        <f t="array" ref="Q164">MATCH(Figures!Q159 &amp; "tank 2", 'Organized Data'!$F$3:$F$1048576 &amp; 'Organized Data'!$E$3:$E$1048576, 0)</f>
        <v>54</v>
      </c>
      <c r="R164" cm="1">
        <f t="array" aca="1" ref="R164" ca="1">INDEX(INDIRECT("'" &amp; Figures!$P$159 &amp; "'!H$3:H$1048576"),Figures!$Q164)</f>
        <v>0.75396825396825395</v>
      </c>
      <c r="S164" cm="1">
        <f t="array" aca="1" ref="S164" ca="1">INDEX(INDIRECT("'" &amp; Figures!$P$159 &amp; "'!I$3:I$1048576"),Figures!$Q164)</f>
        <v>0.9432234432234432</v>
      </c>
      <c r="T164" cm="1">
        <f t="array" aca="1" ref="T164" ca="1">INDEX(INDIRECT("'" &amp; Figures!$P$159 &amp; "'!J$3:J$1048576"),Figures!$Q164)</f>
        <v>0.96764346764346765</v>
      </c>
      <c r="U164" cm="1">
        <f t="array" aca="1" ref="U164" ca="1">INDEX(INDIRECT("'" &amp; Figures!$P$159 &amp; "'!K$3:K$1048576"),Figures!$Q164)</f>
        <v>0.88827838827838823</v>
      </c>
      <c r="V164" cm="1">
        <f t="array" aca="1" ref="V164" ca="1">INDEX(INDIRECT("'" &amp; Figures!$P$159 &amp; "'!L$3:L$1048576"),Figures!$Q164)</f>
        <v>0.80280830280830284</v>
      </c>
      <c r="W164" cm="1">
        <f t="array" aca="1" ref="W164" ca="1">INDEX(INDIRECT("'" &amp; Figures!$P$159 &amp; "'!M$3:M$1048576"),Figures!$Q164)</f>
        <v>0.72344322344322343</v>
      </c>
      <c r="X164" cm="1">
        <f t="array" aca="1" ref="X164" ca="1">INDEX(INDIRECT("'" &amp; Figures!$P$159 &amp; "'!N$3:N$1048576"),Figures!$Q164)</f>
        <v>0.70512820512820507</v>
      </c>
      <c r="AA164" s="10"/>
    </row>
    <row r="192" spans="2:16" x14ac:dyDescent="0.35">
      <c r="B192" t="s">
        <v>561</v>
      </c>
      <c r="P192" t="s">
        <v>561</v>
      </c>
    </row>
    <row r="193" spans="2:24" x14ac:dyDescent="0.35">
      <c r="B193" s="90" t="s">
        <v>559</v>
      </c>
      <c r="C193" s="90" t="s">
        <v>558</v>
      </c>
      <c r="P193" s="90" t="s">
        <v>559</v>
      </c>
      <c r="Q193" s="90" t="s">
        <v>558</v>
      </c>
    </row>
    <row r="194" spans="2:24" x14ac:dyDescent="0.35">
      <c r="B194" s="89" t="s">
        <v>17</v>
      </c>
      <c r="C194" s="89">
        <v>18</v>
      </c>
      <c r="P194" s="89" t="s">
        <v>18</v>
      </c>
      <c r="Q194" s="89">
        <v>18</v>
      </c>
    </row>
    <row r="195" spans="2:24" x14ac:dyDescent="0.35">
      <c r="D195" s="156" t="s">
        <v>529</v>
      </c>
      <c r="E195" s="156"/>
      <c r="F195" s="156"/>
      <c r="G195" s="156"/>
      <c r="H195" s="156"/>
      <c r="I195" s="156"/>
      <c r="J195" s="156"/>
      <c r="R195" s="156" t="s">
        <v>529</v>
      </c>
      <c r="S195" s="156"/>
      <c r="T195" s="156"/>
      <c r="U195" s="156"/>
      <c r="V195" s="156"/>
      <c r="W195" s="156"/>
      <c r="X195" s="156"/>
    </row>
    <row r="196" spans="2:24" x14ac:dyDescent="0.35">
      <c r="C196" t="s">
        <v>560</v>
      </c>
      <c r="D196" s="10">
        <v>0</v>
      </c>
      <c r="E196" s="10">
        <f t="shared" ref="E196:J196" si="2">D196+30</f>
        <v>30</v>
      </c>
      <c r="F196" s="10">
        <f t="shared" si="2"/>
        <v>60</v>
      </c>
      <c r="G196" s="10">
        <f t="shared" si="2"/>
        <v>90</v>
      </c>
      <c r="H196" s="10">
        <f t="shared" si="2"/>
        <v>120</v>
      </c>
      <c r="I196" s="10">
        <f t="shared" si="2"/>
        <v>150</v>
      </c>
      <c r="J196" s="10">
        <f t="shared" si="2"/>
        <v>180</v>
      </c>
      <c r="Q196" t="s">
        <v>560</v>
      </c>
      <c r="R196" s="10">
        <v>0</v>
      </c>
      <c r="S196" s="10">
        <f t="shared" ref="S196:X196" si="3">R196+30</f>
        <v>30</v>
      </c>
      <c r="T196" s="10">
        <f t="shared" si="3"/>
        <v>60</v>
      </c>
      <c r="U196" s="10">
        <f t="shared" si="3"/>
        <v>90</v>
      </c>
      <c r="V196" s="10">
        <f t="shared" si="3"/>
        <v>120</v>
      </c>
      <c r="W196" s="10">
        <f t="shared" si="3"/>
        <v>150</v>
      </c>
      <c r="X196" s="10">
        <f t="shared" si="3"/>
        <v>180</v>
      </c>
    </row>
    <row r="197" spans="2:24" x14ac:dyDescent="0.35">
      <c r="B197" s="10" t="s">
        <v>344</v>
      </c>
      <c r="C197" cm="1">
        <f t="array" ref="C197">MATCH(Figures!C194 &amp; "in", 'Organized Data'!$F$3:$F$1048576 &amp; 'Organized Data'!$E$3:$E$1048576, 0)</f>
        <v>48</v>
      </c>
      <c r="D197" cm="1">
        <f t="array" aca="1" ref="D197" ca="1">INDEX(INDIRECT("'" &amp; Figures!$B$194 &amp; "'!H$3:H$1048576"),Figures!$C197)</f>
        <v>0.26743075453677173</v>
      </c>
      <c r="E197" cm="1">
        <f t="array" aca="1" ref="E197" ca="1">INDEX(INDIRECT("'" &amp; Figures!$B$194 &amp; "'!I$3:I$1048576"),Figures!$C197)</f>
        <v>0.36294173829990445</v>
      </c>
      <c r="F197" cm="1">
        <f t="array" aca="1" ref="F197" ca="1">INDEX(INDIRECT("'" &amp; Figures!$B$194 &amp; "'!J$3:J$1048576"),Figures!$C197)</f>
        <v>0.38204393505253109</v>
      </c>
      <c r="G197" cm="1">
        <f t="array" aca="1" ref="G197" ca="1">INDEX(INDIRECT("'" &amp; Figures!$B$194 &amp; "'!K$3:K$1048576"),Figures!$C197)</f>
        <v>0.30563514804202485</v>
      </c>
      <c r="H197" cm="1">
        <f t="array" aca="1" ref="H197" ca="1">INDEX(INDIRECT("'" &amp; Figures!$B$194 &amp; "'!L$3:L$1048576"),Figures!$C197)</f>
        <v>0.24832855778414517</v>
      </c>
      <c r="I197" cm="1">
        <f t="array" aca="1" ref="I197" ca="1">INDEX(INDIRECT("'" &amp; Figures!$B$194 &amp; "'!M$3:M$1048576"),Figures!$C197)</f>
        <v>0.21012416427889211</v>
      </c>
      <c r="J197" cm="1">
        <f t="array" aca="1" ref="J197" ca="1">INDEX(INDIRECT("'" &amp; Figures!$B$194 &amp; "'!N$3:N$1048576"),Figures!$C197)</f>
        <v>0.16236867239732572</v>
      </c>
      <c r="P197" s="10" t="s">
        <v>344</v>
      </c>
      <c r="Q197" cm="1">
        <f t="array" ref="Q197">MATCH(Figures!Q194 &amp; "in", 'Organized Data'!$F$3:$F$1048576 &amp; 'Organized Data'!$E$3:$E$1048576, 0)</f>
        <v>48</v>
      </c>
      <c r="R197" cm="1">
        <f t="array" aca="1" ref="R197" ca="1">INDEX(INDIRECT("'" &amp; Figures!$P$194 &amp; "'!H$3:H$1048576"),Figures!$Q197)</f>
        <v>0.31544688308436958</v>
      </c>
      <c r="S197" cm="1">
        <f t="array" aca="1" ref="S197" ca="1">INDEX(INDIRECT("'" &amp; Figures!$P$194 &amp; "'!I$3:I$1048576"),Figures!$Q197)</f>
        <v>0.3096052741383627</v>
      </c>
      <c r="T197" cm="1">
        <f t="array" aca="1" ref="T197" ca="1">INDEX(INDIRECT("'" &amp; Figures!$P$194 &amp; "'!J$3:J$1048576"),Figures!$Q197)</f>
        <v>0.3212884920303764</v>
      </c>
      <c r="U197" cm="1">
        <f t="array" aca="1" ref="U197" ca="1">INDEX(INDIRECT("'" &amp; Figures!$P$194 &amp; "'!K$3:K$1048576"),Figures!$Q197)</f>
        <v>0.29792205624634899</v>
      </c>
      <c r="V197" cm="1">
        <f t="array" aca="1" ref="V197" ca="1">INDEX(INDIRECT("'" &amp; Figures!$P$194 &amp; "'!L$3:L$1048576"),Figures!$Q197)</f>
        <v>0.29792205624634899</v>
      </c>
      <c r="W197" cm="1">
        <f t="array" aca="1" ref="W197" ca="1">INDEX(INDIRECT("'" &amp; Figures!$P$194 &amp; "'!M$3:M$1048576"),Figures!$Q197)</f>
        <v>0.29208044730034222</v>
      </c>
      <c r="X197" cm="1">
        <f t="array" aca="1" ref="X197" ca="1">INDEX(INDIRECT("'" &amp; Figures!$P$194 &amp; "'!N$3:N$1048576"),Figures!$Q197)</f>
        <v>0.28039722940832851</v>
      </c>
    </row>
    <row r="198" spans="2:24" x14ac:dyDescent="0.35">
      <c r="B198" s="10" t="s">
        <v>506</v>
      </c>
      <c r="C198" cm="1">
        <f t="array" ref="C198">MATCH(Figures!C194 &amp; "tank 1", 'Organized Data'!$F$3:$F$1048576 &amp; 'Organized Data'!$E$3:$E$1048576, 0)</f>
        <v>51</v>
      </c>
      <c r="D198" cm="1">
        <f t="array" aca="1" ref="D198" ca="1">INDEX(INDIRECT("'" &amp; Figures!$B$194 &amp; "'!H$3:H$1048576"),Figures!$C198)</f>
        <v>1.9102196752626553E-2</v>
      </c>
      <c r="E198" cm="1">
        <f t="array" aca="1" ref="E198" ca="1">INDEX(INDIRECT("'" &amp; Figures!$B$194 &amp; "'!I$3:I$1048576"),Figures!$C198)</f>
        <v>6.6857688634192933E-2</v>
      </c>
      <c r="F198" cm="1">
        <f t="array" aca="1" ref="F198" ca="1">INDEX(INDIRECT("'" &amp; Figures!$B$194 &amp; "'!J$3:J$1048576"),Figures!$C198)</f>
        <v>0.10506208213944605</v>
      </c>
      <c r="G198" cm="1">
        <f t="array" aca="1" ref="G198" ca="1">INDEX(INDIRECT("'" &amp; Figures!$B$194 &amp; "'!K$3:K$1048576"),Figures!$C198)</f>
        <v>0.18147086914995222</v>
      </c>
      <c r="H198" cm="1">
        <f t="array" aca="1" ref="H198" ca="1">INDEX(INDIRECT("'" &amp; Figures!$B$194 &amp; "'!L$3:L$1048576"),Figures!$C198)</f>
        <v>0.29608404966571156</v>
      </c>
      <c r="I198" cm="1">
        <f t="array" aca="1" ref="I198" ca="1">INDEX(INDIRECT("'" &amp; Figures!$B$194 &amp; "'!M$3:M$1048576"),Figures!$C198)</f>
        <v>0.42024832855778421</v>
      </c>
      <c r="J198" cm="1">
        <f t="array" aca="1" ref="J198" ca="1">INDEX(INDIRECT("'" &amp; Figures!$B$194 &amp; "'!N$3:N$1048576"),Figures!$C198)</f>
        <v>0.44890162368672404</v>
      </c>
      <c r="P198" s="10" t="s">
        <v>506</v>
      </c>
      <c r="Q198" cm="1">
        <f t="array" ref="Q198">MATCH(Figures!Q194 &amp; "tank 1", 'Organized Data'!$F$3:$F$1048576 &amp; 'Organized Data'!$E$3:$E$1048576, 0)</f>
        <v>51</v>
      </c>
      <c r="R198" cm="1">
        <f t="array" aca="1" ref="R198" ca="1">INDEX(INDIRECT("'" &amp; Figures!$P$194 &amp; "'!H$3:H$1048576"),Figures!$Q198)</f>
        <v>2.3366435784027372E-2</v>
      </c>
      <c r="S198" cm="1">
        <f t="array" aca="1" ref="S198" ca="1">INDEX(INDIRECT("'" &amp; Figures!$P$194 &amp; "'!I$3:I$1048576"),Figures!$Q198)</f>
        <v>4.0891262622047904E-2</v>
      </c>
      <c r="T198" cm="1">
        <f t="array" aca="1" ref="T198" ca="1">INDEX(INDIRECT("'" &amp; Figures!$P$194 &amp; "'!J$3:J$1048576"),Figures!$Q198)</f>
        <v>5.2574480514061592E-2</v>
      </c>
      <c r="U198" cm="1">
        <f t="array" aca="1" ref="U198" ca="1">INDEX(INDIRECT("'" &amp; Figures!$P$194 &amp; "'!K$3:K$1048576"),Figures!$Q198)</f>
        <v>0.22198113994826002</v>
      </c>
      <c r="V198" cm="1">
        <f t="array" aca="1" ref="V198" ca="1">INDEX(INDIRECT("'" &amp; Figures!$P$194 &amp; "'!L$3:L$1048576"),Figures!$Q198)</f>
        <v>0.39138779938245849</v>
      </c>
      <c r="W198" cm="1">
        <f t="array" aca="1" ref="W198" ca="1">INDEX(INDIRECT("'" &amp; Figures!$P$194 &amp; "'!M$3:M$1048576"),Figures!$Q198)</f>
        <v>0.62505215722273222</v>
      </c>
      <c r="X198" cm="1">
        <f t="array" aca="1" ref="X198" ca="1">INDEX(INDIRECT("'" &amp; Figures!$P$194 &amp; "'!N$3:N$1048576"),Figures!$Q198)</f>
        <v>0.80030042560293746</v>
      </c>
    </row>
    <row r="199" spans="2:24" x14ac:dyDescent="0.35">
      <c r="B199" s="10" t="s">
        <v>507</v>
      </c>
      <c r="C199" cm="1">
        <f t="array" ref="C199">MATCH(Figures!C194 &amp; "tank 2", 'Organized Data'!$F$3:$F$1048576 &amp; 'Organized Data'!$E$3:$E$1048576, 0)</f>
        <v>54</v>
      </c>
      <c r="D199" cm="1">
        <f t="array" aca="1" ref="D199" ca="1">INDEX(INDIRECT("'" &amp; Figures!$B$194 &amp; "'!H$3:H$1048576"),Figures!$C199)</f>
        <v>6.6857688634192933E-2</v>
      </c>
      <c r="E199" cm="1">
        <f t="array" aca="1" ref="E199" ca="1">INDEX(INDIRECT("'" &amp; Figures!$B$194 &amp; "'!I$3:I$1048576"),Figures!$C199)</f>
        <v>6.6857688634192933E-2</v>
      </c>
      <c r="F199" cm="1">
        <f t="array" aca="1" ref="F199" ca="1">INDEX(INDIRECT("'" &amp; Figures!$B$194 &amp; "'!J$3:J$1048576"),Figures!$C199)</f>
        <v>7.6408787010506213E-2</v>
      </c>
      <c r="G199" cm="1">
        <f t="array" aca="1" ref="G199" ca="1">INDEX(INDIRECT("'" &amp; Figures!$B$194 &amp; "'!K$3:K$1048576"),Figures!$C199)</f>
        <v>0.11461318051575933</v>
      </c>
      <c r="H199" cm="1">
        <f t="array" aca="1" ref="H199" ca="1">INDEX(INDIRECT("'" &amp; Figures!$B$194 &amp; "'!L$3:L$1048576"),Figures!$C199)</f>
        <v>0.19102196752626555</v>
      </c>
      <c r="I199" cm="1">
        <f t="array" aca="1" ref="I199" ca="1">INDEX(INDIRECT("'" &amp; Figures!$B$194 &amp; "'!M$3:M$1048576"),Figures!$C199)</f>
        <v>0.25787965616045849</v>
      </c>
      <c r="J199" cm="1">
        <f t="array" aca="1" ref="J199" ca="1">INDEX(INDIRECT("'" &amp; Figures!$B$194 &amp; "'!N$3:N$1048576"),Figures!$C199)</f>
        <v>0.22922636103151867</v>
      </c>
      <c r="P199" s="10" t="s">
        <v>507</v>
      </c>
      <c r="Q199" cm="1">
        <f t="array" ref="Q199">MATCH(Figures!Q194 &amp; "tank 2", 'Organized Data'!$F$3:$F$1048576 &amp; 'Organized Data'!$E$3:$E$1048576, 0)</f>
        <v>54</v>
      </c>
      <c r="R199" cm="1">
        <f t="array" aca="1" ref="R199" ca="1">INDEX(INDIRECT("'" &amp; Figures!$P$194 &amp; "'!H$3:H$1048576"),Figures!$Q199)</f>
        <v>0.19277309521822583</v>
      </c>
      <c r="S199" cm="1">
        <f t="array" aca="1" ref="S199" ca="1">INDEX(INDIRECT("'" &amp; Figures!$P$194 &amp; "'!I$3:I$1048576"),Figures!$Q199)</f>
        <v>7.5940916298088967E-2</v>
      </c>
      <c r="T199" cm="1">
        <f t="array" aca="1" ref="T199" ca="1">INDEX(INDIRECT("'" &amp; Figures!$P$194 &amp; "'!J$3:J$1048576"),Figures!$Q199)</f>
        <v>0.12851539681215055</v>
      </c>
      <c r="U199" cm="1">
        <f t="array" aca="1" ref="U199" ca="1">INDEX(INDIRECT("'" &amp; Figures!$P$194 &amp; "'!K$3:K$1048576"),Figures!$Q199)</f>
        <v>0.50821997830259535</v>
      </c>
      <c r="V199" cm="1">
        <f t="array" aca="1" ref="V199" ca="1">INDEX(INDIRECT("'" &amp; Figures!$P$194 &amp; "'!L$3:L$1048576"),Figures!$Q199)</f>
        <v>0.73604272719686226</v>
      </c>
      <c r="W199" cm="1">
        <f t="array" aca="1" ref="W199" ca="1">INDEX(INDIRECT("'" &amp; Figures!$P$194 &amp; "'!M$3:M$1048576"),Figures!$Q199)</f>
        <v>0.95802386714512222</v>
      </c>
      <c r="X199" cm="1">
        <f t="array" aca="1" ref="X199" ca="1">INDEX(INDIRECT("'" &amp; Figures!$P$194 &amp; "'!N$3:N$1048576"),Figures!$Q199)</f>
        <v>0.91713260452307444</v>
      </c>
    </row>
    <row r="228" spans="2:24" x14ac:dyDescent="0.35">
      <c r="B228" t="s">
        <v>561</v>
      </c>
      <c r="P228" t="s">
        <v>561</v>
      </c>
    </row>
    <row r="229" spans="2:24" x14ac:dyDescent="0.35">
      <c r="B229" s="90" t="s">
        <v>559</v>
      </c>
      <c r="C229" s="90" t="s">
        <v>558</v>
      </c>
      <c r="P229" s="90" t="s">
        <v>559</v>
      </c>
      <c r="Q229" s="90" t="s">
        <v>558</v>
      </c>
    </row>
    <row r="230" spans="2:24" x14ac:dyDescent="0.35">
      <c r="B230" s="89" t="s">
        <v>19</v>
      </c>
      <c r="C230" s="89">
        <v>18</v>
      </c>
      <c r="P230" s="89" t="s">
        <v>20</v>
      </c>
      <c r="Q230" s="89">
        <v>18</v>
      </c>
    </row>
    <row r="231" spans="2:24" x14ac:dyDescent="0.35">
      <c r="D231" s="156" t="s">
        <v>529</v>
      </c>
      <c r="E231" s="156"/>
      <c r="F231" s="156"/>
      <c r="G231" s="156"/>
      <c r="H231" s="156"/>
      <c r="I231" s="156"/>
      <c r="J231" s="156"/>
      <c r="R231" s="156" t="s">
        <v>529</v>
      </c>
      <c r="S231" s="156"/>
      <c r="T231" s="156"/>
      <c r="U231" s="156"/>
      <c r="V231" s="156"/>
      <c r="W231" s="156"/>
      <c r="X231" s="156"/>
    </row>
    <row r="232" spans="2:24" x14ac:dyDescent="0.35">
      <c r="C232" t="s">
        <v>560</v>
      </c>
      <c r="D232" s="10">
        <v>0</v>
      </c>
      <c r="E232" s="10">
        <f t="shared" ref="E232:J232" si="4">D232+30</f>
        <v>30</v>
      </c>
      <c r="F232" s="10">
        <f t="shared" si="4"/>
        <v>60</v>
      </c>
      <c r="G232" s="10">
        <f t="shared" si="4"/>
        <v>90</v>
      </c>
      <c r="H232" s="10">
        <f t="shared" si="4"/>
        <v>120</v>
      </c>
      <c r="I232" s="10">
        <f t="shared" si="4"/>
        <v>150</v>
      </c>
      <c r="J232" s="10">
        <f t="shared" si="4"/>
        <v>180</v>
      </c>
      <c r="Q232" t="s">
        <v>560</v>
      </c>
      <c r="R232" s="10">
        <v>0</v>
      </c>
      <c r="S232" s="10">
        <f t="shared" ref="S232:X232" si="5">R232+30</f>
        <v>30</v>
      </c>
      <c r="T232" s="10">
        <f t="shared" si="5"/>
        <v>60</v>
      </c>
      <c r="U232" s="10">
        <f t="shared" si="5"/>
        <v>90</v>
      </c>
      <c r="V232" s="10">
        <f t="shared" si="5"/>
        <v>120</v>
      </c>
      <c r="W232" s="10">
        <f t="shared" si="5"/>
        <v>150</v>
      </c>
      <c r="X232" s="10">
        <f t="shared" si="5"/>
        <v>180</v>
      </c>
    </row>
    <row r="233" spans="2:24" x14ac:dyDescent="0.35">
      <c r="B233" s="10" t="s">
        <v>344</v>
      </c>
      <c r="C233" cm="1">
        <f t="array" ref="C233">MATCH(Figures!C230 &amp; "in", 'Organized Data'!$F$3:$F$1048576 &amp; 'Organized Data'!$E$3:$E$1048576, 0)</f>
        <v>48</v>
      </c>
      <c r="D233" cm="1">
        <f t="array" aca="1" ref="D233" ca="1">INDEX(INDIRECT("'" &amp; Figures!$B$230 &amp; "'!H$3:H$1048576"),Figures!$C233)</f>
        <v>9.4371173438520923</v>
      </c>
      <c r="E233" cm="1">
        <f t="array" aca="1" ref="E233" ca="1">INDEX(INDIRECT("'" &amp; Figures!$B$230 &amp; "'!I$3:I$1048576"),Figures!$C233)</f>
        <v>8.801877888827045</v>
      </c>
      <c r="F233" cm="1">
        <f t="array" aca="1" ref="F233" ca="1">INDEX(INDIRECT("'" &amp; Figures!$B$230 &amp; "'!J$3:J$1048576"),Figures!$C233)</f>
        <v>8.5630278537376281</v>
      </c>
      <c r="G233" cm="1">
        <f t="array" aca="1" ref="G233" ca="1">INDEX(INDIRECT("'" &amp; Figures!$B$230 &amp; "'!K$3:K$1048576"),Figures!$C233)</f>
        <v>7.9023788205115801</v>
      </c>
      <c r="H233" cm="1">
        <f t="array" aca="1" ref="H233" ca="1">INDEX(INDIRECT("'" &amp; Figures!$B$230 &amp; "'!L$3:L$1048576"),Figures!$C233)</f>
        <v>7.4653340754543471</v>
      </c>
      <c r="I233" cm="1">
        <f t="array" aca="1" ref="I233" ca="1">INDEX(INDIRECT("'" &amp; Figures!$B$230 &amp; "'!M$3:M$1048576"),Figures!$C233)</f>
        <v>7.2722212811267335</v>
      </c>
      <c r="J233" cm="1">
        <f t="array" aca="1" ref="J233" ca="1">INDEX(INDIRECT("'" &amp; Figures!$B$230 &amp; "'!N$3:N$1048576"),Figures!$C233)</f>
        <v>7.007961667836315</v>
      </c>
      <c r="P233" s="10" t="s">
        <v>344</v>
      </c>
      <c r="Q233" cm="1">
        <f t="array" ref="Q233">MATCH(Figures!Q230 &amp; "in", 'Organized Data'!$F$3:$F$1048576 &amp; 'Organized Data'!$E$3:$E$1048576, 0)</f>
        <v>48</v>
      </c>
      <c r="R233" cm="1">
        <f t="array" aca="1" ref="R233" ca="1">INDEX(INDIRECT("'" &amp; Figures!$P$230 &amp; "'!H$3:H$1048576"),Figures!$Q233)</f>
        <v>1.0640732265446224</v>
      </c>
      <c r="S233" cm="1">
        <f t="array" aca="1" ref="S233" ca="1">INDEX(INDIRECT("'" &amp; Figures!$P$230 &amp; "'!I$3:I$1048576"),Figures!$Q233)</f>
        <v>1.0032690421706441</v>
      </c>
      <c r="T233" cm="1">
        <f t="array" aca="1" ref="T233" ca="1">INDEX(INDIRECT("'" &amp; Figures!$P$230 &amp; "'!J$3:J$1048576"),Figures!$Q233)</f>
        <v>0.97286694998365497</v>
      </c>
      <c r="U233" cm="1">
        <f t="array" aca="1" ref="U233" ca="1">INDEX(INDIRECT("'" &amp; Figures!$P$230 &amp; "'!K$3:K$1048576"),Figures!$Q233)</f>
        <v>0.89686171951618177</v>
      </c>
      <c r="V233" cm="1">
        <f t="array" aca="1" ref="V233" ca="1">INDEX(INDIRECT("'" &amp; Figures!$P$230 &amp; "'!L$3:L$1048576"),Figures!$Q233)</f>
        <v>0.86645962732919257</v>
      </c>
      <c r="W233" cm="1">
        <f t="array" aca="1" ref="W233" ca="1">INDEX(INDIRECT("'" &amp; Figures!$P$230 &amp; "'!M$3:M$1048576"),Figures!$Q233)</f>
        <v>0.83605753514220338</v>
      </c>
      <c r="X233" cm="1">
        <f t="array" aca="1" ref="X233" ca="1">INDEX(INDIRECT("'" &amp; Figures!$P$230 &amp; "'!N$3:N$1048576"),Figures!$Q233)</f>
        <v>0.80565544295521407</v>
      </c>
    </row>
    <row r="234" spans="2:24" x14ac:dyDescent="0.35">
      <c r="B234" s="10" t="s">
        <v>506</v>
      </c>
      <c r="C234" cm="1">
        <f t="array" ref="C234">MATCH(Figures!C230 &amp; "tank 1", 'Organized Data'!$F$3:$F$1048576 &amp; 'Organized Data'!$E$3:$E$1048576, 0)</f>
        <v>51</v>
      </c>
      <c r="D234" cm="1">
        <f t="array" aca="1" ref="D234" ca="1">INDEX(INDIRECT("'" &amp; Figures!$B$230 &amp; "'!H$3:H$1048576"),Figures!$C234)</f>
        <v>0</v>
      </c>
      <c r="E234" cm="1">
        <f t="array" aca="1" ref="E234" ca="1">INDEX(INDIRECT("'" &amp; Figures!$B$230 &amp; "'!I$3:I$1048576"),Figures!$C234)</f>
        <v>5.0819156402003726E-2</v>
      </c>
      <c r="F234" cm="1">
        <f t="array" aca="1" ref="F234" ca="1">INDEX(INDIRECT("'" &amp; Figures!$B$230 &amp; "'!J$3:J$1048576"),Figures!$C234)</f>
        <v>5.0819156402003726E-2</v>
      </c>
      <c r="G234" cm="1">
        <f t="array" aca="1" ref="G234" ca="1">INDEX(INDIRECT("'" &amp; Figures!$B$230 &amp; "'!K$3:K$1048576"),Figures!$C234)</f>
        <v>0.3608160104542264</v>
      </c>
      <c r="H234" cm="1">
        <f t="array" aca="1" ref="H234" ca="1">INDEX(INDIRECT("'" &amp; Figures!$B$230 &amp; "'!L$3:L$1048576"),Figures!$C234)</f>
        <v>0.89949906831546589</v>
      </c>
      <c r="I234" cm="1">
        <f t="array" aca="1" ref="I234" ca="1">INDEX(INDIRECT("'" &amp; Figures!$B$230 &amp; "'!M$3:M$1048576"),Figures!$C234)</f>
        <v>1.2399874162088909</v>
      </c>
      <c r="J234" cm="1">
        <f t="array" aca="1" ref="J234" ca="1">INDEX(INDIRECT("'" &amp; Figures!$B$230 &amp; "'!N$3:N$1048576"),Figures!$C234)</f>
        <v>1.2145778380078891</v>
      </c>
      <c r="P234" s="10" t="s">
        <v>506</v>
      </c>
      <c r="Q234" cm="1">
        <f t="array" ref="Q234">MATCH(Figures!Q230 &amp; "tank 1", 'Organized Data'!$F$3:$F$1048576 &amp; 'Organized Data'!$E$3:$E$1048576, 0)</f>
        <v>51</v>
      </c>
      <c r="R234" cm="1">
        <f t="array" aca="1" ref="R234" ca="1">INDEX(INDIRECT("'" &amp; Figures!$P$230 &amp; "'!H$3:H$1048576"),Figures!$Q234)</f>
        <v>0.76005230467473039</v>
      </c>
      <c r="S234" cm="1">
        <f t="array" aca="1" ref="S234" ca="1">INDEX(INDIRECT("'" &amp; Figures!$P$230 &amp; "'!I$3:I$1048576"),Figures!$Q234)</f>
        <v>0.79045439686171948</v>
      </c>
      <c r="T234" cm="1">
        <f t="array" aca="1" ref="T234" ca="1">INDEX(INDIRECT("'" &amp; Figures!$P$230 &amp; "'!J$3:J$1048576"),Figures!$Q234)</f>
        <v>0.72965021248774109</v>
      </c>
      <c r="U234" cm="1">
        <f t="array" aca="1" ref="U234" ca="1">INDEX(INDIRECT("'" &amp; Figures!$P$230 &amp; "'!K$3:K$1048576"),Figures!$Q234)</f>
        <v>0.71444916639424649</v>
      </c>
      <c r="V234" cm="1">
        <f t="array" aca="1" ref="V234" ca="1">INDEX(INDIRECT("'" &amp; Figures!$P$230 &amp; "'!L$3:L$1048576"),Figures!$Q234)</f>
        <v>0.71444916639424649</v>
      </c>
      <c r="W234" cm="1">
        <f t="array" aca="1" ref="W234" ca="1">INDEX(INDIRECT("'" &amp; Figures!$P$230 &amp; "'!M$3:M$1048576"),Figures!$Q234)</f>
        <v>0.653644982020268</v>
      </c>
      <c r="X234" cm="1">
        <f t="array" aca="1" ref="X234" ca="1">INDEX(INDIRECT("'" &amp; Figures!$P$230 &amp; "'!N$3:N$1048576"),Figures!$Q234)</f>
        <v>0.6080418437397842</v>
      </c>
    </row>
    <row r="235" spans="2:24" x14ac:dyDescent="0.35">
      <c r="B235" s="10" t="s">
        <v>507</v>
      </c>
      <c r="C235" cm="1">
        <f t="array" ref="C235">MATCH(Figures!C230 &amp; "tank 2", 'Organized Data'!$F$3:$F$1048576 &amp; 'Organized Data'!$E$3:$E$1048576, 0)</f>
        <v>54</v>
      </c>
      <c r="D235" cm="1">
        <f t="array" aca="1" ref="D235" ca="1">INDEX(INDIRECT("'" &amp; Figures!$B$230 &amp; "'!H$3:H$1048576"),Figures!$C235)</f>
        <v>0.20835854124821526</v>
      </c>
      <c r="E235" cm="1">
        <f t="array" aca="1" ref="E235" ca="1">INDEX(INDIRECT("'" &amp; Figures!$B$230 &amp; "'!I$3:I$1048576"),Figures!$C235)</f>
        <v>0.3150787696924231</v>
      </c>
      <c r="F235" cm="1">
        <f t="array" aca="1" ref="F235" ca="1">INDEX(INDIRECT("'" &amp; Figures!$B$230 &amp; "'!J$3:J$1048576"),Figures!$C235)</f>
        <v>0.50819156402003729</v>
      </c>
      <c r="G235" cm="1">
        <f t="array" aca="1" ref="G235" ca="1">INDEX(INDIRECT("'" &amp; Figures!$B$230 &amp; "'!K$3:K$1048576"),Figures!$C235)</f>
        <v>2.6883333736659978</v>
      </c>
      <c r="H235" cm="1">
        <f t="array" aca="1" ref="H235" ca="1">INDEX(INDIRECT("'" &amp; Figures!$B$230 &amp; "'!L$3:L$1048576"),Figures!$C235)</f>
        <v>4.2738910534085131</v>
      </c>
      <c r="I235" cm="1">
        <f t="array" aca="1" ref="I235" ca="1">INDEX(INDIRECT("'" &amp; Figures!$B$230 &amp; "'!M$3:M$1048576"),Figures!$C235)</f>
        <v>5.2597826876073848</v>
      </c>
      <c r="J235" cm="1">
        <f t="array" aca="1" ref="J235" ca="1">INDEX(INDIRECT("'" &amp; Figures!$B$230 &amp; "'!N$3:N$1048576"),Figures!$C235)</f>
        <v>5.1683082060837782</v>
      </c>
      <c r="P235" s="10" t="s">
        <v>507</v>
      </c>
      <c r="Q235" cm="1">
        <f t="array" ref="Q235">MATCH(Figures!Q230 &amp; "tank 2", 'Organized Data'!$F$3:$F$1048576 &amp; 'Organized Data'!$E$3:$E$1048576, 0)</f>
        <v>54</v>
      </c>
      <c r="R235" cm="1">
        <f t="array" aca="1" ref="R235" ca="1">INDEX(INDIRECT("'" &amp; Figures!$P$230 &amp; "'!H$3:H$1048576"),Figures!$Q235)</f>
        <v>1.0032690421706441</v>
      </c>
      <c r="S235" cm="1">
        <f t="array" aca="1" ref="S235" ca="1">INDEX(INDIRECT("'" &amp; Figures!$P$230 &amp; "'!I$3:I$1048576"),Figures!$Q235)</f>
        <v>1.1704805491990846</v>
      </c>
      <c r="T235" cm="1">
        <f t="array" aca="1" ref="T235" ca="1">INDEX(INDIRECT("'" &amp; Figures!$P$230 &amp; "'!J$3:J$1048576"),Figures!$Q235)</f>
        <v>1.1248774109186008</v>
      </c>
      <c r="U235" cm="1">
        <f t="array" aca="1" ref="U235" ca="1">INDEX(INDIRECT("'" &amp; Figures!$P$230 &amp; "'!K$3:K$1048576"),Figures!$Q235)</f>
        <v>1.0184700882641387</v>
      </c>
      <c r="V235" cm="1">
        <f t="array" aca="1" ref="V235" ca="1">INDEX(INDIRECT("'" &amp; Figures!$P$230 &amp; "'!L$3:L$1048576"),Figures!$Q235)</f>
        <v>0.94246485779666556</v>
      </c>
      <c r="W235" cm="1">
        <f t="array" aca="1" ref="W235" ca="1">INDEX(INDIRECT("'" &amp; Figures!$P$230 &amp; "'!M$3:M$1048576"),Figures!$Q235)</f>
        <v>0.86645962732919257</v>
      </c>
      <c r="X235" cm="1">
        <f t="array" aca="1" ref="X235" ca="1">INDEX(INDIRECT("'" &amp; Figures!$P$230 &amp; "'!N$3:N$1048576"),Figures!$Q235)</f>
        <v>0.80565544295521407</v>
      </c>
    </row>
    <row r="264" spans="2:24" x14ac:dyDescent="0.35">
      <c r="B264" t="s">
        <v>561</v>
      </c>
      <c r="P264" t="s">
        <v>561</v>
      </c>
    </row>
    <row r="265" spans="2:24" x14ac:dyDescent="0.35">
      <c r="B265" s="90" t="s">
        <v>559</v>
      </c>
      <c r="C265" s="90" t="s">
        <v>558</v>
      </c>
      <c r="P265" s="90" t="s">
        <v>559</v>
      </c>
      <c r="Q265" s="90" t="s">
        <v>558</v>
      </c>
    </row>
    <row r="266" spans="2:24" x14ac:dyDescent="0.35">
      <c r="B266" s="89" t="s">
        <v>21</v>
      </c>
      <c r="C266" s="89">
        <v>18</v>
      </c>
      <c r="P266" s="89" t="s">
        <v>23</v>
      </c>
      <c r="Q266" s="89">
        <v>18</v>
      </c>
    </row>
    <row r="267" spans="2:24" x14ac:dyDescent="0.35">
      <c r="D267" s="156" t="s">
        <v>529</v>
      </c>
      <c r="E267" s="156"/>
      <c r="F267" s="156"/>
      <c r="G267" s="156"/>
      <c r="H267" s="156"/>
      <c r="I267" s="156"/>
      <c r="J267" s="156"/>
      <c r="R267" s="156" t="s">
        <v>529</v>
      </c>
      <c r="S267" s="156"/>
      <c r="T267" s="156"/>
      <c r="U267" s="156"/>
      <c r="V267" s="156"/>
      <c r="W267" s="156"/>
      <c r="X267" s="156"/>
    </row>
    <row r="268" spans="2:24" x14ac:dyDescent="0.35">
      <c r="C268" t="s">
        <v>560</v>
      </c>
      <c r="D268" s="10">
        <v>0</v>
      </c>
      <c r="E268" s="10">
        <f t="shared" ref="E268:J268" si="6">D268+30</f>
        <v>30</v>
      </c>
      <c r="F268" s="10">
        <f t="shared" si="6"/>
        <v>60</v>
      </c>
      <c r="G268" s="10">
        <f t="shared" si="6"/>
        <v>90</v>
      </c>
      <c r="H268" s="10">
        <f t="shared" si="6"/>
        <v>120</v>
      </c>
      <c r="I268" s="10">
        <f t="shared" si="6"/>
        <v>150</v>
      </c>
      <c r="J268" s="10">
        <f t="shared" si="6"/>
        <v>180</v>
      </c>
      <c r="Q268" t="s">
        <v>560</v>
      </c>
      <c r="R268" s="10">
        <v>0</v>
      </c>
      <c r="S268" s="10">
        <f t="shared" ref="S268:X268" si="7">R268+30</f>
        <v>30</v>
      </c>
      <c r="T268" s="10">
        <f t="shared" si="7"/>
        <v>60</v>
      </c>
      <c r="U268" s="10">
        <f t="shared" si="7"/>
        <v>90</v>
      </c>
      <c r="V268" s="10">
        <f t="shared" si="7"/>
        <v>120</v>
      </c>
      <c r="W268" s="10">
        <f t="shared" si="7"/>
        <v>150</v>
      </c>
      <c r="X268" s="10">
        <f t="shared" si="7"/>
        <v>180</v>
      </c>
    </row>
    <row r="269" spans="2:24" x14ac:dyDescent="0.35">
      <c r="B269" s="10" t="s">
        <v>344</v>
      </c>
      <c r="C269" cm="1">
        <f t="array" ref="C269">MATCH(Figures!C266 &amp; "in", 'Organized Data'!$F$3:$F$1048576 &amp; 'Organized Data'!$E$3:$E$1048576, 0)</f>
        <v>48</v>
      </c>
      <c r="D269" cm="1">
        <f t="array" aca="1" ref="D269" ca="1">INDEX(INDIRECT("'" &amp; Figures!$B$266 &amp; "'!H$3:H$1048576"),Figures!$C269)</f>
        <v>138.03886925795052</v>
      </c>
      <c r="E269" cm="1">
        <f t="array" aca="1" ref="E269" ca="1">INDEX(INDIRECT("'" &amp; Figures!$B$266 &amp; "'!I$3:I$1048576"),Figures!$C269)</f>
        <v>135.31802120141342</v>
      </c>
      <c r="F269" cm="1">
        <f t="array" aca="1" ref="F269" ca="1">INDEX(INDIRECT("'" &amp; Figures!$B$266 &amp; "'!J$3:J$1048576"),Figures!$C269)</f>
        <v>141.62544169611309</v>
      </c>
      <c r="G269" cm="1">
        <f t="array" aca="1" ref="G269" ca="1">INDEX(INDIRECT("'" &amp; Figures!$B$266 &amp; "'!K$3:K$1048576"),Figures!$C269)</f>
        <v>132.49116607773851</v>
      </c>
      <c r="H269" cm="1">
        <f t="array" aca="1" ref="H269" ca="1">INDEX(INDIRECT("'" &amp; Figures!$B$266 &amp; "'!L$3:L$1048576"),Figures!$C269)</f>
        <v>133.07420494699647</v>
      </c>
      <c r="I269" cm="1">
        <f t="array" aca="1" ref="I269" ca="1">INDEX(INDIRECT("'" &amp; Figures!$B$266 &amp; "'!M$3:M$1048576"),Figures!$C269)</f>
        <v>135.35335689045934</v>
      </c>
      <c r="J269" cm="1">
        <f t="array" aca="1" ref="J269" ca="1">INDEX(INDIRECT("'" &amp; Figures!$B$266 &amp; "'!N$3:N$1048576"),Figures!$C269)</f>
        <v>133.93992932862193</v>
      </c>
      <c r="P269" s="10" t="s">
        <v>344</v>
      </c>
      <c r="Q269" cm="1">
        <f t="array" ref="Q269">MATCH(Figures!Q266 &amp; "in", 'Organized Data'!$F$3:$F$1048576 &amp; 'Organized Data'!$E$3:$E$1048576, 0)</f>
        <v>48</v>
      </c>
      <c r="R269" cm="1">
        <f t="array" aca="1" ref="R269" ca="1">INDEX(INDIRECT("'" &amp; Figures!$P$266 &amp; "'!H$3:H$1048576"),Figures!$Q269)</f>
        <v>0</v>
      </c>
      <c r="S269" cm="1">
        <f t="array" aca="1" ref="S269" ca="1">INDEX(INDIRECT("'" &amp; Figures!$P$266 &amp; "'!I$3:I$1048576"),Figures!$Q269)</f>
        <v>0</v>
      </c>
      <c r="T269" cm="1">
        <f t="array" aca="1" ref="T269" ca="1">INDEX(INDIRECT("'" &amp; Figures!$P$266 &amp; "'!J$3:J$1048576"),Figures!$Q269)</f>
        <v>0</v>
      </c>
      <c r="U269" cm="1">
        <f t="array" aca="1" ref="U269" ca="1">INDEX(INDIRECT("'" &amp; Figures!$P$266 &amp; "'!K$3:K$1048576"),Figures!$Q269)</f>
        <v>0</v>
      </c>
      <c r="V269" cm="1">
        <f t="array" aca="1" ref="V269" ca="1">INDEX(INDIRECT("'" &amp; Figures!$P$266 &amp; "'!L$3:L$1048576"),Figures!$Q269)</f>
        <v>0</v>
      </c>
      <c r="W269" cm="1">
        <f t="array" aca="1" ref="W269" ca="1">INDEX(INDIRECT("'" &amp; Figures!$P$266 &amp; "'!M$3:M$1048576"),Figures!$Q269)</f>
        <v>0</v>
      </c>
      <c r="X269" cm="1">
        <f t="array" aca="1" ref="X269" ca="1">INDEX(INDIRECT("'" &amp; Figures!$P$266 &amp; "'!N$3:N$1048576"),Figures!$Q269)</f>
        <v>0</v>
      </c>
    </row>
    <row r="270" spans="2:24" x14ac:dyDescent="0.35">
      <c r="B270" s="10" t="s">
        <v>506</v>
      </c>
      <c r="C270" cm="1">
        <f t="array" ref="C270">MATCH(Figures!C266 &amp; "tank 1", 'Organized Data'!$F$3:$F$1048576 &amp; 'Organized Data'!$E$3:$E$1048576, 0)</f>
        <v>51</v>
      </c>
      <c r="D270" cm="1">
        <f t="array" aca="1" ref="D270" ca="1">INDEX(INDIRECT("'" &amp; Figures!$B$266 &amp; "'!H$3:H$1048576"),Figures!$C270)</f>
        <v>100.17667844522967</v>
      </c>
      <c r="E270" cm="1">
        <f t="array" aca="1" ref="E270" ca="1">INDEX(INDIRECT("'" &amp; Figures!$B$266 &amp; "'!I$3:I$1048576"),Figures!$C270)</f>
        <v>101.74911660777386</v>
      </c>
      <c r="F270" cm="1">
        <f t="array" aca="1" ref="F270" ca="1">INDEX(INDIRECT("'" &amp; Figures!$B$266 &amp; "'!J$3:J$1048576"),Figures!$C270)</f>
        <v>95.954063604240275</v>
      </c>
      <c r="G270" cm="1">
        <f t="array" aca="1" ref="G270" ca="1">INDEX(INDIRECT("'" &amp; Figures!$B$266 &amp; "'!K$3:K$1048576"),Figures!$C270)</f>
        <v>102.73851590106007</v>
      </c>
      <c r="H270" cm="1">
        <f t="array" aca="1" ref="H270" ca="1">INDEX(INDIRECT("'" &amp; Figures!$B$266 &amp; "'!L$3:L$1048576"),Figures!$C270)</f>
        <v>115.03533568904594</v>
      </c>
      <c r="I270" cm="1">
        <f t="array" aca="1" ref="I270" ca="1">INDEX(INDIRECT("'" &amp; Figures!$B$266 &amp; "'!M$3:M$1048576"),Figures!$C270)</f>
        <v>118.18021201413427</v>
      </c>
      <c r="J270" cm="1">
        <f t="array" aca="1" ref="J270" ca="1">INDEX(INDIRECT("'" &amp; Figures!$B$266 &amp; "'!N$3:N$1048576"),Figures!$C270)</f>
        <v>118.60424028268551</v>
      </c>
      <c r="P270" s="10" t="s">
        <v>506</v>
      </c>
      <c r="Q270" cm="1">
        <f t="array" ref="Q270">MATCH(Figures!Q266 &amp; "tank 1", 'Organized Data'!$F$3:$F$1048576 &amp; 'Organized Data'!$E$3:$E$1048576, 0)</f>
        <v>51</v>
      </c>
      <c r="R270" cm="1">
        <f t="array" aca="1" ref="R270" ca="1">INDEX(INDIRECT("'" &amp; Figures!$P$266 &amp; "'!H$3:H$1048576"),Figures!$Q270)</f>
        <v>0</v>
      </c>
      <c r="S270" cm="1">
        <f t="array" aca="1" ref="S270" ca="1">INDEX(INDIRECT("'" &amp; Figures!$P$266 &amp; "'!I$3:I$1048576"),Figures!$Q270)</f>
        <v>0</v>
      </c>
      <c r="T270" cm="1">
        <f t="array" aca="1" ref="T270" ca="1">INDEX(INDIRECT("'" &amp; Figures!$P$266 &amp; "'!J$3:J$1048576"),Figures!$Q270)</f>
        <v>0</v>
      </c>
      <c r="U270" cm="1">
        <f t="array" aca="1" ref="U270" ca="1">INDEX(INDIRECT("'" &amp; Figures!$P$266 &amp; "'!K$3:K$1048576"),Figures!$Q270)</f>
        <v>0</v>
      </c>
      <c r="V270" cm="1">
        <f t="array" aca="1" ref="V270" ca="1">INDEX(INDIRECT("'" &amp; Figures!$P$266 &amp; "'!L$3:L$1048576"),Figures!$Q270)</f>
        <v>0</v>
      </c>
      <c r="W270" cm="1">
        <f t="array" aca="1" ref="W270" ca="1">INDEX(INDIRECT("'" &amp; Figures!$P$266 &amp; "'!M$3:M$1048576"),Figures!$Q270)</f>
        <v>0</v>
      </c>
      <c r="X270" cm="1">
        <f t="array" aca="1" ref="X270" ca="1">INDEX(INDIRECT("'" &amp; Figures!$P$266 &amp; "'!N$3:N$1048576"),Figures!$Q270)</f>
        <v>0</v>
      </c>
    </row>
    <row r="271" spans="2:24" x14ac:dyDescent="0.35">
      <c r="B271" s="10" t="s">
        <v>507</v>
      </c>
      <c r="C271" cm="1">
        <f t="array" ref="C271">MATCH(Figures!C266 &amp; "tank 2", 'Organized Data'!$F$3:$F$1048576 &amp; 'Organized Data'!$E$3:$E$1048576, 0)</f>
        <v>54</v>
      </c>
      <c r="D271" cm="1">
        <f t="array" aca="1" ref="D271" ca="1">INDEX(INDIRECT("'" &amp; Figures!$B$266 &amp; "'!H$3:H$1048576"),Figures!$C271)</f>
        <v>113.37455830388691</v>
      </c>
      <c r="E271" cm="1">
        <f t="array" aca="1" ref="E271" ca="1">INDEX(INDIRECT("'" &amp; Figures!$B$266 &amp; "'!I$3:I$1048576"),Figures!$C271)</f>
        <v>103.67491166077738</v>
      </c>
      <c r="F271" cm="1">
        <f t="array" aca="1" ref="F271" ca="1">INDEX(INDIRECT("'" &amp; Figures!$B$266 &amp; "'!J$3:J$1048576"),Figures!$C271)</f>
        <v>109.89399293286219</v>
      </c>
      <c r="G271" cm="1">
        <f t="array" aca="1" ref="G271" ca="1">INDEX(INDIRECT("'" &amp; Figures!$B$266 &amp; "'!K$3:K$1048576"),Figures!$C271)</f>
        <v>117.17314487632508</v>
      </c>
      <c r="H271" cm="1">
        <f t="array" aca="1" ref="H271" ca="1">INDEX(INDIRECT("'" &amp; Figures!$B$266 &amp; "'!L$3:L$1048576"),Figures!$C271)</f>
        <v>131.60777385159011</v>
      </c>
      <c r="I271" cm="1">
        <f t="array" aca="1" ref="I271" ca="1">INDEX(INDIRECT("'" &amp; Figures!$B$266 &amp; "'!M$3:M$1048576"),Figures!$C271)</f>
        <v>136.13074204946997</v>
      </c>
      <c r="J271" cm="1">
        <f t="array" aca="1" ref="J271" ca="1">INDEX(INDIRECT("'" &amp; Figures!$B$266 &amp; "'!N$3:N$1048576"),Figures!$C271)</f>
        <v>133.32155477031802</v>
      </c>
      <c r="P271" s="10" t="s">
        <v>507</v>
      </c>
      <c r="Q271" cm="1">
        <f t="array" ref="Q271">MATCH(Figures!Q266 &amp; "tank 2", 'Organized Data'!$F$3:$F$1048576 &amp; 'Organized Data'!$E$3:$E$1048576, 0)</f>
        <v>54</v>
      </c>
      <c r="R271" cm="1">
        <f t="array" aca="1" ref="R271" ca="1">INDEX(INDIRECT("'" &amp; Figures!$P$266 &amp; "'!H$3:H$1048576"),Figures!$Q271)</f>
        <v>0</v>
      </c>
      <c r="S271" cm="1">
        <f t="array" aca="1" ref="S271" ca="1">INDEX(INDIRECT("'" &amp; Figures!$P$266 &amp; "'!I$3:I$1048576"),Figures!$Q271)</f>
        <v>0</v>
      </c>
      <c r="T271" cm="1">
        <f t="array" aca="1" ref="T271" ca="1">INDEX(INDIRECT("'" &amp; Figures!$P$266 &amp; "'!J$3:J$1048576"),Figures!$Q271)</f>
        <v>0</v>
      </c>
      <c r="U271" cm="1">
        <f t="array" aca="1" ref="U271" ca="1">INDEX(INDIRECT("'" &amp; Figures!$P$266 &amp; "'!K$3:K$1048576"),Figures!$Q271)</f>
        <v>0</v>
      </c>
      <c r="V271" cm="1">
        <f t="array" aca="1" ref="V271" ca="1">INDEX(INDIRECT("'" &amp; Figures!$P$266 &amp; "'!L$3:L$1048576"),Figures!$Q271)</f>
        <v>0</v>
      </c>
      <c r="W271" cm="1">
        <f t="array" aca="1" ref="W271" ca="1">INDEX(INDIRECT("'" &amp; Figures!$P$266 &amp; "'!M$3:M$1048576"),Figures!$Q271)</f>
        <v>0</v>
      </c>
      <c r="X271" cm="1">
        <f t="array" aca="1" ref="X271" ca="1">INDEX(INDIRECT("'" &amp; Figures!$P$266 &amp; "'!N$3:N$1048576"),Figures!$Q271)</f>
        <v>0</v>
      </c>
    </row>
    <row r="300" spans="2:24" x14ac:dyDescent="0.35">
      <c r="B300" t="s">
        <v>561</v>
      </c>
      <c r="P300" t="s">
        <v>561</v>
      </c>
    </row>
    <row r="301" spans="2:24" x14ac:dyDescent="0.35">
      <c r="B301" s="90" t="s">
        <v>559</v>
      </c>
      <c r="C301" s="90" t="s">
        <v>558</v>
      </c>
      <c r="P301" s="90" t="s">
        <v>559</v>
      </c>
      <c r="Q301" s="90" t="s">
        <v>558</v>
      </c>
    </row>
    <row r="302" spans="2:24" x14ac:dyDescent="0.35">
      <c r="B302" s="89" t="s">
        <v>322</v>
      </c>
      <c r="C302" s="89">
        <v>18</v>
      </c>
      <c r="P302" s="89" t="s">
        <v>531</v>
      </c>
      <c r="Q302" s="89">
        <v>18</v>
      </c>
    </row>
    <row r="303" spans="2:24" x14ac:dyDescent="0.35">
      <c r="D303" s="156" t="s">
        <v>529</v>
      </c>
      <c r="E303" s="156"/>
      <c r="F303" s="156"/>
      <c r="G303" s="156"/>
      <c r="H303" s="156"/>
      <c r="I303" s="156"/>
      <c r="J303" s="156"/>
      <c r="R303" s="156" t="s">
        <v>529</v>
      </c>
      <c r="S303" s="156"/>
      <c r="T303" s="156"/>
      <c r="U303" s="156"/>
      <c r="V303" s="156"/>
      <c r="W303" s="156"/>
      <c r="X303" s="156"/>
    </row>
    <row r="304" spans="2:24" x14ac:dyDescent="0.35">
      <c r="C304" t="s">
        <v>560</v>
      </c>
      <c r="D304" s="10">
        <v>0</v>
      </c>
      <c r="E304" s="10">
        <f t="shared" ref="E304:J304" si="8">D304+30</f>
        <v>30</v>
      </c>
      <c r="F304" s="10">
        <f t="shared" si="8"/>
        <v>60</v>
      </c>
      <c r="G304" s="10">
        <f t="shared" si="8"/>
        <v>90</v>
      </c>
      <c r="H304" s="10">
        <f t="shared" si="8"/>
        <v>120</v>
      </c>
      <c r="I304" s="10">
        <f t="shared" si="8"/>
        <v>150</v>
      </c>
      <c r="J304" s="10">
        <f t="shared" si="8"/>
        <v>180</v>
      </c>
      <c r="Q304" t="s">
        <v>560</v>
      </c>
      <c r="R304" s="10">
        <v>0</v>
      </c>
      <c r="S304" s="10">
        <f t="shared" ref="S304:X304" si="9">R304+30</f>
        <v>30</v>
      </c>
      <c r="T304" s="10">
        <f t="shared" si="9"/>
        <v>60</v>
      </c>
      <c r="U304" s="10">
        <f t="shared" si="9"/>
        <v>90</v>
      </c>
      <c r="V304" s="10">
        <f t="shared" si="9"/>
        <v>120</v>
      </c>
      <c r="W304" s="10">
        <f t="shared" si="9"/>
        <v>150</v>
      </c>
      <c r="X304" s="10">
        <f t="shared" si="9"/>
        <v>180</v>
      </c>
    </row>
    <row r="305" spans="2:24" x14ac:dyDescent="0.35">
      <c r="B305" s="10" t="s">
        <v>344</v>
      </c>
      <c r="C305" cm="1">
        <f t="array" ref="C305">MATCH(Figures!C302 &amp; "in", 'Organized Data'!$F$3:$F$1048576 &amp; 'Organized Data'!$E$3:$E$1048576, 0)</f>
        <v>48</v>
      </c>
      <c r="D305" cm="1">
        <f t="array" aca="1" ref="D305" ca="1">INDEX(INDIRECT("'" &amp; Figures!$B$302 &amp; "'!H$3:H$1048576"),Figures!$C305)</f>
        <v>7.61</v>
      </c>
      <c r="E305" cm="1">
        <f t="array" aca="1" ref="E305" ca="1">INDEX(INDIRECT("'" &amp; Figures!$B$302 &amp; "'!I$3:I$1048576"),Figures!$C305)</f>
        <v>7.78</v>
      </c>
      <c r="F305" cm="1">
        <f t="array" aca="1" ref="F305" ca="1">INDEX(INDIRECT("'" &amp; Figures!$B$302 &amp; "'!J$3:J$1048576"),Figures!$C305)</f>
        <v>7.75</v>
      </c>
      <c r="G305" cm="1">
        <f t="array" aca="1" ref="G305" ca="1">INDEX(INDIRECT("'" &amp; Figures!$B$302 &amp; "'!K$3:K$1048576"),Figures!$C305)</f>
        <v>7.8</v>
      </c>
      <c r="H305" cm="1">
        <f t="array" aca="1" ref="H305" ca="1">INDEX(INDIRECT("'" &amp; Figures!$B$302 &amp; "'!L$3:L$1048576"),Figures!$C305)</f>
        <v>7.74</v>
      </c>
      <c r="I305" cm="1">
        <f t="array" aca="1" ref="I305" ca="1">INDEX(INDIRECT("'" &amp; Figures!$B$302 &amp; "'!M$3:M$1048576"),Figures!$C305)</f>
        <v>7.91</v>
      </c>
      <c r="J305" cm="1">
        <f t="array" aca="1" ref="J305" ca="1">INDEX(INDIRECT("'" &amp; Figures!$B$302 &amp; "'!N$3:N$1048576"),Figures!$C305)</f>
        <v>7.95</v>
      </c>
      <c r="P305" s="10" t="s">
        <v>344</v>
      </c>
      <c r="Q305" cm="1">
        <f t="array" ref="Q305">MATCH(Figures!Q302 &amp; "in", 'Organized Data'!$F$3:$F$1048576 &amp; 'Organized Data'!$E$3:$E$1048576, 0)</f>
        <v>48</v>
      </c>
      <c r="R305" cm="1">
        <f t="array" aca="1" ref="R305" ca="1">INDEX(INDIRECT("'" &amp; Figures!$P$302  &amp; "'!H$3:H$1048576"),Figures!$Q305)</f>
        <v>113.63636363636364</v>
      </c>
      <c r="S305" cm="1">
        <f t="array" aca="1" ref="S305" ca="1">INDEX(INDIRECT("'" &amp; Figures!$P$302 &amp; "'!I$3:I$1048576"),Figures!$Q305)</f>
        <v>103.21100917431197</v>
      </c>
      <c r="T305" cm="1">
        <f t="array" aca="1" ref="T305" ca="1">INDEX(INDIRECT("'" &amp; Figures!$P$302 &amp; "'!J$3:J$1048576"),Figures!$Q305)</f>
        <v>97.926267281105993</v>
      </c>
      <c r="U305" cm="1">
        <f t="array" aca="1" ref="U305" ca="1">INDEX(INDIRECT("'" &amp; Figures!$P$302 &amp; "'!K$3:K$1048576"),Figures!$Q305)</f>
        <v>143.80530973451332</v>
      </c>
      <c r="V305" cm="1">
        <f t="array" aca="1" ref="V305" ca="1">INDEX(INDIRECT("'" &amp; Figures!$P$302 &amp; "'!L$3:L$1048576"),Figures!$Q305)</f>
        <v>113.63636363636364</v>
      </c>
      <c r="W305" cm="1">
        <f t="array" aca="1" ref="W305" ca="1">INDEX(INDIRECT("'" &amp; Figures!$P$302 &amp; "'!M$3:M$1048576"),Figures!$Q305)</f>
        <v>113.63636363636364</v>
      </c>
      <c r="X305" cm="1">
        <f t="array" aca="1" ref="X305" ca="1">INDEX(INDIRECT("'" &amp; Figures!$P$302 &amp; "'!N$3:N$1048576"),Figures!$Q305)</f>
        <v>113.63636363636368</v>
      </c>
    </row>
    <row r="306" spans="2:24" x14ac:dyDescent="0.35">
      <c r="B306" s="10" t="s">
        <v>506</v>
      </c>
      <c r="C306" cm="1">
        <f t="array" ref="C306">MATCH(Figures!C302 &amp; "tank 1", 'Organized Data'!$F$3:$F$1048576 &amp; 'Organized Data'!$E$3:$E$1048576, 0)</f>
        <v>51</v>
      </c>
      <c r="D306" cm="1">
        <f t="array" aca="1" ref="D306" ca="1">INDEX(INDIRECT("'" &amp; Figures!$B$302 &amp; "'!H$3:H$1048576"),Figures!$C306)</f>
        <v>7.18</v>
      </c>
      <c r="E306" cm="1">
        <f t="array" aca="1" ref="E306" ca="1">INDEX(INDIRECT("'" &amp; Figures!$B$302 &amp; "'!I$3:I$1048576"),Figures!$C306)</f>
        <v>7.09</v>
      </c>
      <c r="F306" cm="1">
        <f t="array" aca="1" ref="F306" ca="1">INDEX(INDIRECT("'" &amp; Figures!$B$302 &amp; "'!J$3:J$1048576"),Figures!$C306)</f>
        <v>6.98</v>
      </c>
      <c r="G306" cm="1">
        <f t="array" aca="1" ref="G306" ca="1">INDEX(INDIRECT("'" &amp; Figures!$B$302 &amp; "'!K$3:K$1048576"),Figures!$C306)</f>
        <v>7.07</v>
      </c>
      <c r="H306" cm="1">
        <f t="array" aca="1" ref="H306" ca="1">INDEX(INDIRECT("'" &amp; Figures!$B$302 &amp; "'!L$3:L$1048576"),Figures!$C306)</f>
        <v>7.1300000000000008</v>
      </c>
      <c r="I306" cm="1">
        <f t="array" aca="1" ref="I306" ca="1">INDEX(INDIRECT("'" &amp; Figures!$B$302 &amp; "'!M$3:M$1048576"),Figures!$C306)</f>
        <v>7.19</v>
      </c>
      <c r="J306" cm="1">
        <f t="array" aca="1" ref="J306" ca="1">INDEX(INDIRECT("'" &amp; Figures!$B$302 &amp; "'!N$3:N$1048576"),Figures!$C306)</f>
        <v>7.43</v>
      </c>
      <c r="P306" s="10" t="s">
        <v>506</v>
      </c>
      <c r="Q306" cm="1">
        <f t="array" ref="Q306">MATCH(Figures!Q302 &amp; "tank 1", 'Organized Data'!$F$3:$F$1048576 &amp; 'Organized Data'!$E$3:$E$1048576, 0)</f>
        <v>51</v>
      </c>
      <c r="R306" cm="1">
        <f t="array" aca="1" ref="R306" ca="1">INDEX(INDIRECT("'" &amp; Figures!$P$302  &amp; "'!H$3:H$1048576"),Figures!$Q306)</f>
        <v>133.92857142857139</v>
      </c>
      <c r="S306" cm="1">
        <f t="array" aca="1" ref="S306" ca="1">INDEX(INDIRECT("'" &amp; Figures!$P$302 &amp; "'!I$3:I$1048576"),Figures!$Q306)</f>
        <v>181.62393162393155</v>
      </c>
      <c r="T306" cm="1">
        <f t="array" aca="1" ref="T306" ca="1">INDEX(INDIRECT("'" &amp; Figures!$P$302 &amp; "'!J$3:J$1048576"),Figures!$Q306)</f>
        <v>133.92857142857153</v>
      </c>
      <c r="U306" cm="1">
        <f t="array" aca="1" ref="U306" ca="1">INDEX(INDIRECT("'" &amp; Figures!$P$302 &amp; "'!K$3:K$1048576"),Figures!$Q306)</f>
        <v>190.67796610169498</v>
      </c>
      <c r="V306" cm="1">
        <f t="array" aca="1" ref="V306" ca="1">INDEX(INDIRECT("'" &amp; Figures!$P$302 &amp; "'!L$3:L$1048576"),Figures!$Q306)</f>
        <v>228.21299879887897</v>
      </c>
      <c r="W306" cm="1">
        <f t="array" aca="1" ref="W306" ca="1">INDEX(INDIRECT("'" &amp; Figures!$P$302 &amp; "'!M$3:M$1048576"),Figures!$Q306)</f>
        <v>265.74803149606299</v>
      </c>
      <c r="X306" cm="1">
        <f t="array" aca="1" ref="X306" ca="1">INDEX(INDIRECT("'" &amp; Figures!$P$302 &amp; "'!N$3:N$1048576"),Figures!$Q306)</f>
        <v>163.04347826086959</v>
      </c>
    </row>
    <row r="307" spans="2:24" x14ac:dyDescent="0.35">
      <c r="B307" s="10" t="s">
        <v>507</v>
      </c>
      <c r="C307" cm="1">
        <f t="array" ref="C307">MATCH(Figures!C302 &amp; "tank 2", 'Organized Data'!$F$3:$F$1048576 &amp; 'Organized Data'!$E$3:$E$1048576, 0)</f>
        <v>54</v>
      </c>
      <c r="D307" cm="1">
        <f t="array" aca="1" ref="D307" ca="1">INDEX(INDIRECT("'" &amp; Figures!$B$302 &amp; "'!H$3:H$1048576"),Figures!$C307)</f>
        <v>7.47</v>
      </c>
      <c r="E307" cm="1">
        <f t="array" aca="1" ref="E307" ca="1">INDEX(INDIRECT("'" &amp; Figures!$B$302 &amp; "'!I$3:I$1048576"),Figures!$C307)</f>
        <v>7.3949999999999996</v>
      </c>
      <c r="F307" cm="1">
        <f t="array" aca="1" ref="F307" ca="1">INDEX(INDIRECT("'" &amp; Figures!$B$302 &amp; "'!J$3:J$1048576"),Figures!$C307)</f>
        <v>7.32</v>
      </c>
      <c r="G307" cm="1">
        <f t="array" aca="1" ref="G307" ca="1">INDEX(INDIRECT("'" &amp; Figures!$B$302 &amp; "'!K$3:K$1048576"),Figures!$C307)</f>
        <v>7.22</v>
      </c>
      <c r="H307" cm="1">
        <f t="array" aca="1" ref="H307" ca="1">INDEX(INDIRECT("'" &amp; Figures!$B$302 &amp; "'!L$3:L$1048576"),Figures!$C307)</f>
        <v>7.12</v>
      </c>
      <c r="I307" cm="1">
        <f t="array" aca="1" ref="I307" ca="1">INDEX(INDIRECT("'" &amp; Figures!$B$302 &amp; "'!M$3:M$1048576"),Figures!$C307)</f>
        <v>7.48</v>
      </c>
      <c r="J307" cm="1">
        <f t="array" aca="1" ref="J307" ca="1">INDEX(INDIRECT("'" &amp; Figures!$B$302 &amp; "'!N$3:N$1048576"),Figures!$C307)</f>
        <v>7.45</v>
      </c>
      <c r="P307" s="10" t="s">
        <v>507</v>
      </c>
      <c r="Q307" cm="1">
        <f t="array" ref="Q307">MATCH(Figures!Q302 &amp; "tank 2", 'Organized Data'!$F$3:$F$1048576 &amp; 'Organized Data'!$E$3:$E$1048576, 0)</f>
        <v>54</v>
      </c>
      <c r="R307" cm="1">
        <f t="array" aca="1" ref="R307" ca="1">INDEX(INDIRECT("'" &amp; Figures!$P$302  &amp; "'!H$3:H$1048576"),Figures!$Q307)</f>
        <v>108.447488584475</v>
      </c>
      <c r="S307" cm="1">
        <f t="array" aca="1" ref="S307" ca="1">INDEX(INDIRECT("'" &amp; Figures!$P$302 &amp; "'!I$3:I$1048576"),Figures!$Q307)</f>
        <v>116.16068122917443</v>
      </c>
      <c r="T307" cm="1">
        <f t="array" aca="1" ref="T307" ca="1">INDEX(INDIRECT("'" &amp; Figures!$P$302 &amp; "'!J$3:J$1048576"),Figures!$Q307)</f>
        <v>123.87387387387386</v>
      </c>
      <c r="U307" cm="1">
        <f t="array" aca="1" ref="U307" ca="1">INDEX(INDIRECT("'" &amp; Figures!$P$302 &amp; "'!K$3:K$1048576"),Figures!$Q307)</f>
        <v>123.87387387387386</v>
      </c>
      <c r="V307" cm="1">
        <f t="array" aca="1" ref="V307" ca="1">INDEX(INDIRECT("'" &amp; Figures!$P$302 &amp; "'!L$3:L$1048576"),Figures!$Q307)</f>
        <v>103.21100917431177</v>
      </c>
      <c r="W307" cm="1">
        <f t="array" aca="1" ref="W307" ca="1">INDEX(INDIRECT("'" &amp; Figures!$P$302 &amp; "'!M$3:M$1048576"),Figures!$Q307)</f>
        <v>128.92376681614337</v>
      </c>
      <c r="X307" cm="1">
        <f t="array" aca="1" ref="X307" ca="1">INDEX(INDIRECT("'" &amp; Figures!$P$302 &amp; "'!N$3:N$1048576"),Figures!$Q307)</f>
        <v>123.87387387387392</v>
      </c>
    </row>
    <row r="336" spans="2:2" x14ac:dyDescent="0.35">
      <c r="B336" t="s">
        <v>561</v>
      </c>
    </row>
    <row r="337" spans="2:10" x14ac:dyDescent="0.35">
      <c r="B337" s="90" t="s">
        <v>559</v>
      </c>
      <c r="C337" s="90" t="s">
        <v>558</v>
      </c>
    </row>
    <row r="338" spans="2:10" x14ac:dyDescent="0.35">
      <c r="B338" s="89" t="s">
        <v>321</v>
      </c>
      <c r="C338" s="89">
        <v>18</v>
      </c>
    </row>
    <row r="339" spans="2:10" x14ac:dyDescent="0.35">
      <c r="D339" s="156" t="s">
        <v>529</v>
      </c>
      <c r="E339" s="156"/>
      <c r="F339" s="156"/>
      <c r="G339" s="156"/>
      <c r="H339" s="156"/>
      <c r="I339" s="156"/>
      <c r="J339" s="156"/>
    </row>
    <row r="340" spans="2:10" x14ac:dyDescent="0.35">
      <c r="C340" t="s">
        <v>560</v>
      </c>
      <c r="D340" s="10">
        <v>0</v>
      </c>
      <c r="E340" s="10">
        <f t="shared" ref="E340:J340" si="10">D340+30</f>
        <v>30</v>
      </c>
      <c r="F340" s="10">
        <f t="shared" si="10"/>
        <v>60</v>
      </c>
      <c r="G340" s="10">
        <f t="shared" si="10"/>
        <v>90</v>
      </c>
      <c r="H340" s="10">
        <f t="shared" si="10"/>
        <v>120</v>
      </c>
      <c r="I340" s="10">
        <f t="shared" si="10"/>
        <v>150</v>
      </c>
      <c r="J340" s="10">
        <f t="shared" si="10"/>
        <v>180</v>
      </c>
    </row>
    <row r="341" spans="2:10" x14ac:dyDescent="0.35">
      <c r="B341" s="10" t="s">
        <v>344</v>
      </c>
      <c r="C341" cm="1">
        <f t="array" ref="C341">MATCH(Figures!C338 &amp; "in", 'Organized Data'!$F$3:$F$1048576 &amp; 'Organized Data'!$E$3:$E$1048576, 0)</f>
        <v>48</v>
      </c>
      <c r="D341" cm="1">
        <f t="array" aca="1" ref="D341" ca="1">INDEX(INDIRECT("'" &amp; Figures!$B$338 &amp; "'!H$3:H$1048576"),Figures!$C341)</f>
        <v>37.73333333333332</v>
      </c>
      <c r="E341" cm="1">
        <f t="array" aca="1" ref="E341" ca="1">INDEX(INDIRECT("'" &amp; Figures!$B$338 &amp; "'!I$3:I$1048576"),Figures!$C341)</f>
        <v>38.399999999999991</v>
      </c>
      <c r="F341" cm="1">
        <f t="array" aca="1" ref="F341" ca="1">INDEX(INDIRECT("'" &amp; Figures!$B$338 &amp; "'!J$3:J$1048576"),Figures!$C341)</f>
        <v>35.73333333333332</v>
      </c>
      <c r="G341" cm="1">
        <f t="array" aca="1" ref="G341" ca="1">INDEX(INDIRECT("'" &amp; Figures!$B$338 &amp; "'!K$3:K$1048576"),Figures!$C341)</f>
        <v>37.399999999999991</v>
      </c>
      <c r="H341" cm="1">
        <f t="array" aca="1" ref="H341" ca="1">INDEX(INDIRECT("'" &amp; Figures!$B$338 &amp; "'!L$3:L$1048576"),Figures!$C341)</f>
        <v>35.399999999999984</v>
      </c>
      <c r="I341" cm="1">
        <f t="array" aca="1" ref="I341" ca="1">INDEX(INDIRECT("'" &amp; Figures!$B$338 &amp; "'!M$3:M$1048576"),Figures!$C341)</f>
        <v>37.066666666666656</v>
      </c>
      <c r="J341" cm="1">
        <f t="array" aca="1" ref="J341" ca="1">INDEX(INDIRECT("'" &amp; Figures!$B$338 &amp; "'!N$3:N$1048576"),Figures!$C341)</f>
        <v>36.066666666666656</v>
      </c>
    </row>
    <row r="342" spans="2:10" x14ac:dyDescent="0.35">
      <c r="B342" s="10" t="s">
        <v>506</v>
      </c>
      <c r="C342" cm="1">
        <f t="array" ref="C342">MATCH(Figures!C338 &amp; "tank 1", 'Organized Data'!$F$3:$F$1048576 &amp; 'Organized Data'!$E$3:$E$1048576, 0)</f>
        <v>51</v>
      </c>
      <c r="D342" cm="1">
        <f t="array" aca="1" ref="D342" ca="1">INDEX(INDIRECT("'" &amp; Figures!$B$338 &amp; "'!H$3:H$1048576"),Figures!$C342)</f>
        <v>34.399999999999984</v>
      </c>
      <c r="E342" cm="1">
        <f t="array" aca="1" ref="E342" ca="1">INDEX(INDIRECT("'" &amp; Figures!$B$338 &amp; "'!I$3:I$1048576"),Figures!$C342)</f>
        <v>45.066666666666663</v>
      </c>
      <c r="F342" cm="1">
        <f t="array" aca="1" ref="F342" ca="1">INDEX(INDIRECT("'" &amp; Figures!$B$338 &amp; "'!J$3:J$1048576"),Figures!$C342)</f>
        <v>34.399999999999984</v>
      </c>
      <c r="G342" cm="1">
        <f t="array" aca="1" ref="G342" ca="1">INDEX(INDIRECT("'" &amp; Figures!$B$338 &amp; "'!K$3:K$1048576"),Figures!$C342)</f>
        <v>32.399999999999984</v>
      </c>
      <c r="H342" cm="1">
        <f t="array" aca="1" ref="H342" ca="1">INDEX(INDIRECT("'" &amp; Figures!$B$338 &amp; "'!L$3:L$1048576"),Figures!$C342)</f>
        <v>37.73333333333332</v>
      </c>
      <c r="I342" cm="1">
        <f t="array" aca="1" ref="I342" ca="1">INDEX(INDIRECT("'" &amp; Figures!$B$338 &amp; "'!M$3:M$1048576"),Figures!$C342)</f>
        <v>32.73333333333332</v>
      </c>
      <c r="J342" cm="1">
        <f t="array" aca="1" ref="J342" ca="1">INDEX(INDIRECT("'" &amp; Figures!$B$338 &amp; "'!N$3:N$1048576"),Figures!$C342)</f>
        <v>35.399999999999984</v>
      </c>
    </row>
    <row r="343" spans="2:10" x14ac:dyDescent="0.35">
      <c r="B343" s="10" t="s">
        <v>507</v>
      </c>
      <c r="C343" cm="1">
        <f t="array" ref="C343">MATCH(Figures!C338 &amp; "tank 2", 'Organized Data'!$F$3:$F$1048576 &amp; 'Organized Data'!$E$3:$E$1048576, 0)</f>
        <v>54</v>
      </c>
      <c r="D343" cm="1">
        <f t="array" aca="1" ref="D343" ca="1">INDEX(INDIRECT("'" &amp; Figures!$B$338 &amp; "'!H$3:H$1048576"),Figures!$C343)</f>
        <v>37.73333333333332</v>
      </c>
      <c r="E343" cm="1">
        <f t="array" aca="1" ref="E343" ca="1">INDEX(INDIRECT("'" &amp; Figures!$B$338 &amp; "'!I$3:I$1048576"),Figures!$C343)</f>
        <v>44.066666666666663</v>
      </c>
      <c r="F343" cm="1">
        <f t="array" aca="1" ref="F343" ca="1">INDEX(INDIRECT("'" &amp; Figures!$B$338 &amp; "'!J$3:J$1048576"),Figures!$C343)</f>
        <v>38.399999999999991</v>
      </c>
      <c r="G343" cm="1">
        <f t="array" aca="1" ref="G343" ca="1">INDEX(INDIRECT("'" &amp; Figures!$B$338 &amp; "'!K$3:K$1048576"),Figures!$C343)</f>
        <v>35.73333333333332</v>
      </c>
      <c r="H343" cm="1">
        <f t="array" aca="1" ref="H343" ca="1">INDEX(INDIRECT("'" &amp; Figures!$B$338 &amp; "'!L$3:L$1048576"),Figures!$C343)</f>
        <v>37.066666666666656</v>
      </c>
      <c r="I343" cm="1">
        <f t="array" aca="1" ref="I343" ca="1">INDEX(INDIRECT("'" &amp; Figures!$B$338 &amp; "'!M$3:M$1048576"),Figures!$C343)</f>
        <v>34.066666666666649</v>
      </c>
      <c r="J343" cm="1">
        <f t="array" aca="1" ref="J343" ca="1">INDEX(INDIRECT("'" &amp; Figures!$B$338 &amp; "'!N$3:N$1048576"),Figures!$C343)</f>
        <v>37.399999999999991</v>
      </c>
    </row>
  </sheetData>
  <mergeCells count="11">
    <mergeCell ref="D160:J160"/>
    <mergeCell ref="R160:X160"/>
    <mergeCell ref="D195:J195"/>
    <mergeCell ref="R195:X195"/>
    <mergeCell ref="D231:J231"/>
    <mergeCell ref="R231:X231"/>
    <mergeCell ref="D267:J267"/>
    <mergeCell ref="R267:X267"/>
    <mergeCell ref="D303:J303"/>
    <mergeCell ref="R303:X303"/>
    <mergeCell ref="D339:J339"/>
  </mergeCells>
  <pageMargins left="0.7" right="0.7" top="0.75" bottom="0.75" header="0.3" footer="0.3"/>
  <drawing r:id="rId1"/>
  <extLst>
    <ext xmlns:x14="http://schemas.microsoft.com/office/spreadsheetml/2009/9/main" uri="{CCE6A557-97BC-4b89-ADB6-D9C93CAAB3DF}">
      <x14:dataValidations xmlns:xm="http://schemas.microsoft.com/office/excel/2006/main" count="2">
        <x14:dataValidation type="list" allowBlank="1" showInputMessage="1" showErrorMessage="1" xr:uid="{652BBAA4-7672-4148-A3BC-9CC2BC82A4F2}">
          <x14:formula1>
            <xm:f>'Organized Data'!$F$3:$F$1048576</xm:f>
          </x14:formula1>
          <xm:sqref>C159 Q159 C194 Q194 C230 Q230 C266 Q266 C302 Q302 C338</xm:sqref>
        </x14:dataValidation>
        <x14:dataValidation type="list" allowBlank="1" showInputMessage="1" showErrorMessage="1" xr:uid="{A6E80A0C-F8EA-49FD-BE6E-6A0C431FFEEE}">
          <x14:formula1>
            <xm:f>'Table of Contents'!$A$13:$A$23</xm:f>
          </x14:formula1>
          <xm:sqref>B159 B338 P302 B302 P266 B266 P230 B230 P194 B194 P159</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D6F409-FFF4-4379-9334-683BEEADBB71}">
  <sheetPr codeName="Sheet26">
    <tabColor rgb="FFFFFF00"/>
  </sheetPr>
  <dimension ref="A1:AA343"/>
  <sheetViews>
    <sheetView topLeftCell="A39" zoomScale="55" zoomScaleNormal="55" workbookViewId="0">
      <selection activeCell="J80" sqref="J80"/>
    </sheetView>
  </sheetViews>
  <sheetFormatPr defaultRowHeight="15.5" x14ac:dyDescent="0.35"/>
  <sheetData>
    <row r="1" spans="1:3" ht="28.5" x14ac:dyDescent="0.65">
      <c r="A1" s="92" t="s">
        <v>563</v>
      </c>
    </row>
    <row r="2" spans="1:3" ht="28.5" x14ac:dyDescent="0.65">
      <c r="A2" s="92"/>
    </row>
    <row r="3" spans="1:3" ht="28.5" x14ac:dyDescent="0.65">
      <c r="A3" s="92"/>
    </row>
    <row r="4" spans="1:3" ht="28.5" x14ac:dyDescent="0.65">
      <c r="A4" s="92"/>
    </row>
    <row r="5" spans="1:3" ht="28.5" x14ac:dyDescent="0.65">
      <c r="A5" s="92"/>
    </row>
    <row r="8" spans="1:3" x14ac:dyDescent="0.35">
      <c r="C8" s="21"/>
    </row>
    <row r="77" ht="20" customHeight="1" x14ac:dyDescent="0.35"/>
    <row r="92" spans="2:2" ht="28.5" x14ac:dyDescent="0.65">
      <c r="B92" s="92" t="s">
        <v>567</v>
      </c>
    </row>
    <row r="154" spans="2:24" ht="28.5" x14ac:dyDescent="0.65">
      <c r="B154" s="92" t="s">
        <v>562</v>
      </c>
    </row>
    <row r="155" spans="2:24" ht="28.5" x14ac:dyDescent="0.65">
      <c r="B155" s="91" t="s">
        <v>566</v>
      </c>
    </row>
    <row r="157" spans="2:24" x14ac:dyDescent="0.35">
      <c r="B157" t="s">
        <v>561</v>
      </c>
      <c r="P157" t="s">
        <v>561</v>
      </c>
    </row>
    <row r="158" spans="2:24" x14ac:dyDescent="0.35">
      <c r="B158" s="90" t="s">
        <v>559</v>
      </c>
      <c r="C158" s="90" t="s">
        <v>558</v>
      </c>
      <c r="P158" s="90" t="s">
        <v>559</v>
      </c>
      <c r="Q158" s="90" t="s">
        <v>558</v>
      </c>
    </row>
    <row r="159" spans="2:24" x14ac:dyDescent="0.35">
      <c r="B159" s="89" t="s">
        <v>319</v>
      </c>
      <c r="C159" s="89">
        <v>18</v>
      </c>
      <c r="P159" s="89" t="s">
        <v>479</v>
      </c>
      <c r="Q159" s="89">
        <v>18</v>
      </c>
    </row>
    <row r="160" spans="2:24" x14ac:dyDescent="0.35">
      <c r="D160" s="156" t="s">
        <v>529</v>
      </c>
      <c r="E160" s="156"/>
      <c r="F160" s="156"/>
      <c r="G160" s="156"/>
      <c r="H160" s="156"/>
      <c r="I160" s="156"/>
      <c r="J160" s="156"/>
      <c r="R160" s="156" t="s">
        <v>529</v>
      </c>
      <c r="S160" s="156"/>
      <c r="T160" s="156"/>
      <c r="U160" s="156"/>
      <c r="V160" s="156"/>
      <c r="W160" s="156"/>
      <c r="X160" s="156"/>
    </row>
    <row r="161" spans="2:27" x14ac:dyDescent="0.35">
      <c r="C161" t="s">
        <v>560</v>
      </c>
      <c r="D161" s="10">
        <v>0</v>
      </c>
      <c r="E161" s="10">
        <f t="shared" ref="E161:J161" si="0">D161+30</f>
        <v>30</v>
      </c>
      <c r="F161" s="10">
        <f t="shared" si="0"/>
        <v>60</v>
      </c>
      <c r="G161" s="10">
        <f t="shared" si="0"/>
        <v>90</v>
      </c>
      <c r="H161" s="10">
        <f t="shared" si="0"/>
        <v>120</v>
      </c>
      <c r="I161" s="10">
        <f t="shared" si="0"/>
        <v>150</v>
      </c>
      <c r="J161" s="10">
        <f t="shared" si="0"/>
        <v>180</v>
      </c>
      <c r="Q161" t="s">
        <v>560</v>
      </c>
      <c r="R161" s="10">
        <v>0</v>
      </c>
      <c r="S161" s="10">
        <f t="shared" ref="S161:X161" si="1">R161+30</f>
        <v>30</v>
      </c>
      <c r="T161" s="10">
        <f t="shared" si="1"/>
        <v>60</v>
      </c>
      <c r="U161" s="10">
        <f t="shared" si="1"/>
        <v>90</v>
      </c>
      <c r="V161" s="10">
        <f t="shared" si="1"/>
        <v>120</v>
      </c>
      <c r="W161" s="10">
        <f t="shared" si="1"/>
        <v>150</v>
      </c>
      <c r="X161" s="10">
        <f t="shared" si="1"/>
        <v>180</v>
      </c>
    </row>
    <row r="162" spans="2:27" x14ac:dyDescent="0.35">
      <c r="B162" s="10" t="s">
        <v>344</v>
      </c>
      <c r="C162" cm="1">
        <f t="array" ref="C162">MATCH('Figures (2)'!C159 &amp; "in", 'Organized Data'!$F$3:$F$1048576 &amp; 'Organized Data'!$E$3:$E$1048576, 0)</f>
        <v>48</v>
      </c>
      <c r="D162" cm="1">
        <f t="array" aca="1" ref="D162" ca="1">INDEX(INDIRECT("'" &amp; 'Figures (2)'!$B$159 &amp; "'!H$3:H$1048576"),'Figures (2)'!$C162)</f>
        <v>10.019994981473234</v>
      </c>
      <c r="E162" cm="1">
        <f t="array" aca="1" ref="E162" ca="1">INDEX(INDIRECT("'" &amp; 'Figures (2)'!$B$159 &amp; "'!I$3:I$1048576"),'Figures (2)'!$C162)</f>
        <v>9.4744249012653121</v>
      </c>
      <c r="F162" cm="1">
        <f t="array" aca="1" ref="F162" ca="1">INDEX(INDIRECT("'" &amp; 'Figures (2)'!$B$159 &amp; "'!J$3:J$1048576"),'Figures (2)'!$C162)</f>
        <v>9.2663602808205354</v>
      </c>
      <c r="G162" cm="1">
        <f t="array" aca="1" ref="G162" ca="1">INDEX(INDIRECT("'" &amp; 'Figures (2)'!$B$159 &amp; "'!K$3:K$1048576"),'Figures (2)'!$C162)</f>
        <v>8.5059360247999543</v>
      </c>
      <c r="H162" cm="1">
        <f t="array" aca="1" ref="H162" ca="1">INDEX(INDIRECT("'" &amp; 'Figures (2)'!$B$159 &amp; "'!L$3:L$1048576"),'Figures (2)'!$C162)</f>
        <v>8.0115846894848417</v>
      </c>
      <c r="I162" cm="1">
        <f t="array" aca="1" ref="I162" ca="1">INDEX(INDIRECT("'" &amp; 'Figures (2)'!$B$159 &amp; "'!M$3:M$1048576"),'Figures (2)'!$C162)</f>
        <v>7.7744258927059677</v>
      </c>
      <c r="J162" cm="1">
        <f t="array" aca="1" ref="J162" ca="1">INDEX(INDIRECT("'" &amp; 'Figures (2)'!$B$159 &amp; "'!N$3:N$1048576"),'Figures (2)'!$C162)</f>
        <v>7.4507275696419697</v>
      </c>
      <c r="P162" s="10" t="s">
        <v>344</v>
      </c>
      <c r="Q162" cm="1">
        <f t="array" ref="Q162">MATCH('Figures (2)'!Q159 &amp; "in", 'Organized Data'!$F$3:$F$1048576 &amp; 'Organized Data'!$E$3:$E$1048576, 0)</f>
        <v>48</v>
      </c>
      <c r="R162" cm="1">
        <f t="array" aca="1" ref="R162" ca="1">INDEX(INDIRECT("'" &amp; 'Figures (2)'!$P$159 &amp; "'!H$3:H$1048576"),'Figures (2)'!$Q162)</f>
        <v>1.0042735042735043</v>
      </c>
      <c r="S162" cm="1">
        <f t="array" aca="1" ref="S162" ca="1">INDEX(INDIRECT("'" &amp; 'Figures (2)'!$P$159 &amp; "'!I$3:I$1048576"),'Figures (2)'!$Q162)</f>
        <v>0.94932844932844929</v>
      </c>
      <c r="T162" cm="1">
        <f t="array" aca="1" ref="T162" ca="1">INDEX(INDIRECT("'" &amp; 'Figures (2)'!$P$159 &amp; "'!J$3:J$1048576"),'Figures (2)'!$Q162)</f>
        <v>0.90659340659340659</v>
      </c>
      <c r="U162" cm="1">
        <f t="array" aca="1" ref="U162" ca="1">INDEX(INDIRECT("'" &amp; 'Figures (2)'!$P$159 &amp; "'!K$3:K$1048576"),'Figures (2)'!$Q162)</f>
        <v>0.83333333333333337</v>
      </c>
      <c r="V162" cm="1">
        <f t="array" aca="1" ref="V162" ca="1">INDEX(INDIRECT("'" &amp; 'Figures (2)'!$P$159 &amp; "'!L$3:L$1048576"),'Figures (2)'!$Q162)</f>
        <v>0.76617826617826612</v>
      </c>
      <c r="W162" cm="1">
        <f t="array" aca="1" ref="W162" ca="1">INDEX(INDIRECT("'" &amp; 'Figures (2)'!$P$159 &amp; "'!M$3:M$1048576"),'Figures (2)'!$Q162)</f>
        <v>0.71733821733821734</v>
      </c>
      <c r="X162" cm="1">
        <f t="array" aca="1" ref="X162" ca="1">INDEX(INDIRECT("'" &amp; 'Figures (2)'!$P$159 &amp; "'!N$3:N$1048576"),'Figures (2)'!$Q162)</f>
        <v>0.72344322344322343</v>
      </c>
    </row>
    <row r="163" spans="2:27" x14ac:dyDescent="0.35">
      <c r="B163" s="10" t="s">
        <v>506</v>
      </c>
      <c r="C163" cm="1">
        <f t="array" ref="C163">MATCH('Figures (2)'!C159 &amp; "tank 1", 'Organized Data'!$F$3:$F$1048576 &amp; 'Organized Data'!$E$3:$E$1048576, 0)</f>
        <v>51</v>
      </c>
      <c r="D163" cm="1">
        <f t="array" aca="1" ref="D163" ca="1">INDEX(INDIRECT("'" &amp; 'Figures (2)'!$B$159 &amp; "'!H$3:H$1048576"),'Figures (2)'!$C163)</f>
        <v>4.2468632536653922E-2</v>
      </c>
      <c r="E163" cm="1">
        <f t="array" aca="1" ref="E163" ca="1">INDEX(INDIRECT("'" &amp; 'Figures (2)'!$B$159 &amp; "'!I$3:I$1048576"),'Figures (2)'!$C163)</f>
        <v>0.15856810765824458</v>
      </c>
      <c r="F163" cm="1">
        <f t="array" aca="1" ref="F163" ca="1">INDEX(INDIRECT("'" &amp; 'Figures (2)'!$B$159 &amp; "'!J$3:J$1048576"),'Figures (2)'!$C163)</f>
        <v>0.20845571905551136</v>
      </c>
      <c r="G163" cm="1">
        <f t="array" aca="1" ref="G163" ca="1">INDEX(INDIRECT("'" &amp; 'Figures (2)'!$B$159 &amp; "'!K$3:K$1048576"),'Figures (2)'!$C163)</f>
        <v>0.76426801955243862</v>
      </c>
      <c r="H163" cm="1">
        <f t="array" aca="1" ref="H163" ca="1">INDEX(INDIRECT("'" &amp; 'Figures (2)'!$B$159 &amp; "'!L$3:L$1048576"),'Figures (2)'!$C163)</f>
        <v>1.5869709173636359</v>
      </c>
      <c r="I163" cm="1">
        <f t="array" aca="1" ref="I163" ca="1">INDEX(INDIRECT("'" &amp; 'Figures (2)'!$B$159 &amp; "'!M$3:M$1048576"),'Figures (2)'!$C163)</f>
        <v>2.285287901989407</v>
      </c>
      <c r="J163" cm="1">
        <f t="array" aca="1" ref="J163" ca="1">INDEX(INDIRECT("'" &amp; 'Figures (2)'!$B$159 &amp; "'!N$3:N$1048576"),'Figures (2)'!$C163)</f>
        <v>2.4637798872975507</v>
      </c>
      <c r="P163" s="10" t="s">
        <v>506</v>
      </c>
      <c r="Q163" cm="1">
        <f t="array" ref="Q163">MATCH('Figures (2)'!Q159 &amp; "tank 1", 'Organized Data'!$F$3:$F$1048576 &amp; 'Organized Data'!$E$3:$E$1048576, 0)</f>
        <v>51</v>
      </c>
      <c r="R163" cm="1">
        <f t="array" aca="1" ref="R163" ca="1">INDEX(INDIRECT("'" &amp; 'Figures (2)'!$P$159 &amp; "'!H$3:H$1048576"),'Figures (2)'!$Q163)</f>
        <v>0.52808302808302809</v>
      </c>
      <c r="S163" cm="1">
        <f t="array" aca="1" ref="S163" ca="1">INDEX(INDIRECT("'" &amp; 'Figures (2)'!$P$159 &amp; "'!I$3:I$1048576"),'Figures (2)'!$Q163)</f>
        <v>0.51587301587301582</v>
      </c>
      <c r="T163" cm="1">
        <f t="array" aca="1" ref="T163" ca="1">INDEX(INDIRECT("'" &amp; 'Figures (2)'!$P$159 &amp; "'!J$3:J$1048576"),'Figures (2)'!$Q163)</f>
        <v>0.50366300366300365</v>
      </c>
      <c r="U163" cm="1">
        <f t="array" aca="1" ref="U163" ca="1">INDEX(INDIRECT("'" &amp; 'Figures (2)'!$P$159 &amp; "'!K$3:K$1048576"),'Figures (2)'!$Q163)</f>
        <v>0.49145299145299137</v>
      </c>
      <c r="V163" cm="1">
        <f t="array" aca="1" ref="V163" ca="1">INDEX(INDIRECT("'" &amp; 'Figures (2)'!$P$159 &amp; "'!L$3:L$1048576"),'Figures (2)'!$Q163)</f>
        <v>0.5219780219780219</v>
      </c>
      <c r="W163" cm="1">
        <f t="array" aca="1" ref="W163" ca="1">INDEX(INDIRECT("'" &amp; 'Figures (2)'!$P$159 &amp; "'!M$3:M$1048576"),'Figures (2)'!$Q163)</f>
        <v>0.45482295482295487</v>
      </c>
      <c r="X163" cm="1">
        <f t="array" aca="1" ref="X163" ca="1">INDEX(INDIRECT("'" &amp; 'Figures (2)'!$P$159 &amp; "'!N$3:N$1048576"),'Figures (2)'!$Q163)</f>
        <v>0.46092796092796101</v>
      </c>
    </row>
    <row r="164" spans="2:27" x14ac:dyDescent="0.35">
      <c r="B164" s="10" t="s">
        <v>507</v>
      </c>
      <c r="C164" cm="1">
        <f t="array" ref="C164">MATCH('Figures (2)'!C159 &amp; "tank 2", 'Organized Data'!$F$3:$F$1048576 &amp; 'Organized Data'!$E$3:$E$1048576, 0)</f>
        <v>54</v>
      </c>
      <c r="D164" cm="1">
        <f t="array" aca="1" ref="D164" ca="1">INDEX(INDIRECT("'" &amp; 'Figures (2)'!$B$159 &amp; "'!H$3:H$1048576"),'Figures (2)'!$C164)</f>
        <v>0.46798932510063407</v>
      </c>
      <c r="E164" cm="1">
        <f t="array" aca="1" ref="E164" ca="1">INDEX(INDIRECT("'" &amp; 'Figures (2)'!$B$159 &amp; "'!I$3:I$1048576"),'Figures (2)'!$C164)</f>
        <v>0.45787737462470501</v>
      </c>
      <c r="F164" cm="1">
        <f t="array" aca="1" ref="F164" ca="1">INDEX(INDIRECT("'" &amp; 'Figures (2)'!$B$159 &amp; "'!J$3:J$1048576"),'Figures (2)'!$C164)</f>
        <v>0.71311574784269405</v>
      </c>
      <c r="G164" cm="1">
        <f t="array" aca="1" ref="G164" ca="1">INDEX(INDIRECT("'" &amp; 'Figures (2)'!$B$159 &amp; "'!K$3:K$1048576"),'Figures (2)'!$C164)</f>
        <v>3.3111665324843527</v>
      </c>
      <c r="H164" cm="1">
        <f t="array" aca="1" ref="H164" ca="1">INDEX(INDIRECT("'" &amp; 'Figures (2)'!$B$159 &amp; "'!L$3:L$1048576"),'Figures (2)'!$C164)</f>
        <v>5.2009557481316406</v>
      </c>
      <c r="I164" cm="1">
        <f t="array" aca="1" ref="I164" ca="1">INDEX(INDIRECT("'" &amp; 'Figures (2)'!$B$159 &amp; "'!M$3:M$1048576"),'Figures (2)'!$C164)</f>
        <v>6.4756862109129649</v>
      </c>
      <c r="J164" cm="1">
        <f t="array" aca="1" ref="J164" ca="1">INDEX(INDIRECT("'" &amp; 'Figures (2)'!$B$159 &amp; "'!N$3:N$1048576"),'Figures (2)'!$C164)</f>
        <v>6.3146671716383711</v>
      </c>
      <c r="P164" s="10" t="s">
        <v>507</v>
      </c>
      <c r="Q164" cm="1">
        <f t="array" ref="Q164">MATCH('Figures (2)'!Q159 &amp; "tank 2", 'Organized Data'!$F$3:$F$1048576 &amp; 'Organized Data'!$E$3:$E$1048576, 0)</f>
        <v>54</v>
      </c>
      <c r="R164" cm="1">
        <f t="array" aca="1" ref="R164" ca="1">INDEX(INDIRECT("'" &amp; 'Figures (2)'!$P$159 &amp; "'!H$3:H$1048576"),'Figures (2)'!$Q164)</f>
        <v>0.75396825396825395</v>
      </c>
      <c r="S164" cm="1">
        <f t="array" aca="1" ref="S164" ca="1">INDEX(INDIRECT("'" &amp; 'Figures (2)'!$P$159 &amp; "'!I$3:I$1048576"),'Figures (2)'!$Q164)</f>
        <v>0.9432234432234432</v>
      </c>
      <c r="T164" cm="1">
        <f t="array" aca="1" ref="T164" ca="1">INDEX(INDIRECT("'" &amp; 'Figures (2)'!$P$159 &amp; "'!J$3:J$1048576"),'Figures (2)'!$Q164)</f>
        <v>0.96764346764346765</v>
      </c>
      <c r="U164" cm="1">
        <f t="array" aca="1" ref="U164" ca="1">INDEX(INDIRECT("'" &amp; 'Figures (2)'!$P$159 &amp; "'!K$3:K$1048576"),'Figures (2)'!$Q164)</f>
        <v>0.88827838827838823</v>
      </c>
      <c r="V164" cm="1">
        <f t="array" aca="1" ref="V164" ca="1">INDEX(INDIRECT("'" &amp; 'Figures (2)'!$P$159 &amp; "'!L$3:L$1048576"),'Figures (2)'!$Q164)</f>
        <v>0.80280830280830284</v>
      </c>
      <c r="W164" cm="1">
        <f t="array" aca="1" ref="W164" ca="1">INDEX(INDIRECT("'" &amp; 'Figures (2)'!$P$159 &amp; "'!M$3:M$1048576"),'Figures (2)'!$Q164)</f>
        <v>0.72344322344322343</v>
      </c>
      <c r="X164" cm="1">
        <f t="array" aca="1" ref="X164" ca="1">INDEX(INDIRECT("'" &amp; 'Figures (2)'!$P$159 &amp; "'!N$3:N$1048576"),'Figures (2)'!$Q164)</f>
        <v>0.70512820512820507</v>
      </c>
      <c r="AA164" s="10"/>
    </row>
    <row r="192" spans="2:16" x14ac:dyDescent="0.35">
      <c r="B192" t="s">
        <v>561</v>
      </c>
      <c r="P192" t="s">
        <v>561</v>
      </c>
    </row>
    <row r="193" spans="2:24" x14ac:dyDescent="0.35">
      <c r="B193" s="90" t="s">
        <v>559</v>
      </c>
      <c r="C193" s="90" t="s">
        <v>558</v>
      </c>
      <c r="P193" s="90" t="s">
        <v>559</v>
      </c>
      <c r="Q193" s="90" t="s">
        <v>558</v>
      </c>
    </row>
    <row r="194" spans="2:24" x14ac:dyDescent="0.35">
      <c r="B194" s="89" t="s">
        <v>17</v>
      </c>
      <c r="C194" s="89">
        <v>18</v>
      </c>
      <c r="P194" s="89" t="s">
        <v>18</v>
      </c>
      <c r="Q194" s="89">
        <v>18</v>
      </c>
    </row>
    <row r="195" spans="2:24" x14ac:dyDescent="0.35">
      <c r="D195" s="156" t="s">
        <v>529</v>
      </c>
      <c r="E195" s="156"/>
      <c r="F195" s="156"/>
      <c r="G195" s="156"/>
      <c r="H195" s="156"/>
      <c r="I195" s="156"/>
      <c r="J195" s="156"/>
      <c r="R195" s="156" t="s">
        <v>529</v>
      </c>
      <c r="S195" s="156"/>
      <c r="T195" s="156"/>
      <c r="U195" s="156"/>
      <c r="V195" s="156"/>
      <c r="W195" s="156"/>
      <c r="X195" s="156"/>
    </row>
    <row r="196" spans="2:24" x14ac:dyDescent="0.35">
      <c r="C196" t="s">
        <v>560</v>
      </c>
      <c r="D196" s="10">
        <v>0</v>
      </c>
      <c r="E196" s="10">
        <f t="shared" ref="E196:J196" si="2">D196+30</f>
        <v>30</v>
      </c>
      <c r="F196" s="10">
        <f t="shared" si="2"/>
        <v>60</v>
      </c>
      <c r="G196" s="10">
        <f t="shared" si="2"/>
        <v>90</v>
      </c>
      <c r="H196" s="10">
        <f t="shared" si="2"/>
        <v>120</v>
      </c>
      <c r="I196" s="10">
        <f t="shared" si="2"/>
        <v>150</v>
      </c>
      <c r="J196" s="10">
        <f t="shared" si="2"/>
        <v>180</v>
      </c>
      <c r="Q196" t="s">
        <v>560</v>
      </c>
      <c r="R196" s="10">
        <v>0</v>
      </c>
      <c r="S196" s="10">
        <f t="shared" ref="S196:X196" si="3">R196+30</f>
        <v>30</v>
      </c>
      <c r="T196" s="10">
        <f t="shared" si="3"/>
        <v>60</v>
      </c>
      <c r="U196" s="10">
        <f t="shared" si="3"/>
        <v>90</v>
      </c>
      <c r="V196" s="10">
        <f t="shared" si="3"/>
        <v>120</v>
      </c>
      <c r="W196" s="10">
        <f t="shared" si="3"/>
        <v>150</v>
      </c>
      <c r="X196" s="10">
        <f t="shared" si="3"/>
        <v>180</v>
      </c>
    </row>
    <row r="197" spans="2:24" x14ac:dyDescent="0.35">
      <c r="B197" s="10" t="s">
        <v>344</v>
      </c>
      <c r="C197" cm="1">
        <f t="array" ref="C197">MATCH('Figures (2)'!C194 &amp; "in", 'Organized Data'!$F$3:$F$1048576 &amp; 'Organized Data'!$E$3:$E$1048576, 0)</f>
        <v>48</v>
      </c>
      <c r="D197" cm="1">
        <f t="array" aca="1" ref="D197" ca="1">INDEX(INDIRECT("'" &amp; 'Figures (2)'!$B$194 &amp; "'!H$3:H$1048576"),'Figures (2)'!$C197)</f>
        <v>0.26743075453677173</v>
      </c>
      <c r="E197" cm="1">
        <f t="array" aca="1" ref="E197" ca="1">INDEX(INDIRECT("'" &amp; 'Figures (2)'!$B$194 &amp; "'!I$3:I$1048576"),'Figures (2)'!$C197)</f>
        <v>0.36294173829990445</v>
      </c>
      <c r="F197" cm="1">
        <f t="array" aca="1" ref="F197" ca="1">INDEX(INDIRECT("'" &amp; 'Figures (2)'!$B$194 &amp; "'!J$3:J$1048576"),'Figures (2)'!$C197)</f>
        <v>0.38204393505253109</v>
      </c>
      <c r="G197" cm="1">
        <f t="array" aca="1" ref="G197" ca="1">INDEX(INDIRECT("'" &amp; 'Figures (2)'!$B$194 &amp; "'!K$3:K$1048576"),'Figures (2)'!$C197)</f>
        <v>0.30563514804202485</v>
      </c>
      <c r="H197" cm="1">
        <f t="array" aca="1" ref="H197" ca="1">INDEX(INDIRECT("'" &amp; 'Figures (2)'!$B$194 &amp; "'!L$3:L$1048576"),'Figures (2)'!$C197)</f>
        <v>0.24832855778414517</v>
      </c>
      <c r="I197" cm="1">
        <f t="array" aca="1" ref="I197" ca="1">INDEX(INDIRECT("'" &amp; 'Figures (2)'!$B$194 &amp; "'!M$3:M$1048576"),'Figures (2)'!$C197)</f>
        <v>0.21012416427889211</v>
      </c>
      <c r="J197" cm="1">
        <f t="array" aca="1" ref="J197" ca="1">INDEX(INDIRECT("'" &amp; 'Figures (2)'!$B$194 &amp; "'!N$3:N$1048576"),'Figures (2)'!$C197)</f>
        <v>0.16236867239732572</v>
      </c>
      <c r="P197" s="10" t="s">
        <v>344</v>
      </c>
      <c r="Q197" cm="1">
        <f t="array" ref="Q197">MATCH('Figures (2)'!Q194 &amp; "in", 'Organized Data'!$F$3:$F$1048576 &amp; 'Organized Data'!$E$3:$E$1048576, 0)</f>
        <v>48</v>
      </c>
      <c r="R197" cm="1">
        <f t="array" aca="1" ref="R197" ca="1">INDEX(INDIRECT("'" &amp; 'Figures (2)'!$P$194 &amp; "'!H$3:H$1048576"),'Figures (2)'!$Q197)</f>
        <v>0.31544688308436958</v>
      </c>
      <c r="S197" cm="1">
        <f t="array" aca="1" ref="S197" ca="1">INDEX(INDIRECT("'" &amp; 'Figures (2)'!$P$194 &amp; "'!I$3:I$1048576"),'Figures (2)'!$Q197)</f>
        <v>0.3096052741383627</v>
      </c>
      <c r="T197" cm="1">
        <f t="array" aca="1" ref="T197" ca="1">INDEX(INDIRECT("'" &amp; 'Figures (2)'!$P$194 &amp; "'!J$3:J$1048576"),'Figures (2)'!$Q197)</f>
        <v>0.3212884920303764</v>
      </c>
      <c r="U197" cm="1">
        <f t="array" aca="1" ref="U197" ca="1">INDEX(INDIRECT("'" &amp; 'Figures (2)'!$P$194 &amp; "'!K$3:K$1048576"),'Figures (2)'!$Q197)</f>
        <v>0.29792205624634899</v>
      </c>
      <c r="V197" cm="1">
        <f t="array" aca="1" ref="V197" ca="1">INDEX(INDIRECT("'" &amp; 'Figures (2)'!$P$194 &amp; "'!L$3:L$1048576"),'Figures (2)'!$Q197)</f>
        <v>0.29792205624634899</v>
      </c>
      <c r="W197" cm="1">
        <f t="array" aca="1" ref="W197" ca="1">INDEX(INDIRECT("'" &amp; 'Figures (2)'!$P$194 &amp; "'!M$3:M$1048576"),'Figures (2)'!$Q197)</f>
        <v>0.29208044730034222</v>
      </c>
      <c r="X197" cm="1">
        <f t="array" aca="1" ref="X197" ca="1">INDEX(INDIRECT("'" &amp; 'Figures (2)'!$P$194 &amp; "'!N$3:N$1048576"),'Figures (2)'!$Q197)</f>
        <v>0.28039722940832851</v>
      </c>
    </row>
    <row r="198" spans="2:24" x14ac:dyDescent="0.35">
      <c r="B198" s="10" t="s">
        <v>506</v>
      </c>
      <c r="C198" cm="1">
        <f t="array" ref="C198">MATCH('Figures (2)'!C194 &amp; "tank 1", 'Organized Data'!$F$3:$F$1048576 &amp; 'Organized Data'!$E$3:$E$1048576, 0)</f>
        <v>51</v>
      </c>
      <c r="D198" cm="1">
        <f t="array" aca="1" ref="D198" ca="1">INDEX(INDIRECT("'" &amp; 'Figures (2)'!$B$194 &amp; "'!H$3:H$1048576"),'Figures (2)'!$C198)</f>
        <v>1.9102196752626553E-2</v>
      </c>
      <c r="E198" cm="1">
        <f t="array" aca="1" ref="E198" ca="1">INDEX(INDIRECT("'" &amp; 'Figures (2)'!$B$194 &amp; "'!I$3:I$1048576"),'Figures (2)'!$C198)</f>
        <v>6.6857688634192933E-2</v>
      </c>
      <c r="F198" cm="1">
        <f t="array" aca="1" ref="F198" ca="1">INDEX(INDIRECT("'" &amp; 'Figures (2)'!$B$194 &amp; "'!J$3:J$1048576"),'Figures (2)'!$C198)</f>
        <v>0.10506208213944605</v>
      </c>
      <c r="G198" cm="1">
        <f t="array" aca="1" ref="G198" ca="1">INDEX(INDIRECT("'" &amp; 'Figures (2)'!$B$194 &amp; "'!K$3:K$1048576"),'Figures (2)'!$C198)</f>
        <v>0.18147086914995222</v>
      </c>
      <c r="H198" cm="1">
        <f t="array" aca="1" ref="H198" ca="1">INDEX(INDIRECT("'" &amp; 'Figures (2)'!$B$194 &amp; "'!L$3:L$1048576"),'Figures (2)'!$C198)</f>
        <v>0.29608404966571156</v>
      </c>
      <c r="I198" cm="1">
        <f t="array" aca="1" ref="I198" ca="1">INDEX(INDIRECT("'" &amp; 'Figures (2)'!$B$194 &amp; "'!M$3:M$1048576"),'Figures (2)'!$C198)</f>
        <v>0.42024832855778421</v>
      </c>
      <c r="J198" cm="1">
        <f t="array" aca="1" ref="J198" ca="1">INDEX(INDIRECT("'" &amp; 'Figures (2)'!$B$194 &amp; "'!N$3:N$1048576"),'Figures (2)'!$C198)</f>
        <v>0.44890162368672404</v>
      </c>
      <c r="P198" s="10" t="s">
        <v>506</v>
      </c>
      <c r="Q198" cm="1">
        <f t="array" ref="Q198">MATCH('Figures (2)'!Q194 &amp; "tank 1", 'Organized Data'!$F$3:$F$1048576 &amp; 'Organized Data'!$E$3:$E$1048576, 0)</f>
        <v>51</v>
      </c>
      <c r="R198" cm="1">
        <f t="array" aca="1" ref="R198" ca="1">INDEX(INDIRECT("'" &amp; 'Figures (2)'!$P$194 &amp; "'!H$3:H$1048576"),'Figures (2)'!$Q198)</f>
        <v>2.3366435784027372E-2</v>
      </c>
      <c r="S198" cm="1">
        <f t="array" aca="1" ref="S198" ca="1">INDEX(INDIRECT("'" &amp; 'Figures (2)'!$P$194 &amp; "'!I$3:I$1048576"),'Figures (2)'!$Q198)</f>
        <v>4.0891262622047904E-2</v>
      </c>
      <c r="T198" cm="1">
        <f t="array" aca="1" ref="T198" ca="1">INDEX(INDIRECT("'" &amp; 'Figures (2)'!$P$194 &amp; "'!J$3:J$1048576"),'Figures (2)'!$Q198)</f>
        <v>5.2574480514061592E-2</v>
      </c>
      <c r="U198" cm="1">
        <f t="array" aca="1" ref="U198" ca="1">INDEX(INDIRECT("'" &amp; 'Figures (2)'!$P$194 &amp; "'!K$3:K$1048576"),'Figures (2)'!$Q198)</f>
        <v>0.22198113994826002</v>
      </c>
      <c r="V198" cm="1">
        <f t="array" aca="1" ref="V198" ca="1">INDEX(INDIRECT("'" &amp; 'Figures (2)'!$P$194 &amp; "'!L$3:L$1048576"),'Figures (2)'!$Q198)</f>
        <v>0.39138779938245849</v>
      </c>
      <c r="W198" cm="1">
        <f t="array" aca="1" ref="W198" ca="1">INDEX(INDIRECT("'" &amp; 'Figures (2)'!$P$194 &amp; "'!M$3:M$1048576"),'Figures (2)'!$Q198)</f>
        <v>0.62505215722273222</v>
      </c>
      <c r="X198" cm="1">
        <f t="array" aca="1" ref="X198" ca="1">INDEX(INDIRECT("'" &amp; 'Figures (2)'!$P$194 &amp; "'!N$3:N$1048576"),'Figures (2)'!$Q198)</f>
        <v>0.80030042560293746</v>
      </c>
    </row>
    <row r="199" spans="2:24" x14ac:dyDescent="0.35">
      <c r="B199" s="10" t="s">
        <v>507</v>
      </c>
      <c r="C199" cm="1">
        <f t="array" ref="C199">MATCH('Figures (2)'!C194 &amp; "tank 2", 'Organized Data'!$F$3:$F$1048576 &amp; 'Organized Data'!$E$3:$E$1048576, 0)</f>
        <v>54</v>
      </c>
      <c r="D199" cm="1">
        <f t="array" aca="1" ref="D199" ca="1">INDEX(INDIRECT("'" &amp; 'Figures (2)'!$B$194 &amp; "'!H$3:H$1048576"),'Figures (2)'!$C199)</f>
        <v>6.6857688634192933E-2</v>
      </c>
      <c r="E199" cm="1">
        <f t="array" aca="1" ref="E199" ca="1">INDEX(INDIRECT("'" &amp; 'Figures (2)'!$B$194 &amp; "'!I$3:I$1048576"),'Figures (2)'!$C199)</f>
        <v>6.6857688634192933E-2</v>
      </c>
      <c r="F199" cm="1">
        <f t="array" aca="1" ref="F199" ca="1">INDEX(INDIRECT("'" &amp; 'Figures (2)'!$B$194 &amp; "'!J$3:J$1048576"),'Figures (2)'!$C199)</f>
        <v>7.6408787010506213E-2</v>
      </c>
      <c r="G199" cm="1">
        <f t="array" aca="1" ref="G199" ca="1">INDEX(INDIRECT("'" &amp; 'Figures (2)'!$B$194 &amp; "'!K$3:K$1048576"),'Figures (2)'!$C199)</f>
        <v>0.11461318051575933</v>
      </c>
      <c r="H199" cm="1">
        <f t="array" aca="1" ref="H199" ca="1">INDEX(INDIRECT("'" &amp; 'Figures (2)'!$B$194 &amp; "'!L$3:L$1048576"),'Figures (2)'!$C199)</f>
        <v>0.19102196752626555</v>
      </c>
      <c r="I199" cm="1">
        <f t="array" aca="1" ref="I199" ca="1">INDEX(INDIRECT("'" &amp; 'Figures (2)'!$B$194 &amp; "'!M$3:M$1048576"),'Figures (2)'!$C199)</f>
        <v>0.25787965616045849</v>
      </c>
      <c r="J199" cm="1">
        <f t="array" aca="1" ref="J199" ca="1">INDEX(INDIRECT("'" &amp; 'Figures (2)'!$B$194 &amp; "'!N$3:N$1048576"),'Figures (2)'!$C199)</f>
        <v>0.22922636103151867</v>
      </c>
      <c r="P199" s="10" t="s">
        <v>507</v>
      </c>
      <c r="Q199" cm="1">
        <f t="array" ref="Q199">MATCH('Figures (2)'!Q194 &amp; "tank 2", 'Organized Data'!$F$3:$F$1048576 &amp; 'Organized Data'!$E$3:$E$1048576, 0)</f>
        <v>54</v>
      </c>
      <c r="R199" cm="1">
        <f t="array" aca="1" ref="R199" ca="1">INDEX(INDIRECT("'" &amp; 'Figures (2)'!$P$194 &amp; "'!H$3:H$1048576"),'Figures (2)'!$Q199)</f>
        <v>0.19277309521822583</v>
      </c>
      <c r="S199" cm="1">
        <f t="array" aca="1" ref="S199" ca="1">INDEX(INDIRECT("'" &amp; 'Figures (2)'!$P$194 &amp; "'!I$3:I$1048576"),'Figures (2)'!$Q199)</f>
        <v>7.5940916298088967E-2</v>
      </c>
      <c r="T199" cm="1">
        <f t="array" aca="1" ref="T199" ca="1">INDEX(INDIRECT("'" &amp; 'Figures (2)'!$P$194 &amp; "'!J$3:J$1048576"),'Figures (2)'!$Q199)</f>
        <v>0.12851539681215055</v>
      </c>
      <c r="U199" cm="1">
        <f t="array" aca="1" ref="U199" ca="1">INDEX(INDIRECT("'" &amp; 'Figures (2)'!$P$194 &amp; "'!K$3:K$1048576"),'Figures (2)'!$Q199)</f>
        <v>0.50821997830259535</v>
      </c>
      <c r="V199" cm="1">
        <f t="array" aca="1" ref="V199" ca="1">INDEX(INDIRECT("'" &amp; 'Figures (2)'!$P$194 &amp; "'!L$3:L$1048576"),'Figures (2)'!$Q199)</f>
        <v>0.73604272719686226</v>
      </c>
      <c r="W199" cm="1">
        <f t="array" aca="1" ref="W199" ca="1">INDEX(INDIRECT("'" &amp; 'Figures (2)'!$P$194 &amp; "'!M$3:M$1048576"),'Figures (2)'!$Q199)</f>
        <v>0.95802386714512222</v>
      </c>
      <c r="X199" cm="1">
        <f t="array" aca="1" ref="X199" ca="1">INDEX(INDIRECT("'" &amp; 'Figures (2)'!$P$194 &amp; "'!N$3:N$1048576"),'Figures (2)'!$Q199)</f>
        <v>0.91713260452307444</v>
      </c>
    </row>
    <row r="228" spans="2:24" x14ac:dyDescent="0.35">
      <c r="B228" t="s">
        <v>561</v>
      </c>
      <c r="P228" t="s">
        <v>561</v>
      </c>
    </row>
    <row r="229" spans="2:24" x14ac:dyDescent="0.35">
      <c r="B229" s="90" t="s">
        <v>559</v>
      </c>
      <c r="C229" s="90" t="s">
        <v>558</v>
      </c>
      <c r="P229" s="90" t="s">
        <v>559</v>
      </c>
      <c r="Q229" s="90" t="s">
        <v>558</v>
      </c>
    </row>
    <row r="230" spans="2:24" x14ac:dyDescent="0.35">
      <c r="B230" s="89" t="s">
        <v>19</v>
      </c>
      <c r="C230" s="89">
        <v>18</v>
      </c>
      <c r="P230" s="89" t="s">
        <v>20</v>
      </c>
      <c r="Q230" s="89">
        <v>18</v>
      </c>
    </row>
    <row r="231" spans="2:24" x14ac:dyDescent="0.35">
      <c r="D231" s="156" t="s">
        <v>529</v>
      </c>
      <c r="E231" s="156"/>
      <c r="F231" s="156"/>
      <c r="G231" s="156"/>
      <c r="H231" s="156"/>
      <c r="I231" s="156"/>
      <c r="J231" s="156"/>
      <c r="R231" s="156" t="s">
        <v>529</v>
      </c>
      <c r="S231" s="156"/>
      <c r="T231" s="156"/>
      <c r="U231" s="156"/>
      <c r="V231" s="156"/>
      <c r="W231" s="156"/>
      <c r="X231" s="156"/>
    </row>
    <row r="232" spans="2:24" x14ac:dyDescent="0.35">
      <c r="C232" t="s">
        <v>560</v>
      </c>
      <c r="D232" s="10">
        <v>0</v>
      </c>
      <c r="E232" s="10">
        <f t="shared" ref="E232:J232" si="4">D232+30</f>
        <v>30</v>
      </c>
      <c r="F232" s="10">
        <f t="shared" si="4"/>
        <v>60</v>
      </c>
      <c r="G232" s="10">
        <f t="shared" si="4"/>
        <v>90</v>
      </c>
      <c r="H232" s="10">
        <f t="shared" si="4"/>
        <v>120</v>
      </c>
      <c r="I232" s="10">
        <f t="shared" si="4"/>
        <v>150</v>
      </c>
      <c r="J232" s="10">
        <f t="shared" si="4"/>
        <v>180</v>
      </c>
      <c r="Q232" t="s">
        <v>560</v>
      </c>
      <c r="R232" s="10">
        <v>0</v>
      </c>
      <c r="S232" s="10">
        <f t="shared" ref="S232:X232" si="5">R232+30</f>
        <v>30</v>
      </c>
      <c r="T232" s="10">
        <f t="shared" si="5"/>
        <v>60</v>
      </c>
      <c r="U232" s="10">
        <f t="shared" si="5"/>
        <v>90</v>
      </c>
      <c r="V232" s="10">
        <f t="shared" si="5"/>
        <v>120</v>
      </c>
      <c r="W232" s="10">
        <f t="shared" si="5"/>
        <v>150</v>
      </c>
      <c r="X232" s="10">
        <f t="shared" si="5"/>
        <v>180</v>
      </c>
    </row>
    <row r="233" spans="2:24" x14ac:dyDescent="0.35">
      <c r="B233" s="10" t="s">
        <v>344</v>
      </c>
      <c r="C233" cm="1">
        <f t="array" ref="C233">MATCH('Figures (2)'!C230 &amp; "in", 'Organized Data'!$F$3:$F$1048576 &amp; 'Organized Data'!$E$3:$E$1048576, 0)</f>
        <v>48</v>
      </c>
      <c r="D233" cm="1">
        <f t="array" aca="1" ref="D233" ca="1">INDEX(INDIRECT("'" &amp; 'Figures (2)'!$B$230 &amp; "'!H$3:H$1048576"),'Figures (2)'!$C233)</f>
        <v>9.4371173438520923</v>
      </c>
      <c r="E233" cm="1">
        <f t="array" aca="1" ref="E233" ca="1">INDEX(INDIRECT("'" &amp; 'Figures (2)'!$B$230 &amp; "'!I$3:I$1048576"),'Figures (2)'!$C233)</f>
        <v>8.801877888827045</v>
      </c>
      <c r="F233" cm="1">
        <f t="array" aca="1" ref="F233" ca="1">INDEX(INDIRECT("'" &amp; 'Figures (2)'!$B$230 &amp; "'!J$3:J$1048576"),'Figures (2)'!$C233)</f>
        <v>8.5630278537376281</v>
      </c>
      <c r="G233" cm="1">
        <f t="array" aca="1" ref="G233" ca="1">INDEX(INDIRECT("'" &amp; 'Figures (2)'!$B$230 &amp; "'!K$3:K$1048576"),'Figures (2)'!$C233)</f>
        <v>7.9023788205115801</v>
      </c>
      <c r="H233" cm="1">
        <f t="array" aca="1" ref="H233" ca="1">INDEX(INDIRECT("'" &amp; 'Figures (2)'!$B$230 &amp; "'!L$3:L$1048576"),'Figures (2)'!$C233)</f>
        <v>7.4653340754543471</v>
      </c>
      <c r="I233" cm="1">
        <f t="array" aca="1" ref="I233" ca="1">INDEX(INDIRECT("'" &amp; 'Figures (2)'!$B$230 &amp; "'!M$3:M$1048576"),'Figures (2)'!$C233)</f>
        <v>7.2722212811267335</v>
      </c>
      <c r="J233" cm="1">
        <f t="array" aca="1" ref="J233" ca="1">INDEX(INDIRECT("'" &amp; 'Figures (2)'!$B$230 &amp; "'!N$3:N$1048576"),'Figures (2)'!$C233)</f>
        <v>7.007961667836315</v>
      </c>
      <c r="P233" s="10" t="s">
        <v>344</v>
      </c>
      <c r="Q233" cm="1">
        <f t="array" ref="Q233">MATCH('Figures (2)'!Q230 &amp; "in", 'Organized Data'!$F$3:$F$1048576 &amp; 'Organized Data'!$E$3:$E$1048576, 0)</f>
        <v>48</v>
      </c>
      <c r="R233" cm="1">
        <f t="array" aca="1" ref="R233" ca="1">INDEX(INDIRECT("'" &amp; 'Figures (2)'!$P$230 &amp; "'!H$3:H$1048576"),'Figures (2)'!$Q233)</f>
        <v>1.0640732265446224</v>
      </c>
      <c r="S233" cm="1">
        <f t="array" aca="1" ref="S233" ca="1">INDEX(INDIRECT("'" &amp; 'Figures (2)'!$P$230 &amp; "'!I$3:I$1048576"),'Figures (2)'!$Q233)</f>
        <v>1.0032690421706441</v>
      </c>
      <c r="T233" cm="1">
        <f t="array" aca="1" ref="T233" ca="1">INDEX(INDIRECT("'" &amp; 'Figures (2)'!$P$230 &amp; "'!J$3:J$1048576"),'Figures (2)'!$Q233)</f>
        <v>0.97286694998365497</v>
      </c>
      <c r="U233" cm="1">
        <f t="array" aca="1" ref="U233" ca="1">INDEX(INDIRECT("'" &amp; 'Figures (2)'!$P$230 &amp; "'!K$3:K$1048576"),'Figures (2)'!$Q233)</f>
        <v>0.89686171951618177</v>
      </c>
      <c r="V233" cm="1">
        <f t="array" aca="1" ref="V233" ca="1">INDEX(INDIRECT("'" &amp; 'Figures (2)'!$P$230 &amp; "'!L$3:L$1048576"),'Figures (2)'!$Q233)</f>
        <v>0.86645962732919257</v>
      </c>
      <c r="W233" cm="1">
        <f t="array" aca="1" ref="W233" ca="1">INDEX(INDIRECT("'" &amp; 'Figures (2)'!$P$230 &amp; "'!M$3:M$1048576"),'Figures (2)'!$Q233)</f>
        <v>0.83605753514220338</v>
      </c>
      <c r="X233" cm="1">
        <f t="array" aca="1" ref="X233" ca="1">INDEX(INDIRECT("'" &amp; 'Figures (2)'!$P$230 &amp; "'!N$3:N$1048576"),'Figures (2)'!$Q233)</f>
        <v>0.80565544295521407</v>
      </c>
    </row>
    <row r="234" spans="2:24" x14ac:dyDescent="0.35">
      <c r="B234" s="10" t="s">
        <v>506</v>
      </c>
      <c r="C234" cm="1">
        <f t="array" ref="C234">MATCH('Figures (2)'!C230 &amp; "tank 1", 'Organized Data'!$F$3:$F$1048576 &amp; 'Organized Data'!$E$3:$E$1048576, 0)</f>
        <v>51</v>
      </c>
      <c r="D234" cm="1">
        <f t="array" aca="1" ref="D234" ca="1">INDEX(INDIRECT("'" &amp; 'Figures (2)'!$B$230 &amp; "'!H$3:H$1048576"),'Figures (2)'!$C234)</f>
        <v>0</v>
      </c>
      <c r="E234" cm="1">
        <f t="array" aca="1" ref="E234" ca="1">INDEX(INDIRECT("'" &amp; 'Figures (2)'!$B$230 &amp; "'!I$3:I$1048576"),'Figures (2)'!$C234)</f>
        <v>5.0819156402003726E-2</v>
      </c>
      <c r="F234" cm="1">
        <f t="array" aca="1" ref="F234" ca="1">INDEX(INDIRECT("'" &amp; 'Figures (2)'!$B$230 &amp; "'!J$3:J$1048576"),'Figures (2)'!$C234)</f>
        <v>5.0819156402003726E-2</v>
      </c>
      <c r="G234" cm="1">
        <f t="array" aca="1" ref="G234" ca="1">INDEX(INDIRECT("'" &amp; 'Figures (2)'!$B$230 &amp; "'!K$3:K$1048576"),'Figures (2)'!$C234)</f>
        <v>0.3608160104542264</v>
      </c>
      <c r="H234" cm="1">
        <f t="array" aca="1" ref="H234" ca="1">INDEX(INDIRECT("'" &amp; 'Figures (2)'!$B$230 &amp; "'!L$3:L$1048576"),'Figures (2)'!$C234)</f>
        <v>0.89949906831546589</v>
      </c>
      <c r="I234" cm="1">
        <f t="array" aca="1" ref="I234" ca="1">INDEX(INDIRECT("'" &amp; 'Figures (2)'!$B$230 &amp; "'!M$3:M$1048576"),'Figures (2)'!$C234)</f>
        <v>1.2399874162088909</v>
      </c>
      <c r="J234" cm="1">
        <f t="array" aca="1" ref="J234" ca="1">INDEX(INDIRECT("'" &amp; 'Figures (2)'!$B$230 &amp; "'!N$3:N$1048576"),'Figures (2)'!$C234)</f>
        <v>1.2145778380078891</v>
      </c>
      <c r="P234" s="10" t="s">
        <v>506</v>
      </c>
      <c r="Q234" cm="1">
        <f t="array" ref="Q234">MATCH('Figures (2)'!Q230 &amp; "tank 1", 'Organized Data'!$F$3:$F$1048576 &amp; 'Organized Data'!$E$3:$E$1048576, 0)</f>
        <v>51</v>
      </c>
      <c r="R234" cm="1">
        <f t="array" aca="1" ref="R234" ca="1">INDEX(INDIRECT("'" &amp; 'Figures (2)'!$P$230 &amp; "'!H$3:H$1048576"),'Figures (2)'!$Q234)</f>
        <v>0.76005230467473039</v>
      </c>
      <c r="S234" cm="1">
        <f t="array" aca="1" ref="S234" ca="1">INDEX(INDIRECT("'" &amp; 'Figures (2)'!$P$230 &amp; "'!I$3:I$1048576"),'Figures (2)'!$Q234)</f>
        <v>0.79045439686171948</v>
      </c>
      <c r="T234" cm="1">
        <f t="array" aca="1" ref="T234" ca="1">INDEX(INDIRECT("'" &amp; 'Figures (2)'!$P$230 &amp; "'!J$3:J$1048576"),'Figures (2)'!$Q234)</f>
        <v>0.72965021248774109</v>
      </c>
      <c r="U234" cm="1">
        <f t="array" aca="1" ref="U234" ca="1">INDEX(INDIRECT("'" &amp; 'Figures (2)'!$P$230 &amp; "'!K$3:K$1048576"),'Figures (2)'!$Q234)</f>
        <v>0.71444916639424649</v>
      </c>
      <c r="V234" cm="1">
        <f t="array" aca="1" ref="V234" ca="1">INDEX(INDIRECT("'" &amp; 'Figures (2)'!$P$230 &amp; "'!L$3:L$1048576"),'Figures (2)'!$Q234)</f>
        <v>0.71444916639424649</v>
      </c>
      <c r="W234" cm="1">
        <f t="array" aca="1" ref="W234" ca="1">INDEX(INDIRECT("'" &amp; 'Figures (2)'!$P$230 &amp; "'!M$3:M$1048576"),'Figures (2)'!$Q234)</f>
        <v>0.653644982020268</v>
      </c>
      <c r="X234" cm="1">
        <f t="array" aca="1" ref="X234" ca="1">INDEX(INDIRECT("'" &amp; 'Figures (2)'!$P$230 &amp; "'!N$3:N$1048576"),'Figures (2)'!$Q234)</f>
        <v>0.6080418437397842</v>
      </c>
    </row>
    <row r="235" spans="2:24" x14ac:dyDescent="0.35">
      <c r="B235" s="10" t="s">
        <v>507</v>
      </c>
      <c r="C235" cm="1">
        <f t="array" ref="C235">MATCH('Figures (2)'!C230 &amp; "tank 2", 'Organized Data'!$F$3:$F$1048576 &amp; 'Organized Data'!$E$3:$E$1048576, 0)</f>
        <v>54</v>
      </c>
      <c r="D235" cm="1">
        <f t="array" aca="1" ref="D235" ca="1">INDEX(INDIRECT("'" &amp; 'Figures (2)'!$B$230 &amp; "'!H$3:H$1048576"),'Figures (2)'!$C235)</f>
        <v>0.20835854124821526</v>
      </c>
      <c r="E235" cm="1">
        <f t="array" aca="1" ref="E235" ca="1">INDEX(INDIRECT("'" &amp; 'Figures (2)'!$B$230 &amp; "'!I$3:I$1048576"),'Figures (2)'!$C235)</f>
        <v>0.3150787696924231</v>
      </c>
      <c r="F235" cm="1">
        <f t="array" aca="1" ref="F235" ca="1">INDEX(INDIRECT("'" &amp; 'Figures (2)'!$B$230 &amp; "'!J$3:J$1048576"),'Figures (2)'!$C235)</f>
        <v>0.50819156402003729</v>
      </c>
      <c r="G235" cm="1">
        <f t="array" aca="1" ref="G235" ca="1">INDEX(INDIRECT("'" &amp; 'Figures (2)'!$B$230 &amp; "'!K$3:K$1048576"),'Figures (2)'!$C235)</f>
        <v>2.6883333736659978</v>
      </c>
      <c r="H235" cm="1">
        <f t="array" aca="1" ref="H235" ca="1">INDEX(INDIRECT("'" &amp; 'Figures (2)'!$B$230 &amp; "'!L$3:L$1048576"),'Figures (2)'!$C235)</f>
        <v>4.2738910534085131</v>
      </c>
      <c r="I235" cm="1">
        <f t="array" aca="1" ref="I235" ca="1">INDEX(INDIRECT("'" &amp; 'Figures (2)'!$B$230 &amp; "'!M$3:M$1048576"),'Figures (2)'!$C235)</f>
        <v>5.2597826876073848</v>
      </c>
      <c r="J235" cm="1">
        <f t="array" aca="1" ref="J235" ca="1">INDEX(INDIRECT("'" &amp; 'Figures (2)'!$B$230 &amp; "'!N$3:N$1048576"),'Figures (2)'!$C235)</f>
        <v>5.1683082060837782</v>
      </c>
      <c r="P235" s="10" t="s">
        <v>507</v>
      </c>
      <c r="Q235" cm="1">
        <f t="array" ref="Q235">MATCH('Figures (2)'!Q230 &amp; "tank 2", 'Organized Data'!$F$3:$F$1048576 &amp; 'Organized Data'!$E$3:$E$1048576, 0)</f>
        <v>54</v>
      </c>
      <c r="R235" cm="1">
        <f t="array" aca="1" ref="R235" ca="1">INDEX(INDIRECT("'" &amp; 'Figures (2)'!$P$230 &amp; "'!H$3:H$1048576"),'Figures (2)'!$Q235)</f>
        <v>1.0032690421706441</v>
      </c>
      <c r="S235" cm="1">
        <f t="array" aca="1" ref="S235" ca="1">INDEX(INDIRECT("'" &amp; 'Figures (2)'!$P$230 &amp; "'!I$3:I$1048576"),'Figures (2)'!$Q235)</f>
        <v>1.1704805491990846</v>
      </c>
      <c r="T235" cm="1">
        <f t="array" aca="1" ref="T235" ca="1">INDEX(INDIRECT("'" &amp; 'Figures (2)'!$P$230 &amp; "'!J$3:J$1048576"),'Figures (2)'!$Q235)</f>
        <v>1.1248774109186008</v>
      </c>
      <c r="U235" cm="1">
        <f t="array" aca="1" ref="U235" ca="1">INDEX(INDIRECT("'" &amp; 'Figures (2)'!$P$230 &amp; "'!K$3:K$1048576"),'Figures (2)'!$Q235)</f>
        <v>1.0184700882641387</v>
      </c>
      <c r="V235" cm="1">
        <f t="array" aca="1" ref="V235" ca="1">INDEX(INDIRECT("'" &amp; 'Figures (2)'!$P$230 &amp; "'!L$3:L$1048576"),'Figures (2)'!$Q235)</f>
        <v>0.94246485779666556</v>
      </c>
      <c r="W235" cm="1">
        <f t="array" aca="1" ref="W235" ca="1">INDEX(INDIRECT("'" &amp; 'Figures (2)'!$P$230 &amp; "'!M$3:M$1048576"),'Figures (2)'!$Q235)</f>
        <v>0.86645962732919257</v>
      </c>
      <c r="X235" cm="1">
        <f t="array" aca="1" ref="X235" ca="1">INDEX(INDIRECT("'" &amp; 'Figures (2)'!$P$230 &amp; "'!N$3:N$1048576"),'Figures (2)'!$Q235)</f>
        <v>0.80565544295521407</v>
      </c>
    </row>
    <row r="264" spans="2:24" x14ac:dyDescent="0.35">
      <c r="B264" t="s">
        <v>561</v>
      </c>
      <c r="P264" t="s">
        <v>561</v>
      </c>
    </row>
    <row r="265" spans="2:24" x14ac:dyDescent="0.35">
      <c r="B265" s="90" t="s">
        <v>559</v>
      </c>
      <c r="C265" s="90" t="s">
        <v>558</v>
      </c>
      <c r="P265" s="90" t="s">
        <v>559</v>
      </c>
      <c r="Q265" s="90" t="s">
        <v>558</v>
      </c>
    </row>
    <row r="266" spans="2:24" x14ac:dyDescent="0.35">
      <c r="B266" s="89" t="s">
        <v>21</v>
      </c>
      <c r="C266" s="89">
        <v>18</v>
      </c>
      <c r="P266" s="89" t="s">
        <v>23</v>
      </c>
      <c r="Q266" s="89">
        <v>18</v>
      </c>
    </row>
    <row r="267" spans="2:24" x14ac:dyDescent="0.35">
      <c r="D267" s="156" t="s">
        <v>529</v>
      </c>
      <c r="E267" s="156"/>
      <c r="F267" s="156"/>
      <c r="G267" s="156"/>
      <c r="H267" s="156"/>
      <c r="I267" s="156"/>
      <c r="J267" s="156"/>
      <c r="R267" s="156" t="s">
        <v>529</v>
      </c>
      <c r="S267" s="156"/>
      <c r="T267" s="156"/>
      <c r="U267" s="156"/>
      <c r="V267" s="156"/>
      <c r="W267" s="156"/>
      <c r="X267" s="156"/>
    </row>
    <row r="268" spans="2:24" x14ac:dyDescent="0.35">
      <c r="C268" t="s">
        <v>560</v>
      </c>
      <c r="D268" s="10">
        <v>0</v>
      </c>
      <c r="E268" s="10">
        <f t="shared" ref="E268:J268" si="6">D268+30</f>
        <v>30</v>
      </c>
      <c r="F268" s="10">
        <f t="shared" si="6"/>
        <v>60</v>
      </c>
      <c r="G268" s="10">
        <f t="shared" si="6"/>
        <v>90</v>
      </c>
      <c r="H268" s="10">
        <f t="shared" si="6"/>
        <v>120</v>
      </c>
      <c r="I268" s="10">
        <f t="shared" si="6"/>
        <v>150</v>
      </c>
      <c r="J268" s="10">
        <f t="shared" si="6"/>
        <v>180</v>
      </c>
      <c r="Q268" t="s">
        <v>560</v>
      </c>
      <c r="R268" s="10">
        <v>0</v>
      </c>
      <c r="S268" s="10">
        <f t="shared" ref="S268:X268" si="7">R268+30</f>
        <v>30</v>
      </c>
      <c r="T268" s="10">
        <f t="shared" si="7"/>
        <v>60</v>
      </c>
      <c r="U268" s="10">
        <f t="shared" si="7"/>
        <v>90</v>
      </c>
      <c r="V268" s="10">
        <f t="shared" si="7"/>
        <v>120</v>
      </c>
      <c r="W268" s="10">
        <f t="shared" si="7"/>
        <v>150</v>
      </c>
      <c r="X268" s="10">
        <f t="shared" si="7"/>
        <v>180</v>
      </c>
    </row>
    <row r="269" spans="2:24" x14ac:dyDescent="0.35">
      <c r="B269" s="10" t="s">
        <v>344</v>
      </c>
      <c r="C269" cm="1">
        <f t="array" ref="C269">MATCH('Figures (2)'!C266 &amp; "in", 'Organized Data'!$F$3:$F$1048576 &amp; 'Organized Data'!$E$3:$E$1048576, 0)</f>
        <v>48</v>
      </c>
      <c r="D269" cm="1">
        <f t="array" aca="1" ref="D269" ca="1">INDEX(INDIRECT("'" &amp; 'Figures (2)'!$B$266 &amp; "'!H$3:H$1048576"),'Figures (2)'!$C269)</f>
        <v>138.03886925795052</v>
      </c>
      <c r="E269" cm="1">
        <f t="array" aca="1" ref="E269" ca="1">INDEX(INDIRECT("'" &amp; 'Figures (2)'!$B$266 &amp; "'!I$3:I$1048576"),'Figures (2)'!$C269)</f>
        <v>135.31802120141342</v>
      </c>
      <c r="F269" cm="1">
        <f t="array" aca="1" ref="F269" ca="1">INDEX(INDIRECT("'" &amp; 'Figures (2)'!$B$266 &amp; "'!J$3:J$1048576"),'Figures (2)'!$C269)</f>
        <v>141.62544169611309</v>
      </c>
      <c r="G269" cm="1">
        <f t="array" aca="1" ref="G269" ca="1">INDEX(INDIRECT("'" &amp; 'Figures (2)'!$B$266 &amp; "'!K$3:K$1048576"),'Figures (2)'!$C269)</f>
        <v>132.49116607773851</v>
      </c>
      <c r="H269" cm="1">
        <f t="array" aca="1" ref="H269" ca="1">INDEX(INDIRECT("'" &amp; 'Figures (2)'!$B$266 &amp; "'!L$3:L$1048576"),'Figures (2)'!$C269)</f>
        <v>133.07420494699647</v>
      </c>
      <c r="I269" cm="1">
        <f t="array" aca="1" ref="I269" ca="1">INDEX(INDIRECT("'" &amp; 'Figures (2)'!$B$266 &amp; "'!M$3:M$1048576"),'Figures (2)'!$C269)</f>
        <v>135.35335689045934</v>
      </c>
      <c r="J269" cm="1">
        <f t="array" aca="1" ref="J269" ca="1">INDEX(INDIRECT("'" &amp; 'Figures (2)'!$B$266 &amp; "'!N$3:N$1048576"),'Figures (2)'!$C269)</f>
        <v>133.93992932862193</v>
      </c>
      <c r="P269" s="10" t="s">
        <v>344</v>
      </c>
      <c r="Q269" cm="1">
        <f t="array" ref="Q269">MATCH('Figures (2)'!Q266 &amp; "in", 'Organized Data'!$F$3:$F$1048576 &amp; 'Organized Data'!$E$3:$E$1048576, 0)</f>
        <v>48</v>
      </c>
      <c r="R269" cm="1">
        <f t="array" aca="1" ref="R269" ca="1">INDEX(INDIRECT("'" &amp; 'Figures (2)'!$P$266 &amp; "'!H$3:H$1048576"),'Figures (2)'!$Q269)</f>
        <v>0</v>
      </c>
      <c r="S269" cm="1">
        <f t="array" aca="1" ref="S269" ca="1">INDEX(INDIRECT("'" &amp; 'Figures (2)'!$P$266 &amp; "'!I$3:I$1048576"),'Figures (2)'!$Q269)</f>
        <v>0</v>
      </c>
      <c r="T269" cm="1">
        <f t="array" aca="1" ref="T269" ca="1">INDEX(INDIRECT("'" &amp; 'Figures (2)'!$P$266 &amp; "'!J$3:J$1048576"),'Figures (2)'!$Q269)</f>
        <v>0</v>
      </c>
      <c r="U269" cm="1">
        <f t="array" aca="1" ref="U269" ca="1">INDEX(INDIRECT("'" &amp; 'Figures (2)'!$P$266 &amp; "'!K$3:K$1048576"),'Figures (2)'!$Q269)</f>
        <v>0</v>
      </c>
      <c r="V269" cm="1">
        <f t="array" aca="1" ref="V269" ca="1">INDEX(INDIRECT("'" &amp; 'Figures (2)'!$P$266 &amp; "'!L$3:L$1048576"),'Figures (2)'!$Q269)</f>
        <v>0</v>
      </c>
      <c r="W269" cm="1">
        <f t="array" aca="1" ref="W269" ca="1">INDEX(INDIRECT("'" &amp; 'Figures (2)'!$P$266 &amp; "'!M$3:M$1048576"),'Figures (2)'!$Q269)</f>
        <v>0</v>
      </c>
      <c r="X269" cm="1">
        <f t="array" aca="1" ref="X269" ca="1">INDEX(INDIRECT("'" &amp; 'Figures (2)'!$P$266 &amp; "'!N$3:N$1048576"),'Figures (2)'!$Q269)</f>
        <v>0</v>
      </c>
    </row>
    <row r="270" spans="2:24" x14ac:dyDescent="0.35">
      <c r="B270" s="10" t="s">
        <v>506</v>
      </c>
      <c r="C270" cm="1">
        <f t="array" ref="C270">MATCH('Figures (2)'!C266 &amp; "tank 1", 'Organized Data'!$F$3:$F$1048576 &amp; 'Organized Data'!$E$3:$E$1048576, 0)</f>
        <v>51</v>
      </c>
      <c r="D270" cm="1">
        <f t="array" aca="1" ref="D270" ca="1">INDEX(INDIRECT("'" &amp; 'Figures (2)'!$B$266 &amp; "'!H$3:H$1048576"),'Figures (2)'!$C270)</f>
        <v>100.17667844522967</v>
      </c>
      <c r="E270" cm="1">
        <f t="array" aca="1" ref="E270" ca="1">INDEX(INDIRECT("'" &amp; 'Figures (2)'!$B$266 &amp; "'!I$3:I$1048576"),'Figures (2)'!$C270)</f>
        <v>101.74911660777386</v>
      </c>
      <c r="F270" cm="1">
        <f t="array" aca="1" ref="F270" ca="1">INDEX(INDIRECT("'" &amp; 'Figures (2)'!$B$266 &amp; "'!J$3:J$1048576"),'Figures (2)'!$C270)</f>
        <v>95.954063604240275</v>
      </c>
      <c r="G270" cm="1">
        <f t="array" aca="1" ref="G270" ca="1">INDEX(INDIRECT("'" &amp; 'Figures (2)'!$B$266 &amp; "'!K$3:K$1048576"),'Figures (2)'!$C270)</f>
        <v>102.73851590106007</v>
      </c>
      <c r="H270" cm="1">
        <f t="array" aca="1" ref="H270" ca="1">INDEX(INDIRECT("'" &amp; 'Figures (2)'!$B$266 &amp; "'!L$3:L$1048576"),'Figures (2)'!$C270)</f>
        <v>115.03533568904594</v>
      </c>
      <c r="I270" cm="1">
        <f t="array" aca="1" ref="I270" ca="1">INDEX(INDIRECT("'" &amp; 'Figures (2)'!$B$266 &amp; "'!M$3:M$1048576"),'Figures (2)'!$C270)</f>
        <v>118.18021201413427</v>
      </c>
      <c r="J270" cm="1">
        <f t="array" aca="1" ref="J270" ca="1">INDEX(INDIRECT("'" &amp; 'Figures (2)'!$B$266 &amp; "'!N$3:N$1048576"),'Figures (2)'!$C270)</f>
        <v>118.60424028268551</v>
      </c>
      <c r="P270" s="10" t="s">
        <v>506</v>
      </c>
      <c r="Q270" cm="1">
        <f t="array" ref="Q270">MATCH('Figures (2)'!Q266 &amp; "tank 1", 'Organized Data'!$F$3:$F$1048576 &amp; 'Organized Data'!$E$3:$E$1048576, 0)</f>
        <v>51</v>
      </c>
      <c r="R270" cm="1">
        <f t="array" aca="1" ref="R270" ca="1">INDEX(INDIRECT("'" &amp; 'Figures (2)'!$P$266 &amp; "'!H$3:H$1048576"),'Figures (2)'!$Q270)</f>
        <v>0</v>
      </c>
      <c r="S270" cm="1">
        <f t="array" aca="1" ref="S270" ca="1">INDEX(INDIRECT("'" &amp; 'Figures (2)'!$P$266 &amp; "'!I$3:I$1048576"),'Figures (2)'!$Q270)</f>
        <v>0</v>
      </c>
      <c r="T270" cm="1">
        <f t="array" aca="1" ref="T270" ca="1">INDEX(INDIRECT("'" &amp; 'Figures (2)'!$P$266 &amp; "'!J$3:J$1048576"),'Figures (2)'!$Q270)</f>
        <v>0</v>
      </c>
      <c r="U270" cm="1">
        <f t="array" aca="1" ref="U270" ca="1">INDEX(INDIRECT("'" &amp; 'Figures (2)'!$P$266 &amp; "'!K$3:K$1048576"),'Figures (2)'!$Q270)</f>
        <v>0</v>
      </c>
      <c r="V270" cm="1">
        <f t="array" aca="1" ref="V270" ca="1">INDEX(INDIRECT("'" &amp; 'Figures (2)'!$P$266 &amp; "'!L$3:L$1048576"),'Figures (2)'!$Q270)</f>
        <v>0</v>
      </c>
      <c r="W270" cm="1">
        <f t="array" aca="1" ref="W270" ca="1">INDEX(INDIRECT("'" &amp; 'Figures (2)'!$P$266 &amp; "'!M$3:M$1048576"),'Figures (2)'!$Q270)</f>
        <v>0</v>
      </c>
      <c r="X270" cm="1">
        <f t="array" aca="1" ref="X270" ca="1">INDEX(INDIRECT("'" &amp; 'Figures (2)'!$P$266 &amp; "'!N$3:N$1048576"),'Figures (2)'!$Q270)</f>
        <v>0</v>
      </c>
    </row>
    <row r="271" spans="2:24" x14ac:dyDescent="0.35">
      <c r="B271" s="10" t="s">
        <v>507</v>
      </c>
      <c r="C271" cm="1">
        <f t="array" ref="C271">MATCH('Figures (2)'!C266 &amp; "tank 2", 'Organized Data'!$F$3:$F$1048576 &amp; 'Organized Data'!$E$3:$E$1048576, 0)</f>
        <v>54</v>
      </c>
      <c r="D271" cm="1">
        <f t="array" aca="1" ref="D271" ca="1">INDEX(INDIRECT("'" &amp; 'Figures (2)'!$B$266 &amp; "'!H$3:H$1048576"),'Figures (2)'!$C271)</f>
        <v>113.37455830388691</v>
      </c>
      <c r="E271" cm="1">
        <f t="array" aca="1" ref="E271" ca="1">INDEX(INDIRECT("'" &amp; 'Figures (2)'!$B$266 &amp; "'!I$3:I$1048576"),'Figures (2)'!$C271)</f>
        <v>103.67491166077738</v>
      </c>
      <c r="F271" cm="1">
        <f t="array" aca="1" ref="F271" ca="1">INDEX(INDIRECT("'" &amp; 'Figures (2)'!$B$266 &amp; "'!J$3:J$1048576"),'Figures (2)'!$C271)</f>
        <v>109.89399293286219</v>
      </c>
      <c r="G271" cm="1">
        <f t="array" aca="1" ref="G271" ca="1">INDEX(INDIRECT("'" &amp; 'Figures (2)'!$B$266 &amp; "'!K$3:K$1048576"),'Figures (2)'!$C271)</f>
        <v>117.17314487632508</v>
      </c>
      <c r="H271" cm="1">
        <f t="array" aca="1" ref="H271" ca="1">INDEX(INDIRECT("'" &amp; 'Figures (2)'!$B$266 &amp; "'!L$3:L$1048576"),'Figures (2)'!$C271)</f>
        <v>131.60777385159011</v>
      </c>
      <c r="I271" cm="1">
        <f t="array" aca="1" ref="I271" ca="1">INDEX(INDIRECT("'" &amp; 'Figures (2)'!$B$266 &amp; "'!M$3:M$1048576"),'Figures (2)'!$C271)</f>
        <v>136.13074204946997</v>
      </c>
      <c r="J271" cm="1">
        <f t="array" aca="1" ref="J271" ca="1">INDEX(INDIRECT("'" &amp; 'Figures (2)'!$B$266 &amp; "'!N$3:N$1048576"),'Figures (2)'!$C271)</f>
        <v>133.32155477031802</v>
      </c>
      <c r="P271" s="10" t="s">
        <v>507</v>
      </c>
      <c r="Q271" cm="1">
        <f t="array" ref="Q271">MATCH('Figures (2)'!Q266 &amp; "tank 2", 'Organized Data'!$F$3:$F$1048576 &amp; 'Organized Data'!$E$3:$E$1048576, 0)</f>
        <v>54</v>
      </c>
      <c r="R271" cm="1">
        <f t="array" aca="1" ref="R271" ca="1">INDEX(INDIRECT("'" &amp; 'Figures (2)'!$P$266 &amp; "'!H$3:H$1048576"),'Figures (2)'!$Q271)</f>
        <v>0</v>
      </c>
      <c r="S271" cm="1">
        <f t="array" aca="1" ref="S271" ca="1">INDEX(INDIRECT("'" &amp; 'Figures (2)'!$P$266 &amp; "'!I$3:I$1048576"),'Figures (2)'!$Q271)</f>
        <v>0</v>
      </c>
      <c r="T271" cm="1">
        <f t="array" aca="1" ref="T271" ca="1">INDEX(INDIRECT("'" &amp; 'Figures (2)'!$P$266 &amp; "'!J$3:J$1048576"),'Figures (2)'!$Q271)</f>
        <v>0</v>
      </c>
      <c r="U271" cm="1">
        <f t="array" aca="1" ref="U271" ca="1">INDEX(INDIRECT("'" &amp; 'Figures (2)'!$P$266 &amp; "'!K$3:K$1048576"),'Figures (2)'!$Q271)</f>
        <v>0</v>
      </c>
      <c r="V271" cm="1">
        <f t="array" aca="1" ref="V271" ca="1">INDEX(INDIRECT("'" &amp; 'Figures (2)'!$P$266 &amp; "'!L$3:L$1048576"),'Figures (2)'!$Q271)</f>
        <v>0</v>
      </c>
      <c r="W271" cm="1">
        <f t="array" aca="1" ref="W271" ca="1">INDEX(INDIRECT("'" &amp; 'Figures (2)'!$P$266 &amp; "'!M$3:M$1048576"),'Figures (2)'!$Q271)</f>
        <v>0</v>
      </c>
      <c r="X271" cm="1">
        <f t="array" aca="1" ref="X271" ca="1">INDEX(INDIRECT("'" &amp; 'Figures (2)'!$P$266 &amp; "'!N$3:N$1048576"),'Figures (2)'!$Q271)</f>
        <v>0</v>
      </c>
    </row>
    <row r="300" spans="2:24" x14ac:dyDescent="0.35">
      <c r="B300" t="s">
        <v>561</v>
      </c>
      <c r="P300" t="s">
        <v>561</v>
      </c>
    </row>
    <row r="301" spans="2:24" x14ac:dyDescent="0.35">
      <c r="B301" s="90" t="s">
        <v>559</v>
      </c>
      <c r="C301" s="90" t="s">
        <v>558</v>
      </c>
      <c r="P301" s="90" t="s">
        <v>559</v>
      </c>
      <c r="Q301" s="90" t="s">
        <v>558</v>
      </c>
    </row>
    <row r="302" spans="2:24" x14ac:dyDescent="0.35">
      <c r="B302" s="89" t="s">
        <v>322</v>
      </c>
      <c r="C302" s="89">
        <v>6</v>
      </c>
      <c r="P302" s="89" t="s">
        <v>531</v>
      </c>
      <c r="Q302" s="89">
        <v>18</v>
      </c>
    </row>
    <row r="303" spans="2:24" x14ac:dyDescent="0.35">
      <c r="D303" s="156" t="s">
        <v>529</v>
      </c>
      <c r="E303" s="156"/>
      <c r="F303" s="156"/>
      <c r="G303" s="156"/>
      <c r="H303" s="156"/>
      <c r="I303" s="156"/>
      <c r="J303" s="156"/>
      <c r="R303" s="156" t="s">
        <v>529</v>
      </c>
      <c r="S303" s="156"/>
      <c r="T303" s="156"/>
      <c r="U303" s="156"/>
      <c r="V303" s="156"/>
      <c r="W303" s="156"/>
      <c r="X303" s="156"/>
    </row>
    <row r="304" spans="2:24" x14ac:dyDescent="0.35">
      <c r="C304" t="s">
        <v>560</v>
      </c>
      <c r="D304" s="10">
        <v>0</v>
      </c>
      <c r="E304" s="10">
        <f t="shared" ref="E304:J304" si="8">D304+30</f>
        <v>30</v>
      </c>
      <c r="F304" s="10">
        <f t="shared" si="8"/>
        <v>60</v>
      </c>
      <c r="G304" s="10">
        <f t="shared" si="8"/>
        <v>90</v>
      </c>
      <c r="H304" s="10">
        <f t="shared" si="8"/>
        <v>120</v>
      </c>
      <c r="I304" s="10">
        <f t="shared" si="8"/>
        <v>150</v>
      </c>
      <c r="J304" s="10">
        <f t="shared" si="8"/>
        <v>180</v>
      </c>
      <c r="Q304" t="s">
        <v>560</v>
      </c>
      <c r="R304" s="10">
        <v>0</v>
      </c>
      <c r="S304" s="10">
        <f t="shared" ref="S304:X304" si="9">R304+30</f>
        <v>30</v>
      </c>
      <c r="T304" s="10">
        <f t="shared" si="9"/>
        <v>60</v>
      </c>
      <c r="U304" s="10">
        <f t="shared" si="9"/>
        <v>90</v>
      </c>
      <c r="V304" s="10">
        <f t="shared" si="9"/>
        <v>120</v>
      </c>
      <c r="W304" s="10">
        <f t="shared" si="9"/>
        <v>150</v>
      </c>
      <c r="X304" s="10">
        <f t="shared" si="9"/>
        <v>180</v>
      </c>
    </row>
    <row r="305" spans="2:24" x14ac:dyDescent="0.35">
      <c r="B305" s="10" t="s">
        <v>344</v>
      </c>
      <c r="C305" cm="1">
        <f t="array" ref="C305">MATCH('Figures (2)'!C302 &amp; "in", 'Organized Data'!$F$3:$F$1048576 &amp; 'Organized Data'!$E$3:$E$1048576, 0)</f>
        <v>12</v>
      </c>
      <c r="D305" cm="1">
        <f t="array" aca="1" ref="D305" ca="1">INDEX(INDIRECT("'" &amp; 'Figures (2)'!$B$302 &amp; "'!H$3:H$1048576"),'Figures (2)'!$C305)</f>
        <v>7.41</v>
      </c>
      <c r="E305" cm="1">
        <f t="array" aca="1" ref="E305" ca="1">INDEX(INDIRECT("'" &amp; 'Figures (2)'!$B$302 &amp; "'!I$3:I$1048576"),'Figures (2)'!$C305)</f>
        <v>7.35</v>
      </c>
      <c r="F305" cm="1">
        <f t="array" aca="1" ref="F305" ca="1">INDEX(INDIRECT("'" &amp; 'Figures (2)'!$B$302 &amp; "'!J$3:J$1048576"),'Figures (2)'!$C305)</f>
        <v>7.33</v>
      </c>
      <c r="G305" cm="1">
        <f t="array" aca="1" ref="G305" ca="1">INDEX(INDIRECT("'" &amp; 'Figures (2)'!$B$302 &amp; "'!K$3:K$1048576"),'Figures (2)'!$C305)</f>
        <v>7.36</v>
      </c>
      <c r="H305" cm="1">
        <f t="array" aca="1" ref="H305" ca="1">INDEX(INDIRECT("'" &amp; 'Figures (2)'!$B$302 &amp; "'!L$3:L$1048576"),'Figures (2)'!$C305)</f>
        <v>7.34</v>
      </c>
      <c r="I305" cm="1">
        <f t="array" aca="1" ref="I305" ca="1">INDEX(INDIRECT("'" &amp; 'Figures (2)'!$B$302 &amp; "'!M$3:M$1048576"),'Figures (2)'!$C305)</f>
        <v>7.41</v>
      </c>
      <c r="J305" cm="1">
        <f t="array" aca="1" ref="J305" ca="1">INDEX(INDIRECT("'" &amp; 'Figures (2)'!$B$302 &amp; "'!N$3:N$1048576"),'Figures (2)'!$C305)</f>
        <v>7.43</v>
      </c>
      <c r="P305" s="10" t="s">
        <v>344</v>
      </c>
      <c r="Q305" cm="1">
        <f t="array" ref="Q305">MATCH('Figures (2)'!Q302 &amp; "in", 'Organized Data'!$F$3:$F$1048576 &amp; 'Organized Data'!$E$3:$E$1048576, 0)</f>
        <v>48</v>
      </c>
      <c r="R305" cm="1">
        <f t="array" aca="1" ref="R305" ca="1">INDEX(INDIRECT("'" &amp; 'Figures (2)'!$P$302  &amp; "'!H$3:H$1048576"),'Figures (2)'!$Q305)</f>
        <v>113.63636363636364</v>
      </c>
      <c r="S305" cm="1">
        <f t="array" aca="1" ref="S305" ca="1">INDEX(INDIRECT("'" &amp; 'Figures (2)'!$P$302 &amp; "'!I$3:I$1048576"),'Figures (2)'!$Q305)</f>
        <v>103.21100917431197</v>
      </c>
      <c r="T305" cm="1">
        <f t="array" aca="1" ref="T305" ca="1">INDEX(INDIRECT("'" &amp; 'Figures (2)'!$P$302 &amp; "'!J$3:J$1048576"),'Figures (2)'!$Q305)</f>
        <v>97.926267281105993</v>
      </c>
      <c r="U305" cm="1">
        <f t="array" aca="1" ref="U305" ca="1">INDEX(INDIRECT("'" &amp; 'Figures (2)'!$P$302 &amp; "'!K$3:K$1048576"),'Figures (2)'!$Q305)</f>
        <v>143.80530973451332</v>
      </c>
      <c r="V305" cm="1">
        <f t="array" aca="1" ref="V305" ca="1">INDEX(INDIRECT("'" &amp; 'Figures (2)'!$P$302 &amp; "'!L$3:L$1048576"),'Figures (2)'!$Q305)</f>
        <v>113.63636363636364</v>
      </c>
      <c r="W305" cm="1">
        <f t="array" aca="1" ref="W305" ca="1">INDEX(INDIRECT("'" &amp; 'Figures (2)'!$P$302 &amp; "'!M$3:M$1048576"),'Figures (2)'!$Q305)</f>
        <v>113.63636363636364</v>
      </c>
      <c r="X305" cm="1">
        <f t="array" aca="1" ref="X305" ca="1">INDEX(INDIRECT("'" &amp; 'Figures (2)'!$P$302 &amp; "'!N$3:N$1048576"),'Figures (2)'!$Q305)</f>
        <v>113.63636363636368</v>
      </c>
    </row>
    <row r="306" spans="2:24" x14ac:dyDescent="0.35">
      <c r="B306" s="10" t="s">
        <v>506</v>
      </c>
      <c r="C306" cm="1">
        <f t="array" ref="C306">MATCH('Figures (2)'!C302 &amp; "tank 1", 'Organized Data'!$F$3:$F$1048576 &amp; 'Organized Data'!$E$3:$E$1048576, 0)</f>
        <v>15</v>
      </c>
      <c r="D306" cm="1">
        <f t="array" aca="1" ref="D306" ca="1">INDEX(INDIRECT("'" &amp; 'Figures (2)'!$B$302 &amp; "'!H$3:H$1048576"),'Figures (2)'!$C306)</f>
        <v>7.2</v>
      </c>
      <c r="E306" cm="1">
        <f t="array" aca="1" ref="E306" ca="1">INDEX(INDIRECT("'" &amp; 'Figures (2)'!$B$302 &amp; "'!I$3:I$1048576"),'Figures (2)'!$C306)</f>
        <v>7.14</v>
      </c>
      <c r="F306" cm="1">
        <f t="array" aca="1" ref="F306" ca="1">INDEX(INDIRECT("'" &amp; 'Figures (2)'!$B$302 &amp; "'!J$3:J$1048576"),'Figures (2)'!$C306)</f>
        <v>7.14</v>
      </c>
      <c r="G306" cm="1">
        <f t="array" aca="1" ref="G306" ca="1">INDEX(INDIRECT("'" &amp; 'Figures (2)'!$B$302 &amp; "'!K$3:K$1048576"),'Figures (2)'!$C306)</f>
        <v>7.12</v>
      </c>
      <c r="H306" cm="1">
        <f t="array" aca="1" ref="H306" ca="1">INDEX(INDIRECT("'" &amp; 'Figures (2)'!$B$302 &amp; "'!L$3:L$1048576"),'Figures (2)'!$C306)</f>
        <v>7.23</v>
      </c>
      <c r="I306" cm="1">
        <f t="array" aca="1" ref="I306" ca="1">INDEX(INDIRECT("'" &amp; 'Figures (2)'!$B$302 &amp; "'!M$3:M$1048576"),'Figures (2)'!$C306)</f>
        <v>7.15</v>
      </c>
      <c r="J306" cm="1">
        <f t="array" aca="1" ref="J306" ca="1">INDEX(INDIRECT("'" &amp; 'Figures (2)'!$B$302 &amp; "'!N$3:N$1048576"),'Figures (2)'!$C306)</f>
        <v>7.17</v>
      </c>
      <c r="P306" s="10" t="s">
        <v>506</v>
      </c>
      <c r="Q306" cm="1">
        <f t="array" ref="Q306">MATCH('Figures (2)'!Q302 &amp; "tank 1", 'Organized Data'!$F$3:$F$1048576 &amp; 'Organized Data'!$E$3:$E$1048576, 0)</f>
        <v>51</v>
      </c>
      <c r="R306" cm="1">
        <f t="array" aca="1" ref="R306" ca="1">INDEX(INDIRECT("'" &amp; 'Figures (2)'!$P$302  &amp; "'!H$3:H$1048576"),'Figures (2)'!$Q306)</f>
        <v>133.92857142857139</v>
      </c>
      <c r="S306" cm="1">
        <f t="array" aca="1" ref="S306" ca="1">INDEX(INDIRECT("'" &amp; 'Figures (2)'!$P$302 &amp; "'!I$3:I$1048576"),'Figures (2)'!$Q306)</f>
        <v>181.62393162393155</v>
      </c>
      <c r="T306" cm="1">
        <f t="array" aca="1" ref="T306" ca="1">INDEX(INDIRECT("'" &amp; 'Figures (2)'!$P$302 &amp; "'!J$3:J$1048576"),'Figures (2)'!$Q306)</f>
        <v>133.92857142857153</v>
      </c>
      <c r="U306" cm="1">
        <f t="array" aca="1" ref="U306" ca="1">INDEX(INDIRECT("'" &amp; 'Figures (2)'!$P$302 &amp; "'!K$3:K$1048576"),'Figures (2)'!$Q306)</f>
        <v>190.67796610169498</v>
      </c>
      <c r="V306" cm="1">
        <f t="array" aca="1" ref="V306" ca="1">INDEX(INDIRECT("'" &amp; 'Figures (2)'!$P$302 &amp; "'!L$3:L$1048576"),'Figures (2)'!$Q306)</f>
        <v>228.21299879887897</v>
      </c>
      <c r="W306" cm="1">
        <f t="array" aca="1" ref="W306" ca="1">INDEX(INDIRECT("'" &amp; 'Figures (2)'!$P$302 &amp; "'!M$3:M$1048576"),'Figures (2)'!$Q306)</f>
        <v>265.74803149606299</v>
      </c>
      <c r="X306" cm="1">
        <f t="array" aca="1" ref="X306" ca="1">INDEX(INDIRECT("'" &amp; 'Figures (2)'!$P$302 &amp; "'!N$3:N$1048576"),'Figures (2)'!$Q306)</f>
        <v>163.04347826086959</v>
      </c>
    </row>
    <row r="307" spans="2:24" x14ac:dyDescent="0.35">
      <c r="B307" s="10" t="s">
        <v>507</v>
      </c>
      <c r="C307" cm="1">
        <f t="array" ref="C307">MATCH('Figures (2)'!C302 &amp; "tank 2", 'Organized Data'!$F$3:$F$1048576 &amp; 'Organized Data'!$E$3:$E$1048576, 0)</f>
        <v>18</v>
      </c>
      <c r="D307" cm="1">
        <f t="array" aca="1" ref="D307" ca="1">INDEX(INDIRECT("'" &amp; 'Figures (2)'!$B$302 &amp; "'!H$3:H$1048576"),'Figures (2)'!$C307)</f>
        <v>7.27</v>
      </c>
      <c r="E307" cm="1">
        <f t="array" aca="1" ref="E307" ca="1">INDEX(INDIRECT("'" &amp; 'Figures (2)'!$B$302 &amp; "'!I$3:I$1048576"),'Figures (2)'!$C307)</f>
        <v>7.2</v>
      </c>
      <c r="F307" cm="1">
        <f t="array" aca="1" ref="F307" ca="1">INDEX(INDIRECT("'" &amp; 'Figures (2)'!$B$302 &amp; "'!J$3:J$1048576"),'Figures (2)'!$C307)</f>
        <v>7.48</v>
      </c>
      <c r="G307" cm="1">
        <f t="array" aca="1" ref="G307" ca="1">INDEX(INDIRECT("'" &amp; 'Figures (2)'!$B$302 &amp; "'!K$3:K$1048576"),'Figures (2)'!$C307)</f>
        <v>7.19</v>
      </c>
      <c r="H307" cm="1">
        <f t="array" aca="1" ref="H307" ca="1">INDEX(INDIRECT("'" &amp; 'Figures (2)'!$B$302 &amp; "'!L$3:L$1048576"),'Figures (2)'!$C307)</f>
        <v>7.41</v>
      </c>
      <c r="I307" cm="1">
        <f t="array" aca="1" ref="I307" ca="1">INDEX(INDIRECT("'" &amp; 'Figures (2)'!$B$302 &amp; "'!M$3:M$1048576"),'Figures (2)'!$C307)</f>
        <v>7.2</v>
      </c>
      <c r="J307" cm="1">
        <f t="array" aca="1" ref="J307" ca="1">INDEX(INDIRECT("'" &amp; 'Figures (2)'!$B$302 &amp; "'!N$3:N$1048576"),'Figures (2)'!$C307)</f>
        <v>7.1</v>
      </c>
      <c r="P307" s="10" t="s">
        <v>507</v>
      </c>
      <c r="Q307" cm="1">
        <f t="array" ref="Q307">MATCH('Figures (2)'!Q302 &amp; "tank 2", 'Organized Data'!$F$3:$F$1048576 &amp; 'Organized Data'!$E$3:$E$1048576, 0)</f>
        <v>54</v>
      </c>
      <c r="R307" cm="1">
        <f t="array" aca="1" ref="R307" ca="1">INDEX(INDIRECT("'" &amp; 'Figures (2)'!$P$302  &amp; "'!H$3:H$1048576"),'Figures (2)'!$Q307)</f>
        <v>108.447488584475</v>
      </c>
      <c r="S307" cm="1">
        <f t="array" aca="1" ref="S307" ca="1">INDEX(INDIRECT("'" &amp; 'Figures (2)'!$P$302 &amp; "'!I$3:I$1048576"),'Figures (2)'!$Q307)</f>
        <v>116.16068122917443</v>
      </c>
      <c r="T307" cm="1">
        <f t="array" aca="1" ref="T307" ca="1">INDEX(INDIRECT("'" &amp; 'Figures (2)'!$P$302 &amp; "'!J$3:J$1048576"),'Figures (2)'!$Q307)</f>
        <v>123.87387387387386</v>
      </c>
      <c r="U307" cm="1">
        <f t="array" aca="1" ref="U307" ca="1">INDEX(INDIRECT("'" &amp; 'Figures (2)'!$P$302 &amp; "'!K$3:K$1048576"),'Figures (2)'!$Q307)</f>
        <v>123.87387387387386</v>
      </c>
      <c r="V307" cm="1">
        <f t="array" aca="1" ref="V307" ca="1">INDEX(INDIRECT("'" &amp; 'Figures (2)'!$P$302 &amp; "'!L$3:L$1048576"),'Figures (2)'!$Q307)</f>
        <v>103.21100917431177</v>
      </c>
      <c r="W307" cm="1">
        <f t="array" aca="1" ref="W307" ca="1">INDEX(INDIRECT("'" &amp; 'Figures (2)'!$P$302 &amp; "'!M$3:M$1048576"),'Figures (2)'!$Q307)</f>
        <v>128.92376681614337</v>
      </c>
      <c r="X307" cm="1">
        <f t="array" aca="1" ref="X307" ca="1">INDEX(INDIRECT("'" &amp; 'Figures (2)'!$P$302 &amp; "'!N$3:N$1048576"),'Figures (2)'!$Q307)</f>
        <v>123.87387387387392</v>
      </c>
    </row>
    <row r="336" spans="2:2" x14ac:dyDescent="0.35">
      <c r="B336" t="s">
        <v>561</v>
      </c>
    </row>
    <row r="337" spans="2:10" x14ac:dyDescent="0.35">
      <c r="B337" s="90" t="s">
        <v>559</v>
      </c>
      <c r="C337" s="90" t="s">
        <v>558</v>
      </c>
    </row>
    <row r="338" spans="2:10" x14ac:dyDescent="0.35">
      <c r="B338" s="89" t="s">
        <v>321</v>
      </c>
      <c r="C338" s="89">
        <v>18</v>
      </c>
    </row>
    <row r="339" spans="2:10" x14ac:dyDescent="0.35">
      <c r="D339" s="156" t="s">
        <v>529</v>
      </c>
      <c r="E339" s="156"/>
      <c r="F339" s="156"/>
      <c r="G339" s="156"/>
      <c r="H339" s="156"/>
      <c r="I339" s="156"/>
      <c r="J339" s="156"/>
    </row>
    <row r="340" spans="2:10" x14ac:dyDescent="0.35">
      <c r="C340" t="s">
        <v>560</v>
      </c>
      <c r="D340" s="10">
        <v>0</v>
      </c>
      <c r="E340" s="10">
        <f t="shared" ref="E340:J340" si="10">D340+30</f>
        <v>30</v>
      </c>
      <c r="F340" s="10">
        <f t="shared" si="10"/>
        <v>60</v>
      </c>
      <c r="G340" s="10">
        <f t="shared" si="10"/>
        <v>90</v>
      </c>
      <c r="H340" s="10">
        <f t="shared" si="10"/>
        <v>120</v>
      </c>
      <c r="I340" s="10">
        <f t="shared" si="10"/>
        <v>150</v>
      </c>
      <c r="J340" s="10">
        <f t="shared" si="10"/>
        <v>180</v>
      </c>
    </row>
    <row r="341" spans="2:10" x14ac:dyDescent="0.35">
      <c r="B341" s="10" t="s">
        <v>344</v>
      </c>
      <c r="C341" cm="1">
        <f t="array" ref="C341">MATCH('Figures (2)'!C338 &amp; "in", 'Organized Data'!$F$3:$F$1048576 &amp; 'Organized Data'!$E$3:$E$1048576, 0)</f>
        <v>48</v>
      </c>
      <c r="D341" cm="1">
        <f t="array" aca="1" ref="D341" ca="1">INDEX(INDIRECT("'" &amp; 'Figures (2)'!$B$338 &amp; "'!H$3:H$1048576"),'Figures (2)'!$C341)</f>
        <v>37.73333333333332</v>
      </c>
      <c r="E341" cm="1">
        <f t="array" aca="1" ref="E341" ca="1">INDEX(INDIRECT("'" &amp; 'Figures (2)'!$B$338 &amp; "'!I$3:I$1048576"),'Figures (2)'!$C341)</f>
        <v>38.399999999999991</v>
      </c>
      <c r="F341" cm="1">
        <f t="array" aca="1" ref="F341" ca="1">INDEX(INDIRECT("'" &amp; 'Figures (2)'!$B$338 &amp; "'!J$3:J$1048576"),'Figures (2)'!$C341)</f>
        <v>35.73333333333332</v>
      </c>
      <c r="G341" cm="1">
        <f t="array" aca="1" ref="G341" ca="1">INDEX(INDIRECT("'" &amp; 'Figures (2)'!$B$338 &amp; "'!K$3:K$1048576"),'Figures (2)'!$C341)</f>
        <v>37.399999999999991</v>
      </c>
      <c r="H341" cm="1">
        <f t="array" aca="1" ref="H341" ca="1">INDEX(INDIRECT("'" &amp; 'Figures (2)'!$B$338 &amp; "'!L$3:L$1048576"),'Figures (2)'!$C341)</f>
        <v>35.399999999999984</v>
      </c>
      <c r="I341" cm="1">
        <f t="array" aca="1" ref="I341" ca="1">INDEX(INDIRECT("'" &amp; 'Figures (2)'!$B$338 &amp; "'!M$3:M$1048576"),'Figures (2)'!$C341)</f>
        <v>37.066666666666656</v>
      </c>
      <c r="J341" cm="1">
        <f t="array" aca="1" ref="J341" ca="1">INDEX(INDIRECT("'" &amp; 'Figures (2)'!$B$338 &amp; "'!N$3:N$1048576"),'Figures (2)'!$C341)</f>
        <v>36.066666666666656</v>
      </c>
    </row>
    <row r="342" spans="2:10" x14ac:dyDescent="0.35">
      <c r="B342" s="10" t="s">
        <v>506</v>
      </c>
      <c r="C342" cm="1">
        <f t="array" ref="C342">MATCH('Figures (2)'!C338 &amp; "tank 1", 'Organized Data'!$F$3:$F$1048576 &amp; 'Organized Data'!$E$3:$E$1048576, 0)</f>
        <v>51</v>
      </c>
      <c r="D342" cm="1">
        <f t="array" aca="1" ref="D342" ca="1">INDEX(INDIRECT("'" &amp; 'Figures (2)'!$B$338 &amp; "'!H$3:H$1048576"),'Figures (2)'!$C342)</f>
        <v>34.399999999999984</v>
      </c>
      <c r="E342" cm="1">
        <f t="array" aca="1" ref="E342" ca="1">INDEX(INDIRECT("'" &amp; 'Figures (2)'!$B$338 &amp; "'!I$3:I$1048576"),'Figures (2)'!$C342)</f>
        <v>45.066666666666663</v>
      </c>
      <c r="F342" cm="1">
        <f t="array" aca="1" ref="F342" ca="1">INDEX(INDIRECT("'" &amp; 'Figures (2)'!$B$338 &amp; "'!J$3:J$1048576"),'Figures (2)'!$C342)</f>
        <v>34.399999999999984</v>
      </c>
      <c r="G342" cm="1">
        <f t="array" aca="1" ref="G342" ca="1">INDEX(INDIRECT("'" &amp; 'Figures (2)'!$B$338 &amp; "'!K$3:K$1048576"),'Figures (2)'!$C342)</f>
        <v>32.399999999999984</v>
      </c>
      <c r="H342" cm="1">
        <f t="array" aca="1" ref="H342" ca="1">INDEX(INDIRECT("'" &amp; 'Figures (2)'!$B$338 &amp; "'!L$3:L$1048576"),'Figures (2)'!$C342)</f>
        <v>37.73333333333332</v>
      </c>
      <c r="I342" cm="1">
        <f t="array" aca="1" ref="I342" ca="1">INDEX(INDIRECT("'" &amp; 'Figures (2)'!$B$338 &amp; "'!M$3:M$1048576"),'Figures (2)'!$C342)</f>
        <v>32.73333333333332</v>
      </c>
      <c r="J342" cm="1">
        <f t="array" aca="1" ref="J342" ca="1">INDEX(INDIRECT("'" &amp; 'Figures (2)'!$B$338 &amp; "'!N$3:N$1048576"),'Figures (2)'!$C342)</f>
        <v>35.399999999999984</v>
      </c>
    </row>
    <row r="343" spans="2:10" x14ac:dyDescent="0.35">
      <c r="B343" s="10" t="s">
        <v>507</v>
      </c>
      <c r="C343" cm="1">
        <f t="array" ref="C343">MATCH('Figures (2)'!C338 &amp; "tank 2", 'Organized Data'!$F$3:$F$1048576 &amp; 'Organized Data'!$E$3:$E$1048576, 0)</f>
        <v>54</v>
      </c>
      <c r="D343" cm="1">
        <f t="array" aca="1" ref="D343" ca="1">INDEX(INDIRECT("'" &amp; 'Figures (2)'!$B$338 &amp; "'!H$3:H$1048576"),'Figures (2)'!$C343)</f>
        <v>37.73333333333332</v>
      </c>
      <c r="E343" cm="1">
        <f t="array" aca="1" ref="E343" ca="1">INDEX(INDIRECT("'" &amp; 'Figures (2)'!$B$338 &amp; "'!I$3:I$1048576"),'Figures (2)'!$C343)</f>
        <v>44.066666666666663</v>
      </c>
      <c r="F343" cm="1">
        <f t="array" aca="1" ref="F343" ca="1">INDEX(INDIRECT("'" &amp; 'Figures (2)'!$B$338 &amp; "'!J$3:J$1048576"),'Figures (2)'!$C343)</f>
        <v>38.399999999999991</v>
      </c>
      <c r="G343" cm="1">
        <f t="array" aca="1" ref="G343" ca="1">INDEX(INDIRECT("'" &amp; 'Figures (2)'!$B$338 &amp; "'!K$3:K$1048576"),'Figures (2)'!$C343)</f>
        <v>35.73333333333332</v>
      </c>
      <c r="H343" cm="1">
        <f t="array" aca="1" ref="H343" ca="1">INDEX(INDIRECT("'" &amp; 'Figures (2)'!$B$338 &amp; "'!L$3:L$1048576"),'Figures (2)'!$C343)</f>
        <v>37.066666666666656</v>
      </c>
      <c r="I343" cm="1">
        <f t="array" aca="1" ref="I343" ca="1">INDEX(INDIRECT("'" &amp; 'Figures (2)'!$B$338 &amp; "'!M$3:M$1048576"),'Figures (2)'!$C343)</f>
        <v>34.066666666666649</v>
      </c>
      <c r="J343" cm="1">
        <f t="array" aca="1" ref="J343" ca="1">INDEX(INDIRECT("'" &amp; 'Figures (2)'!$B$338 &amp; "'!N$3:N$1048576"),'Figures (2)'!$C343)</f>
        <v>37.399999999999991</v>
      </c>
    </row>
  </sheetData>
  <mergeCells count="11">
    <mergeCell ref="D267:J267"/>
    <mergeCell ref="R267:X267"/>
    <mergeCell ref="D303:J303"/>
    <mergeCell ref="R303:X303"/>
    <mergeCell ref="D339:J339"/>
    <mergeCell ref="D160:J160"/>
    <mergeCell ref="R160:X160"/>
    <mergeCell ref="D195:J195"/>
    <mergeCell ref="R195:X195"/>
    <mergeCell ref="D231:J231"/>
    <mergeCell ref="R231:X231"/>
  </mergeCells>
  <pageMargins left="0.7" right="0.7" top="0.75" bottom="0.75" header="0.3" footer="0.3"/>
  <drawing r:id="rId1"/>
  <extLst>
    <ext xmlns:x14="http://schemas.microsoft.com/office/spreadsheetml/2009/9/main" uri="{CCE6A557-97BC-4b89-ADB6-D9C93CAAB3DF}">
      <x14:dataValidations xmlns:xm="http://schemas.microsoft.com/office/excel/2006/main" count="2">
        <x14:dataValidation type="list" allowBlank="1" showInputMessage="1" showErrorMessage="1" xr:uid="{B5B150CA-1D23-4F9C-82DE-892B9A57DFBD}">
          <x14:formula1>
            <xm:f>'Table of Contents'!$A$13:$A$23</xm:f>
          </x14:formula1>
          <xm:sqref>B159 B338 P302 B302 P266 B266 P230 B230 P194 B194 P159</xm:sqref>
        </x14:dataValidation>
        <x14:dataValidation type="list" allowBlank="1" showInputMessage="1" showErrorMessage="1" xr:uid="{E95265AC-53F2-40E6-8AFD-ADB6BD522FDC}">
          <x14:formula1>
            <xm:f>'Organized Data'!$F$3:$F$1048576</xm:f>
          </x14:formula1>
          <xm:sqref>C159 Q159 C194 Q194 C230 Q230 C266 Q266 C302 Q302 C338</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12119-3970-4AA8-B3CA-007309FDDE88}">
  <sheetPr codeName="Sheet7">
    <tabColor rgb="FFFFFF00"/>
  </sheetPr>
  <dimension ref="A1:CG109"/>
  <sheetViews>
    <sheetView tabSelected="1" topLeftCell="K1" zoomScale="75" zoomScaleNormal="75" workbookViewId="0">
      <selection activeCell="X4" sqref="X4"/>
    </sheetView>
  </sheetViews>
  <sheetFormatPr defaultColWidth="11" defaultRowHeight="15.5" x14ac:dyDescent="0.35"/>
  <cols>
    <col min="1" max="1" width="8" bestFit="1" customWidth="1"/>
    <col min="2" max="2" width="21.75" bestFit="1" customWidth="1"/>
    <col min="3" max="4" width="9" bestFit="1" customWidth="1"/>
    <col min="5" max="5" width="9.83203125" customWidth="1"/>
    <col min="6" max="6" width="7.9140625" customWidth="1"/>
    <col min="7" max="7" width="8.33203125" customWidth="1"/>
    <col min="8" max="8" width="9.4140625" bestFit="1" customWidth="1"/>
    <col min="9" max="9" width="7.1640625" bestFit="1" customWidth="1"/>
    <col min="10" max="10" width="9.83203125" bestFit="1" customWidth="1"/>
    <col min="11" max="11" width="8.5" customWidth="1"/>
    <col min="12" max="12" width="8.5" bestFit="1" customWidth="1"/>
    <col min="15" max="15" width="7.83203125" customWidth="1"/>
    <col min="16" max="16" width="9" bestFit="1" customWidth="1"/>
    <col min="18" max="19" width="7.1640625" bestFit="1" customWidth="1"/>
    <col min="20" max="20" width="6.08203125" bestFit="1" customWidth="1"/>
    <col min="21" max="21" width="8.4140625" customWidth="1"/>
    <col min="22" max="22" width="7.25" customWidth="1"/>
    <col min="23" max="23" width="7.25" bestFit="1" customWidth="1"/>
    <col min="24" max="24" width="8.9140625" customWidth="1"/>
    <col min="25" max="25" width="13.25" customWidth="1"/>
  </cols>
  <sheetData>
    <row r="1" spans="1:43" x14ac:dyDescent="0.35">
      <c r="A1" t="s">
        <v>537</v>
      </c>
      <c r="B1" s="55" t="s">
        <v>469</v>
      </c>
    </row>
    <row r="2" spans="1:43" x14ac:dyDescent="0.35">
      <c r="Y2" s="118"/>
    </row>
    <row r="3" spans="1:43" ht="23.5" x14ac:dyDescent="0.55000000000000004">
      <c r="A3" s="38" t="s">
        <v>526</v>
      </c>
      <c r="P3" s="38"/>
    </row>
    <row r="4" spans="1:43" x14ac:dyDescent="0.35">
      <c r="A4" t="s">
        <v>379</v>
      </c>
      <c r="P4" t="s">
        <v>381</v>
      </c>
      <c r="AE4" t="s">
        <v>380</v>
      </c>
    </row>
    <row r="5" spans="1:43" x14ac:dyDescent="0.35">
      <c r="A5" s="157" t="s">
        <v>548</v>
      </c>
      <c r="B5" s="158"/>
      <c r="C5" s="158"/>
      <c r="D5" s="158"/>
      <c r="E5" s="158"/>
      <c r="F5" s="158"/>
      <c r="G5" s="158"/>
      <c r="H5" s="158"/>
      <c r="I5" s="159"/>
      <c r="J5" t="s">
        <v>596</v>
      </c>
      <c r="K5" t="s">
        <v>602</v>
      </c>
      <c r="L5" t="s">
        <v>603</v>
      </c>
      <c r="M5" t="s">
        <v>602</v>
      </c>
      <c r="N5" t="s">
        <v>603</v>
      </c>
      <c r="P5" s="96" t="s">
        <v>549</v>
      </c>
      <c r="Q5" s="97"/>
      <c r="R5" s="97"/>
      <c r="S5" s="97"/>
      <c r="T5" s="97"/>
      <c r="U5" s="97"/>
      <c r="V5" s="97"/>
      <c r="W5" s="97"/>
      <c r="X5" s="107"/>
      <c r="Y5" t="s">
        <v>597</v>
      </c>
      <c r="Z5" t="s">
        <v>602</v>
      </c>
      <c r="AA5" t="s">
        <v>603</v>
      </c>
      <c r="AE5" s="96" t="s">
        <v>550</v>
      </c>
      <c r="AF5" s="97"/>
      <c r="AG5" s="97"/>
      <c r="AH5" s="97"/>
      <c r="AI5" s="97"/>
      <c r="AJ5" s="97"/>
      <c r="AK5" s="97"/>
      <c r="AL5" s="97"/>
      <c r="AM5" s="98"/>
      <c r="AN5" t="s">
        <v>597</v>
      </c>
      <c r="AO5" t="s">
        <v>602</v>
      </c>
      <c r="AP5" t="s">
        <v>603</v>
      </c>
    </row>
    <row r="6" spans="1:43" ht="29" x14ac:dyDescent="0.35">
      <c r="A6" s="5" t="s">
        <v>10</v>
      </c>
      <c r="B6" s="7" t="s">
        <v>17</v>
      </c>
      <c r="C6" s="7" t="s">
        <v>18</v>
      </c>
      <c r="D6" s="7" t="s">
        <v>19</v>
      </c>
      <c r="E6" s="7" t="s">
        <v>319</v>
      </c>
      <c r="F6" s="7" t="s">
        <v>479</v>
      </c>
      <c r="G6" s="7" t="s">
        <v>321</v>
      </c>
      <c r="H6" s="7" t="s">
        <v>531</v>
      </c>
      <c r="I6" s="102" t="s">
        <v>322</v>
      </c>
      <c r="J6" s="104" t="s">
        <v>661</v>
      </c>
      <c r="K6" s="104" t="s">
        <v>600</v>
      </c>
      <c r="L6" s="104" t="s">
        <v>600</v>
      </c>
      <c r="M6" s="104" t="s">
        <v>601</v>
      </c>
      <c r="N6" s="104" t="s">
        <v>601</v>
      </c>
      <c r="P6" s="5" t="s">
        <v>10</v>
      </c>
      <c r="Q6" s="7" t="s">
        <v>17</v>
      </c>
      <c r="R6" s="7" t="s">
        <v>18</v>
      </c>
      <c r="S6" s="7" t="s">
        <v>19</v>
      </c>
      <c r="T6" s="7" t="s">
        <v>319</v>
      </c>
      <c r="U6" s="7" t="s">
        <v>479</v>
      </c>
      <c r="V6" s="7" t="s">
        <v>321</v>
      </c>
      <c r="W6" s="102" t="s">
        <v>531</v>
      </c>
      <c r="X6" s="102" t="s">
        <v>322</v>
      </c>
      <c r="Y6" s="104" t="s">
        <v>661</v>
      </c>
      <c r="Z6" s="104" t="s">
        <v>579</v>
      </c>
      <c r="AA6" s="104" t="s">
        <v>579</v>
      </c>
      <c r="AB6" s="152" t="s">
        <v>718</v>
      </c>
      <c r="AC6" s="152"/>
      <c r="AE6" s="5" t="s">
        <v>10</v>
      </c>
      <c r="AF6" s="7" t="s">
        <v>17</v>
      </c>
      <c r="AG6" s="7" t="s">
        <v>18</v>
      </c>
      <c r="AH6" s="7" t="s">
        <v>19</v>
      </c>
      <c r="AI6" s="7" t="s">
        <v>319</v>
      </c>
      <c r="AJ6" s="7" t="s">
        <v>479</v>
      </c>
      <c r="AK6" s="7" t="s">
        <v>321</v>
      </c>
      <c r="AL6" s="7" t="s">
        <v>531</v>
      </c>
      <c r="AM6" s="102" t="s">
        <v>322</v>
      </c>
      <c r="AN6" s="104" t="s">
        <v>661</v>
      </c>
      <c r="AO6" s="104" t="s">
        <v>579</v>
      </c>
      <c r="AP6" s="104" t="s">
        <v>579</v>
      </c>
      <c r="AQ6" s="173" t="s">
        <v>718</v>
      </c>
    </row>
    <row r="7" spans="1:43" x14ac:dyDescent="0.35">
      <c r="A7" s="6">
        <v>1</v>
      </c>
      <c r="B7" s="9" cm="1">
        <f t="array" aca="1" ref="B7" ca="1">IFERROR(INDEX(INDIRECT("'" &amp; B$6 &amp; "'!O:O"), MATCH(1, (INDIRECT("'"&amp; B$6 &amp; "'!F:F") =$L58) * (INDIRECT("'" &amp; B$6 &amp; "'!E:E") = Tables!$A$4), 0)), "")</f>
        <v>0.37677183356195698</v>
      </c>
      <c r="C7" s="9" cm="1">
        <f t="array" aca="1" ref="C7" ca="1">IFERROR(INDEX(INDIRECT("'" &amp; C$6 &amp; "'!O:O"), MATCH(1, (INDIRECT("'"&amp; C$6 &amp; "'!F:F") =$L58) * (INDIRECT("'" &amp; C$6 &amp; "'!E:E") = Tables!$A$4), 0)), "")</f>
        <v>7.1230342275670669E-2</v>
      </c>
      <c r="D7" s="9" cm="1">
        <f t="array" aca="1" ref="D7" ca="1">IFERROR(INDEX(INDIRECT("'" &amp; D$6 &amp; "'!O:O"), MATCH(1, (INDIRECT("'"&amp; D$6 &amp; "'!F:F") =$L58) * (INDIRECT("'" &amp; D$6 &amp; "'!E:E") = Tables!$A$4), 0)), "")</f>
        <v>3.5057673509286409</v>
      </c>
      <c r="E7" s="9" cm="1">
        <f t="array" aca="1" ref="E7" ca="1">IFERROR(INDEX(INDIRECT("'" &amp; E$6 &amp; "'!O:O"), MATCH(1, (INDIRECT("'"&amp; E$6 &amp; "'!F:F") =$L58) * (INDIRECT("'" &amp; E$6 &amp; "'!E:E") = Tables!$A$4), 0)), "")</f>
        <v>3.9537695267662687</v>
      </c>
      <c r="F7" s="9" cm="1">
        <f t="array" aca="1" ref="F7" ca="1">IFERROR(INDEX(INDIRECT("'" &amp; F$6 &amp; "'!O:O"), MATCH(1, (INDIRECT("'"&amp; F$6 &amp; "'!F:F") =$L58) * (INDIRECT("'" &amp; F$6 &amp; "'!E:E") = Tables!$A$4), 0)), "")</f>
        <v>1.7045456131170416</v>
      </c>
      <c r="G7" s="9" cm="1">
        <f t="array" aca="1" ref="G7" ca="1">IFERROR(INDEX(INDIRECT("'" &amp; G$6 &amp; "'!O:O"), MATCH(1, (INDIRECT("'"&amp; G$6 &amp; "'!F:F") =$L58) * (INDIRECT("'" &amp; G$6 &amp; "'!E:E") = Tables!$A$4), 0)), "")</f>
        <v>32.733333333333313</v>
      </c>
      <c r="H7" s="9" cm="1">
        <f t="array" aca="1" ref="H7" ca="1">IFERROR(INDEX(INDIRECT("'" &amp; H$6 &amp; "'!O:O"), MATCH(1, (INDIRECT("'"&amp; H$6 &amp; "'!F:F") =$L58) * (INDIRECT("'" &amp; H$6 &amp; "'!E:E") = Tables!$A$4), 0)), "")</f>
        <v>195.64332303846894</v>
      </c>
      <c r="I7" s="103" cm="1">
        <f t="array" aca="1" ref="I7" ca="1">IFERROR(INDEX(INDIRECT("'" &amp; I$6 &amp; "'!O:O"), MATCH(1, (INDIRECT("'"&amp; I$6 &amp; "'!F:F") =$L58) * (INDIRECT("'" &amp; I$6 &amp; "'!E:E") = Tables!$A$4), 0)), "")</f>
        <v>7.8528571428571441</v>
      </c>
      <c r="J7" s="105">
        <f>IFERROR(INDEX('Date Key'!$H$25:$H$42, MATCH(A7, 'Date Key'!$A$25:$A$42, 0)), "")</f>
        <v>496.67727272727274</v>
      </c>
      <c r="K7" s="106">
        <f ca="1">E7/Y7/1000</f>
        <v>7.9604397943477021E-6</v>
      </c>
      <c r="L7" s="108">
        <f ca="1">K7/1000*(10^6)*1440</f>
        <v>11.463033303860691</v>
      </c>
      <c r="M7" s="106">
        <f ca="1">E7/AN7/1000</f>
        <v>7.9604397943477021E-6</v>
      </c>
      <c r="N7" s="108">
        <f ca="1">M7/1000*(10^6)*1440</f>
        <v>11.463033303860691</v>
      </c>
      <c r="P7" s="6">
        <v>1</v>
      </c>
      <c r="Q7" s="9" cm="1">
        <f t="array" aca="1" ref="Q7" ca="1">IFERROR(INDEX(INDIRECT("'" &amp; Q$6 &amp; "'!O:O"), MATCH(1, (INDIRECT("'"&amp; Q$6 &amp; "'!F:F") =$P7) * (INDIRECT("'" &amp; Q$6 &amp; "'!E:E") = Tables!$P$4), 0)), "")</f>
        <v>0.62551440329218111</v>
      </c>
      <c r="R7" s="9" cm="1">
        <f t="array" aca="1" ref="R7" ca="1">IFERROR(INDEX(INDIRECT("'" &amp; R$6 &amp; "'!O:O"), MATCH(1, (INDIRECT("'"&amp; R$6 &amp; "'!F:F") =$P7) * (INDIRECT("'" &amp; R$6 &amp; "'!E:E") = Tables!$P$4), 0)), "")</f>
        <v>0.11378353376503239</v>
      </c>
      <c r="S7" s="9" cm="1">
        <f t="array" aca="1" ref="S7" ca="1">IFERROR(INDEX(INDIRECT("'" &amp; S$6 &amp; "'!O:O"), MATCH(1, (INDIRECT("'"&amp; S$6 &amp; "'!F:F") =$P7) * (INDIRECT("'" &amp; S$6 &amp; "'!E:E") = Tables!$P$4), 0)), "")</f>
        <v>0.15796676441837734</v>
      </c>
      <c r="T7" s="9" cm="1">
        <f t="array" aca="1" ref="T7" ca="1">IFERROR(INDEX(INDIRECT("'" &amp; T$6 &amp; "'!O:O"), MATCH(1, (INDIRECT("'"&amp; T$6 &amp; "'!F:F") =$P7) * (INDIRECT("'" &amp; T$6 &amp; "'!E:E") = Tables!$P$4), 0)), "")</f>
        <v>0.8972647014755909</v>
      </c>
      <c r="U7" s="9" cm="1">
        <f t="array" aca="1" ref="U7" ca="1">IFERROR(INDEX(INDIRECT("'" &amp; U$6 &amp; "'!O:O"), MATCH(1, (INDIRECT("'"&amp; U$6 &amp; "'!F:F") =$P7) * (INDIRECT("'" &amp; U$6 &amp; "'!E:E") = Tables!$P$4), 0)), "")</f>
        <v>4.6600383743240888E-2</v>
      </c>
      <c r="V7" s="9" cm="1">
        <f t="array" aca="1" ref="V7" ca="1">IFERROR(INDEX(INDIRECT("'" &amp; V$6 &amp; "'!O:O"), MATCH(1, (INDIRECT("'"&amp; V$6 &amp; "'!F:F") =$P7) * (INDIRECT("'" &amp; V$6 &amp; "'!E:E") = Tables!$P$4), 0)), "")</f>
        <v>18.876190476190477</v>
      </c>
      <c r="W7" s="103" cm="1">
        <f t="array" aca="1" ref="W7" ca="1">IFERROR(INDEX(INDIRECT("'" &amp; W$6 &amp; "'!O:O"), MATCH(1, (INDIRECT("'"&amp; W$6 &amp; "'!F:F") =$P7) * (INDIRECT("'" &amp; W$6 &amp; "'!E:E") = Tables!$P$4), 0)), "")</f>
        <v>320.58827603803189</v>
      </c>
      <c r="X7" s="103" cm="1">
        <f t="array" aca="1" ref="X7" ca="1">IFERROR(INDEX(INDIRECT("'" &amp; X$6 &amp; "'!O:O"), MATCH(1, (INDIRECT("'"&amp; X$6 &amp; "'!F:F") =$P7) * (INDIRECT("'" &amp; X$6 &amp; "'!E:E") = Tables!$P$4), 0)), "")</f>
        <v>6.9285714285714288</v>
      </c>
      <c r="Y7" s="105">
        <f>IFERROR(INDEX('Date Key'!$H$25:$H$42, MATCH(P7, 'Date Key'!$A$25:$A$42, 0)), "")</f>
        <v>496.67727272727274</v>
      </c>
      <c r="Z7" s="106">
        <f ca="1">(E7-T7)/Y7/1000</f>
        <v>6.153905147516213E-6</v>
      </c>
      <c r="AA7" s="108">
        <f ca="1">(Z7/1000)*(10^6)*1440</f>
        <v>8.8616234124233468</v>
      </c>
      <c r="AB7" s="109">
        <f ca="1">AVERAGE(AA7,AA9:AA24)</f>
        <v>12.493834353276467</v>
      </c>
      <c r="AC7" s="109"/>
      <c r="AE7" s="6">
        <v>1</v>
      </c>
      <c r="AF7" s="9" cm="1">
        <f t="array" aca="1" ref="AF7" ca="1">IFERROR(INDEX(INDIRECT("'" &amp; AF$6 &amp; "'!O:O"), MATCH(1, (INDIRECT("'"&amp; AF$6 &amp; "'!F:F") =$AE7) * (INDIRECT("'" &amp; AF$6 &amp; "'!E:E") = Tables!$AE$4), 0)), "")</f>
        <v>0.21947873799725651</v>
      </c>
      <c r="AG7" s="9" cm="1">
        <f t="array" aca="1" ref="AG7" ca="1">IFERROR(INDEX(INDIRECT("'" &amp; AG$6 &amp; "'!O:O"), MATCH(1, (INDIRECT("'"&amp; AG$6 &amp; "'!F:F") =$AE7) * (INDIRECT("'" &amp; AG$6 &amp; "'!E:E") = Tables!$AE$4), 0)), "")</f>
        <v>0.14431082331174835</v>
      </c>
      <c r="AH7" s="9" cm="1">
        <f t="array" aca="1" ref="AH7" ca="1">IFERROR(INDEX(INDIRECT("'" &amp; AH$6 &amp; "'!O:O"), MATCH(1, (INDIRECT("'"&amp; AH$6 &amp; "'!F:F") =$AE7) * (INDIRECT("'" &amp; AH$6 &amp; "'!E:E") = Tables!$AE$4), 0)), "")</f>
        <v>1.0995112414467252</v>
      </c>
      <c r="AI7" s="9" cm="1">
        <f t="array" aca="1" ref="AI7" ca="1">IFERROR(INDEX(INDIRECT("'" &amp; AI$6 &amp; "'!O:O"), MATCH(1, (INDIRECT("'"&amp; AI$6 &amp; "'!F:F") =$AE7) * (INDIRECT("'" &amp; AI$6 &amp; "'!E:E") = Tables!$AE$4), 0)), "")</f>
        <v>1.4633008027557304</v>
      </c>
      <c r="AJ7" s="9" cm="1">
        <f t="array" aca="1" ref="AJ7" ca="1">IFERROR(INDEX(INDIRECT("'" &amp; AJ$6 &amp; "'!O:O"), MATCH(1, (INDIRECT("'"&amp; AJ$6 &amp; "'!F:F") =$AE7) * (INDIRECT("'" &amp; AJ$6 &amp; "'!E:E") = Tables!$AE$4), 0)), "")</f>
        <v>0.76611896040467464</v>
      </c>
      <c r="AK7" s="9" cm="1">
        <f t="array" aca="1" ref="AK7" ca="1">IFERROR(INDEX(INDIRECT("'" &amp; AK$6 &amp; "'!O:O"), MATCH(1, (INDIRECT("'"&amp; AK$6 &amp; "'!F:F") =$AE7) * (INDIRECT("'" &amp; AK$6 &amp; "'!E:E") = Tables!$AE$4), 0)), "")</f>
        <v>61.733333333333313</v>
      </c>
      <c r="AL7" s="9" cm="1">
        <f t="array" aca="1" ref="AL7" ca="1">IFERROR(INDEX(INDIRECT("'" &amp; AL$6 &amp; "'!O:O"), MATCH(1, (INDIRECT("'"&amp; AL$6 &amp; "'!F:F") =$AE7) * (INDIRECT("'" &amp; AL$6 &amp; "'!E:E") = Tables!$AE$4), 0)), "")</f>
        <v>244.60217971486117</v>
      </c>
      <c r="AM7" s="103" cm="1">
        <f t="array" aca="1" ref="AM7" ca="1">IFERROR(INDEX(INDIRECT("'" &amp; AM$6 &amp; "'!O:O"), MATCH(1, (INDIRECT("'"&amp; AM$6 &amp; "'!F:F") =$AE7) * (INDIRECT("'" &amp; AM$6 &amp; "'!E:E") = Tables!$AE$4), 0)), "")</f>
        <v>6.8385714285714281</v>
      </c>
      <c r="AN7" s="105">
        <f>IFERROR(INDEX('Date Key'!$I$25:$I$42, MATCH(AE7, 'Date Key'!$A$25:$A$42, 0)), "")</f>
        <v>496.67727272727274</v>
      </c>
      <c r="AO7" s="106">
        <f ca="1">(E7-AI7)/AN7/1000</f>
        <v>5.0142594814843956E-6</v>
      </c>
      <c r="AP7" s="108">
        <f ca="1">AO7/1000*(10^6)*1440</f>
        <v>7.2205336533375286</v>
      </c>
      <c r="AQ7" s="109">
        <f ca="1">AVERAGE(AP7,AP9:AP24)</f>
        <v>9.7943032269686086</v>
      </c>
    </row>
    <row r="8" spans="1:43" x14ac:dyDescent="0.35">
      <c r="A8" s="6">
        <v>2</v>
      </c>
      <c r="B8" s="9" cm="1">
        <f t="array" aca="1" ref="B8" ca="1">IFERROR(INDEX(INDIRECT("'" &amp; B$6 &amp; "'!O:O"), MATCH(1, (INDIRECT("'"&amp; B$6 &amp; "'!F:F") =$L59) * (INDIRECT("'" &amp; B$6 &amp; "'!E:E") = Tables!$A$4), 0)), "")</f>
        <v>0.31092821216278005</v>
      </c>
      <c r="C8" s="9" cm="1">
        <f t="array" aca="1" ref="C8" ca="1">IFERROR(INDEX(INDIRECT("'" &amp; C$6 &amp; "'!O:O"), MATCH(1, (INDIRECT("'"&amp; C$6 &amp; "'!F:F") =$L59) * (INDIRECT("'" &amp; C$6 &amp; "'!E:E") = Tables!$A$4), 0)), "")</f>
        <v>5.9204440333024973E-2</v>
      </c>
      <c r="D8" s="9" cm="1">
        <f t="array" aca="1" ref="D8" ca="1">IFERROR(INDEX(INDIRECT("'" &amp; D$6 &amp; "'!O:O"), MATCH(1, (INDIRECT("'"&amp; D$6 &amp; "'!F:F") =$L59) * (INDIRECT("'" &amp; D$6 &amp; "'!E:E") = Tables!$A$4), 0)), "")</f>
        <v>2.5610948191593352</v>
      </c>
      <c r="E8" s="9" cm="1">
        <f t="array" aca="1" ref="E8" ca="1">IFERROR(INDEX(INDIRECT("'" &amp; E$6 &amp; "'!O:O"), MATCH(1, (INDIRECT("'"&amp; E$6 &amp; "'!F:F") =$L59) * (INDIRECT("'" &amp; E$6 &amp; "'!E:E") = Tables!$A$4), 0)), "")</f>
        <v>2.9312274716551405</v>
      </c>
      <c r="F8" s="9" cm="1">
        <f t="array" aca="1" ref="F8" ca="1">IFERROR(INDEX(INDIRECT("'" &amp; F$6 &amp; "'!O:O"), MATCH(1, (INDIRECT("'"&amp; F$6 &amp; "'!F:F") =$L59) * (INDIRECT("'" &amp; F$6 &amp; "'!E:E") = Tables!$A$4), 0)), "")</f>
        <v>1.5510483167626024</v>
      </c>
      <c r="G8" s="9" cm="1">
        <f t="array" aca="1" ref="G8" ca="1">IFERROR(INDEX(INDIRECT("'" &amp; G$6 &amp; "'!O:O"), MATCH(1, (INDIRECT("'"&amp; G$6 &amp; "'!F:F") =$L59) * (INDIRECT("'" &amp; G$6 &amp; "'!E:E") = Tables!$A$4), 0)), "")</f>
        <v>31.828571428571411</v>
      </c>
      <c r="H8" s="9" cm="1">
        <f t="array" aca="1" ref="H8" ca="1">IFERROR(INDEX(INDIRECT("'" &amp; H$6 &amp; "'!O:O"), MATCH(1, (INDIRECT("'"&amp; H$6 &amp; "'!F:F") =$L59) * (INDIRECT("'" &amp; H$6 &amp; "'!E:E") = Tables!$A$4), 0)), "")</f>
        <v>102.73959987571848</v>
      </c>
      <c r="I8" s="103" cm="1">
        <f t="array" aca="1" ref="I8" ca="1">IFERROR(INDEX(INDIRECT("'" &amp; I$6 &amp; "'!O:O"), MATCH(1, (INDIRECT("'"&amp; I$6 &amp; "'!F:F") =$L59) * (INDIRECT("'" &amp; I$6 &amp; "'!E:E") = Tables!$A$4), 0)), "")</f>
        <v>7.7357142857142858</v>
      </c>
      <c r="J8" s="105">
        <f>IFERROR(INDEX('Date Key'!$H$25:$H$42, MATCH(A8, 'Date Key'!$A$25:$A$42, 0)), "")</f>
        <v>496.67727272727274</v>
      </c>
      <c r="K8" s="106">
        <f ca="1">E8/Y8/1000</f>
        <v>5.9016742512893037E-6</v>
      </c>
      <c r="L8" s="108">
        <f t="shared" ref="L8:L24" ca="1" si="0">K8/1000*(10^6)*1440</f>
        <v>8.498410921856598</v>
      </c>
      <c r="M8" s="106">
        <f t="shared" ref="M8:M24" ca="1" si="1">E8/AN8/1000</f>
        <v>5.9016742512893037E-6</v>
      </c>
      <c r="N8" s="108">
        <f t="shared" ref="N8:N24" ca="1" si="2">M8/1000*(10^6)*1440</f>
        <v>8.498410921856598</v>
      </c>
      <c r="P8" s="6">
        <v>2</v>
      </c>
      <c r="Q8" s="9" cm="1">
        <f t="array" aca="1" ref="Q8" ca="1">IFERROR(INDEX(INDIRECT("'" &amp; Q$6 &amp; "'!O:O"), MATCH(1, (INDIRECT("'"&amp; Q$6 &amp; "'!F:F") =$P8) * (INDIRECT("'" &amp; Q$6 &amp; "'!E:E") = Tables!$P$4), 0)), "")</f>
        <v>0.6986739826245999</v>
      </c>
      <c r="R8" s="9" cm="1">
        <f t="array" aca="1" ref="R8" ca="1">IFERROR(INDEX(INDIRECT("'" &amp; R$6 &amp; "'!O:O"), MATCH(1, (INDIRECT("'"&amp; R$6 &amp; "'!F:F") =$P8) * (INDIRECT("'" &amp; R$6 &amp; "'!E:E") = Tables!$P$4), 0)), "")</f>
        <v>6.475485661424607E-2</v>
      </c>
      <c r="S8" s="9" cm="1">
        <f t="array" aca="1" ref="S8" ca="1">IFERROR(INDEX(INDIRECT("'" &amp; S$6 &amp; "'!O:O"), MATCH(1, (INDIRECT("'"&amp; S$6 &amp; "'!F:F") =$P8) * (INDIRECT("'" &amp; S$6 &amp; "'!E:E") = Tables!$P$4), 0)), "")</f>
        <v>0.15718475073313781</v>
      </c>
      <c r="T8" s="9" cm="1">
        <f t="array" aca="1" ref="T8" ca="1">IFERROR(INDEX(INDIRECT("'" &amp; T$6 &amp; "'!O:O"), MATCH(1, (INDIRECT("'"&amp; T$6 &amp; "'!F:F") =$P8) * (INDIRECT("'" &amp; T$6 &amp; "'!E:E") = Tables!$P$4), 0)), "")</f>
        <v>0.92061358997198384</v>
      </c>
      <c r="U8" s="9" cm="1">
        <f t="array" aca="1" ref="U8" ca="1">IFERROR(INDEX(INDIRECT("'" &amp; U$6 &amp; "'!O:O"), MATCH(1, (INDIRECT("'"&amp; U$6 &amp; "'!F:F") =$P8) * (INDIRECT("'" &amp; U$6 &amp; "'!E:E") = Tables!$P$4), 0)), "")</f>
        <v>0.3876085818942962</v>
      </c>
      <c r="V8" s="9" cm="1">
        <f t="array" aca="1" ref="V8" ca="1">IFERROR(INDEX(INDIRECT("'" &amp; V$6 &amp; "'!O:O"), MATCH(1, (INDIRECT("'"&amp; V$6 &amp; "'!F:F") =$P8) * (INDIRECT("'" &amp; V$6 &amp; "'!E:E") = Tables!$P$4), 0)), "")</f>
        <v>29.685714285714266</v>
      </c>
      <c r="W8" s="103" cm="1">
        <f t="array" aca="1" ref="W8" ca="1">IFERROR(INDEX(INDIRECT("'" &amp; W$6 &amp; "'!O:O"), MATCH(1, (INDIRECT("'"&amp; W$6 &amp; "'!F:F") =$P8) * (INDIRECT("'" &amp; W$6 &amp; "'!E:E") = Tables!$P$4), 0)), "")</f>
        <v>119.46025338882482</v>
      </c>
      <c r="X8" s="103" cm="1">
        <f t="array" aca="1" ref="X8" ca="1">IFERROR(INDEX(INDIRECT("'" &amp; X$6 &amp; "'!O:O"), MATCH(1, (INDIRECT("'"&amp; X$6 &amp; "'!F:F") =$P8) * (INDIRECT("'" &amp; X$6 &amp; "'!E:E") = Tables!$P$4), 0)), "")</f>
        <v>6.9685714285714289</v>
      </c>
      <c r="Y8" s="105">
        <f>IFERROR(INDEX('Date Key'!$H$25:$H$42, MATCH(P8, 'Date Key'!$A$25:$A$42, 0)), "")</f>
        <v>496.67727272727274</v>
      </c>
      <c r="Z8" s="106">
        <f ca="1">(E8-T8)/Y8/1000</f>
        <v>4.0481294234439274E-6</v>
      </c>
      <c r="AA8" s="108">
        <f ca="1">(Z8/1000)*(10^6)*1440</f>
        <v>5.829306369759256</v>
      </c>
      <c r="AB8" s="109"/>
      <c r="AC8" s="109"/>
      <c r="AE8" s="6">
        <v>2</v>
      </c>
      <c r="AF8" s="9" cm="1">
        <f t="array" aca="1" ref="AF8" ca="1">IFERROR(INDEX(INDIRECT("'" &amp; AF$6 &amp; "'!O:O"), MATCH(1, (INDIRECT("'"&amp; AF$6 &amp; "'!F:F") =$AE8) * (INDIRECT("'" &amp; AF$6 &amp; "'!E:E") = Tables!$AE$4), 0)), "")</f>
        <v>0.32190214906264281</v>
      </c>
      <c r="AG8" s="9" cm="1">
        <f t="array" aca="1" ref="AG8" ca="1">IFERROR(INDEX(INDIRECT("'" &amp; AG$6 &amp; "'!O:O"), MATCH(1, (INDIRECT("'"&amp; AG$6 &amp; "'!F:F") =$AE8) * (INDIRECT("'" &amp; AG$6 &amp; "'!E:E") = Tables!$AE$4), 0)), "")</f>
        <v>0.34875115633672527</v>
      </c>
      <c r="AH8" s="9" cm="1">
        <f t="array" aca="1" ref="AH8" ca="1">IFERROR(INDEX(INDIRECT("'" &amp; AH$6 &amp; "'!O:O"), MATCH(1, (INDIRECT("'"&amp; AH$6 &amp; "'!F:F") =$AE8) * (INDIRECT("'" &amp; AH$6 &amp; "'!E:E") = Tables!$AE$4), 0)), "")</f>
        <v>1.5178885630498533</v>
      </c>
      <c r="AI8" s="9" cm="1">
        <f t="array" aca="1" ref="AI8" ca="1">IFERROR(INDEX(INDIRECT("'" &amp; AI$6 &amp; "'!O:O"), MATCH(1, (INDIRECT("'"&amp; AI$6 &amp; "'!F:F") =$AE8) * (INDIRECT("'" &amp; AI$6 &amp; "'!E:E") = Tables!$AE$4), 0)), "")</f>
        <v>2.1885418684492213</v>
      </c>
      <c r="AJ8" s="9" cm="1">
        <f t="array" aca="1" ref="AJ8" ca="1">IFERROR(INDEX(INDIRECT("'" &amp; AJ$6 &amp; "'!O:O"), MATCH(1, (INDIRECT("'"&amp; AJ$6 &amp; "'!F:F") =$AE8) * (INDIRECT("'" &amp; AJ$6 &amp; "'!E:E") = Tables!$AE$4), 0)), "")</f>
        <v>1.4036560265131695</v>
      </c>
      <c r="AK8" s="9" cm="1">
        <f t="array" aca="1" ref="AK8" ca="1">IFERROR(INDEX(INDIRECT("'" &amp; AK$6 &amp; "'!O:O"), MATCH(1, (INDIRECT("'"&amp; AK$6 &amp; "'!F:F") =$AE8) * (INDIRECT("'" &amp; AK$6 &amp; "'!E:E") = Tables!$AE$4), 0)), "")</f>
        <v>39.92380952380951</v>
      </c>
      <c r="AL8" s="9" cm="1">
        <f t="array" aca="1" ref="AL8" ca="1">IFERROR(INDEX(INDIRECT("'" &amp; AL$6 &amp; "'!O:O"), MATCH(1, (INDIRECT("'"&amp; AL$6 &amp; "'!F:F") =$AE8) * (INDIRECT("'" &amp; AL$6 &amp; "'!E:E") = Tables!$AE$4), 0)), "")</f>
        <v>109.08856870521353</v>
      </c>
      <c r="AM8" s="103" cm="1">
        <f t="array" aca="1" ref="AM8" ca="1">IFERROR(INDEX(INDIRECT("'" &amp; AM$6 &amp; "'!O:O"), MATCH(1, (INDIRECT("'"&amp; AM$6 &amp; "'!F:F") =$AE8) * (INDIRECT("'" &amp; AM$6 &amp; "'!E:E") = Tables!$AE$4), 0)), "")</f>
        <v>6.9399999999999986</v>
      </c>
      <c r="AN8" s="105">
        <f>IFERROR(INDEX('Date Key'!$I$25:$I$42, MATCH(AE8, 'Date Key'!$A$25:$A$42, 0)), "")</f>
        <v>496.67727272727274</v>
      </c>
      <c r="AO8" s="106">
        <f t="shared" ref="AO8:AO24" ca="1" si="3">(E8-AI8)/AN8/1000</f>
        <v>1.4953082091471711E-6</v>
      </c>
      <c r="AP8" s="108">
        <f t="shared" ref="AP8:AP24" ca="1" si="4">AO8/1000*(10^6)*1440</f>
        <v>2.1532438211719263</v>
      </c>
    </row>
    <row r="9" spans="1:43" x14ac:dyDescent="0.35">
      <c r="A9" s="6">
        <v>3</v>
      </c>
      <c r="B9" s="9" cm="1">
        <f t="array" aca="1" ref="B9" ca="1">IFERROR(INDEX(INDIRECT("'" &amp; B$6 &amp; "'!O:O"), MATCH(1, (INDIRECT("'"&amp; B$6 &amp; "'!F:F") =$L60) * (INDIRECT("'" &amp; B$6 &amp; "'!E:E") = Tables!$A$4), 0)), "")</f>
        <v>0.18320610687022901</v>
      </c>
      <c r="C9" s="9" cm="1">
        <f t="array" aca="1" ref="C9" ca="1">IFERROR(INDEX(INDIRECT("'" &amp; C$6 &amp; "'!O:O"), MATCH(1, (INDIRECT("'"&amp; C$6 &amp; "'!F:F") =$L60) * (INDIRECT("'" &amp; C$6 &amp; "'!E:E") = Tables!$A$4), 0)), "")</f>
        <v>1.757631822386679E-2</v>
      </c>
      <c r="D9" s="9" cm="1">
        <f t="array" aca="1" ref="D9" ca="1">IFERROR(INDEX(INDIRECT("'" &amp; D$6 &amp; "'!O:O"), MATCH(1, (INDIRECT("'"&amp; D$6 &amp; "'!F:F") =$L60) * (INDIRECT("'" &amp; D$6 &amp; "'!E:E") = Tables!$A$4), 0)), "")</f>
        <v>1.2887585532746824</v>
      </c>
      <c r="E9" s="9" cm="1">
        <f t="array" aca="1" ref="E9" ca="1">IFERROR(INDEX(INDIRECT("'" &amp; E$6 &amp; "'!O:O"), MATCH(1, (INDIRECT("'"&amp; E$6 &amp; "'!F:F") =$L60) * (INDIRECT("'" &amp; E$6 &amp; "'!E:E") = Tables!$A$4), 0)), "")</f>
        <v>1.4895409783687781</v>
      </c>
      <c r="F9" s="9" cm="1">
        <f t="array" aca="1" ref="F9" ca="1">IFERROR(INDEX(INDIRECT("'" &amp; F$6 &amp; "'!O:O"), MATCH(1, (INDIRECT("'"&amp; F$6 &amp; "'!F:F") =$L60) * (INDIRECT("'" &amp; F$6 &amp; "'!E:E") = Tables!$A$4), 0)), "")</f>
        <v>0.653612419326705</v>
      </c>
      <c r="G9" s="9" cm="1">
        <f t="array" aca="1" ref="G9" ca="1">IFERROR(INDEX(INDIRECT("'" &amp; G$6 &amp; "'!O:O"), MATCH(1, (INDIRECT("'"&amp; G$6 &amp; "'!F:F") =$L60) * (INDIRECT("'" &amp; G$6 &amp; "'!E:E") = Tables!$A$4), 0)), "")</f>
        <v>22.590476190476185</v>
      </c>
      <c r="H9" s="9" cm="1">
        <f t="array" aca="1" ref="H9" ca="1">IFERROR(INDEX(INDIRECT("'" &amp; H$6 &amp; "'!O:O"), MATCH(1, (INDIRECT("'"&amp; H$6 &amp; "'!F:F") =$L60) * (INDIRECT("'" &amp; H$6 &amp; "'!E:E") = Tables!$A$4), 0)), "")</f>
        <v>114.79680532915036</v>
      </c>
      <c r="I9" s="103" cm="1">
        <f t="array" aca="1" ref="I9" ca="1">IFERROR(INDEX(INDIRECT("'" &amp; I$6 &amp; "'!O:O"), MATCH(1, (INDIRECT("'"&amp; I$6 &amp; "'!F:F") =$L60) * (INDIRECT("'" &amp; I$6 &amp; "'!E:E") = Tables!$A$4), 0)), "")</f>
        <v>7.5699999999999994</v>
      </c>
      <c r="J9" s="105">
        <f>IFERROR(INDEX('Date Key'!$H$25:$H$42, MATCH(A9, 'Date Key'!$A$25:$A$42, 0)), "")</f>
        <v>496.67727272727274</v>
      </c>
      <c r="K9" s="106">
        <f t="shared" ref="K9:K24" ca="1" si="5">E9/Y9/1000</f>
        <v>2.9990117530235583E-6</v>
      </c>
      <c r="L9" s="108">
        <f t="shared" ca="1" si="0"/>
        <v>4.3185769243539243</v>
      </c>
      <c r="M9" s="106">
        <f t="shared" ca="1" si="1"/>
        <v>2.9990117530235583E-6</v>
      </c>
      <c r="N9" s="108">
        <f t="shared" ca="1" si="2"/>
        <v>4.3185769243539243</v>
      </c>
      <c r="P9" s="6">
        <v>3</v>
      </c>
      <c r="Q9" s="9" cm="1">
        <f t="array" aca="1" ref="Q9" ca="1">IFERROR(INDEX(INDIRECT("'" &amp; Q$6 &amp; "'!O:O"), MATCH(1, (INDIRECT("'"&amp; Q$6 &amp; "'!F:F") =$P9) * (INDIRECT("'" &amp; Q$6 &amp; "'!E:E") = Tables!$P$4), 0)), "")</f>
        <v>0.2544529262086514</v>
      </c>
      <c r="R9" s="9" cm="1">
        <f t="array" aca="1" ref="R9" ca="1">IFERROR(INDEX(INDIRECT("'" &amp; R$6 &amp; "'!O:O"), MATCH(1, (INDIRECT("'"&amp; R$6 &amp; "'!F:F") =$P9) * (INDIRECT("'" &amp; R$6 &amp; "'!E:E") = Tables!$P$4), 0)), "")</f>
        <v>3.7002775208140608E-3</v>
      </c>
      <c r="S9" s="9" cm="1">
        <f t="array" aca="1" ref="S9" ca="1">IFERROR(INDEX(INDIRECT("'" &amp; S$6 &amp; "'!O:O"), MATCH(1, (INDIRECT("'"&amp; S$6 &amp; "'!F:F") =$P9) * (INDIRECT("'" &amp; S$6 &amp; "'!E:E") = Tables!$P$4), 0)), "")</f>
        <v>1.4858260019550342E-2</v>
      </c>
      <c r="T9" s="9" cm="1">
        <f t="array" aca="1" ref="T9" ca="1">IFERROR(INDEX(INDIRECT("'" &amp; T$6 &amp; "'!O:O"), MATCH(1, (INDIRECT("'"&amp; T$6 &amp; "'!F:F") =$P9) * (INDIRECT("'" &amp; T$6 &amp; "'!E:E") = Tables!$P$4), 0)), "")</f>
        <v>0.2730114637490158</v>
      </c>
      <c r="U9" s="9" cm="1">
        <f t="array" aca="1" ref="U9" ca="1">IFERROR(INDEX(INDIRECT("'" &amp; U$6 &amp; "'!O:O"), MATCH(1, (INDIRECT("'"&amp; U$6 &amp; "'!F:F") =$P9) * (INDIRECT("'" &amp; U$6 &amp; "'!E:E") = Tables!$P$4), 0)), "")</f>
        <v>0.20881911739054598</v>
      </c>
      <c r="V9" s="9" cm="1">
        <f t="array" aca="1" ref="V9" ca="1">IFERROR(INDEX(INDIRECT("'" &amp; V$6 &amp; "'!O:O"), MATCH(1, (INDIRECT("'"&amp; V$6 &amp; "'!F:F") =$P9) * (INDIRECT("'" &amp; V$6 &amp; "'!E:E") = Tables!$P$4), 0)), "")</f>
        <v>26.685714285714266</v>
      </c>
      <c r="W9" s="103" cm="1">
        <f t="array" aca="1" ref="W9" ca="1">IFERROR(INDEX(INDIRECT("'" &amp; W$6 &amp; "'!O:O"), MATCH(1, (INDIRECT("'"&amp; W$6 &amp; "'!F:F") =$P9) * (INDIRECT("'" &amp; W$6 &amp; "'!E:E") = Tables!$P$4), 0)), "")</f>
        <v>135.31411129388374</v>
      </c>
      <c r="X9" s="103" cm="1">
        <f t="array" aca="1" ref="X9" ca="1">IFERROR(INDEX(INDIRECT("'" &amp; X$6 &amp; "'!O:O"), MATCH(1, (INDIRECT("'"&amp; X$6 &amp; "'!F:F") =$P9) * (INDIRECT("'" &amp; X$6 &amp; "'!E:E") = Tables!$P$4), 0)), "")</f>
        <v>7.0200000000000005</v>
      </c>
      <c r="Y9" s="105">
        <f>IFERROR(INDEX('Date Key'!$H$25:$H$42, MATCH(P9, 'Date Key'!$A$25:$A$42, 0)), "")</f>
        <v>496.67727272727274</v>
      </c>
      <c r="Z9" s="106">
        <f t="shared" ref="Z9:Z24" ca="1" si="6">(E9-T9)/Y9/1000</f>
        <v>2.4493359801622391E-6</v>
      </c>
      <c r="AA9" s="108">
        <f t="shared" ref="AA9:AA24" ca="1" si="7">(Z9/1000)*(10^6)*1440</f>
        <v>3.5270438114336242</v>
      </c>
      <c r="AB9" s="109"/>
      <c r="AC9" s="109"/>
      <c r="AE9" s="6">
        <v>3</v>
      </c>
      <c r="AF9" s="9" cm="1">
        <f t="array" aca="1" ref="AF9" ca="1">IFERROR(INDEX(INDIRECT("'" &amp; AF$6 &amp; "'!O:O"), MATCH(1, (INDIRECT("'"&amp; AF$6 &amp; "'!F:F") =$AE9) * (INDIRECT("'" &amp; AF$6 &amp; "'!E:E") = Tables!$AE$4), 0)), "")</f>
        <v>0.12553011026293467</v>
      </c>
      <c r="AG9" s="9" cm="1">
        <f t="array" aca="1" ref="AG9" ca="1">IFERROR(INDEX(INDIRECT("'" &amp; AG$6 &amp; "'!O:O"), MATCH(1, (INDIRECT("'"&amp; AG$6 &amp; "'!F:F") =$AE9) * (INDIRECT("'" &amp; AG$6 &amp; "'!E:E") = Tables!$AE$4), 0)), "")</f>
        <v>3.0527289546716001E-2</v>
      </c>
      <c r="AH9" s="9" cm="1">
        <f t="array" aca="1" ref="AH9" ca="1">IFERROR(INDEX(INDIRECT("'" &amp; AH$6 &amp; "'!O:O"), MATCH(1, (INDIRECT("'"&amp; AH$6 &amp; "'!F:F") =$AE9) * (INDIRECT("'" &amp; AH$6 &amp; "'!E:E") = Tables!$AE$4), 0)), "")</f>
        <v>2.0332355816226784E-2</v>
      </c>
      <c r="AI9" s="9" cm="1">
        <f t="array" aca="1" ref="AI9" ca="1">IFERROR(INDEX(INDIRECT("'" &amp; AI$6 &amp; "'!O:O"), MATCH(1, (INDIRECT("'"&amp; AI$6 &amp; "'!F:F") =$AE9) * (INDIRECT("'" &amp; AI$6 &amp; "'!E:E") = Tables!$AE$4), 0)), "")</f>
        <v>0.17638975562587747</v>
      </c>
      <c r="AJ9" s="9" cm="1">
        <f t="array" aca="1" ref="AJ9" ca="1">IFERROR(INDEX(INDIRECT("'" &amp; AJ$6 &amp; "'!O:O"), MATCH(1, (INDIRECT("'"&amp; AJ$6 &amp; "'!F:F") =$AE9) * (INDIRECT("'" &amp; AJ$6 &amp; "'!E:E") = Tables!$AE$4), 0)), "")</f>
        <v>0.76350252921681494</v>
      </c>
      <c r="AK9" s="9" cm="1">
        <f t="array" aca="1" ref="AK9" ca="1">IFERROR(INDEX(INDIRECT("'" &amp; AK$6 &amp; "'!O:O"), MATCH(1, (INDIRECT("'"&amp; AK$6 &amp; "'!F:F") =$AE9) * (INDIRECT("'" &amp; AK$6 &amp; "'!E:E") = Tables!$AE$4), 0)), "")</f>
        <v>70.1142857142857</v>
      </c>
      <c r="AL9" s="9" cm="1">
        <f t="array" aca="1" ref="AL9" ca="1">IFERROR(INDEX(INDIRECT("'" &amp; AL$6 &amp; "'!O:O"), MATCH(1, (INDIRECT("'"&amp; AL$6 &amp; "'!F:F") =$AE9) * (INDIRECT("'" &amp; AL$6 &amp; "'!E:E") = Tables!$AE$4), 0)), "")</f>
        <v>184.69929969257888</v>
      </c>
      <c r="AM9" s="103" cm="1">
        <f t="array" aca="1" ref="AM9" ca="1">IFERROR(INDEX(INDIRECT("'" &amp; AM$6 &amp; "'!O:O"), MATCH(1, (INDIRECT("'"&amp; AM$6 &amp; "'!F:F") =$AE9) * (INDIRECT("'" &amp; AM$6 &amp; "'!E:E") = Tables!$AE$4), 0)), "")</f>
        <v>6.8114285714285714</v>
      </c>
      <c r="AN9" s="105">
        <f>IFERROR(INDEX('Date Key'!$I$25:$I$42, MATCH(AE9, 'Date Key'!$A$25:$A$42, 0)), "")</f>
        <v>496.67727272727274</v>
      </c>
      <c r="AO9" s="106">
        <f t="shared" ca="1" si="3"/>
        <v>2.6438721778678136E-6</v>
      </c>
      <c r="AP9" s="108">
        <f t="shared" ca="1" si="4"/>
        <v>3.8071759361296516</v>
      </c>
    </row>
    <row r="10" spans="1:43" x14ac:dyDescent="0.35">
      <c r="A10" s="6">
        <v>4</v>
      </c>
      <c r="B10" s="9" cm="1">
        <f t="array" aca="1" ref="B10" ca="1">IFERROR(INDEX(INDIRECT("'" &amp; B$6 &amp; "'!O:O"), MATCH(1, (INDIRECT("'"&amp; B$6 &amp; "'!F:F") =$L61) * (INDIRECT("'" &amp; B$6 &amp; "'!E:E") = Tables!$A$4), 0)), "")</f>
        <v>8.3969465648854963E-2</v>
      </c>
      <c r="C10" s="9" cm="1">
        <f t="array" aca="1" ref="C10" ca="1">IFERROR(INDEX(INDIRECT("'" &amp; C$6 &amp; "'!O:O"), MATCH(1, (INDIRECT("'"&amp; C$6 &amp; "'!F:F") =$L61) * (INDIRECT("'" &amp; C$6 &amp; "'!E:E") = Tables!$A$4), 0)), "")</f>
        <v>3.7246615571950428E-2</v>
      </c>
      <c r="D10" s="9" cm="1">
        <f t="array" aca="1" ref="D10" ca="1">IFERROR(INDEX(INDIRECT("'" &amp; D$6 &amp; "'!O:O"), MATCH(1, (INDIRECT("'"&amp; D$6 &amp; "'!F:F") =$L61) * (INDIRECT("'" &amp; D$6 &amp; "'!E:E") = Tables!$A$4), 0)), "")</f>
        <v>1.5199493350221656</v>
      </c>
      <c r="E10" s="9" cm="1">
        <f t="array" aca="1" ref="E10" ca="1">IFERROR(INDEX(INDIRECT("'" &amp; E$6 &amp; "'!O:O"), MATCH(1, (INDIRECT("'"&amp; E$6 &amp; "'!F:F") =$L61) * (INDIRECT("'" &amp; E$6 &amp; "'!E:E") = Tables!$A$4), 0)), "")</f>
        <v>1.641165416242971</v>
      </c>
      <c r="F10" s="9" cm="1">
        <f t="array" aca="1" ref="F10" ca="1">IFERROR(INDEX(INDIRECT("'" &amp; F$6 &amp; "'!O:O"), MATCH(1, (INDIRECT("'"&amp; F$6 &amp; "'!F:F") =$L61) * (INDIRECT("'" &amp; F$6 &amp; "'!E:E") = Tables!$A$4), 0)), "")</f>
        <v>0.95351125065410791</v>
      </c>
      <c r="G10" s="9" cm="1">
        <f t="array" aca="1" ref="G10" ca="1">IFERROR(INDEX(INDIRECT("'" &amp; G$6 &amp; "'!O:O"), MATCH(1, (INDIRECT("'"&amp; G$6 &amp; "'!F:F") =$L61) * (INDIRECT("'" &amp; G$6 &amp; "'!E:E") = Tables!$A$4), 0)), "")</f>
        <v>57.733333333333313</v>
      </c>
      <c r="H10" s="9" cm="1">
        <f t="array" aca="1" ref="H10" ca="1">IFERROR(INDEX(INDIRECT("'" &amp; H$6 &amp; "'!O:O"), MATCH(1, (INDIRECT("'"&amp; H$6 &amp; "'!F:F") =$L61) * (INDIRECT("'" &amp; H$6 &amp; "'!E:E") = Tables!$A$4), 0)), "")</f>
        <v>111.34062113269387</v>
      </c>
      <c r="I10" s="103" cm="1">
        <f t="array" aca="1" ref="I10" ca="1">IFERROR(INDEX(INDIRECT("'" &amp; I$6 &amp; "'!O:O"), MATCH(1, (INDIRECT("'"&amp; I$6 &amp; "'!F:F") =$L61) * (INDIRECT("'" &amp; I$6 &amp; "'!E:E") = Tables!$A$4), 0)), "")</f>
        <v>7.7185714285714289</v>
      </c>
      <c r="J10" s="105">
        <f>IFERROR(INDEX('Date Key'!$H$25:$H$42, MATCH(A10, 'Date Key'!$A$25:$A$42, 0)), "")</f>
        <v>248.33863636363637</v>
      </c>
      <c r="K10" s="106">
        <f t="shared" ca="1" si="5"/>
        <v>6.6085786741610812E-6</v>
      </c>
      <c r="L10" s="108">
        <f t="shared" ca="1" si="0"/>
        <v>9.5163532907919564</v>
      </c>
      <c r="M10" s="106">
        <f t="shared" ca="1" si="1"/>
        <v>6.6085786741610812E-6</v>
      </c>
      <c r="N10" s="108">
        <f t="shared" ca="1" si="2"/>
        <v>9.5163532907919564</v>
      </c>
      <c r="P10" s="6">
        <v>4</v>
      </c>
      <c r="Q10" s="9" cm="1">
        <f t="array" aca="1" ref="Q10" ca="1">IFERROR(INDEX(INDIRECT("'" &amp; Q$6 &amp; "'!O:O"), MATCH(1, (INDIRECT("'"&amp; Q$6 &amp; "'!F:F") =$P10) * (INDIRECT("'" &amp; Q$6 &amp; "'!E:E") = Tables!$P$4), 0)), "")</f>
        <v>0.36132315521628505</v>
      </c>
      <c r="R10" s="9" cm="1">
        <f t="array" aca="1" ref="R10" ca="1">IFERROR(INDEX(INDIRECT("'" &amp; R$6 &amp; "'!O:O"), MATCH(1, (INDIRECT("'"&amp; R$6 &amp; "'!F:F") =$P10) * (INDIRECT("'" &amp; R$6 &amp; "'!E:E") = Tables!$P$4), 0)), "")</f>
        <v>4.4409426258863974E-2</v>
      </c>
      <c r="S10" s="9" cm="1">
        <f t="array" aca="1" ref="S10" ca="1">IFERROR(INDEX(INDIRECT("'" &amp; S$6 &amp; "'!O:O"), MATCH(1, (INDIRECT("'"&amp; S$6 &amp; "'!F:F") =$P10) * (INDIRECT("'" &amp; S$6 &amp; "'!E:E") = Tables!$P$4), 0)), "")</f>
        <v>7.3545935565588666E-2</v>
      </c>
      <c r="T10" s="9" cm="1">
        <f t="array" aca="1" ref="T10" ca="1">IFERROR(INDEX(INDIRECT("'" &amp; T$6 &amp; "'!O:O"), MATCH(1, (INDIRECT("'"&amp; T$6 &amp; "'!F:F") =$P10) * (INDIRECT("'" &amp; T$6 &amp; "'!E:E") = Tables!$P$4), 0)), "")</f>
        <v>0.47927851704073771</v>
      </c>
      <c r="U10" s="9" cm="1">
        <f t="array" aca="1" ref="U10" ca="1">IFERROR(INDEX(INDIRECT("'" &amp; U$6 &amp; "'!O:O"), MATCH(1, (INDIRECT("'"&amp; U$6 &amp; "'!F:F") =$P10) * (INDIRECT("'" &amp; U$6 &amp; "'!E:E") = Tables!$P$4), 0)), "")</f>
        <v>0.15898831327402754</v>
      </c>
      <c r="V10" s="9" cm="1">
        <f t="array" aca="1" ref="V10" ca="1">IFERROR(INDEX(INDIRECT("'" &amp; V$6 &amp; "'!O:O"), MATCH(1, (INDIRECT("'"&amp; V$6 &amp; "'!F:F") =$P10) * (INDIRECT("'" &amp; V$6 &amp; "'!E:E") = Tables!$P$4), 0)), "")</f>
        <v>48.86666666666666</v>
      </c>
      <c r="W10" s="103" cm="1">
        <f t="array" aca="1" ref="W10" ca="1">IFERROR(INDEX(INDIRECT("'" &amp; W$6 &amp; "'!O:O"), MATCH(1, (INDIRECT("'"&amp; W$6 &amp; "'!F:F") =$P10) * (INDIRECT("'" &amp; W$6 &amp; "'!E:E") = Tables!$P$4), 0)), "")</f>
        <v>109.0825054306159</v>
      </c>
      <c r="X10" s="103" cm="1">
        <f t="array" aca="1" ref="X10" ca="1">IFERROR(INDEX(INDIRECT("'" &amp; X$6 &amp; "'!O:O"), MATCH(1, (INDIRECT("'"&amp; X$6 &amp; "'!F:F") =$P10) * (INDIRECT("'" &amp; X$6 &amp; "'!E:E") = Tables!$P$4), 0)), "")</f>
        <v>7.1542857142857148</v>
      </c>
      <c r="Y10" s="105">
        <f>IFERROR(INDEX('Date Key'!$H$25:$H$42, MATCH(P10, 'Date Key'!$A$25:$A$42, 0)), "")</f>
        <v>248.33863636363637</v>
      </c>
      <c r="Z10" s="106">
        <f t="shared" ca="1" si="6"/>
        <v>4.6786392814886441E-6</v>
      </c>
      <c r="AA10" s="108">
        <f t="shared" ca="1" si="7"/>
        <v>6.7372405653436473</v>
      </c>
      <c r="AB10" s="109"/>
      <c r="AC10" s="109"/>
      <c r="AE10" s="6">
        <v>4</v>
      </c>
      <c r="AF10" s="9" cm="1">
        <f t="array" aca="1" ref="AF10" ca="1">IFERROR(INDEX(INDIRECT("'" &amp; AF$6 &amp; "'!O:O"), MATCH(1, (INDIRECT("'"&amp; AF$6 &amp; "'!F:F") =$AE10) * (INDIRECT("'" &amp; AF$6 &amp; "'!E:E") = Tables!$AE$4), 0)), "")</f>
        <v>7.6335877862595417E-3</v>
      </c>
      <c r="AG10" s="9" cm="1">
        <f t="array" aca="1" ref="AG10" ca="1">IFERROR(INDEX(INDIRECT("'" &amp; AG$6 &amp; "'!O:O"), MATCH(1, (INDIRECT("'"&amp; AG$6 &amp; "'!F:F") =$AE10) * (INDIRECT("'" &amp; AG$6 &amp; "'!E:E") = Tables!$AE$4), 0)), "")</f>
        <v>0.17548886182938186</v>
      </c>
      <c r="AH10" s="9" cm="1">
        <f t="array" aca="1" ref="AH10" ca="1">IFERROR(INDEX(INDIRECT("'" &amp; AH$6 &amp; "'!O:O"), MATCH(1, (INDIRECT("'"&amp; AH$6 &amp; "'!F:F") =$AE10) * (INDIRECT("'" &amp; AH$6 &amp; "'!E:E") = Tables!$AE$4), 0)), "")</f>
        <v>0.43453390263335306</v>
      </c>
      <c r="AI10" s="9" cm="1">
        <f t="array" aca="1" ref="AI10" ca="1">IFERROR(INDEX(INDIRECT("'" &amp; AI$6 &amp; "'!O:O"), MATCH(1, (INDIRECT("'"&amp; AI$6 &amp; "'!F:F") =$AE10) * (INDIRECT("'" &amp; AI$6 &amp; "'!E:E") = Tables!$AE$4), 0)), "")</f>
        <v>0.6176563522489944</v>
      </c>
      <c r="AJ10" s="9" cm="1">
        <f t="array" aca="1" ref="AJ10" ca="1">IFERROR(INDEX(INDIRECT("'" &amp; AJ$6 &amp; "'!O:O"), MATCH(1, (INDIRECT("'"&amp; AJ$6 &amp; "'!F:F") =$AE10) * (INDIRECT("'" &amp; AJ$6 &amp; "'!E:E") = Tables!$AE$4), 0)), "")</f>
        <v>0.44505145648002792</v>
      </c>
      <c r="AK10" s="9" cm="1">
        <f t="array" aca="1" ref="AK10" ca="1">IFERROR(INDEX(INDIRECT("'" &amp; AK$6 &amp; "'!O:O"), MATCH(1, (INDIRECT("'"&amp; AK$6 &amp; "'!F:F") =$AE10) * (INDIRECT("'" &amp; AK$6 &amp; "'!E:E") = Tables!$AE$4), 0)), "")</f>
        <v>58.971428571428568</v>
      </c>
      <c r="AL10" s="9" cm="1">
        <f t="array" aca="1" ref="AL10" ca="1">IFERROR(INDEX(INDIRECT("'" &amp; AL$6 &amp; "'!O:O"), MATCH(1, (INDIRECT("'"&amp; AL$6 &amp; "'!F:F") =$AE10) * (INDIRECT("'" &amp; AL$6 &amp; "'!E:E") = Tables!$AE$4), 0)), "")</f>
        <v>117.48326752068942</v>
      </c>
      <c r="AM10" s="103" cm="1">
        <f t="array" aca="1" ref="AM10" ca="1">IFERROR(INDEX(INDIRECT("'" &amp; AM$6 &amp; "'!O:O"), MATCH(1, (INDIRECT("'"&amp; AM$6 &amp; "'!F:F") =$AE10) * (INDIRECT("'" &amp; AM$6 &amp; "'!E:E") = Tables!$AE$4), 0)), "")</f>
        <v>7.194285714285714</v>
      </c>
      <c r="AN10" s="105">
        <f>IFERROR(INDEX('Date Key'!$I$25:$I$42, MATCH(AE10, 'Date Key'!$A$25:$A$42, 0)), "")</f>
        <v>248.33863636363637</v>
      </c>
      <c r="AO10" s="106">
        <f t="shared" ca="1" si="3"/>
        <v>4.1214249984657109E-6</v>
      </c>
      <c r="AP10" s="108">
        <f t="shared" ca="1" si="4"/>
        <v>5.9348519977906236</v>
      </c>
    </row>
    <row r="11" spans="1:43" x14ac:dyDescent="0.35">
      <c r="A11" s="6">
        <v>5</v>
      </c>
      <c r="B11" s="9" cm="1">
        <f t="array" aca="1" ref="B11" ca="1">IFERROR(INDEX(INDIRECT("'" &amp; B$6 &amp; "'!O:O"), MATCH(1, (INDIRECT("'"&amp; B$6 &amp; "'!F:F") =$L62) * (INDIRECT("'" &amp; B$6 &amp; "'!E:E") = Tables!$A$4), 0)), "")</f>
        <v>5.7157703299558334E-2</v>
      </c>
      <c r="C11" s="9" cm="1">
        <f t="array" aca="1" ref="C11" ca="1">IFERROR(INDEX(INDIRECT("'" &amp; C$6 &amp; "'!O:O"), MATCH(1, (INDIRECT("'"&amp; C$6 &amp; "'!F:F") =$L62) * (INDIRECT("'" &amp; C$6 &amp; "'!E:E") = Tables!$A$4), 0)), "")</f>
        <v>1.6474464579901153E-2</v>
      </c>
      <c r="D11" s="9" cm="1">
        <f t="array" aca="1" ref="D11" ca="1">IFERROR(INDEX(INDIRECT("'" &amp; D$6 &amp; "'!O:O"), MATCH(1, (INDIRECT("'"&amp; D$6 &amp; "'!F:F") =$L62) * (INDIRECT("'" &amp; D$6 &amp; "'!E:E") = Tables!$A$4), 0)), "")</f>
        <v>1.1810251486240781</v>
      </c>
      <c r="E11" s="9" cm="1">
        <f t="array" aca="1" ref="E11" ca="1">IFERROR(INDEX(INDIRECT("'" &amp; E$6 &amp; "'!O:O"), MATCH(1, (INDIRECT("'"&amp; E$6 &amp; "'!F:F") =$L62) * (INDIRECT("'" &amp; E$6 &amp; "'!E:E") = Tables!$A$4), 0)), "")</f>
        <v>1.2546573165035377</v>
      </c>
      <c r="F11" s="9" cm="1">
        <f t="array" aca="1" ref="F11" ca="1">IFERROR(INDEX(INDIRECT("'" &amp; F$6 &amp; "'!O:O"), MATCH(1, (INDIRECT("'"&amp; F$6 &amp; "'!F:F") =$L62) * (INDIRECT("'" &amp; F$6 &amp; "'!E:E") = Tables!$A$4), 0)), "")</f>
        <v>1.0921821036106751</v>
      </c>
      <c r="G11" s="9" cm="1">
        <f t="array" aca="1" ref="G11" ca="1">IFERROR(INDEX(INDIRECT("'" &amp; G$6 &amp; "'!O:O"), MATCH(1, (INDIRECT("'"&amp; G$6 &amp; "'!F:F") =$L62) * (INDIRECT("'" &amp; G$6 &amp; "'!E:E") = Tables!$A$4), 0)), "")</f>
        <v>29.352380952380933</v>
      </c>
      <c r="H11" s="9" cm="1">
        <f t="array" aca="1" ref="H11" ca="1">IFERROR(INDEX(INDIRECT("'" &amp; H$6 &amp; "'!O:O"), MATCH(1, (INDIRECT("'"&amp; H$6 &amp; "'!F:F") =$L62) * (INDIRECT("'" &amp; H$6 &amp; "'!E:E") = Tables!$A$4), 0)), "")</f>
        <v>122.41137241137244</v>
      </c>
      <c r="I11" s="103" cm="1">
        <f t="array" aca="1" ref="I11" ca="1">IFERROR(INDEX(INDIRECT("'" &amp; I$6 &amp; "'!O:O"), MATCH(1, (INDIRECT("'"&amp; I$6 &amp; "'!F:F") =$L62) * (INDIRECT("'" &amp; I$6 &amp; "'!E:E") = Tables!$A$4), 0)), "")</f>
        <v>7.9357142857142851</v>
      </c>
      <c r="J11" s="105">
        <f>IFERROR(INDEX('Date Key'!$H$25:$H$42, MATCH(A11, 'Date Key'!$A$25:$A$42, 0)), "")</f>
        <v>248.33863636363637</v>
      </c>
      <c r="K11" s="106">
        <f t="shared" ca="1" si="5"/>
        <v>5.0522034544249206E-6</v>
      </c>
      <c r="L11" s="108">
        <f t="shared" ca="1" si="0"/>
        <v>7.2751729743718849</v>
      </c>
      <c r="M11" s="106">
        <f t="shared" ca="1" si="1"/>
        <v>5.0522034544249206E-6</v>
      </c>
      <c r="N11" s="108">
        <f t="shared" ca="1" si="2"/>
        <v>7.2751729743718849</v>
      </c>
      <c r="P11" s="6">
        <v>5</v>
      </c>
      <c r="Q11" s="9" cm="1">
        <f t="array" aca="1" ref="Q11" ca="1">IFERROR(INDEX(INDIRECT("'" &amp; Q$6 &amp; "'!O:O"), MATCH(1, (INDIRECT("'"&amp; Q$6 &amp; "'!F:F") =$P11) * (INDIRECT("'" &amp; Q$6 &amp; "'!E:E") = Tables!$P$4), 0)), "")</f>
        <v>3.8971161340607949E-2</v>
      </c>
      <c r="R11" s="9" cm="1">
        <f t="array" aca="1" ref="R11" ca="1">IFERROR(INDEX(INDIRECT("'" &amp; R$6 &amp; "'!O:O"), MATCH(1, (INDIRECT("'"&amp; R$6 &amp; "'!F:F") =$P11) * (INDIRECT("'" &amp; R$6 &amp; "'!E:E") = Tables!$P$4), 0)), "")</f>
        <v>4.2976864121481275E-3</v>
      </c>
      <c r="S11" s="9" cm="1">
        <f t="array" aca="1" ref="S11" ca="1">IFERROR(INDEX(INDIRECT("'" &amp; S$6 &amp; "'!O:O"), MATCH(1, (INDIRECT("'"&amp; S$6 &amp; "'!F:F") =$P11) * (INDIRECT("'" &amp; S$6 &amp; "'!E:E") = Tables!$P$4), 0)), "")</f>
        <v>2.0225132280536885E-2</v>
      </c>
      <c r="T11" s="9" cm="1">
        <f t="array" aca="1" ref="T11" ca="1">IFERROR(INDEX(INDIRECT("'" &amp; T$6 &amp; "'!O:O"), MATCH(1, (INDIRECT("'"&amp; T$6 &amp; "'!F:F") =$P11) * (INDIRECT("'" &amp; T$6 &amp; "'!E:E") = Tables!$P$4), 0)), "")</f>
        <v>6.3493980033292971E-2</v>
      </c>
      <c r="U11" s="9" cm="1">
        <f t="array" aca="1" ref="U11" ca="1">IFERROR(INDEX(INDIRECT("'" &amp; U$6 &amp; "'!O:O"), MATCH(1, (INDIRECT("'"&amp; U$6 &amp; "'!F:F") =$P11) * (INDIRECT("'" &amp; U$6 &amp; "'!E:E") = Tables!$P$4), 0)), "")</f>
        <v>0.38748997034711319</v>
      </c>
      <c r="V11" s="9" cm="1">
        <f t="array" aca="1" ref="V11" ca="1">IFERROR(INDEX(INDIRECT("'" &amp; V$6 &amp; "'!O:O"), MATCH(1, (INDIRECT("'"&amp; V$6 &amp; "'!F:F") =$P11) * (INDIRECT("'" &amp; V$6 &amp; "'!E:E") = Tables!$P$4), 0)), "")</f>
        <v>23.876190476190452</v>
      </c>
      <c r="W11" s="103" cm="1">
        <f t="array" aca="1" ref="W11" ca="1">IFERROR(INDEX(INDIRECT("'" &amp; W$6 &amp; "'!O:O"), MATCH(1, (INDIRECT("'"&amp; W$6 &amp; "'!F:F") =$P11) * (INDIRECT("'" &amp; W$6 &amp; "'!E:E") = Tables!$P$4), 0)), "")</f>
        <v>128.10537502383266</v>
      </c>
      <c r="X11" s="103" cm="1">
        <f t="array" aca="1" ref="X11" ca="1">IFERROR(INDEX(INDIRECT("'" &amp; X$6 &amp; "'!O:O"), MATCH(1, (INDIRECT("'"&amp; X$6 &amp; "'!F:F") =$P11) * (INDIRECT("'" &amp; X$6 &amp; "'!E:E") = Tables!$P$4), 0)), "")</f>
        <v>7.2299999999999995</v>
      </c>
      <c r="Y11" s="105">
        <f>IFERROR(INDEX('Date Key'!$H$25:$H$42, MATCH(P11, 'Date Key'!$A$25:$A$42, 0)), "")</f>
        <v>248.33863636363637</v>
      </c>
      <c r="Z11" s="106">
        <f t="shared" ca="1" si="6"/>
        <v>4.7965284577227554E-6</v>
      </c>
      <c r="AA11" s="108">
        <f t="shared" ca="1" si="7"/>
        <v>6.9070009791207676</v>
      </c>
      <c r="AB11" s="109"/>
      <c r="AC11" s="109"/>
      <c r="AE11" s="6">
        <v>5</v>
      </c>
      <c r="AF11" s="9" cm="1">
        <f t="array" aca="1" ref="AF11" ca="1">IFERROR(INDEX(INDIRECT("'" &amp; AF$6 &amp; "'!O:O"), MATCH(1, (INDIRECT("'"&amp; AF$6 &amp; "'!F:F") =$AE11) * (INDIRECT("'" &amp; AF$6 &amp; "'!E:E") = Tables!$AE$4), 0)), "")</f>
        <v>3.8971161340607956E-2</v>
      </c>
      <c r="AG11" s="9" cm="1">
        <f t="array" aca="1" ref="AG11" ca="1">IFERROR(INDEX(INDIRECT("'" &amp; AG$6 &amp; "'!O:O"), MATCH(1, (INDIRECT("'"&amp; AG$6 &amp; "'!F:F") =$AE11) * (INDIRECT("'" &amp; AG$6 &amp; "'!E:E") = Tables!$AE$4), 0)), "")</f>
        <v>0.15973067831817203</v>
      </c>
      <c r="AH11" s="9" cm="1">
        <f t="array" aca="1" ref="AH11" ca="1">IFERROR(INDEX(INDIRECT("'" &amp; AH$6 &amp; "'!O:O"), MATCH(1, (INDIRECT("'"&amp; AH$6 &amp; "'!F:F") =$AE11) * (INDIRECT("'" &amp; AH$6 &amp; "'!E:E") = Tables!$AE$4), 0)), "")</f>
        <v>0.3088929293754723</v>
      </c>
      <c r="AI11" s="9" cm="1">
        <f t="array" aca="1" ref="AI11" ca="1">IFERROR(INDEX(INDIRECT("'" &amp; AI$6 &amp; "'!O:O"), MATCH(1, (INDIRECT("'"&amp; AI$6 &amp; "'!F:F") =$AE11) * (INDIRECT("'" &amp; AI$6 &amp; "'!E:E") = Tables!$AE$4), 0)), "")</f>
        <v>0.50759476903425238</v>
      </c>
      <c r="AJ11" s="9" cm="1">
        <f t="array" aca="1" ref="AJ11" ca="1">IFERROR(INDEX(INDIRECT("'" &amp; AJ$6 &amp; "'!O:O"), MATCH(1, (INDIRECT("'"&amp; AJ$6 &amp; "'!F:F") =$AE11) * (INDIRECT("'" &amp; AJ$6 &amp; "'!E:E") = Tables!$AE$4), 0)), "")</f>
        <v>0.86716902145473596</v>
      </c>
      <c r="AK11" s="9" cm="1">
        <f t="array" aca="1" ref="AK11" ca="1">IFERROR(INDEX(INDIRECT("'" &amp; AK$6 &amp; "'!O:O"), MATCH(1, (INDIRECT("'"&amp; AK$6 &amp; "'!F:F") =$AE11) * (INDIRECT("'" &amp; AK$6 &amp; "'!E:E") = Tables!$AE$4), 0)), "")</f>
        <v>38.971428571428554</v>
      </c>
      <c r="AL11" s="9" cm="1">
        <f t="array" aca="1" ref="AL11" ca="1">IFERROR(INDEX(INDIRECT("'" &amp; AL$6 &amp; "'!O:O"), MATCH(1, (INDIRECT("'"&amp; AL$6 &amp; "'!F:F") =$AE11) * (INDIRECT("'" &amp; AL$6 &amp; "'!E:E") = Tables!$AE$4), 0)), "")</f>
        <v>135.54088387623497</v>
      </c>
      <c r="AM11" s="103" cm="1">
        <f t="array" aca="1" ref="AM11" ca="1">IFERROR(INDEX(INDIRECT("'" &amp; AM$6 &amp; "'!O:O"), MATCH(1, (INDIRECT("'"&amp; AM$6 &amp; "'!F:F") =$AE11) * (INDIRECT("'" &amp; AM$6 &amp; "'!E:E") = Tables!$AE$4), 0)), "")</f>
        <v>7.13</v>
      </c>
      <c r="AN11" s="105">
        <f>IFERROR(INDEX('Date Key'!$I$25:$I$42, MATCH(AE11, 'Date Key'!$A$25:$A$42, 0)), "")</f>
        <v>248.33863636363637</v>
      </c>
      <c r="AO11" s="106">
        <f t="shared" ca="1" si="3"/>
        <v>3.0082413208365185E-6</v>
      </c>
      <c r="AP11" s="108">
        <f t="shared" ca="1" si="4"/>
        <v>4.3318675020045871</v>
      </c>
    </row>
    <row r="12" spans="1:43" x14ac:dyDescent="0.35">
      <c r="A12" s="6">
        <v>6</v>
      </c>
      <c r="B12" s="9" cm="1">
        <f t="array" aca="1" ref="B12" ca="1">IFERROR(INDEX(INDIRECT("'" &amp; B$6 &amp; "'!O:O"), MATCH(1, (INDIRECT("'"&amp; B$6 &amp; "'!F:F") =$L63) * (INDIRECT("'" &amp; B$6 &amp; "'!E:E") = Tables!$A$4), 0)), "")</f>
        <v>0.28319043907508445</v>
      </c>
      <c r="C12" s="9" cm="1">
        <f t="array" aca="1" ref="C12" ca="1">IFERROR(INDEX(INDIRECT("'" &amp; C$6 &amp; "'!O:O"), MATCH(1, (INDIRECT("'"&amp; C$6 &amp; "'!F:F") =$L63) * (INDIRECT("'" &amp; C$6 &amp; "'!E:E") = Tables!$A$4), 0)), "")</f>
        <v>7.0543419474686661E-2</v>
      </c>
      <c r="D12" s="9" cm="1">
        <f t="array" aca="1" ref="D12" ca="1">IFERROR(INDEX(INDIRECT("'" &amp; D$6 &amp; "'!O:O"), MATCH(1, (INDIRECT("'"&amp; D$6 &amp; "'!F:F") =$L63) * (INDIRECT("'" &amp; D$6 &amp; "'!E:E") = Tables!$A$4), 0)), "")</f>
        <v>2.1579326058280368</v>
      </c>
      <c r="E12" s="9" cm="1">
        <f t="array" aca="1" ref="E12" ca="1">IFERROR(INDEX(INDIRECT("'" &amp; E$6 &amp; "'!O:O"), MATCH(1, (INDIRECT("'"&amp; E$6 &amp; "'!F:F") =$L63) * (INDIRECT("'" &amp; E$6 &amp; "'!E:E") = Tables!$A$4), 0)), "")</f>
        <v>2.5116664643778082</v>
      </c>
      <c r="F12" s="9" cm="1">
        <f t="array" aca="1" ref="F12" ca="1">IFERROR(INDEX(INDIRECT("'" &amp; F$6 &amp; "'!O:O"), MATCH(1, (INDIRECT("'"&amp; F$6 &amp; "'!F:F") =$L63) * (INDIRECT("'" &amp; F$6 &amp; "'!E:E") = Tables!$A$4), 0)), "")</f>
        <v>0.34126635269492411</v>
      </c>
      <c r="G12" s="9" cm="1">
        <f t="array" aca="1" ref="G12" ca="1">IFERROR(INDEX(INDIRECT("'" &amp; G$6 &amp; "'!O:O"), MATCH(1, (INDIRECT("'"&amp; G$6 &amp; "'!F:F") =$L63) * (INDIRECT("'" &amp; G$6 &amp; "'!E:E") = Tables!$A$4), 0)), "")</f>
        <v>48.590476190476188</v>
      </c>
      <c r="H12" s="9" cm="1">
        <f t="array" aca="1" ref="H12" ca="1">IFERROR(INDEX(INDIRECT("'" &amp; H$6 &amp; "'!O:O"), MATCH(1, (INDIRECT("'"&amp; H$6 &amp; "'!F:F") =$L63) * (INDIRECT("'" &amp; H$6 &amp; "'!E:E") = Tables!$A$4), 0)), "")</f>
        <v>83.320971171438472</v>
      </c>
      <c r="I12" s="103" cm="1">
        <f t="array" aca="1" ref="I12" ca="1">IFERROR(INDEX(INDIRECT("'" &amp; I$6 &amp; "'!O:O"), MATCH(1, (INDIRECT("'"&amp; I$6 &amp; "'!F:F") =$L63) * (INDIRECT("'" &amp; I$6 &amp; "'!E:E") = Tables!$A$4), 0)), "")</f>
        <v>7.3757142857142863</v>
      </c>
      <c r="J12" s="105">
        <f>IFERROR(INDEX('Date Key'!$H$25:$H$42, MATCH(A12, 'Date Key'!$A$25:$A$42, 0)), "")</f>
        <v>248.33863636363637</v>
      </c>
      <c r="K12" s="106">
        <f t="shared" ca="1" si="5"/>
        <v>1.0113877168512895E-5</v>
      </c>
      <c r="L12" s="108">
        <f t="shared" ca="1" si="0"/>
        <v>14.563983122658572</v>
      </c>
      <c r="M12" s="106">
        <f t="shared" ca="1" si="1"/>
        <v>1.0113877168512895E-5</v>
      </c>
      <c r="N12" s="108">
        <f t="shared" ca="1" si="2"/>
        <v>14.563983122658572</v>
      </c>
      <c r="P12" s="6">
        <v>6</v>
      </c>
      <c r="Q12" s="9" cm="1">
        <f t="array" aca="1" ref="Q12" ca="1">IFERROR(INDEX(INDIRECT("'" &amp; Q$6 &amp; "'!O:O"), MATCH(1, (INDIRECT("'"&amp; Q$6 &amp; "'!F:F") =$P12) * (INDIRECT("'" &amp; Q$6 &amp; "'!E:E") = Tables!$P$4), 0)), "")</f>
        <v>0.12210963886723825</v>
      </c>
      <c r="R12" s="9" cm="1">
        <f t="array" aca="1" ref="R12" ca="1">IFERROR(INDEX(INDIRECT("'" &amp; R$6 &amp; "'!O:O"), MATCH(1, (INDIRECT("'"&amp; R$6 &amp; "'!F:F") =$P12) * (INDIRECT("'" &amp; R$6 &amp; "'!E:E") = Tables!$P$4), 0)), "")</f>
        <v>2.75119335951278E-2</v>
      </c>
      <c r="S12" s="9" cm="1">
        <f t="array" aca="1" ref="S12" ca="1">IFERROR(INDEX(INDIRECT("'" &amp; S$6 &amp; "'!O:O"), MATCH(1, (INDIRECT("'"&amp; S$6 &amp; "'!F:F") =$P12) * (INDIRECT("'" &amp; S$6 &amp; "'!E:E") = Tables!$P$4), 0)), "")</f>
        <v>6.2357596834152783E-2</v>
      </c>
      <c r="T12" s="9" cm="1">
        <f t="array" aca="1" ref="T12" ca="1">IFERROR(INDEX(INDIRECT("'" &amp; T$6 &amp; "'!O:O"), MATCH(1, (INDIRECT("'"&amp; T$6 &amp; "'!F:F") =$P12) * (INDIRECT("'" &amp; T$6 &amp; "'!E:E") = Tables!$P$4), 0)), "")</f>
        <v>0.21197916929651886</v>
      </c>
      <c r="U12" s="9" cm="1">
        <f t="array" aca="1" ref="U12" ca="1">IFERROR(INDEX(INDIRECT("'" &amp; U$6 &amp; "'!O:O"), MATCH(1, (INDIRECT("'"&amp; U$6 &amp; "'!F:F") =$P12) * (INDIRECT("'" &amp; U$6 &amp; "'!E:E") = Tables!$P$4), 0)), "")</f>
        <v>0.26190127332984481</v>
      </c>
      <c r="V12" s="9" cm="1">
        <f t="array" aca="1" ref="V12" ca="1">IFERROR(INDEX(INDIRECT("'" &amp; V$6 &amp; "'!O:O"), MATCH(1, (INDIRECT("'"&amp; V$6 &amp; "'!F:F") =$P12) * (INDIRECT("'" &amp; V$6 &amp; "'!E:E") = Tables!$P$4), 0)), "")</f>
        <v>30.923809523809513</v>
      </c>
      <c r="W12" s="103" cm="1">
        <f t="array" aca="1" ref="W12" ca="1">IFERROR(INDEX(INDIRECT("'" &amp; W$6 &amp; "'!O:O"), MATCH(1, (INDIRECT("'"&amp; W$6 &amp; "'!F:F") =$P12) * (INDIRECT("'" &amp; W$6 &amp; "'!E:E") = Tables!$P$4), 0)), "")</f>
        <v>122.12186145353429</v>
      </c>
      <c r="X12" s="103" cm="1">
        <f t="array" aca="1" ref="X12" ca="1">IFERROR(INDEX(INDIRECT("'" &amp; X$6 &amp; "'!O:O"), MATCH(1, (INDIRECT("'"&amp; X$6 &amp; "'!F:F") =$P12) * (INDIRECT("'" &amp; X$6 &amp; "'!E:E") = Tables!$P$4), 0)), "")</f>
        <v>7.1642857142857137</v>
      </c>
      <c r="Y12" s="105">
        <f>IFERROR(INDEX('Date Key'!$H$25:$H$42, MATCH(P12, 'Date Key'!$A$25:$A$42, 0)), "")</f>
        <v>248.33863636363637</v>
      </c>
      <c r="Z12" s="106">
        <f t="shared" ca="1" si="6"/>
        <v>9.2602880033290976E-6</v>
      </c>
      <c r="AA12" s="108">
        <f t="shared" ca="1" si="7"/>
        <v>13.334814724793901</v>
      </c>
      <c r="AB12" s="109"/>
      <c r="AC12" s="109"/>
      <c r="AE12" s="6">
        <v>6</v>
      </c>
      <c r="AF12" s="9" cm="1">
        <f t="array" aca="1" ref="AF12" ca="1">IFERROR(INDEX(INDIRECT("'" &amp; AF$6 &amp; "'!O:O"), MATCH(1, (INDIRECT("'"&amp; AF$6 &amp; "'!F:F") =$AE12) * (INDIRECT("'" &amp; AF$6 &amp; "'!E:E") = Tables!$AE$4), 0)), "")</f>
        <v>0.17407118732138219</v>
      </c>
      <c r="AG12" s="9" cm="1">
        <f t="array" aca="1" ref="AG12" ca="1">IFERROR(INDEX(INDIRECT("'" &amp; AG$6 &amp; "'!O:O"), MATCH(1, (INDIRECT("'"&amp; AG$6 &amp; "'!F:F") =$AE12) * (INDIRECT("'" &amp; AG$6 &amp; "'!E:E") = Tables!$AE$4), 0)), "")</f>
        <v>0.28781715145672165</v>
      </c>
      <c r="AH12" s="9" cm="1">
        <f t="array" aca="1" ref="AH12" ca="1">IFERROR(INDEX(INDIRECT("'" &amp; AH$6 &amp; "'!O:O"), MATCH(1, (INDIRECT("'"&amp; AH$6 &amp; "'!F:F") =$AE12) * (INDIRECT("'" &amp; AH$6 &amp; "'!E:E") = Tables!$AE$4), 0)), "")</f>
        <v>0.67334212735339982</v>
      </c>
      <c r="AI12" s="9" cm="1">
        <f t="array" aca="1" ref="AI12" ca="1">IFERROR(INDEX(INDIRECT("'" &amp; AI$6 &amp; "'!O:O"), MATCH(1, (INDIRECT("'"&amp; AI$6 &amp; "'!F:F") =$AE12) * (INDIRECT("'" &amp; AI$6 &amp; "'!E:E") = Tables!$AE$4), 0)), "")</f>
        <v>1.1352304661315036</v>
      </c>
      <c r="AJ12" s="9" cm="1">
        <f t="array" aca="1" ref="AJ12" ca="1">IFERROR(INDEX(INDIRECT("'" &amp; AJ$6 &amp; "'!O:O"), MATCH(1, (INDIRECT("'"&amp; AJ$6 &amp; "'!F:F") =$AE12) * (INDIRECT("'" &amp; AJ$6 &amp; "'!E:E") = Tables!$AE$4), 0)), "")</f>
        <v>0.63169021454735741</v>
      </c>
      <c r="AK12" s="9" cm="1">
        <f t="array" aca="1" ref="AK12" ca="1">IFERROR(INDEX(INDIRECT("'" &amp; AK$6 &amp; "'!O:O"), MATCH(1, (INDIRECT("'"&amp; AK$6 &amp; "'!F:F") =$AE12) * (INDIRECT("'" &amp; AK$6 &amp; "'!E:E") = Tables!$AE$4), 0)), "")</f>
        <v>34.971428571428554</v>
      </c>
      <c r="AL12" s="9" cm="1">
        <f t="array" aca="1" ref="AL12" ca="1">IFERROR(INDEX(INDIRECT("'" &amp; AL$6 &amp; "'!O:O"), MATCH(1, (INDIRECT("'"&amp; AL$6 &amp; "'!F:F") =$AE12) * (INDIRECT("'" &amp; AL$6 &amp; "'!E:E") = Tables!$AE$4), 0)), "")</f>
        <v>121.04589997028782</v>
      </c>
      <c r="AM12" s="103" cm="1">
        <f t="array" aca="1" ref="AM12" ca="1">IFERROR(INDEX(INDIRECT("'" &amp; AM$6 &amp; "'!O:O"), MATCH(1, (INDIRECT("'"&amp; AM$6 &amp; "'!F:F") =$AE12) * (INDIRECT("'" &amp; AM$6 &amp; "'!E:E") = Tables!$AE$4), 0)), "")</f>
        <v>7.2642857142857142</v>
      </c>
      <c r="AN12" s="105">
        <f>IFERROR(INDEX('Date Key'!$I$25:$I$42, MATCH(AE12, 'Date Key'!$A$25:$A$42, 0)), "")</f>
        <v>248.33863636363637</v>
      </c>
      <c r="AO12" s="106">
        <f t="shared" ca="1" si="3"/>
        <v>5.5425769360786134E-6</v>
      </c>
      <c r="AP12" s="108">
        <f t="shared" ca="1" si="4"/>
        <v>7.9813107879532037</v>
      </c>
    </row>
    <row r="13" spans="1:43" x14ac:dyDescent="0.35">
      <c r="A13" s="6">
        <v>7</v>
      </c>
      <c r="B13" s="9" cm="1">
        <f t="array" aca="1" ref="B13" ca="1">IFERROR(INDEX(INDIRECT("'" &amp; B$6 &amp; "'!O:O"), MATCH(1, (INDIRECT("'"&amp; B$6 &amp; "'!F:F") =$L64) * (INDIRECT("'" &amp; B$6 &amp; "'!E:E") = Tables!$A$4), 0)), "")</f>
        <v>0.13510002598077422</v>
      </c>
      <c r="C13" s="9" cm="1">
        <f t="array" aca="1" ref="C13" ca="1">IFERROR(INDEX(INDIRECT("'" &amp; C$6 &amp; "'!O:O"), MATCH(1, (INDIRECT("'"&amp; C$6 &amp; "'!F:F") =$L64) * (INDIRECT("'" &amp; C$6 &amp; "'!E:E") = Tables!$A$4), 0)), "")</f>
        <v>3.5977143932090207E-2</v>
      </c>
      <c r="D13" s="9" cm="1">
        <f t="array" aca="1" ref="D13" ca="1">IFERROR(INDEX(INDIRECT("'" &amp; D$6 &amp; "'!O:O"), MATCH(1, (INDIRECT("'"&amp; D$6 &amp; "'!F:F") =$L64) * (INDIRECT("'" &amp; D$6 &amp; "'!E:E") = Tables!$A$4), 0)), "")</f>
        <v>0.71051684854299069</v>
      </c>
      <c r="E13" s="9" cm="1">
        <f t="array" aca="1" ref="E13" ca="1">IFERROR(INDEX(INDIRECT("'" &amp; E$6 &amp; "'!O:O"), MATCH(1, (INDIRECT("'"&amp; E$6 &amp; "'!F:F") =$L64) * (INDIRECT("'" &amp; E$6 &amp; "'!E:E") = Tables!$A$4), 0)), "")</f>
        <v>0.88159401845585528</v>
      </c>
      <c r="F13" s="9" cm="1">
        <f t="array" aca="1" ref="F13" ca="1">IFERROR(INDEX(INDIRECT("'" &amp; F$6 &amp; "'!O:O"), MATCH(1, (INDIRECT("'"&amp; F$6 &amp; "'!F:F") =$L64) * (INDIRECT("'" &amp; F$6 &amp; "'!E:E") = Tables!$A$4), 0)), "")</f>
        <v>1.2482958311529739</v>
      </c>
      <c r="G13" s="9" cm="1">
        <f t="array" aca="1" ref="G13" ca="1">IFERROR(INDEX(INDIRECT("'" &amp; G$6 &amp; "'!O:O"), MATCH(1, (INDIRECT("'"&amp; G$6 &amp; "'!F:F") =$L64) * (INDIRECT("'" &amp; G$6 &amp; "'!E:E") = Tables!$A$4), 0)), "")</f>
        <v>28.399999999999981</v>
      </c>
      <c r="H13" s="9" cm="1">
        <f t="array" aca="1" ref="H13" ca="1">IFERROR(INDEX(INDIRECT("'" &amp; H$6 &amp; "'!O:O"), MATCH(1, (INDIRECT("'"&amp; H$6 &amp; "'!F:F") =$L64) * (INDIRECT("'" &amp; H$6 &amp; "'!E:E") = Tables!$A$4), 0)), "")</f>
        <v>126.74664460378747</v>
      </c>
      <c r="I13" s="103" cm="1">
        <f t="array" aca="1" ref="I13" ca="1">IFERROR(INDEX(INDIRECT("'" &amp; I$6 &amp; "'!O:O"), MATCH(1, (INDIRECT("'"&amp; I$6 &amp; "'!F:F") =$L64) * (INDIRECT("'" &amp; I$6 &amp; "'!E:E") = Tables!$A$4), 0)), "")</f>
        <v>8.1571428571428566</v>
      </c>
      <c r="J13" s="105">
        <f>IFERROR(INDEX('Date Key'!$H$25:$H$42, MATCH(A13, 'Date Key'!$A$25:$A$42, 0)), "")</f>
        <v>99.335454545454553</v>
      </c>
      <c r="K13" s="106">
        <f t="shared" ca="1" si="5"/>
        <v>8.8749180490481353E-6</v>
      </c>
      <c r="L13" s="108">
        <f t="shared" ca="1" si="0"/>
        <v>12.779881990629313</v>
      </c>
      <c r="M13" s="106">
        <f t="shared" ca="1" si="1"/>
        <v>8.8749180490481353E-6</v>
      </c>
      <c r="N13" s="108">
        <f t="shared" ca="1" si="2"/>
        <v>12.779881990629313</v>
      </c>
      <c r="P13" s="6">
        <v>7</v>
      </c>
      <c r="Q13" s="9" cm="1">
        <f t="array" aca="1" ref="Q13" ca="1">IFERROR(INDEX(INDIRECT("'" &amp; Q$6 &amp; "'!O:O"), MATCH(1, (INDIRECT("'"&amp; Q$6 &amp; "'!F:F") =$P13) * (INDIRECT("'" &amp; Q$6 &amp; "'!E:E") = Tables!$P$4), 0)), "")</f>
        <v>0.13510002598077422</v>
      </c>
      <c r="R13" s="9" cm="1">
        <f t="array" aca="1" ref="R13" ca="1">IFERROR(INDEX(INDIRECT("'" &amp; R$6 &amp; "'!O:O"), MATCH(1, (INDIRECT("'"&amp; R$6 &amp; "'!F:F") =$P13) * (INDIRECT("'" &amp; R$6 &amp; "'!E:E") = Tables!$P$4), 0)), "")</f>
        <v>4.8674959437533805E-2</v>
      </c>
      <c r="S13" s="9" cm="1">
        <f t="array" aca="1" ref="S13" ca="1">IFERROR(INDEX(INDIRECT("'" &amp; S$6 &amp; "'!O:O"), MATCH(1, (INDIRECT("'"&amp; S$6 &amp; "'!F:F") =$P13) * (INDIRECT("'" &amp; S$6 &amp; "'!E:E") = Tables!$P$4), 0)), "")</f>
        <v>7.9146180597193916E-2</v>
      </c>
      <c r="T13" s="9" cm="1">
        <f t="array" aca="1" ref="T13" ca="1">IFERROR(INDEX(INDIRECT("'" &amp; T$6 &amp; "'!O:O"), MATCH(1, (INDIRECT("'"&amp; T$6 &amp; "'!F:F") =$P13) * (INDIRECT("'" &amp; T$6 &amp; "'!E:E") = Tables!$P$4), 0)), "")</f>
        <v>0.26292116601550192</v>
      </c>
      <c r="U13" s="9" cm="1">
        <f t="array" aca="1" ref="U13" ca="1">IFERROR(INDEX(INDIRECT("'" &amp; U$6 &amp; "'!O:O"), MATCH(1, (INDIRECT("'"&amp; U$6 &amp; "'!F:F") =$P13) * (INDIRECT("'" &amp; U$6 &amp; "'!E:E") = Tables!$P$4), 0)), "")</f>
        <v>0.65698238269666842</v>
      </c>
      <c r="V13" s="9" cm="1">
        <f t="array" aca="1" ref="V13" ca="1">IFERROR(INDEX(INDIRECT("'" &amp; V$6 &amp; "'!O:O"), MATCH(1, (INDIRECT("'"&amp; V$6 &amp; "'!F:F") =$P13) * (INDIRECT("'" &amp; V$6 &amp; "'!E:E") = Tables!$P$4), 0)), "")</f>
        <v>23.685714285714266</v>
      </c>
      <c r="W13" s="103" cm="1">
        <f t="array" aca="1" ref="W13" ca="1">IFERROR(INDEX(INDIRECT("'" &amp; W$6 &amp; "'!O:O"), MATCH(1, (INDIRECT("'"&amp; W$6 &amp; "'!F:F") =$P13) * (INDIRECT("'" &amp; W$6 &amp; "'!E:E") = Tables!$P$4), 0)), "")</f>
        <v>113.63636363636364</v>
      </c>
      <c r="X13" s="103" cm="1">
        <f t="array" aca="1" ref="X13" ca="1">IFERROR(INDEX(INDIRECT("'" &amp; X$6 &amp; "'!O:O"), MATCH(1, (INDIRECT("'"&amp; X$6 &amp; "'!F:F") =$P13) * (INDIRECT("'" &amp; X$6 &amp; "'!E:E") = Tables!$P$4), 0)), "")</f>
        <v>7.6000000000000005</v>
      </c>
      <c r="Y13" s="105">
        <f>IFERROR(INDEX('Date Key'!$H$25:$H$42, MATCH(P13, 'Date Key'!$A$25:$A$42, 0)), "")</f>
        <v>99.335454545454553</v>
      </c>
      <c r="Z13" s="106">
        <f t="shared" ca="1" si="6"/>
        <v>6.2281171941208259E-6</v>
      </c>
      <c r="AA13" s="108">
        <f t="shared" ca="1" si="7"/>
        <v>8.9684887595339902</v>
      </c>
      <c r="AB13" s="109"/>
      <c r="AC13" s="109"/>
      <c r="AE13" s="6">
        <v>7</v>
      </c>
      <c r="AF13" s="9" cm="1">
        <f t="array" aca="1" ref="AF13" ca="1">IFERROR(INDEX(INDIRECT("'" &amp; AF$6 &amp; "'!O:O"), MATCH(1, (INDIRECT("'"&amp; AF$6 &amp; "'!F:F") =$AE13) * (INDIRECT("'" &amp; AF$6 &amp; "'!E:E") = Tables!$AE$4), 0)), "")</f>
        <v>7.5344245258508705E-2</v>
      </c>
      <c r="AG13" s="9" cm="1">
        <f t="array" aca="1" ref="AG13" ca="1">IFERROR(INDEX(INDIRECT("'" &amp; AG$6 &amp; "'!O:O"), MATCH(1, (INDIRECT("'"&amp; AG$6 &amp; "'!F:F") =$AE13) * (INDIRECT("'" &amp; AG$6 &amp; "'!E:E") = Tables!$AE$4), 0)), "")</f>
        <v>3.8798880711077663E-2</v>
      </c>
      <c r="AH13" s="9" cm="1">
        <f t="array" aca="1" ref="AH13" ca="1">IFERROR(INDEX(INDIRECT("'" &amp; AH$6 &amp; "'!O:O"), MATCH(1, (INDIRECT("'"&amp; AH$6 &amp; "'!F:F") =$AE13) * (INDIRECT("'" &amp; AH$6 &amp; "'!E:E") = Tables!$AE$4), 0)), "")</f>
        <v>0.26621897109965226</v>
      </c>
      <c r="AI13" s="9" cm="1">
        <f t="array" aca="1" ref="AI13" ca="1">IFERROR(INDEX(INDIRECT("'" &amp; AI$6 &amp; "'!O:O"), MATCH(1, (INDIRECT("'"&amp; AI$6 &amp; "'!F:F") =$AE13) * (INDIRECT("'" &amp; AI$6 &amp; "'!E:E") = Tables!$AE$4), 0)), "")</f>
        <v>0.38036209706923862</v>
      </c>
      <c r="AJ13" s="9" cm="1">
        <f t="array" aca="1" ref="AJ13" ca="1">IFERROR(INDEX(INDIRECT("'" &amp; AJ$6 &amp; "'!O:O"), MATCH(1, (INDIRECT("'"&amp; AJ$6 &amp; "'!F:F") =$AE13) * (INDIRECT("'" &amp; AJ$6 &amp; "'!E:E") = Tables!$AE$4), 0)), "")</f>
        <v>0.80175824175824173</v>
      </c>
      <c r="AK13" s="9" cm="1">
        <f t="array" aca="1" ref="AK13" ca="1">IFERROR(INDEX(INDIRECT("'" &amp; AK$6 &amp; "'!O:O"), MATCH(1, (INDIRECT("'"&amp; AK$6 &amp; "'!F:F") =$AE13) * (INDIRECT("'" &amp; AK$6 &amp; "'!E:E") = Tables!$AE$4), 0)), "")</f>
        <v>28.35238095238093</v>
      </c>
      <c r="AL13" s="9" cm="1">
        <f t="array" aca="1" ref="AL13" ca="1">IFERROR(INDEX(INDIRECT("'" &amp; AL$6 &amp; "'!O:O"), MATCH(1, (INDIRECT("'"&amp; AL$6 &amp; "'!F:F") =$AE13) * (INDIRECT("'" &amp; AL$6 &amp; "'!E:E") = Tables!$AE$4), 0)), "")</f>
        <v>122.23130879145916</v>
      </c>
      <c r="AM13" s="103" cm="1">
        <f t="array" aca="1" ref="AM13" ca="1">IFERROR(INDEX(INDIRECT("'" &amp; AM$6 &amp; "'!O:O"), MATCH(1, (INDIRECT("'"&amp; AM$6 &amp; "'!F:F") =$AE13) * (INDIRECT("'" &amp; AM$6 &amp; "'!E:E") = Tables!$AE$4), 0)), "")</f>
        <v>7.6171428571428574</v>
      </c>
      <c r="AN13" s="105">
        <f>IFERROR(INDEX('Date Key'!$I$25:$I$42, MATCH(AE13, 'Date Key'!$A$25:$A$42, 0)), "")</f>
        <v>99.335454545454553</v>
      </c>
      <c r="AO13" s="106">
        <f t="shared" ca="1" si="3"/>
        <v>5.0458511885830219E-6</v>
      </c>
      <c r="AP13" s="108">
        <f t="shared" ca="1" si="4"/>
        <v>7.2660257115595517</v>
      </c>
    </row>
    <row r="14" spans="1:43" x14ac:dyDescent="0.35">
      <c r="A14" s="6">
        <v>8</v>
      </c>
      <c r="B14" s="9" cm="1">
        <f t="array" aca="1" ref="B14" ca="1">IFERROR(INDEX(INDIRECT("'" &amp; B$6 &amp; "'!O:O"), MATCH(1, (INDIRECT("'"&amp; B$6 &amp; "'!F:F") =$L65) * (INDIRECT("'" &amp; B$6 &amp; "'!E:E") = Tables!$A$4), 0)), "")</f>
        <v>1.0392309690828787E-2</v>
      </c>
      <c r="C14" s="9" cm="1">
        <f t="array" aca="1" ref="C14" ca="1">IFERROR(INDEX(INDIRECT("'" &amp; C$6 &amp; "'!O:O"), MATCH(1, (INDIRECT("'"&amp; C$6 &amp; "'!F:F") =$L65) * (INDIRECT("'" &amp; C$6 &amp; "'!E:E") = Tables!$A$4), 0)), "")</f>
        <v>2.5395631010887192E-2</v>
      </c>
      <c r="D14" s="9" cm="1">
        <f t="array" aca="1" ref="D14" ca="1">IFERROR(INDEX(INDIRECT("'" &amp; D$6 &amp; "'!O:O"), MATCH(1, (INDIRECT("'"&amp; D$6 &amp; "'!F:F") =$L65) * (INDIRECT("'" &amp; D$6 &amp; "'!E:E") = Tables!$A$4), 0)), "")</f>
        <v>0.43770236239357241</v>
      </c>
      <c r="E14" s="9" cm="1">
        <f t="array" aca="1" ref="E14" ca="1">IFERROR(INDEX(INDIRECT("'" &amp; E$6 &amp; "'!O:O"), MATCH(1, (INDIRECT("'"&amp; E$6 &amp; "'!F:F") =$L65) * (INDIRECT("'" &amp; E$6 &amp; "'!E:E") = Tables!$A$4), 0)), "")</f>
        <v>0.47349030309528839</v>
      </c>
      <c r="F14" s="9" cm="1">
        <f t="array" aca="1" ref="F14" ca="1">IFERROR(INDEX(INDIRECT("'" &amp; F$6 &amp; "'!O:O"), MATCH(1, (INDIRECT("'"&amp; F$6 &amp; "'!F:F") =$L65) * (INDIRECT("'" &amp; F$6 &amp; "'!E:E") = Tables!$A$4), 0)), "")</f>
        <v>1.2482958311529739</v>
      </c>
      <c r="G14" s="9" cm="1">
        <f t="array" aca="1" ref="G14" ca="1">IFERROR(INDEX(INDIRECT("'" &amp; G$6 &amp; "'!O:O"), MATCH(1, (INDIRECT("'"&amp; G$6 &amp; "'!F:F") =$L65) * (INDIRECT("'" &amp; G$6 &amp; "'!E:E") = Tables!$A$4), 0)), "")</f>
        <v>24.542857142857123</v>
      </c>
      <c r="H14" s="9" cm="1">
        <f t="array" aca="1" ref="H14" ca="1">IFERROR(INDEX(INDIRECT("'" &amp; H$6 &amp; "'!O:O"), MATCH(1, (INDIRECT("'"&amp; H$6 &amp; "'!F:F") =$L65) * (INDIRECT("'" &amp; H$6 &amp; "'!E:E") = Tables!$A$4), 0)), "")</f>
        <v>126.74664460378747</v>
      </c>
      <c r="I14" s="103" cm="1">
        <f t="array" aca="1" ref="I14" ca="1">IFERROR(INDEX(INDIRECT("'" &amp; I$6 &amp; "'!O:O"), MATCH(1, (INDIRECT("'"&amp; I$6 &amp; "'!F:F") =$L65) * (INDIRECT("'" &amp; I$6 &amp; "'!E:E") = Tables!$A$4), 0)), "")</f>
        <v>8.17</v>
      </c>
      <c r="J14" s="105">
        <f>IFERROR(INDEX('Date Key'!$H$25:$H$42, MATCH(A14, 'Date Key'!$A$25:$A$42, 0)), "")</f>
        <v>99.335454545454553</v>
      </c>
      <c r="K14" s="106">
        <f t="shared" ca="1" si="5"/>
        <v>4.7665791158042738E-6</v>
      </c>
      <c r="L14" s="108">
        <f t="shared" ca="1" si="0"/>
        <v>6.8638739267581546</v>
      </c>
      <c r="M14" s="106">
        <f t="shared" ca="1" si="1"/>
        <v>4.7665791158042738E-6</v>
      </c>
      <c r="N14" s="108">
        <f t="shared" ca="1" si="2"/>
        <v>6.8638739267581546</v>
      </c>
      <c r="P14" s="6">
        <v>8</v>
      </c>
      <c r="Q14" s="9" cm="1">
        <f t="array" aca="1" ref="Q14" ca="1">IFERROR(INDEX(INDIRECT("'" &amp; Q$6 &amp; "'!O:O"), MATCH(1, (INDIRECT("'"&amp; Q$6 &amp; "'!F:F") =$P14) * (INDIRECT("'" &amp; Q$6 &amp; "'!E:E") = Tables!$P$4), 0)), "")</f>
        <v>6.4951935567679905E-2</v>
      </c>
      <c r="R14" s="9" cm="1">
        <f t="array" aca="1" ref="R14" ca="1">IFERROR(INDEX(INDIRECT("'" &amp; R$6 &amp; "'!O:O"), MATCH(1, (INDIRECT("'"&amp; R$6 &amp; "'!F:F") =$P14) * (INDIRECT("'" &amp; R$6 &amp; "'!E:E") = Tables!$P$4), 0)), "")</f>
        <v>5.8551038163989939E-2</v>
      </c>
      <c r="S14" s="9" cm="1">
        <f t="array" aca="1" ref="S14" ca="1">IFERROR(INDEX(INDIRECT("'" &amp; S$6 &amp; "'!O:O"), MATCH(1, (INDIRECT("'"&amp; S$6 &amp; "'!F:F") =$P14) * (INDIRECT("'" &amp; S$6 &amp; "'!E:E") = Tables!$P$4), 0)), "")</f>
        <v>8.5142103369708622E-2</v>
      </c>
      <c r="T14" s="9" cm="1">
        <f t="array" aca="1" ref="T14" ca="1">IFERROR(INDEX(INDIRECT("'" &amp; T$6 &amp; "'!O:O"), MATCH(1, (INDIRECT("'"&amp; T$6 &amp; "'!F:F") =$P14) * (INDIRECT("'" &amp; T$6 &amp; "'!E:E") = Tables!$P$4), 0)), "")</f>
        <v>0.20864507710137845</v>
      </c>
      <c r="U14" s="9" cm="1">
        <f t="array" aca="1" ref="U14" ca="1">IFERROR(INDEX(INDIRECT("'" &amp; U$6 &amp; "'!O:O"), MATCH(1, (INDIRECT("'"&amp; U$6 &amp; "'!F:F") =$P14) * (INDIRECT("'" &amp; U$6 &amp; "'!E:E") = Tables!$P$4), 0)), "")</f>
        <v>0.97444270015698586</v>
      </c>
      <c r="V14" s="9" cm="1">
        <f t="array" aca="1" ref="V14" ca="1">IFERROR(INDEX(INDIRECT("'" &amp; V$6 &amp; "'!O:O"), MATCH(1, (INDIRECT("'"&amp; V$6 &amp; "'!F:F") =$P14) * (INDIRECT("'" &amp; V$6 &amp; "'!E:E") = Tables!$P$4), 0)), "")</f>
        <v>22.447619047619032</v>
      </c>
      <c r="W14" s="103" cm="1">
        <f t="array" aca="1" ref="W14" ca="1">IFERROR(INDEX(INDIRECT("'" &amp; W$6 &amp; "'!O:O"), MATCH(1, (INDIRECT("'"&amp; W$6 &amp; "'!F:F") =$P14) * (INDIRECT("'" &amp; W$6 &amp; "'!E:E") = Tables!$P$4), 0)), "")</f>
        <v>120.94887094887098</v>
      </c>
      <c r="X14" s="103" cm="1">
        <f t="array" aca="1" ref="X14" ca="1">IFERROR(INDEX(INDIRECT("'" &amp; X$6 &amp; "'!O:O"), MATCH(1, (INDIRECT("'"&amp; X$6 &amp; "'!F:F") =$P14) * (INDIRECT("'" &amp; X$6 &amp; "'!E:E") = Tables!$P$4), 0)), "")</f>
        <v>7.6157142857142857</v>
      </c>
      <c r="Y14" s="105">
        <f>IFERROR(INDEX('Date Key'!$H$25:$H$42, MATCH(P14, 'Date Key'!$A$25:$A$42, 0)), "")</f>
        <v>99.335454545454553</v>
      </c>
      <c r="Z14" s="106">
        <f t="shared" ca="1" si="6"/>
        <v>2.6661701726317703E-6</v>
      </c>
      <c r="AA14" s="108">
        <f t="shared" ca="1" si="7"/>
        <v>3.8392850485897498</v>
      </c>
      <c r="AB14" s="109"/>
      <c r="AC14" s="109"/>
      <c r="AE14" s="6">
        <v>8</v>
      </c>
      <c r="AF14" s="9" cm="1">
        <f t="array" aca="1" ref="AF14" ca="1">IFERROR(INDEX(INDIRECT("'" &amp; AF$6 &amp; "'!O:O"), MATCH(1, (INDIRECT("'"&amp; AF$6 &amp; "'!F:F") =$AE14) * (INDIRECT("'" &amp; AF$6 &amp; "'!E:E") = Tables!$AE$4), 0)), "")</f>
        <v>7.0148090413094305E-2</v>
      </c>
      <c r="AG14" s="9" cm="1">
        <f t="array" aca="1" ref="AG14" ca="1">IFERROR(INDEX(INDIRECT("'" &amp; AG$6 &amp; "'!O:O"), MATCH(1, (INDIRECT("'"&amp; AG$6 &amp; "'!F:F") =$AE14) * (INDIRECT("'" &amp; AG$6 &amp; "'!E:E") = Tables!$AE$4), 0)), "")</f>
        <v>3.9504314905824525E-2</v>
      </c>
      <c r="AH14" s="9" cm="1">
        <f t="array" aca="1" ref="AH14" ca="1">IFERROR(INDEX(INDIRECT("'" &amp; AH$6 &amp; "'!O:O"), MATCH(1, (INDIRECT("'"&amp; AH$6 &amp; "'!F:F") =$AE14) * (INDIRECT("'" &amp; AH$6 &amp; "'!E:E") = Tables!$AE$4), 0)), "")</f>
        <v>0.23743854179158172</v>
      </c>
      <c r="AI14" s="9" cm="1">
        <f t="array" aca="1" ref="AI14" ca="1">IFERROR(INDEX(INDIRECT("'" &amp; AI$6 &amp; "'!O:O"), MATCH(1, (INDIRECT("'"&amp; AI$6 &amp; "'!F:F") =$AE14) * (INDIRECT("'" &amp; AI$6 &amp; "'!E:E") = Tables!$AE$4), 0)), "")</f>
        <v>0.34709094711050065</v>
      </c>
      <c r="AJ14" s="9" cm="1">
        <f t="array" aca="1" ref="AJ14" ca="1">IFERROR(INDEX(INDIRECT("'" &amp; AJ$6 &amp; "'!O:O"), MATCH(1, (INDIRECT("'"&amp; AJ$6 &amp; "'!F:F") =$AE14) * (INDIRECT("'" &amp; AJ$6 &amp; "'!E:E") = Tables!$AE$4), 0)), "")</f>
        <v>1.7332077446363159</v>
      </c>
      <c r="AK14" s="9" cm="1">
        <f t="array" aca="1" ref="AK14" ca="1">IFERROR(INDEX(INDIRECT("'" &amp; AK$6 &amp; "'!O:O"), MATCH(1, (INDIRECT("'"&amp; AK$6 &amp; "'!F:F") =$AE14) * (INDIRECT("'" &amp; AK$6 &amp; "'!E:E") = Tables!$AE$4), 0)), "")</f>
        <v>28.1142857142857</v>
      </c>
      <c r="AL14" s="9" cm="1">
        <f t="array" aca="1" ref="AL14" ca="1">IFERROR(INDEX(INDIRECT("'" &amp; AL$6 &amp; "'!O:O"), MATCH(1, (INDIRECT("'"&amp; AL$6 &amp; "'!F:F") =$AE14) * (INDIRECT("'" &amp; AL$6 &amp; "'!E:E") = Tables!$AE$4), 0)), "")</f>
        <v>129.00369513565641</v>
      </c>
      <c r="AM14" s="103" cm="1">
        <f t="array" aca="1" ref="AM14" ca="1">IFERROR(INDEX(INDIRECT("'" &amp; AM$6 &amp; "'!O:O"), MATCH(1, (INDIRECT("'"&amp; AM$6 &amp; "'!F:F") =$AE14) * (INDIRECT("'" &amp; AM$6 &amp; "'!E:E") = Tables!$AE$4), 0)), "")</f>
        <v>7.6971428571428575</v>
      </c>
      <c r="AN14" s="105">
        <f>IFERROR(INDEX('Date Key'!$I$25:$I$42, MATCH(AE14, 'Date Key'!$A$25:$A$42, 0)), "")</f>
        <v>99.335454545454553</v>
      </c>
      <c r="AO14" s="106">
        <f t="shared" ca="1" si="3"/>
        <v>1.2724495655974384E-6</v>
      </c>
      <c r="AP14" s="108">
        <f t="shared" ca="1" si="4"/>
        <v>1.8323273744603112</v>
      </c>
    </row>
    <row r="15" spans="1:43" x14ac:dyDescent="0.35">
      <c r="A15" s="6">
        <v>9</v>
      </c>
      <c r="B15" s="9" cm="1">
        <f t="array" aca="1" ref="B15" ca="1">IFERROR(INDEX(INDIRECT("'" &amp; B$6 &amp; "'!O:O"), MATCH(1, (INDIRECT("'"&amp; B$6 &amp; "'!F:F") =$L66) * (INDIRECT("'" &amp; B$6 &amp; "'!E:E") = Tables!$A$4), 0)), "")</f>
        <v>0.32995583268381395</v>
      </c>
      <c r="C15" s="9" cm="1">
        <f t="array" aca="1" ref="C15" ca="1">IFERROR(INDEX(INDIRECT("'" &amp; C$6 &amp; "'!O:O"), MATCH(1, (INDIRECT("'"&amp; C$6 &amp; "'!F:F") =$L66) * (INDIRECT("'" &amp; C$6 &amp; "'!E:E") = Tables!$A$4), 0)), "")</f>
        <v>5.4318432995508745E-2</v>
      </c>
      <c r="D15" s="9" cm="1">
        <f t="array" aca="1" ref="D15" ca="1">IFERROR(INDEX(INDIRECT("'" &amp; D$6 &amp; "'!O:O"), MATCH(1, (INDIRECT("'"&amp; D$6 &amp; "'!F:F") =$L66) * (INDIRECT("'" &amp; D$6 &amp; "'!E:E") = Tables!$A$4), 0)), "")</f>
        <v>1.1524163568773236</v>
      </c>
      <c r="E15" s="9" cm="1">
        <f t="array" aca="1" ref="E15" ca="1">IFERROR(INDEX(INDIRECT("'" &amp; E$6 &amp; "'!O:O"), MATCH(1, (INDIRECT("'"&amp; E$6 &amp; "'!F:F") =$L66) * (INDIRECT("'" &amp; E$6 &amp; "'!E:E") = Tables!$A$4), 0)), "")</f>
        <v>1.5366906225566463</v>
      </c>
      <c r="F15" s="9" cm="1">
        <f t="array" aca="1" ref="F15" ca="1">IFERROR(INDEX(INDIRECT("'" &amp; F$6 &amp; "'!O:O"), MATCH(1, (INDIRECT("'"&amp; F$6 &amp; "'!F:F") =$L66) * (INDIRECT("'" &amp; F$6 &amp; "'!E:E") = Tables!$A$4), 0)), "")</f>
        <v>0.55843014128728408</v>
      </c>
      <c r="G15" s="9" cm="1">
        <f t="array" aca="1" ref="G15" ca="1">IFERROR(INDEX(INDIRECT("'" &amp; G$6 &amp; "'!O:O"), MATCH(1, (INDIRECT("'"&amp; G$6 &amp; "'!F:F") =$L66) * (INDIRECT("'" &amp; G$6 &amp; "'!E:E") = Tables!$A$4), 0)), "")</f>
        <v>35.685714285714269</v>
      </c>
      <c r="H15" s="9" cm="1">
        <f t="array" aca="1" ref="H15" ca="1">IFERROR(INDEX(INDIRECT("'" &amp; H$6 &amp; "'!O:O"), MATCH(1, (INDIRECT("'"&amp; H$6 &amp; "'!F:F") =$L66) * (INDIRECT("'" &amp; H$6 &amp; "'!E:E") = Tables!$A$4), 0)), "")</f>
        <v>100.14959556243961</v>
      </c>
      <c r="I15" s="103" cm="1">
        <f t="array" aca="1" ref="I15" ca="1">IFERROR(INDEX(INDIRECT("'" &amp; I$6 &amp; "'!O:O"), MATCH(1, (INDIRECT("'"&amp; I$6 &amp; "'!F:F") =$L66) * (INDIRECT("'" &amp; I$6 &amp; "'!E:E") = Tables!$A$4), 0)), "")</f>
        <v>7.4371428571428577</v>
      </c>
      <c r="J15" s="105">
        <f>IFERROR(INDEX('Date Key'!$H$25:$H$42, MATCH(A15, 'Date Key'!$A$25:$A$42, 0)), "")</f>
        <v>99.335454545454553</v>
      </c>
      <c r="K15" s="106">
        <f t="shared" ca="1" si="5"/>
        <v>1.5469709476725426E-5</v>
      </c>
      <c r="L15" s="108">
        <f t="shared" ca="1" si="0"/>
        <v>22.276381646484616</v>
      </c>
      <c r="M15" s="106">
        <f t="shared" ca="1" si="1"/>
        <v>1.5469709476725426E-5</v>
      </c>
      <c r="N15" s="108">
        <f t="shared" ca="1" si="2"/>
        <v>22.276381646484616</v>
      </c>
      <c r="P15" s="6">
        <v>9</v>
      </c>
      <c r="Q15" s="9" cm="1">
        <f t="array" aca="1" ref="Q15" ca="1">IFERROR(INDEX(INDIRECT("'" &amp; Q$6 &amp; "'!O:O"), MATCH(1, (INDIRECT("'"&amp; Q$6 &amp; "'!F:F") =$P15) * (INDIRECT("'" &amp; Q$6 &amp; "'!E:E") = Tables!$P$4), 0)), "")</f>
        <v>0.24681735515718373</v>
      </c>
      <c r="R15" s="9" cm="1">
        <f t="array" aca="1" ref="R15" ca="1">IFERROR(INDEX(INDIRECT("'" &amp; R$6 &amp; "'!O:O"), MATCH(1, (INDIRECT("'"&amp; R$6 &amp; "'!F:F") =$P15) * (INDIRECT("'" &amp; R$6 &amp; "'!E:E") = Tables!$P$4), 0)), "")</f>
        <v>0.16366073318127303</v>
      </c>
      <c r="S15" s="9" cm="1">
        <f t="array" aca="1" ref="S15" ca="1">IFERROR(INDEX(INDIRECT("'" &amp; S$6 &amp; "'!O:O"), MATCH(1, (INDIRECT("'"&amp; S$6 &amp; "'!F:F") =$P15) * (INDIRECT("'" &amp; S$6 &amp; "'!E:E") = Tables!$P$4), 0)), "")</f>
        <v>0.22724547307830675</v>
      </c>
      <c r="T15" s="9" cm="1">
        <f t="array" aca="1" ref="T15" ca="1">IFERROR(INDEX(INDIRECT("'" &amp; T$6 &amp; "'!O:O"), MATCH(1, (INDIRECT("'"&amp; T$6 &amp; "'!F:F") =$P15) * (INDIRECT("'" &amp; T$6 &amp; "'!E:E") = Tables!$P$4), 0)), "")</f>
        <v>0.63772356141676345</v>
      </c>
      <c r="U15" s="9" cm="1">
        <f t="array" aca="1" ref="U15" ca="1">IFERROR(INDEX(INDIRECT("'" &amp; U$6 &amp; "'!O:O"), MATCH(1, (INDIRECT("'"&amp; U$6 &amp; "'!F:F") =$P15) * (INDIRECT("'" &amp; U$6 &amp; "'!E:E") = Tables!$P$4), 0)), "")</f>
        <v>0.72675388103959537</v>
      </c>
      <c r="V15" s="9" cm="1">
        <f t="array" aca="1" ref="V15" ca="1">IFERROR(INDEX(INDIRECT("'" &amp; V$6 &amp; "'!O:O"), MATCH(1, (INDIRECT("'"&amp; V$6 &amp; "'!F:F") =$P15) * (INDIRECT("'" &amp; V$6 &amp; "'!E:E") = Tables!$P$4), 0)), "")</f>
        <v>27.923809523809506</v>
      </c>
      <c r="W15" s="103" cm="1">
        <f t="array" aca="1" ref="W15" ca="1">IFERROR(INDEX(INDIRECT("'" &amp; W$6 &amp; "'!O:O"), MATCH(1, (INDIRECT("'"&amp; W$6 &amp; "'!F:F") =$P15) * (INDIRECT("'" &amp; W$6 &amp; "'!E:E") = Tables!$P$4), 0)), "")</f>
        <v>120.53636325586369</v>
      </c>
      <c r="X15" s="103" cm="1">
        <f t="array" aca="1" ref="X15" ca="1">IFERROR(INDEX(INDIRECT("'" &amp; X$6 &amp; "'!O:O"), MATCH(1, (INDIRECT("'"&amp; X$6 &amp; "'!F:F") =$P15) * (INDIRECT("'" &amp; X$6 &amp; "'!E:E") = Tables!$P$4), 0)), "")</f>
        <v>7.4042857142857139</v>
      </c>
      <c r="Y15" s="105">
        <f>IFERROR(INDEX('Date Key'!$H$25:$H$42, MATCH(P15, 'Date Key'!$A$25:$A$42, 0)), "")</f>
        <v>99.335454545454553</v>
      </c>
      <c r="Z15" s="106">
        <f t="shared" ca="1" si="6"/>
        <v>9.049810717164714E-6</v>
      </c>
      <c r="AA15" s="108">
        <f t="shared" ca="1" si="7"/>
        <v>13.031727432717187</v>
      </c>
      <c r="AB15" s="109"/>
      <c r="AC15" s="109"/>
      <c r="AE15" s="6">
        <v>9</v>
      </c>
      <c r="AF15" s="9" cm="1">
        <f t="array" aca="1" ref="AF15" ca="1">IFERROR(INDEX(INDIRECT("'" &amp; AF$6 &amp; "'!O:O"), MATCH(1, (INDIRECT("'"&amp; AF$6 &amp; "'!F:F") =$AE15) * (INDIRECT("'" &amp; AF$6 &amp; "'!E:E") = Tables!$AE$4), 0)), "")</f>
        <v>0.35333852948817884</v>
      </c>
      <c r="AG15" s="9" cm="1">
        <f t="array" aca="1" ref="AG15" ca="1">IFERROR(INDEX(INDIRECT("'" &amp; AG$6 &amp; "'!O:O"), MATCH(1, (INDIRECT("'"&amp; AG$6 &amp; "'!F:F") =$AE15) * (INDIRECT("'" &amp; AG$6 &amp; "'!E:E") = Tables!$AE$4), 0)), "")</f>
        <v>0.12345098408070167</v>
      </c>
      <c r="AH15" s="9" cm="1">
        <f t="array" aca="1" ref="AH15" ca="1">IFERROR(INDEX(INDIRECT("'" &amp; AH$6 &amp; "'!O:O"), MATCH(1, (INDIRECT("'"&amp; AH$6 &amp; "'!F:F") =$AE15) * (INDIRECT("'" &amp; AH$6 &amp; "'!E:E") = Tables!$AE$4), 0)), "")</f>
        <v>0.6187792301235161</v>
      </c>
      <c r="AI15" s="9" cm="1">
        <f t="array" aca="1" ref="AI15" ca="1">IFERROR(INDEX(INDIRECT("'" &amp; AI$6 &amp; "'!O:O"), MATCH(1, (INDIRECT("'"&amp; AI$6 &amp; "'!F:F") =$AE15) * (INDIRECT("'" &amp; AI$6 &amp; "'!E:E") = Tables!$AE$4), 0)), "")</f>
        <v>1.0955687436923964</v>
      </c>
      <c r="AJ15" s="9" cm="1">
        <f t="array" aca="1" ref="AJ15" ca="1">IFERROR(INDEX(INDIRECT("'" &amp; AJ$6 &amp; "'!O:O"), MATCH(1, (INDIRECT("'"&amp; AJ$6 &amp; "'!F:F") =$AE15) * (INDIRECT("'" &amp; AJ$6 &amp; "'!E:E") = Tables!$AE$4), 0)), "")</f>
        <v>1.3965602651316933</v>
      </c>
      <c r="AK15" s="9" cm="1">
        <f t="array" aca="1" ref="AK15" ca="1">IFERROR(INDEX(INDIRECT("'" &amp; AK$6 &amp; "'!O:O"), MATCH(1, (INDIRECT("'"&amp; AK$6 &amp; "'!F:F") =$AE15) * (INDIRECT("'" &amp; AK$6 &amp; "'!E:E") = Tables!$AE$4), 0)), "")</f>
        <v>41.733333333333327</v>
      </c>
      <c r="AL15" s="9" cm="1">
        <f t="array" aca="1" ref="AL15" ca="1">IFERROR(INDEX(INDIRECT("'" &amp; AL$6 &amp; "'!O:O"), MATCH(1, (INDIRECT("'"&amp; AL$6 &amp; "'!F:F") =$AE15) * (INDIRECT("'" &amp; AL$6 &amp; "'!E:E") = Tables!$AE$4), 0)), "")</f>
        <v>118.74215583099003</v>
      </c>
      <c r="AM15" s="103" cm="1">
        <f t="array" aca="1" ref="AM15" ca="1">IFERROR(INDEX(INDIRECT("'" &amp; AM$6 &amp; "'!O:O"), MATCH(1, (INDIRECT("'"&amp; AM$6 &amp; "'!F:F") =$AE15) * (INDIRECT("'" &amp; AM$6 &amp; "'!E:E") = Tables!$AE$4), 0)), "")</f>
        <v>7.3657142857142848</v>
      </c>
      <c r="AN15" s="105">
        <f>IFERROR(INDEX('Date Key'!$I$25:$I$42, MATCH(AE15, 'Date Key'!$A$25:$A$42, 0)), "")</f>
        <v>99.335454545454553</v>
      </c>
      <c r="AO15" s="106">
        <f t="shared" ca="1" si="3"/>
        <v>4.4407294543802433E-6</v>
      </c>
      <c r="AP15" s="108">
        <f t="shared" ca="1" si="4"/>
        <v>6.3946504143075504</v>
      </c>
    </row>
    <row r="16" spans="1:43" x14ac:dyDescent="0.35">
      <c r="A16" s="6">
        <v>10</v>
      </c>
      <c r="B16" s="9" cm="1">
        <f t="array" aca="1" ref="B16" ca="1">IFERROR(INDEX(INDIRECT("'" &amp; B$6 &amp; "'!O:O"), MATCH(1, (INDIRECT("'"&amp; B$6 &amp; "'!F:F") =$L67) * (INDIRECT("'" &amp; B$6 &amp; "'!E:E") = Tables!$A$4), 0)), "")</f>
        <v>0.28578851649779174</v>
      </c>
      <c r="C16" s="9" cm="1">
        <f t="array" aca="1" ref="C16" ca="1">IFERROR(INDEX(INDIRECT("'" &amp; C$6 &amp; "'!O:O"), MATCH(1, (INDIRECT("'"&amp; C$6 &amp; "'!F:F") =$L67) * (INDIRECT("'" &amp; C$6 &amp; "'!E:E") = Tables!$A$4), 0)), "")</f>
        <v>4.0915183295318271E-2</v>
      </c>
      <c r="D16" s="9" cm="1">
        <f t="array" aca="1" ref="D16" ca="1">IFERROR(INDEX(INDIRECT("'" &amp; D$6 &amp; "'!O:O"), MATCH(1, (INDIRECT("'"&amp; D$6 &amp; "'!F:F") =$L67) * (INDIRECT("'" &amp; D$6 &amp; "'!E:E") = Tables!$A$4), 0)), "")</f>
        <v>0.91138026142223294</v>
      </c>
      <c r="E16" s="9" cm="1">
        <f t="array" aca="1" ref="E16" ca="1">IFERROR(INDEX(INDIRECT("'" &amp; E$6 &amp; "'!O:O"), MATCH(1, (INDIRECT("'"&amp; E$6 &amp; "'!F:F") =$L67) * (INDIRECT("'" &amp; E$6 &amp; "'!E:E") = Tables!$A$4), 0)), "")</f>
        <v>1.2380839612153429</v>
      </c>
      <c r="F16" s="9" cm="1">
        <f t="array" aca="1" ref="F16" ca="1">IFERROR(INDEX(INDIRECT("'" &amp; F$6 &amp; "'!O:O"), MATCH(1, (INDIRECT("'"&amp; F$6 &amp; "'!F:F") =$L67) * (INDIRECT("'" &amp; F$6 &amp; "'!E:E") = Tables!$A$4), 0)), "")</f>
        <v>0.36394208965637531</v>
      </c>
      <c r="G16" s="9" cm="1">
        <f t="array" aca="1" ref="G16" ca="1">IFERROR(INDEX(INDIRECT("'" &amp; G$6 &amp; "'!O:O"), MATCH(1, (INDIRECT("'"&amp; G$6 &amp; "'!F:F") =$L67) * (INDIRECT("'" &amp; G$6 &amp; "'!E:E") = Tables!$A$4), 0)), "")</f>
        <v>36.54285714285713</v>
      </c>
      <c r="H16" s="9" cm="1">
        <f t="array" aca="1" ref="H16" ca="1">IFERROR(INDEX(INDIRECT("'" &amp; H$6 &amp; "'!O:O"), MATCH(1, (INDIRECT("'"&amp; H$6 &amp; "'!F:F") =$L67) * (INDIRECT("'" &amp; H$6 &amp; "'!E:E") = Tables!$A$4), 0)), "")</f>
        <v>94.109509247123938</v>
      </c>
      <c r="I16" s="103" cm="1">
        <f t="array" aca="1" ref="I16" ca="1">IFERROR(INDEX(INDIRECT("'" &amp; I$6 &amp; "'!O:O"), MATCH(1, (INDIRECT("'"&amp; I$6 &amp; "'!F:F") =$L67) * (INDIRECT("'" &amp; I$6 &amp; "'!E:E") = Tables!$A$4), 0)), "")</f>
        <v>7.5842857142857136</v>
      </c>
      <c r="J16" s="105">
        <f>IFERROR(INDEX('Date Key'!$H$25:$H$42, MATCH(A16, 'Date Key'!$A$25:$A$42, 0)), "")</f>
        <v>145.3240909090909</v>
      </c>
      <c r="K16" s="106">
        <f t="shared" ca="1" si="5"/>
        <v>8.5194681313357749E-6</v>
      </c>
      <c r="L16" s="108">
        <f t="shared" ca="1" si="0"/>
        <v>12.268034109123516</v>
      </c>
      <c r="M16" s="106">
        <f t="shared" ca="1" si="1"/>
        <v>8.5194681313357749E-6</v>
      </c>
      <c r="N16" s="108">
        <f t="shared" ca="1" si="2"/>
        <v>12.268034109123516</v>
      </c>
      <c r="P16" s="6">
        <v>10</v>
      </c>
      <c r="Q16" s="9" cm="1">
        <f t="array" aca="1" ref="Q16" ca="1">IFERROR(INDEX(INDIRECT("'" &amp; Q$6 &amp; "'!O:O"), MATCH(1, (INDIRECT("'"&amp; Q$6 &amp; "'!F:F") =$P16) * (INDIRECT("'" &amp; Q$6 &amp; "'!E:E") = Tables!$P$4), 0)), "")</f>
        <v>0.15328656793972462</v>
      </c>
      <c r="R16" s="9" cm="1">
        <f t="array" aca="1" ref="R16" ca="1">IFERROR(INDEX(INDIRECT("'" &amp; R$6 &amp; "'!O:O"), MATCH(1, (INDIRECT("'"&amp; R$6 &amp; "'!F:F") =$P16) * (INDIRECT("'" &amp; R$6 &amp; "'!E:E") = Tables!$P$4), 0)), "")</f>
        <v>0.13050532602817033</v>
      </c>
      <c r="S16" s="9" cm="1">
        <f t="array" aca="1" ref="S16" ca="1">IFERROR(INDEX(INDIRECT("'" &amp; S$6 &amp; "'!O:O"), MATCH(1, (INDIRECT("'"&amp; S$6 &amp; "'!F:F") =$P16) * (INDIRECT("'" &amp; S$6 &amp; "'!E:E") = Tables!$P$4), 0)), "")</f>
        <v>0.11931886317304231</v>
      </c>
      <c r="T16" s="9" cm="1">
        <f t="array" aca="1" ref="T16" ca="1">IFERROR(INDEX(INDIRECT("'" &amp; T$6 &amp; "'!O:O"), MATCH(1, (INDIRECT("'"&amp; T$6 &amp; "'!F:F") =$P16) * (INDIRECT("'" &amp; T$6 &amp; "'!E:E") = Tables!$P$4), 0)), "")</f>
        <v>0.40311075714093725</v>
      </c>
      <c r="U16" s="9" cm="1">
        <f t="array" aca="1" ref="U16" ca="1">IFERROR(INDEX(INDIRECT("'" &amp; U$6 &amp; "'!O:O"), MATCH(1, (INDIRECT("'"&amp; U$6 &amp; "'!F:F") =$P16) * (INDIRECT("'" &amp; U$6 &amp; "'!E:E") = Tables!$P$4), 0)), "")</f>
        <v>0.3744078144078144</v>
      </c>
      <c r="V16" s="9" cm="1">
        <f t="array" aca="1" ref="V16" ca="1">IFERROR(INDEX(INDIRECT("'" &amp; V$6 &amp; "'!O:O"), MATCH(1, (INDIRECT("'"&amp; V$6 &amp; "'!F:F") =$P16) * (INDIRECT("'" &amp; V$6 &amp; "'!E:E") = Tables!$P$4), 0)), "")</f>
        <v>28.019047619047608</v>
      </c>
      <c r="W16" s="103" cm="1">
        <f t="array" aca="1" ref="W16" ca="1">IFERROR(INDEX(INDIRECT("'" &amp; W$6 &amp; "'!O:O"), MATCH(1, (INDIRECT("'"&amp; W$6 &amp; "'!F:F") =$P16) * (INDIRECT("'" &amp; W$6 &amp; "'!E:E") = Tables!$P$4), 0)), "")</f>
        <v>103.10143337666275</v>
      </c>
      <c r="X16" s="103" cm="1">
        <f t="array" aca="1" ref="X16" ca="1">IFERROR(INDEX(INDIRECT("'" &amp; X$6 &amp; "'!O:O"), MATCH(1, (INDIRECT("'"&amp; X$6 &amp; "'!F:F") =$P16) * (INDIRECT("'" &amp; X$6 &amp; "'!E:E") = Tables!$P$4), 0)), "")</f>
        <v>7.3157142857142849</v>
      </c>
      <c r="Y16" s="105">
        <f>IFERROR(INDEX('Date Key'!$H$25:$H$42, MATCH(P16, 'Date Key'!$A$25:$A$42, 0)), "")</f>
        <v>145.3240909090909</v>
      </c>
      <c r="Z16" s="106">
        <f t="shared" ca="1" si="6"/>
        <v>5.7455938575024868E-6</v>
      </c>
      <c r="AA16" s="108">
        <f t="shared" ca="1" si="7"/>
        <v>8.2736551548035813</v>
      </c>
      <c r="AB16" s="109"/>
      <c r="AC16" s="109"/>
      <c r="AE16" s="6">
        <v>10</v>
      </c>
      <c r="AF16" s="9" cm="1">
        <f t="array" aca="1" ref="AF16" ca="1">IFERROR(INDEX(INDIRECT("'" &amp; AF$6 &amp; "'!O:O"), MATCH(1, (INDIRECT("'"&amp; AF$6 &amp; "'!F:F") =$AE16) * (INDIRECT("'" &amp; AF$6 &amp; "'!E:E") = Tables!$AE$4), 0)), "")</f>
        <v>0.11431540659911665</v>
      </c>
      <c r="AG16" s="9" cm="1">
        <f t="array" aca="1" ref="AG16" ca="1">IFERROR(INDEX(INDIRECT("'" &amp; AG$6 &amp; "'!O:O"), MATCH(1, (INDIRECT("'"&amp; AG$6 &amp; "'!F:F") =$AE16) * (INDIRECT("'" &amp; AG$6 &amp; "'!E:E") = Tables!$AE$4), 0)), "")</f>
        <v>0.18129658804994472</v>
      </c>
      <c r="AH16" s="9" cm="1">
        <f t="array" aca="1" ref="AH16" ca="1">IFERROR(INDEX(INDIRECT("'" &amp; AH$6 &amp; "'!O:O"), MATCH(1, (INDIRECT("'"&amp; AH$6 &amp; "'!F:F") =$AE16) * (INDIRECT("'" &amp; AH$6 &amp; "'!E:E") = Tables!$AE$4), 0)), "")</f>
        <v>0.41731622496702248</v>
      </c>
      <c r="AI16" s="9" cm="1">
        <f t="array" aca="1" ref="AI16" ca="1">IFERROR(INDEX(INDIRECT("'" &amp; AI$6 &amp; "'!O:O"), MATCH(1, (INDIRECT("'"&amp; AI$6 &amp; "'!F:F") =$AE16) * (INDIRECT("'" &amp; AI$6 &amp; "'!E:E") = Tables!$AE$4), 0)), "")</f>
        <v>0.71292821961608388</v>
      </c>
      <c r="AJ16" s="9" cm="1">
        <f t="array" aca="1" ref="AJ16" ca="1">IFERROR(INDEX(INDIRECT("'" &amp; AJ$6 &amp; "'!O:O"), MATCH(1, (INDIRECT("'"&amp; AJ$6 &amp; "'!F:F") =$AE16) * (INDIRECT("'" &amp; AJ$6 &amp; "'!E:E") = Tables!$AE$4), 0)), "")</f>
        <v>0.81920111634397352</v>
      </c>
      <c r="AK16" s="9" cm="1">
        <f t="array" aca="1" ref="AK16" ca="1">IFERROR(INDEX(INDIRECT("'" &amp; AK$6 &amp; "'!O:O"), MATCH(1, (INDIRECT("'"&amp; AK$6 &amp; "'!F:F") =$AE16) * (INDIRECT("'" &amp; AK$6 &amp; "'!E:E") = Tables!$AE$4), 0)), "")</f>
        <v>29.780952380952368</v>
      </c>
      <c r="AL16" s="9" cm="1">
        <f t="array" aca="1" ref="AL16" ca="1">IFERROR(INDEX(INDIRECT("'" &amp; AL$6 &amp; "'!O:O"), MATCH(1, (INDIRECT("'"&amp; AL$6 &amp; "'!F:F") =$AE16) * (INDIRECT("'" &amp; AL$6 &amp; "'!E:E") = Tables!$AE$4), 0)), "")</f>
        <v>103.0209020870882</v>
      </c>
      <c r="AM16" s="103" cm="1">
        <f t="array" aca="1" ref="AM16" ca="1">IFERROR(INDEX(INDIRECT("'" &amp; AM$6 &amp; "'!O:O"), MATCH(1, (INDIRECT("'"&amp; AM$6 &amp; "'!F:F") =$AE16) * (INDIRECT("'" &amp; AM$6 &amp; "'!E:E") = Tables!$AE$4), 0)), "")</f>
        <v>7.2957142857142854</v>
      </c>
      <c r="AN16" s="105">
        <f>IFERROR(INDEX('Date Key'!$I$25:$I$42, MATCH(AE16, 'Date Key'!$A$25:$A$42, 0)), "")</f>
        <v>145.3240909090909</v>
      </c>
      <c r="AO16" s="106">
        <f t="shared" ca="1" si="3"/>
        <v>3.613686748797734E-6</v>
      </c>
      <c r="AP16" s="108">
        <f t="shared" ca="1" si="4"/>
        <v>5.2037089182687373</v>
      </c>
    </row>
    <row r="17" spans="1:63" x14ac:dyDescent="0.35">
      <c r="A17" s="6">
        <v>11</v>
      </c>
      <c r="B17" s="9" cm="1">
        <f t="array" aca="1" ref="B17" ca="1">IFERROR(INDEX(INDIRECT("'" &amp; B$6 &amp; "'!O:O"), MATCH(1, (INDIRECT("'"&amp; B$6 &amp; "'!F:F") =$L68) * (INDIRECT("'" &amp; B$6 &amp; "'!E:E") = Tables!$A$4), 0)), "")</f>
        <v>0.50198959289868383</v>
      </c>
      <c r="C17" s="9" cm="1">
        <f t="array" aca="1" ref="C17" ca="1">IFERROR(INDEX(INDIRECT("'" &amp; C$6 &amp; "'!O:O"), MATCH(1, (INDIRECT("'"&amp; C$6 &amp; "'!F:F") =$L68) * (INDIRECT("'" &amp; C$6 &amp; "'!E:E") = Tables!$A$4), 0)), "")</f>
        <v>0.10397495040275354</v>
      </c>
      <c r="D17" s="9" cm="1">
        <f t="array" aca="1" ref="D17" ca="1">IFERROR(INDEX(INDIRECT("'" &amp; D$6 &amp; "'!O:O"), MATCH(1, (INDIRECT("'"&amp; D$6 &amp; "'!F:F") =$L68) * (INDIRECT("'" &amp; D$6 &amp; "'!E:E") = Tables!$A$4), 0)), "")</f>
        <v>0.96046111841439974</v>
      </c>
      <c r="E17" s="9" cm="1">
        <f t="array" aca="1" ref="E17" ca="1">IFERROR(INDEX(INDIRECT("'" &amp; E$6 &amp; "'!O:O"), MATCH(1, (INDIRECT("'"&amp; E$6 &amp; "'!F:F") =$L68) * (INDIRECT("'" &amp; E$6 &amp; "'!E:E") = Tables!$A$4), 0)), "")</f>
        <v>1.566425661715837</v>
      </c>
      <c r="F17" s="9" cm="1">
        <f t="array" aca="1" ref="F17" ca="1">IFERROR(INDEX(INDIRECT("'" &amp; F$6 &amp; "'!O:O"), MATCH(1, (INDIRECT("'"&amp; F$6 &amp; "'!F:F") =$L68) * (INDIRECT("'" &amp; F$6 &amp; "'!E:E") = Tables!$A$4), 0)), "")</f>
        <v>1.3595150880865166</v>
      </c>
      <c r="G17" s="9" cm="1">
        <f t="array" aca="1" ref="G17" ca="1">IFERROR(INDEX(INDIRECT("'" &amp; G$6 &amp; "'!O:O"), MATCH(1, (INDIRECT("'"&amp; G$6 &amp; "'!F:F") =$L68) * (INDIRECT("'" &amp; G$6 &amp; "'!E:E") = Tables!$A$4), 0)), "")</f>
        <v>24.019047619047608</v>
      </c>
      <c r="H17" s="9" cm="1">
        <f t="array" aca="1" ref="H17" ca="1">IFERROR(INDEX(INDIRECT("'" &amp; H$6 &amp; "'!O:O"), MATCH(1, (INDIRECT("'"&amp; H$6 &amp; "'!F:F") =$L68) * (INDIRECT("'" &amp; H$6 &amp; "'!E:E") = Tables!$A$4), 0)), "")</f>
        <v>119.46025338882482</v>
      </c>
      <c r="I17" s="103" cm="1">
        <f t="array" aca="1" ref="I17" ca="1">IFERROR(INDEX(INDIRECT("'" &amp; I$6 &amp; "'!O:O"), MATCH(1, (INDIRECT("'"&amp; I$6 &amp; "'!F:F") =$L68) * (INDIRECT("'" &amp; I$6 &amp; "'!E:E") = Tables!$A$4), 0)), "")</f>
        <v>8.0971428571428579</v>
      </c>
      <c r="J17" s="105">
        <f>IFERROR(INDEX('Date Key'!$H$25:$H$42, MATCH(A17, 'Date Key'!$A$25:$A$42, 0)), "")</f>
        <v>145.3240909090909</v>
      </c>
      <c r="K17" s="106">
        <f t="shared" ca="1" si="5"/>
        <v>1.0778843699739585E-5</v>
      </c>
      <c r="L17" s="108">
        <f t="shared" ca="1" si="0"/>
        <v>15.521534927625003</v>
      </c>
      <c r="M17" s="106">
        <f t="shared" ca="1" si="1"/>
        <v>1.0778843699739585E-5</v>
      </c>
      <c r="N17" s="108">
        <f t="shared" ca="1" si="2"/>
        <v>15.521534927625003</v>
      </c>
      <c r="P17" s="6">
        <v>11</v>
      </c>
      <c r="Q17" s="9" cm="1">
        <f t="array" aca="1" ref="Q17" ca="1">IFERROR(INDEX(INDIRECT("'" &amp; Q$6 &amp; "'!O:O"), MATCH(1, (INDIRECT("'"&amp; Q$6 &amp; "'!F:F") =$P17) * (INDIRECT("'" &amp; Q$6 &amp; "'!E:E") = Tables!$P$4), 0)), "")</f>
        <v>0.18365472910927455</v>
      </c>
      <c r="R17" s="9" cm="1">
        <f t="array" aca="1" ref="R17" ca="1">IFERROR(INDEX(INDIRECT("'" &amp; R$6 &amp; "'!O:O"), MATCH(1, (INDIRECT("'"&amp; R$6 &amp; "'!F:F") =$P17) * (INDIRECT("'" &amp; R$6 &amp; "'!E:E") = Tables!$P$4), 0)), "")</f>
        <v>0.12978942084757511</v>
      </c>
      <c r="S17" s="9" cm="1">
        <f t="array" aca="1" ref="S17" ca="1">IFERROR(INDEX(INDIRECT("'" &amp; S$6 &amp; "'!O:O"), MATCH(1, (INDIRECT("'"&amp; S$6 &amp; "'!F:F") =$P17) * (INDIRECT("'" &amp; S$6 &amp; "'!E:E") = Tables!$P$4), 0)), "")</f>
        <v>0.17534634442309635</v>
      </c>
      <c r="T17" s="9" cm="1">
        <f t="array" aca="1" ref="T17" ca="1">IFERROR(INDEX(INDIRECT("'" &amp; T$6 &amp; "'!O:O"), MATCH(1, (INDIRECT("'"&amp; T$6 &amp; "'!F:F") =$P17) * (INDIRECT("'" &amp; T$6 &amp; "'!E:E") = Tables!$P$4), 0)), "")</f>
        <v>0.48879049437994609</v>
      </c>
      <c r="U17" s="9" cm="1">
        <f t="array" aca="1" ref="U17" ca="1">IFERROR(INDEX(INDIRECT("'" &amp; U$6 &amp; "'!O:O"), MATCH(1, (INDIRECT("'"&amp; U$6 &amp; "'!F:F") =$P17) * (INDIRECT("'" &amp; U$6 &amp; "'!E:E") = Tables!$P$4), 0)), "")</f>
        <v>0.65307866736438158</v>
      </c>
      <c r="V17" s="9" cm="1">
        <f t="array" aca="1" ref="V17" ca="1">IFERROR(INDEX(INDIRECT("'" &amp; V$6 &amp; "'!O:O"), MATCH(1, (INDIRECT("'"&amp; V$6 &amp; "'!F:F") =$P17) * (INDIRECT("'" &amp; V$6 &amp; "'!E:E") = Tables!$P$4), 0)), "")</f>
        <v>17.447619047619042</v>
      </c>
      <c r="W17" s="103" cm="1">
        <f t="array" aca="1" ref="W17" ca="1">IFERROR(INDEX(INDIRECT("'" &amp; W$6 &amp; "'!O:O"), MATCH(1, (INDIRECT("'"&amp; W$6 &amp; "'!F:F") =$P17) * (INDIRECT("'" &amp; W$6 &amp; "'!E:E") = Tables!$P$4), 0)), "")</f>
        <v>123.84775777632922</v>
      </c>
      <c r="X17" s="103" cm="1">
        <f t="array" aca="1" ref="X17" ca="1">IFERROR(INDEX(INDIRECT("'" &amp; X$6 &amp; "'!O:O"), MATCH(1, (INDIRECT("'"&amp; X$6 &amp; "'!F:F") =$P17) * (INDIRECT("'" &amp; X$6 &amp; "'!E:E") = Tables!$P$4), 0)), "")</f>
        <v>7.3185714285714294</v>
      </c>
      <c r="Y17" s="105">
        <f>IFERROR(INDEX('Date Key'!$H$25:$H$42, MATCH(P17, 'Date Key'!$A$25:$A$42, 0)), "")</f>
        <v>145.3240909090909</v>
      </c>
      <c r="Z17" s="106">
        <f t="shared" ca="1" si="6"/>
        <v>7.4153924555428147E-6</v>
      </c>
      <c r="AA17" s="108">
        <f t="shared" ca="1" si="7"/>
        <v>10.678165135981654</v>
      </c>
      <c r="AB17" s="109"/>
      <c r="AC17" s="109"/>
      <c r="AE17" s="6">
        <v>11</v>
      </c>
      <c r="AF17" s="9" cm="1">
        <f t="array" aca="1" ref="AF17" ca="1">IFERROR(INDEX(INDIRECT("'" &amp; AF$6 &amp; "'!O:O"), MATCH(1, (INDIRECT("'"&amp; AF$6 &amp; "'!F:F") =$AE17) * (INDIRECT("'" &amp; AF$6 &amp; "'!E:E") = Tables!$AE$4), 0)), "")</f>
        <v>0.56014692378328745</v>
      </c>
      <c r="AG17" s="9" cm="1">
        <f t="array" aca="1" ref="AG17" ca="1">IFERROR(INDEX(INDIRECT("'" &amp; AG$6 &amp; "'!O:O"), MATCH(1, (INDIRECT("'"&amp; AG$6 &amp; "'!F:F") =$AE17) * (INDIRECT("'" &amp; AG$6 &amp; "'!E:E") = Tables!$AE$4), 0)), "")</f>
        <v>9.6804264168080884E-2</v>
      </c>
      <c r="AH17" s="9" cm="1">
        <f t="array" aca="1" ref="AH17" ca="1">IFERROR(INDEX(INDIRECT("'" &amp; AH$6 &amp; "'!O:O"), MATCH(1, (INDIRECT("'"&amp; AH$6 &amp; "'!F:F") =$AE17) * (INDIRECT("'" &amp; AH$6 &amp; "'!E:E") = Tables!$AE$4), 0)), "")</f>
        <v>0.42896147234300736</v>
      </c>
      <c r="AI17" s="9" cm="1">
        <f t="array" aca="1" ref="AI17" ca="1">IFERROR(INDEX(INDIRECT("'" &amp; AI$6 &amp; "'!O:O"), MATCH(1, (INDIRECT("'"&amp; AI$6 &amp; "'!F:F") =$AE17) * (INDIRECT("'" &amp; AI$6 &amp; "'!E:E") = Tables!$AE$4), 0)), "")</f>
        <v>1.0859126602943758</v>
      </c>
      <c r="AJ17" s="9" cm="1">
        <f t="array" aca="1" ref="AJ17" ca="1">IFERROR(INDEX(INDIRECT("'" &amp; AJ$6 &amp; "'!O:O"), MATCH(1, (INDIRECT("'"&amp; AJ$6 &amp; "'!F:F") =$AE17) * (INDIRECT("'" &amp; AJ$6 &amp; "'!E:E") = Tables!$AE$4), 0)), "")</f>
        <v>0.93042037327751614</v>
      </c>
      <c r="AK17" s="9" cm="1">
        <f t="array" aca="1" ref="AK17" ca="1">IFERROR(INDEX(INDIRECT("'" &amp; AK$6 &amp; "'!O:O"), MATCH(1, (INDIRECT("'"&amp; AK$6 &amp; "'!F:F") =$AE17) * (INDIRECT("'" &amp; AK$6 &amp; "'!E:E") = Tables!$AE$4), 0)), "")</f>
        <v>18.304761904761904</v>
      </c>
      <c r="AL17" s="9" cm="1">
        <f t="array" aca="1" ref="AL17" ca="1">IFERROR(INDEX(INDIRECT("'" &amp; AL$6 &amp; "'!O:O"), MATCH(1, (INDIRECT("'"&amp; AL$6 &amp; "'!F:F") =$AE17) * (INDIRECT("'" &amp; AL$6 &amp; "'!E:E") = Tables!$AE$4), 0)), "")</f>
        <v>126.36374630685297</v>
      </c>
      <c r="AM17" s="103" cm="1">
        <f t="array" aca="1" ref="AM17" ca="1">IFERROR(INDEX(INDIRECT("'" &amp; AM$6 &amp; "'!O:O"), MATCH(1, (INDIRECT("'"&amp; AM$6 &amp; "'!F:F") =$AE17) * (INDIRECT("'" &amp; AM$6 &amp; "'!E:E") = Tables!$AE$4), 0)), "")</f>
        <v>7.3642857142857139</v>
      </c>
      <c r="AN17" s="105">
        <f>IFERROR(INDEX('Date Key'!$I$25:$I$42, MATCH(AE17, 'Date Key'!$A$25:$A$42, 0)), "")</f>
        <v>145.3240909090909</v>
      </c>
      <c r="AO17" s="106">
        <f t="shared" ca="1" si="3"/>
        <v>3.3064923951394361E-6</v>
      </c>
      <c r="AP17" s="108">
        <f t="shared" ca="1" si="4"/>
        <v>4.7613490490007884</v>
      </c>
    </row>
    <row r="18" spans="1:63" x14ac:dyDescent="0.35">
      <c r="A18" s="6">
        <v>12</v>
      </c>
      <c r="B18" s="9" cm="1">
        <f t="array" aca="1" ref="B18" ca="1">IFERROR(INDEX(INDIRECT("'" &amp; B$6 &amp; "'!O:O"), MATCH(1, (INDIRECT("'"&amp; B$6 &amp; "'!F:F") =$L69) * (INDIRECT("'" &amp; B$6 &amp; "'!E:E") = Tables!$A$4), 0)), "")</f>
        <v>0.4775022956841139</v>
      </c>
      <c r="C18" s="9" cm="1">
        <f t="array" aca="1" ref="C18" ca="1">IFERROR(INDEX(INDIRECT("'" &amp; C$6 &amp; "'!O:O"), MATCH(1, (INDIRECT("'"&amp; C$6 &amp; "'!F:F") =$L69) * (INDIRECT("'" &amp; C$6 &amp; "'!E:E") = Tables!$A$4), 0)), "")</f>
        <v>6.3959755659360421E-2</v>
      </c>
      <c r="D18" s="9" cm="1">
        <f t="array" aca="1" ref="D18" ca="1">IFERROR(INDEX(INDIRECT("'" &amp; D$6 &amp; "'!O:O"), MATCH(1, (INDIRECT("'"&amp; D$6 &amp; "'!F:F") =$L69) * (INDIRECT("'" &amp; D$6 &amp; "'!E:E") = Tables!$A$4), 0)), "")</f>
        <v>1.067874224076524</v>
      </c>
      <c r="E18" s="9" cm="1">
        <f t="array" aca="1" ref="E18" ca="1">IFERROR(INDEX(INDIRECT("'" &amp; E$6 &amp; "'!O:O"), MATCH(1, (INDIRECT("'"&amp; E$6 &amp; "'!F:F") =$L69) * (INDIRECT("'" &amp; E$6 &amp; "'!E:E") = Tables!$A$4), 0)), "")</f>
        <v>1.6093362754199985</v>
      </c>
      <c r="F18" s="9" cm="1">
        <f t="array" aca="1" ref="F18" ca="1">IFERROR(INDEX(INDIRECT("'" &amp; F$6 &amp; "'!O:O"), MATCH(1, (INDIRECT("'"&amp; F$6 &amp; "'!F:F") =$L69) * (INDIRECT("'" &amp; F$6 &amp; "'!E:E") = Tables!$A$4), 0)), "")</f>
        <v>1.37580673294959</v>
      </c>
      <c r="G18" s="9" cm="1">
        <f t="array" aca="1" ref="G18" ca="1">IFERROR(INDEX(INDIRECT("'" &amp; G$6 &amp; "'!O:O"), MATCH(1, (INDIRECT("'"&amp; G$6 &amp; "'!F:F") =$L69) * (INDIRECT("'" &amp; G$6 &amp; "'!E:E") = Tables!$A$4), 0)), "")</f>
        <v>34.019047619047605</v>
      </c>
      <c r="H18" s="9" cm="1">
        <f t="array" aca="1" ref="H18" ca="1">IFERROR(INDEX(INDIRECT("'" &amp; H$6 &amp; "'!O:O"), MATCH(1, (INDIRECT("'"&amp; H$6 &amp; "'!F:F") =$L69) * (INDIRECT("'" &amp; H$6 &amp; "'!E:E") = Tables!$A$4), 0)), "")</f>
        <v>123.82164167878454</v>
      </c>
      <c r="I18" s="103" cm="1">
        <f t="array" aca="1" ref="I18" ca="1">IFERROR(INDEX(INDIRECT("'" &amp; I$6 &amp; "'!O:O"), MATCH(1, (INDIRECT("'"&amp; I$6 &amp; "'!F:F") =$L69) * (INDIRECT("'" &amp; I$6 &amp; "'!E:E") = Tables!$A$4), 0)), "")</f>
        <v>7.9714285714285706</v>
      </c>
      <c r="J18" s="105">
        <f>IFERROR(INDEX('Date Key'!$H$25:$H$42, MATCH(A18, 'Date Key'!$A$25:$A$42, 0)), "")</f>
        <v>145.3240909090909</v>
      </c>
      <c r="K18" s="106">
        <f t="shared" ca="1" si="5"/>
        <v>1.1074118993985221E-5</v>
      </c>
      <c r="L18" s="108">
        <f t="shared" ca="1" si="0"/>
        <v>15.94673135133872</v>
      </c>
      <c r="M18" s="106">
        <f t="shared" ca="1" si="1"/>
        <v>1.1074118993985221E-5</v>
      </c>
      <c r="N18" s="108">
        <f t="shared" ca="1" si="2"/>
        <v>15.94673135133872</v>
      </c>
      <c r="P18" s="6">
        <v>12</v>
      </c>
      <c r="Q18" s="9" cm="1">
        <f t="array" aca="1" ref="Q18" ca="1">IFERROR(INDEX(INDIRECT("'" &amp; Q$6 &amp; "'!O:O"), MATCH(1, (INDIRECT("'"&amp; Q$6 &amp; "'!F:F") =$P18) * (INDIRECT("'" &amp; Q$6 &amp; "'!E:E") = Tables!$P$4), 0)), "")</f>
        <v>0.13161922252831343</v>
      </c>
      <c r="R18" s="9" cm="1">
        <f t="array" aca="1" ref="R18" ca="1">IFERROR(INDEX(INDIRECT("'" &amp; R$6 &amp; "'!O:O"), MATCH(1, (INDIRECT("'"&amp; R$6 &amp; "'!F:F") =$P18) * (INDIRECT("'" &amp; R$6 &amp; "'!E:E") = Tables!$P$4), 0)), "")</f>
        <v>0.10923463887890768</v>
      </c>
      <c r="S18" s="9" cm="1">
        <f t="array" aca="1" ref="S18" ca="1">IFERROR(INDEX(INDIRECT("'" &amp; S$6 &amp; "'!O:O"), MATCH(1, (INDIRECT("'"&amp; S$6 &amp; "'!F:F") =$P18) * (INDIRECT("'" &amp; S$6 &amp; "'!E:E") = Tables!$P$4), 0)), "")</f>
        <v>0.12394423527017399</v>
      </c>
      <c r="T18" s="9" cm="1">
        <f t="array" aca="1" ref="T18" ca="1">IFERROR(INDEX(INDIRECT("'" &amp; T$6 &amp; "'!O:O"), MATCH(1, (INDIRECT("'"&amp; T$6 &amp; "'!F:F") =$P18) * (INDIRECT("'" &amp; T$6 &amp; "'!E:E") = Tables!$P$4), 0)), "")</f>
        <v>0.36479809667739505</v>
      </c>
      <c r="U18" s="9" cm="1">
        <f t="array" aca="1" ref="U18" ca="1">IFERROR(INDEX(INDIRECT("'" &amp; U$6 &amp; "'!O:O"), MATCH(1, (INDIRECT("'"&amp; U$6 &amp; "'!F:F") =$P18) * (INDIRECT("'" &amp; U$6 &amp; "'!E:E") = Tables!$P$4), 0)), "")</f>
        <v>0.80542473399616255</v>
      </c>
      <c r="V18" s="9" cm="1">
        <f t="array" aca="1" ref="V18" ca="1">IFERROR(INDEX(INDIRECT("'" &amp; V$6 &amp; "'!O:O"), MATCH(1, (INDIRECT("'"&amp; V$6 &amp; "'!F:F") =$P18) * (INDIRECT("'" &amp; V$6 &amp; "'!E:E") = Tables!$P$4), 0)), "")</f>
        <v>22.304761904761897</v>
      </c>
      <c r="W18" s="103" cm="1">
        <f t="array" aca="1" ref="W18" ca="1">IFERROR(INDEX(INDIRECT("'" &amp; W$6 &amp; "'!O:O"), MATCH(1, (INDIRECT("'"&amp; W$6 &amp; "'!F:F") =$P18) * (INDIRECT("'" &amp; W$6 &amp; "'!E:E") = Tables!$P$4), 0)), "")</f>
        <v>126.69441240869813</v>
      </c>
      <c r="X18" s="103" cm="1">
        <f t="array" aca="1" ref="X18" ca="1">IFERROR(INDEX(INDIRECT("'" &amp; X$6 &amp; "'!O:O"), MATCH(1, (INDIRECT("'"&amp; X$6 &amp; "'!F:F") =$P18) * (INDIRECT("'" &amp; X$6 &amp; "'!E:E") = Tables!$P$4), 0)), "")</f>
        <v>7.1328571428571426</v>
      </c>
      <c r="Y18" s="105">
        <f>IFERROR(INDEX('Date Key'!$H$25:$H$42, MATCH(P18, 'Date Key'!$A$25:$A$42, 0)), "")</f>
        <v>145.3240909090909</v>
      </c>
      <c r="Z18" s="106">
        <f t="shared" ca="1" si="6"/>
        <v>8.5638807093666116E-6</v>
      </c>
      <c r="AA18" s="108">
        <f t="shared" ca="1" si="7"/>
        <v>12.33198822148792</v>
      </c>
      <c r="AB18" s="109"/>
      <c r="AC18" s="109"/>
      <c r="AE18" s="6">
        <v>12</v>
      </c>
      <c r="AF18" s="9" cm="1">
        <f t="array" aca="1" ref="AF18" ca="1">IFERROR(INDEX(INDIRECT("'" &amp; AF$6 &amp; "'!O:O"), MATCH(1, (INDIRECT("'"&amp; AF$6 &amp; "'!F:F") =$AE18) * (INDIRECT("'" &amp; AF$6 &amp; "'!E:E") = Tables!$AE$4), 0)), "")</f>
        <v>0.14692378328741967</v>
      </c>
      <c r="AG18" s="9" cm="1">
        <f t="array" aca="1" ref="AG18" ca="1">IFERROR(INDEX(INDIRECT("'" &amp; AG$6 &amp; "'!O:O"), MATCH(1, (INDIRECT("'"&amp; AG$6 &amp; "'!F:F") =$AE18) * (INDIRECT("'" &amp; AG$6 &amp; "'!E:E") = Tables!$AE$4), 0)), "")</f>
        <v>3.3776500179662231E-2</v>
      </c>
      <c r="AH18" s="9" cm="1">
        <f t="array" aca="1" ref="AH18" ca="1">IFERROR(INDEX(INDIRECT("'" &amp; AH$6 &amp; "'!O:O"), MATCH(1, (INDIRECT("'"&amp; AH$6 &amp; "'!F:F") =$AE18) * (INDIRECT("'" &amp; AH$6 &amp; "'!E:E") = Tables!$AE$4), 0)), "")</f>
        <v>0.15141955835962145</v>
      </c>
      <c r="AI18" s="9" cm="1">
        <f t="array" aca="1" ref="AI18" ca="1">IFERROR(INDEX(INDIRECT("'" &amp; AI$6 &amp; "'!O:O"), MATCH(1, (INDIRECT("'"&amp; AI$6 &amp; "'!F:F") =$AE18) * (INDIRECT("'" &amp; AI$6 &amp; "'!E:E") = Tables!$AE$4), 0)), "")</f>
        <v>0.3321198418267034</v>
      </c>
      <c r="AJ18" s="9" cm="1">
        <f t="array" aca="1" ref="AJ18" ca="1">IFERROR(INDEX(INDIRECT("'" &amp; AJ$6 &amp; "'!O:O"), MATCH(1, (INDIRECT("'"&amp; AJ$6 &amp; "'!F:F") =$AE18) * (INDIRECT("'" &amp; AJ$6 &amp; "'!E:E") = Tables!$AE$4), 0)), "")</f>
        <v>1.8022850165707307</v>
      </c>
      <c r="AK18" s="9" cm="1">
        <f t="array" aca="1" ref="AK18" ca="1">IFERROR(INDEX(INDIRECT("'" &amp; AK$6 &amp; "'!O:O"), MATCH(1, (INDIRECT("'"&amp; AK$6 &amp; "'!F:F") =$AE18) * (INDIRECT("'" &amp; AK$6 &amp; "'!E:E") = Tables!$AE$4), 0)), "")</f>
        <v>25.304761904761897</v>
      </c>
      <c r="AL18" s="9" cm="1">
        <f t="array" aca="1" ref="AL18" ca="1">IFERROR(INDEX(INDIRECT("'" &amp; AL$6 &amp; "'!O:O"), MATCH(1, (INDIRECT("'"&amp; AL$6 &amp; "'!F:F") =$AE18) * (INDIRECT("'" &amp; AL$6 &amp; "'!E:E") = Tables!$AE$4), 0)), "")</f>
        <v>133.45268679655058</v>
      </c>
      <c r="AM18" s="103" cm="1">
        <f t="array" aca="1" ref="AM18" ca="1">IFERROR(INDEX(INDIRECT("'" &amp; AM$6 &amp; "'!O:O"), MATCH(1, (INDIRECT("'"&amp; AM$6 &amp; "'!F:F") =$AE18) * (INDIRECT("'" &amp; AM$6 &amp; "'!E:E") = Tables!$AE$4), 0)), "")</f>
        <v>7.1642857142857137</v>
      </c>
      <c r="AN18" s="105">
        <f>IFERROR(INDEX('Date Key'!$I$25:$I$42, MATCH(AE18, 'Date Key'!$A$25:$A$42, 0)), "")</f>
        <v>145.3240909090909</v>
      </c>
      <c r="AO18" s="106">
        <f t="shared" ca="1" si="3"/>
        <v>8.7887453869728473E-6</v>
      </c>
      <c r="AP18" s="108">
        <f t="shared" ca="1" si="4"/>
        <v>12.655793357240899</v>
      </c>
    </row>
    <row r="19" spans="1:63" x14ac:dyDescent="0.35">
      <c r="A19" s="6">
        <v>13</v>
      </c>
      <c r="B19" s="9" cm="1">
        <f t="array" aca="1" ref="B19" ca="1">IFERROR(INDEX(INDIRECT("'" &amp; B$6 &amp; "'!O:O"), MATCH(1, (INDIRECT("'"&amp; B$6 &amp; "'!F:F") =$L70) * (INDIRECT("'" &amp; B$6 &amp; "'!E:E") = Tables!$A$4), 0)), "")</f>
        <v>0.60346001907097124</v>
      </c>
      <c r="C19" s="9" cm="1">
        <f t="array" aca="1" ref="C19" ca="1">IFERROR(INDEX(INDIRECT("'" &amp; C$6 &amp; "'!O:O"), MATCH(1, (INDIRECT("'"&amp; C$6 &amp; "'!F:F") =$L70) * (INDIRECT("'" &amp; C$6 &amp; "'!E:E") = Tables!$A$4), 0)), "")</f>
        <v>4.1460515768816167E-2</v>
      </c>
      <c r="D19" s="9" cm="1">
        <f t="array" aca="1" ref="D19" ca="1">IFERROR(INDEX(INDIRECT("'" &amp; D$6 &amp; "'!O:O"), MATCH(1, (INDIRECT("'"&amp; D$6 &amp; "'!F:F") =$L70) * (INDIRECT("'" &amp; D$6 &amp; "'!E:E") = Tables!$A$4), 0)), "")</f>
        <v>2.2270949657526509</v>
      </c>
      <c r="E19" s="9" cm="1">
        <f t="array" aca="1" ref="E19" ca="1">IFERROR(INDEX(INDIRECT("'" &amp; E$6 &amp; "'!O:O"), MATCH(1, (INDIRECT("'"&amp; E$6 &amp; "'!F:F") =$L70) * (INDIRECT("'" &amp; E$6 &amp; "'!E:E") = Tables!$A$4), 0)), "")</f>
        <v>2.8720155005924384</v>
      </c>
      <c r="F19" s="9" cm="1">
        <f t="array" aca="1" ref="F19" ca="1">IFERROR(INDEX(INDIRECT("'" &amp; F$6 &amp; "'!O:O"), MATCH(1, (INDIRECT("'"&amp; F$6 &amp; "'!F:F") =$L70) * (INDIRECT("'" &amp; F$6 &amp; "'!E:E") = Tables!$A$4), 0)), "")</f>
        <v>7.1515785801500101E-2</v>
      </c>
      <c r="G19" s="9" cm="1">
        <f t="array" aca="1" ref="G19" ca="1">IFERROR(INDEX(INDIRECT("'" &amp; G$6 &amp; "'!O:O"), MATCH(1, (INDIRECT("'"&amp; G$6 &amp; "'!F:F") =$L70) * (INDIRECT("'" &amp; G$6 &amp; "'!E:E") = Tables!$A$4), 0)), "")</f>
        <v>31.733333333333317</v>
      </c>
      <c r="H19" s="9" cm="1">
        <f t="array" aca="1" ref="H19" ca="1">IFERROR(INDEX(INDIRECT("'" &amp; H$6 &amp; "'!O:O"), MATCH(1, (INDIRECT("'"&amp; H$6 &amp; "'!F:F") =$L70) * (INDIRECT("'" &amp; H$6 &amp; "'!E:E") = Tables!$A$4), 0)), "")</f>
        <v>96.325357603662979</v>
      </c>
      <c r="I19" s="103" cm="1">
        <f t="array" aca="1" ref="I19" ca="1">IFERROR(INDEX(INDIRECT("'" &amp; I$6 &amp; "'!O:O"), MATCH(1, (INDIRECT("'"&amp; I$6 &amp; "'!F:F") =$L70) * (INDIRECT("'" &amp; I$6 &amp; "'!E:E") = Tables!$A$4), 0)), "")</f>
        <v>7.2314285714285713</v>
      </c>
      <c r="J19" s="105">
        <f>IFERROR(INDEX('Date Key'!$H$25:$H$42, MATCH(A19, 'Date Key'!$A$25:$A$42, 0)), "")</f>
        <v>99.335454545454553</v>
      </c>
      <c r="K19" s="106">
        <f t="shared" ca="1" si="5"/>
        <v>2.8912290317031195E-5</v>
      </c>
      <c r="L19" s="108">
        <f t="shared" ca="1" si="0"/>
        <v>41.633698056524921</v>
      </c>
      <c r="M19" s="106">
        <f t="shared" ca="1" si="1"/>
        <v>2.8912290317031195E-5</v>
      </c>
      <c r="N19" s="108">
        <f t="shared" ca="1" si="2"/>
        <v>41.633698056524921</v>
      </c>
      <c r="P19" s="6">
        <v>13</v>
      </c>
      <c r="Q19" s="9" cm="1">
        <f t="array" aca="1" ref="Q19" ca="1">IFERROR(INDEX(INDIRECT("'" &amp; Q$6 &amp; "'!O:O"), MATCH(1, (INDIRECT("'"&amp; Q$6 &amp; "'!F:F") =$P19) * (INDIRECT("'" &amp; Q$6 &amp; "'!E:E") = Tables!$P$4), 0)), "")</f>
        <v>0.54352268083367383</v>
      </c>
      <c r="R19" s="9" cm="1">
        <f t="array" aca="1" ref="R19" ca="1">IFERROR(INDEX(INDIRECT("'" &amp; R$6 &amp; "'!O:O"), MATCH(1, (INDIRECT("'"&amp; R$6 &amp; "'!F:F") =$P19) * (INDIRECT("'" &amp; R$6 &amp; "'!E:E") = Tables!$P$4), 0)), "")</f>
        <v>0.18823074159042541</v>
      </c>
      <c r="S19" s="9" cm="1">
        <f t="array" aca="1" ref="S19" ca="1">IFERROR(INDEX(INDIRECT("'" &amp; S$6 &amp; "'!O:O"), MATCH(1, (INDIRECT("'"&amp; S$6 &amp; "'!F:F") =$P19) * (INDIRECT("'" &amp; S$6 &amp; "'!E:E") = Tables!$P$4), 0)), "")</f>
        <v>1.1630535524560888</v>
      </c>
      <c r="T19" s="9" cm="1">
        <f t="array" aca="1" ref="T19" ca="1">IFERROR(INDEX(INDIRECT("'" &amp; T$6 &amp; "'!O:O"), MATCH(1, (INDIRECT("'"&amp; T$6 &amp; "'!F:F") =$P19) * (INDIRECT("'" &amp; T$6 &amp; "'!E:E") = Tables!$P$4), 0)), "")</f>
        <v>1.8948069748801879</v>
      </c>
      <c r="U19" s="9" cm="1">
        <f t="array" aca="1" ref="U19" ca="1">IFERROR(INDEX(INDIRECT("'" &amp; U$6 &amp; "'!O:O"), MATCH(1, (INDIRECT("'"&amp; U$6 &amp; "'!F:F") =$P19) * (INDIRECT("'" &amp; U$6 &amp; "'!E:E") = Tables!$P$4), 0)), "")</f>
        <v>0.2005930577359149</v>
      </c>
      <c r="V19" s="9" cm="1">
        <f t="array" aca="1" ref="V19" ca="1">IFERROR(INDEX(INDIRECT("'" &amp; V$6 &amp; "'!O:O"), MATCH(1, (INDIRECT("'"&amp; V$6 &amp; "'!F:F") =$P19) * (INDIRECT("'" &amp; V$6 &amp; "'!E:E") = Tables!$P$4), 0)), "")</f>
        <v>35.209523809523795</v>
      </c>
      <c r="W19" s="103" cm="1">
        <f t="array" aca="1" ref="W19" ca="1">IFERROR(INDEX(INDIRECT("'" &amp; W$6 &amp; "'!O:O"), MATCH(1, (INDIRECT("'"&amp; W$6 &amp; "'!F:F") =$P19) * (INDIRECT("'" &amp; W$6 &amp; "'!E:E") = Tables!$P$4), 0)), "")</f>
        <v>125.86346147773422</v>
      </c>
      <c r="X19" s="103" cm="1">
        <f t="array" aca="1" ref="X19" ca="1">IFERROR(INDEX(INDIRECT("'" &amp; X$6 &amp; "'!O:O"), MATCH(1, (INDIRECT("'"&amp; X$6 &amp; "'!F:F") =$P19) * (INDIRECT("'" &amp; X$6 &amp; "'!E:E") = Tables!$P$4), 0)), "")</f>
        <v>7.2371428571428575</v>
      </c>
      <c r="Y19" s="105">
        <f>IFERROR(INDEX('Date Key'!$H$25:$H$42, MATCH(P19, 'Date Key'!$A$25:$A$42, 0)), "")</f>
        <v>99.335454545454553</v>
      </c>
      <c r="Z19" s="106">
        <f t="shared" ca="1" si="6"/>
        <v>9.8374596480564069E-6</v>
      </c>
      <c r="AA19" s="108">
        <f t="shared" ca="1" si="7"/>
        <v>14.165941893201225</v>
      </c>
      <c r="AB19" s="109"/>
      <c r="AC19" s="109"/>
      <c r="AE19" s="6">
        <v>13</v>
      </c>
      <c r="AF19" s="9" cm="1">
        <f t="array" aca="1" ref="AF19" ca="1">IFERROR(INDEX(INDIRECT("'" &amp; AF$6 &amp; "'!O:O"), MATCH(1, (INDIRECT("'"&amp; AF$6 &amp; "'!F:F") =$AE19) * (INDIRECT("'" &amp; AF$6 &amp; "'!E:E") = Tables!$AE$4), 0)), "")</f>
        <v>0.42909685328974251</v>
      </c>
      <c r="AG19" s="9" cm="1">
        <f t="array" aca="1" ref="AG19" ca="1">IFERROR(INDEX(INDIRECT("'" &amp; AG$6 &amp; "'!O:O"), MATCH(1, (INDIRECT("'"&amp; AG$6 &amp; "'!F:F") =$AE19) * (INDIRECT("'" &amp; AG$6 &amp; "'!E:E") = Tables!$AE$4), 0)), "")</f>
        <v>6.7166035545482186E-2</v>
      </c>
      <c r="AH19" s="9" cm="1">
        <f t="array" aca="1" ref="AH19" ca="1">IFERROR(INDEX(INDIRECT("'" &amp; AH$6 &amp; "'!O:O"), MATCH(1, (INDIRECT("'"&amp; AH$6 &amp; "'!F:F") =$AE19) * (INDIRECT("'" &amp; AH$6 &amp; "'!E:E") = Tables!$AE$4), 0)), "")</f>
        <v>1.5272283382688701</v>
      </c>
      <c r="AI19" s="9" cm="1">
        <f t="array" aca="1" ref="AI19" ca="1">IFERROR(INDEX(INDIRECT("'" &amp; AI$6 &amp; "'!O:O"), MATCH(1, (INDIRECT("'"&amp; AI$6 &amp; "'!F:F") =$AE19) * (INDIRECT("'" &amp; AI$6 &amp; "'!E:E") = Tables!$AE$4), 0)), "")</f>
        <v>2.0234912271040946</v>
      </c>
      <c r="AJ19" s="9" cm="1">
        <f t="array" aca="1" ref="AJ19" ca="1">IFERROR(INDEX(INDIRECT("'" &amp; AJ$6 &amp; "'!O:O"), MATCH(1, (INDIRECT("'"&amp; AJ$6 &amp; "'!F:F") =$AE19) * (INDIRECT("'" &amp; AJ$6 &amp; "'!E:E") = Tables!$AE$4), 0)), "")</f>
        <v>0.40467469038897608</v>
      </c>
      <c r="AK19" s="9" cm="1">
        <f t="array" aca="1" ref="AK19" ca="1">IFERROR(INDEX(INDIRECT("'" &amp; AK$6 &amp; "'!O:O"), MATCH(1, (INDIRECT("'"&amp; AK$6 &amp; "'!F:F") =$AE19) * (INDIRECT("'" &amp; AK$6 &amp; "'!E:E") = Tables!$AE$4), 0)), "")</f>
        <v>42.209523809523795</v>
      </c>
      <c r="AL19" s="9" cm="1">
        <f t="array" aca="1" ref="AL19" ca="1">IFERROR(INDEX(INDIRECT("'" &amp; AL$6 &amp; "'!O:O"), MATCH(1, (INDIRECT("'"&amp; AL$6 &amp; "'!F:F") =$AE19) * (INDIRECT("'" &amp; AL$6 &amp; "'!E:E") = Tables!$AE$4), 0)), "")</f>
        <v>122.96983448497693</v>
      </c>
      <c r="AM19" s="103" cm="1">
        <f t="array" aca="1" ref="AM19" ca="1">IFERROR(INDEX(INDIRECT("'" &amp; AM$6 &amp; "'!O:O"), MATCH(1, (INDIRECT("'"&amp; AM$6 &amp; "'!F:F") =$AE19) * (INDIRECT("'" &amp; AM$6 &amp; "'!E:E") = Tables!$AE$4), 0)), "")</f>
        <v>7.3828571428571426</v>
      </c>
      <c r="AN19" s="105">
        <f>IFERROR(INDEX('Date Key'!$I$25:$I$42, MATCH(AE19, 'Date Key'!$A$25:$A$42, 0)), "")</f>
        <v>99.335454545454553</v>
      </c>
      <c r="AO19" s="106">
        <f t="shared" ca="1" si="3"/>
        <v>8.5420082625189045E-6</v>
      </c>
      <c r="AP19" s="108">
        <f t="shared" ca="1" si="4"/>
        <v>12.300491898027222</v>
      </c>
    </row>
    <row r="20" spans="1:63" x14ac:dyDescent="0.35">
      <c r="A20" s="6">
        <v>14</v>
      </c>
      <c r="B20" s="9" cm="1">
        <f t="array" aca="1" ref="B20" ca="1">IFERROR(INDEX(INDIRECT("'" &amp; B$6 &amp; "'!O:O"), MATCH(1, (INDIRECT("'"&amp; B$6 &amp; "'!F:F") =$L71) * (INDIRECT("'" &amp; B$6 &amp; "'!E:E") = Tables!$A$4), 0)), "")</f>
        <v>0.12941016210325568</v>
      </c>
      <c r="C20" s="9" cm="1">
        <f t="array" aca="1" ref="C20" ca="1">IFERROR(INDEX(INDIRECT("'" &amp; C$6 &amp; "'!O:O"), MATCH(1, (INDIRECT("'"&amp; C$6 &amp; "'!F:F") =$L71) * (INDIRECT("'" &amp; C$6 &amp; "'!E:E") = Tables!$A$4), 0)), "")</f>
        <v>2.0730257884408087E-2</v>
      </c>
      <c r="D20" s="9" cm="1">
        <f t="array" aca="1" ref="D20" ca="1">IFERROR(INDEX(INDIRECT("'" &amp; D$6 &amp; "'!O:O"), MATCH(1, (INDIRECT("'"&amp; D$6 &amp; "'!F:F") =$L71) * (INDIRECT("'" &amp; D$6 &amp; "'!E:E") = Tables!$A$4), 0)), "")</f>
        <v>2.5044645884666679</v>
      </c>
      <c r="E20" s="9" cm="1">
        <f t="array" aca="1" ref="E20" ca="1">IFERROR(INDEX(INDIRECT("'" &amp; E$6 &amp; "'!O:O"), MATCH(1, (INDIRECT("'"&amp; E$6 &amp; "'!F:F") =$L71) * (INDIRECT("'" &amp; E$6 &amp; "'!E:E") = Tables!$A$4), 0)), "")</f>
        <v>2.654605008454332</v>
      </c>
      <c r="F20" s="9" cm="1">
        <f t="array" aca="1" ref="F20" ca="1">IFERROR(INDEX(INDIRECT("'" &amp; F$6 &amp; "'!O:O"), MATCH(1, (INDIRECT("'"&amp; F$6 &amp; "'!F:F") =$L71) * (INDIRECT("'" &amp; F$6 &amp; "'!E:E") = Tables!$A$4), 0)), "")</f>
        <v>1.6278562707134134</v>
      </c>
      <c r="G20" s="9" cm="1">
        <f t="array" aca="1" ref="G20" ca="1">IFERROR(INDEX(INDIRECT("'" &amp; G$6 &amp; "'!O:O"), MATCH(1, (INDIRECT("'"&amp; G$6 &amp; "'!F:F") =$L71) * (INDIRECT("'" &amp; G$6 &amp; "'!E:E") = Tables!$A$4), 0)), "")</f>
        <v>29.923809523809503</v>
      </c>
      <c r="H20" s="9" cm="1">
        <f t="array" aca="1" ref="H20" ca="1">IFERROR(INDEX(INDIRECT("'" &amp; H$6 &amp; "'!O:O"), MATCH(1, (INDIRECT("'"&amp; H$6 &amp; "'!F:F") =$L71) * (INDIRECT("'" &amp; H$6 &amp; "'!E:E") = Tables!$A$4), 0)), "")</f>
        <v>128.18947115872166</v>
      </c>
      <c r="I20" s="103" cm="1">
        <f t="array" aca="1" ref="I20" ca="1">IFERROR(INDEX(INDIRECT("'" &amp; I$6 &amp; "'!O:O"), MATCH(1, (INDIRECT("'"&amp; I$6 &amp; "'!F:F") =$L71) * (INDIRECT("'" &amp; I$6 &amp; "'!E:E") = Tables!$A$4), 0)), "")</f>
        <v>7.8642857142857139</v>
      </c>
      <c r="J20" s="105">
        <f>IFERROR(INDEX('Date Key'!$H$25:$H$42, MATCH(A20, 'Date Key'!$A$25:$A$42, 0)), "")</f>
        <v>99.335454545454553</v>
      </c>
      <c r="K20" s="106">
        <f t="shared" ca="1" si="5"/>
        <v>2.6723640824934473E-5</v>
      </c>
      <c r="L20" s="108">
        <f ca="1">K20/1000*(10^6)*1440</f>
        <v>38.482042787905641</v>
      </c>
      <c r="M20" s="106">
        <f ca="1">E20/AN20/1000</f>
        <v>2.6723640824934473E-5</v>
      </c>
      <c r="N20" s="108">
        <f t="shared" ca="1" si="2"/>
        <v>38.482042787905641</v>
      </c>
      <c r="P20" s="6">
        <v>14</v>
      </c>
      <c r="Q20" s="9" cm="1">
        <f t="array" aca="1" ref="Q20" ca="1">IFERROR(INDEX(INDIRECT("'" &amp; Q$6 &amp; "'!O:O"), MATCH(1, (INDIRECT("'"&amp; Q$6 &amp; "'!F:F") =$P20) * (INDIRECT("'" &amp; Q$6 &amp; "'!E:E") = Tables!$P$4), 0)), "")</f>
        <v>0.32829314807246973</v>
      </c>
      <c r="R20" s="9" cm="1">
        <f t="array" aca="1" ref="R20" ca="1">IFERROR(INDEX(INDIRECT("'" &amp; R$6 &amp; "'!O:O"), MATCH(1, (INDIRECT("'"&amp; R$6 &amp; "'!F:F") =$P20) * (INDIRECT("'" &amp; R$6 &amp; "'!E:E") = Tables!$P$4), 0)), "")</f>
        <v>0.1807678487520385</v>
      </c>
      <c r="S20" s="9" cm="1">
        <f t="array" aca="1" ref="S20" ca="1">IFERROR(INDEX(INDIRECT("'" &amp; S$6 &amp; "'!O:O"), MATCH(1, (INDIRECT("'"&amp; S$6 &amp; "'!F:F") =$P20) * (INDIRECT("'" &amp; S$6 &amp; "'!E:E") = Tables!$P$4), 0)), "")</f>
        <v>1.1142256482130344</v>
      </c>
      <c r="T20" s="9" cm="1">
        <f t="array" aca="1" ref="T20" ca="1">IFERROR(INDEX(INDIRECT("'" &amp; T$6 &amp; "'!O:O"), MATCH(1, (INDIRECT("'"&amp; T$6 &amp; "'!F:F") =$P20) * (INDIRECT("'" &amp; T$6 &amp; "'!E:E") = Tables!$P$4), 0)), "")</f>
        <v>1.6232866450375429</v>
      </c>
      <c r="U20" s="9" cm="1">
        <f t="array" aca="1" ref="U20" ca="1">IFERROR(INDEX(INDIRECT("'" &amp; U$6 &amp; "'!O:O"), MATCH(1, (INDIRECT("'"&amp; U$6 &amp; "'!F:F") =$P20) * (INDIRECT("'" &amp; U$6 &amp; "'!E:E") = Tables!$P$4), 0)), "")</f>
        <v>0.92490842490842495</v>
      </c>
      <c r="V20" s="9" cm="1">
        <f t="array" aca="1" ref="V20" ca="1">IFERROR(INDEX(INDIRECT("'" &amp; V$6 &amp; "'!O:O"), MATCH(1, (INDIRECT("'"&amp; V$6 &amp; "'!F:F") =$P20) * (INDIRECT("'" &amp; V$6 &amp; "'!E:E") = Tables!$P$4), 0)), "")</f>
        <v>26.876190476190459</v>
      </c>
      <c r="W20" s="103" cm="1">
        <f t="array" aca="1" ref="W20" ca="1">IFERROR(INDEX(INDIRECT("'" &amp; W$6 &amp; "'!O:O"), MATCH(1, (INDIRECT("'"&amp; W$6 &amp; "'!F:F") =$P20) * (INDIRECT("'" &amp; W$6 &amp; "'!E:E") = Tables!$P$4), 0)), "")</f>
        <v>133.1125773615249</v>
      </c>
      <c r="X20" s="103" cm="1">
        <f t="array" aca="1" ref="X20" ca="1">IFERROR(INDEX(INDIRECT("'" &amp; X$6 &amp; "'!O:O"), MATCH(1, (INDIRECT("'"&amp; X$6 &amp; "'!F:F") =$P20) * (INDIRECT("'" &amp; X$6 &amp; "'!E:E") = Tables!$P$4), 0)), "")</f>
        <v>7.1828571428571433</v>
      </c>
      <c r="Y20" s="105">
        <f>IFERROR(INDEX('Date Key'!$H$25:$H$42, MATCH(P20, 'Date Key'!$A$25:$A$42, 0)), "")</f>
        <v>99.335454545454553</v>
      </c>
      <c r="Z20" s="106">
        <f t="shared" ca="1" si="6"/>
        <v>1.0382177925655656E-5</v>
      </c>
      <c r="AA20" s="108">
        <f t="shared" ca="1" si="7"/>
        <v>14.950336212944144</v>
      </c>
      <c r="AB20" s="109"/>
      <c r="AC20" s="109"/>
      <c r="AE20" s="6">
        <v>14</v>
      </c>
      <c r="AF20" s="9" cm="1">
        <f t="array" aca="1" ref="AF20" ca="1">IFERROR(INDEX(INDIRECT("'" &amp; AF$6 &amp; "'!O:O"), MATCH(1, (INDIRECT("'"&amp; AF$6 &amp; "'!F:F") =$AE20) * (INDIRECT("'" &amp; AF$6 &amp; "'!E:E") = Tables!$AE$4), 0)), "")</f>
        <v>0.12259910093992644</v>
      </c>
      <c r="AG20" s="9" cm="1">
        <f t="array" aca="1" ref="AG20" ca="1">IFERROR(INDEX(INDIRECT("'" &amp; AG$6 &amp; "'!O:O"), MATCH(1, (INDIRECT("'"&amp; AG$6 &amp; "'!F:F") =$AE20) * (INDIRECT("'" &amp; AG$6 &amp; "'!E:E") = Tables!$AE$4), 0)), "")</f>
        <v>5.4727880814837336E-2</v>
      </c>
      <c r="AH20" s="9" cm="1">
        <f t="array" aca="1" ref="AH20" ca="1">IFERROR(INDEX(INDIRECT("'" &amp; AH$6 &amp; "'!O:O"), MATCH(1, (INDIRECT("'"&amp; AH$6 &amp; "'!F:F") =$AE20) * (INDIRECT("'" &amp; AH$6 &amp; "'!E:E") = Tables!$AE$4), 0)), "")</f>
        <v>1.7001604991296879</v>
      </c>
      <c r="AI20" s="9" cm="1">
        <f t="array" aca="1" ref="AI20" ca="1">IFERROR(INDEX(INDIRECT("'" &amp; AI$6 &amp; "'!O:O"), MATCH(1, (INDIRECT("'"&amp; AI$6 &amp; "'!F:F") =$AE20) * (INDIRECT("'" &amp; AI$6 &amp; "'!E:E") = Tables!$AE$4), 0)), "")</f>
        <v>1.8774874808844519</v>
      </c>
      <c r="AJ20" s="9" cm="1">
        <f t="array" aca="1" ref="AJ20" ca="1">IFERROR(INDEX(INDIRECT("'" &amp; AJ$6 &amp; "'!O:O"), MATCH(1, (INDIRECT("'"&amp; AJ$6 &amp; "'!F:F") =$AE20) * (INDIRECT("'" &amp; AJ$6 &amp; "'!E:E") = Tables!$AE$4), 0)), "")</f>
        <v>0.98421419849991287</v>
      </c>
      <c r="AK20" s="9" cm="1">
        <f t="array" aca="1" ref="AK20" ca="1">IFERROR(INDEX(INDIRECT("'" &amp; AK$6 &amp; "'!O:O"), MATCH(1, (INDIRECT("'"&amp; AK$6 &amp; "'!F:F") =$AE20) * (INDIRECT("'" &amp; AK$6 &amp; "'!E:E") = Tables!$AE$4), 0)), "")</f>
        <v>34.828571428571415</v>
      </c>
      <c r="AL20" s="9" cm="1">
        <f t="array" aca="1" ref="AL20" ca="1">IFERROR(INDEX(INDIRECT("'" &amp; AL$6 &amp; "'!O:O"), MATCH(1, (INDIRECT("'"&amp; AL$6 &amp; "'!F:F") =$AE20) * (INDIRECT("'" &amp; AL$6 &amp; "'!E:E") = Tables!$AE$4), 0)), "")</f>
        <v>130.42225166270813</v>
      </c>
      <c r="AM20" s="103" cm="1">
        <f t="array" aca="1" ref="AM20" ca="1">IFERROR(INDEX(INDIRECT("'" &amp; AM$6 &amp; "'!O:O"), MATCH(1, (INDIRECT("'"&amp; AM$6 &amp; "'!F:F") =$AE20) * (INDIRECT("'" &amp; AM$6 &amp; "'!E:E") = Tables!$AE$4), 0)), "")</f>
        <v>7.4314285714285706</v>
      </c>
      <c r="AN20" s="105">
        <f>IFERROR(INDEX('Date Key'!$I$25:$I$42, MATCH(AE20, 'Date Key'!$A$25:$A$42, 0)), "")</f>
        <v>99.335454545454553</v>
      </c>
      <c r="AO20" s="106">
        <f t="shared" ca="1" si="3"/>
        <v>7.8231637548331911E-6</v>
      </c>
      <c r="AP20" s="108">
        <f t="shared" ca="1" si="4"/>
        <v>11.265355806959796</v>
      </c>
    </row>
    <row r="21" spans="1:63" x14ac:dyDescent="0.35">
      <c r="A21" s="6">
        <v>15</v>
      </c>
      <c r="B21" s="9" cm="1">
        <f t="array" aca="1" ref="B21" ca="1">IFERROR(INDEX(INDIRECT("'" &amp; B$6 &amp; "'!O:O"), MATCH(1, (INDIRECT("'"&amp; B$6 &amp; "'!F:F") =$L72) * (INDIRECT("'" &amp; B$6 &amp; "'!E:E") = Tables!$A$4), 0)), "")</f>
        <v>6.8110611633292462E-3</v>
      </c>
      <c r="C21" s="9" cm="1">
        <f t="array" aca="1" ref="C21" ca="1">IFERROR(INDEX(INDIRECT("'" &amp; C$6 &amp; "'!O:O"), MATCH(1, (INDIRECT("'"&amp; C$6 &amp; "'!F:F") =$L72) * (INDIRECT("'" &amp; C$6 &amp; "'!E:E") = Tables!$A$4), 0)), "")</f>
        <v>2.902236103817132E-2</v>
      </c>
      <c r="D21" s="9" cm="1">
        <f t="array" aca="1" ref="D21" ca="1">IFERROR(INDEX(INDIRECT("'" &amp; D$6 &amp; "'!O:O"), MATCH(1, (INDIRECT("'"&amp; D$6 &amp; "'!F:F") =$L72) * (INDIRECT("'" &amp; D$6 &amp; "'!E:E") = Tables!$A$4), 0)), "")</f>
        <v>1.2457897235345978</v>
      </c>
      <c r="E21" s="9" cm="1">
        <f t="array" aca="1" ref="E21" ca="1">IFERROR(INDEX(INDIRECT("'" &amp; E$6 &amp; "'!O:O"), MATCH(1, (INDIRECT("'"&amp; E$6 &amp; "'!F:F") =$L72) * (INDIRECT("'" &amp; E$6 &amp; "'!E:E") = Tables!$A$4), 0)), "")</f>
        <v>1.2816231457360985</v>
      </c>
      <c r="F21" s="9" cm="1">
        <f t="array" aca="1" ref="F21" ca="1">IFERROR(INDEX(INDIRECT("'" &amp; F$6 &amp; "'!O:O"), MATCH(1, (INDIRECT("'"&amp; F$6 &amp; "'!F:F") =$L72) * (INDIRECT("'" &amp; F$6 &amp; "'!E:E") = Tables!$A$4), 0)), "")</f>
        <v>0.79931972789115646</v>
      </c>
      <c r="G21" s="9" cm="1">
        <f t="array" aca="1" ref="G21" ca="1">IFERROR(INDEX(INDIRECT("'" &amp; G$6 &amp; "'!O:O"), MATCH(1, (INDIRECT("'"&amp; G$6 &amp; "'!F:F") =$L72) * (INDIRECT("'" &amp; G$6 &amp; "'!E:E") = Tables!$A$4), 0)), "")</f>
        <v>28.114285714285693</v>
      </c>
      <c r="H21" s="9" cm="1">
        <f t="array" aca="1" ref="H21" ca="1">IFERROR(INDEX(INDIRECT("'" &amp; H$6 &amp; "'!O:O"), MATCH(1, (INDIRECT("'"&amp; H$6 &amp; "'!F:F") =$L72) * (INDIRECT("'" &amp; H$6 &amp; "'!E:E") = Tables!$A$4), 0)), "")</f>
        <v>121.58450883556193</v>
      </c>
      <c r="I21" s="103" cm="1">
        <f t="array" aca="1" ref="I21" ca="1">IFERROR(INDEX(INDIRECT("'" &amp; I$6 &amp; "'!O:O"), MATCH(1, (INDIRECT("'"&amp; I$6 &amp; "'!F:F") =$L72) * (INDIRECT("'" &amp; I$6 &amp; "'!E:E") = Tables!$A$4), 0)), "")</f>
        <v>7.7628571428571433</v>
      </c>
      <c r="J21" s="105">
        <f>IFERROR(INDEX('Date Key'!$H$25:$H$42, MATCH(A21, 'Date Key'!$A$25:$A$42, 0)), "")</f>
        <v>99.335454545454553</v>
      </c>
      <c r="K21" s="106">
        <f t="shared" ca="1" si="5"/>
        <v>1.2901970918647632E-5</v>
      </c>
      <c r="L21" s="108">
        <f t="shared" ca="1" si="0"/>
        <v>18.578838122852588</v>
      </c>
      <c r="M21" s="106">
        <f t="shared" ca="1" si="1"/>
        <v>1.2901970918647632E-5</v>
      </c>
      <c r="N21" s="108">
        <f t="shared" ca="1" si="2"/>
        <v>18.578838122852588</v>
      </c>
      <c r="P21" s="6">
        <v>15</v>
      </c>
      <c r="Q21" s="9" cm="1">
        <f t="array" aca="1" ref="Q21" ca="1">IFERROR(INDEX(INDIRECT("'" &amp; Q$6 &amp; "'!O:O"), MATCH(1, (INDIRECT("'"&amp; Q$6 &amp; "'!F:F") =$P21) * (INDIRECT("'" &amp; Q$6 &amp; "'!E:E") = Tables!$P$4), 0)), "")</f>
        <v>0.12804794987058984</v>
      </c>
      <c r="R21" s="9" cm="1">
        <f t="array" aca="1" ref="R21" ca="1">IFERROR(INDEX(INDIRECT("'" &amp; R$6 &amp; "'!O:O"), MATCH(1, (INDIRECT("'"&amp; R$6 &amp; "'!F:F") =$P21) * (INDIRECT("'" &amp; R$6 &amp; "'!E:E") = Tables!$P$4), 0)), "")</f>
        <v>0.12769838856795379</v>
      </c>
      <c r="S21" s="9" cm="1">
        <f t="array" aca="1" ref="S21" ca="1">IFERROR(INDEX(INDIRECT("'" &amp; S$6 &amp; "'!O:O"), MATCH(1, (INDIRECT("'"&amp; S$6 &amp; "'!F:F") =$P21) * (INDIRECT("'" &amp; S$6 &amp; "'!E:E") = Tables!$P$4), 0)), "")</f>
        <v>0.45097994891154464</v>
      </c>
      <c r="T21" s="9" cm="1">
        <f t="array" aca="1" ref="T21" ca="1">IFERROR(INDEX(INDIRECT("'" &amp; T$6 &amp; "'!O:O"), MATCH(1, (INDIRECT("'"&amp; T$6 &amp; "'!F:F") =$P21) * (INDIRECT("'" &amp; T$6 &amp; "'!E:E") = Tables!$P$4), 0)), "")</f>
        <v>0.70672628735008813</v>
      </c>
      <c r="U21" s="9" cm="1">
        <f t="array" aca="1" ref="U21" ca="1">IFERROR(INDEX(INDIRECT("'" &amp; U$6 &amp; "'!O:O"), MATCH(1, (INDIRECT("'"&amp; U$6 &amp; "'!F:F") =$P21) * (INDIRECT("'" &amp; U$6 &amp; "'!E:E") = Tables!$P$4), 0)), "")</f>
        <v>0.59523809523809523</v>
      </c>
      <c r="V21" s="9" cm="1">
        <f t="array" aca="1" ref="V21" ca="1">IFERROR(INDEX(INDIRECT("'" &amp; V$6 &amp; "'!O:O"), MATCH(1, (INDIRECT("'"&amp; V$6 &amp; "'!F:F") =$P21) * (INDIRECT("'" &amp; V$6 &amp; "'!E:E") = Tables!$P$4), 0)), "")</f>
        <v>24.16190476190474</v>
      </c>
      <c r="W21" s="103" cm="1">
        <f t="array" aca="1" ref="W21" ca="1">IFERROR(INDEX(INDIRECT("'" &amp; W$6 &amp; "'!O:O"), MATCH(1, (INDIRECT("'"&amp; W$6 &amp; "'!F:F") =$P21) * (INDIRECT("'" &amp; W$6 &amp; "'!E:E") = Tables!$P$4), 0)), "")</f>
        <v>123.81528637134019</v>
      </c>
      <c r="X21" s="103" cm="1">
        <f t="array" aca="1" ref="X21" ca="1">IFERROR(INDEX(INDIRECT("'" &amp; X$6 &amp; "'!O:O"), MATCH(1, (INDIRECT("'"&amp; X$6 &amp; "'!F:F") =$P21) * (INDIRECT("'" &amp; X$6 &amp; "'!E:E") = Tables!$P$4), 0)), "")</f>
        <v>7.089999999999999</v>
      </c>
      <c r="Y21" s="105">
        <f>IFERROR(INDEX('Date Key'!$H$25:$H$42, MATCH(P21, 'Date Key'!$A$25:$A$42, 0)), "")</f>
        <v>99.335454545454553</v>
      </c>
      <c r="Z21" s="106">
        <f t="shared" ca="1" si="6"/>
        <v>5.787428678075313E-6</v>
      </c>
      <c r="AA21" s="108">
        <f t="shared" ca="1" si="7"/>
        <v>8.3338972964284519</v>
      </c>
      <c r="AB21" s="109"/>
      <c r="AC21" s="109"/>
      <c r="AE21" s="6">
        <v>15</v>
      </c>
      <c r="AF21" s="9" cm="1">
        <f t="array" aca="1" ref="AF21" ca="1">IFERROR(INDEX(INDIRECT("'" &amp; AF$6 &amp; "'!O:O"), MATCH(1, (INDIRECT("'"&amp; AF$6 &amp; "'!F:F") =$AE21) * (INDIRECT("'" &amp; AF$6 &amp; "'!E:E") = Tables!$AE$4), 0)), "")</f>
        <v>6.8110611633292462E-2</v>
      </c>
      <c r="AG21" s="9" cm="1">
        <f t="array" aca="1" ref="AG21" ca="1">IFERROR(INDEX(INDIRECT("'" &amp; AG$6 &amp; "'!O:O"), MATCH(1, (INDIRECT("'"&amp; AG$6 &amp; "'!F:F") =$AE21) * (INDIRECT("'" &amp; AG$6 &amp; "'!E:E") = Tables!$AE$4), 0)), "")</f>
        <v>6.7995245860858505E-2</v>
      </c>
      <c r="AH21" s="9" cm="1">
        <f t="array" aca="1" ref="AH21" ca="1">IFERROR(INDEX(INDIRECT("'" &amp; AH$6 &amp; "'!O:O"), MATCH(1, (INDIRECT("'"&amp; AH$6 &amp; "'!F:F") =$AE21) * (INDIRECT("'" &amp; AH$6 &amp; "'!E:E") = Tables!$AE$4), 0)), "")</f>
        <v>0.89043108709903485</v>
      </c>
      <c r="AI21" s="9" cm="1">
        <f t="array" aca="1" ref="AI21" ca="1">IFERROR(INDEX(INDIRECT("'" &amp; AI$6 &amp; "'!O:O"), MATCH(1, (INDIRECT("'"&amp; AI$6 &amp; "'!F:F") =$AE21) * (INDIRECT("'" &amp; AI$6 &amp; "'!E:E") = Tables!$AE$4), 0)), "")</f>
        <v>1.0265369445931858</v>
      </c>
      <c r="AJ21" s="9" cm="1">
        <f t="array" aca="1" ref="AJ21" ca="1">IFERROR(INDEX(INDIRECT("'" &amp; AJ$6 &amp; "'!O:O"), MATCH(1, (INDIRECT("'"&amp; AJ$6 &amp; "'!F:F") =$AE21) * (INDIRECT("'" &amp; AJ$6 &amp; "'!E:E") = Tables!$AE$4), 0)), "")</f>
        <v>0.76792255363683926</v>
      </c>
      <c r="AK21" s="9" cm="1">
        <f t="array" aca="1" ref="AK21" ca="1">IFERROR(INDEX(INDIRECT("'" &amp; AK$6 &amp; "'!O:O"), MATCH(1, (INDIRECT("'"&amp; AK$6 &amp; "'!F:F") =$AE21) * (INDIRECT("'" &amp; AK$6 &amp; "'!E:E") = Tables!$AE$4), 0)), "")</f>
        <v>29.590476190476174</v>
      </c>
      <c r="AL21" s="9" cm="1">
        <f t="array" aca="1" ref="AL21" ca="1">IFERROR(INDEX(INDIRECT("'" &amp; AL$6 &amp; "'!O:O"), MATCH(1, (INDIRECT("'"&amp; AL$6 &amp; "'!F:F") =$AE21) * (INDIRECT("'" &amp; AL$6 &amp; "'!E:E") = Tables!$AE$4), 0)), "")</f>
        <v>120.7613802308156</v>
      </c>
      <c r="AM21" s="103" cm="1">
        <f t="array" aca="1" ref="AM21" ca="1">IFERROR(INDEX(INDIRECT("'" &amp; AM$6 &amp; "'!O:O"), MATCH(1, (INDIRECT("'"&amp; AM$6 &amp; "'!F:F") =$AE21) * (INDIRECT("'" &amp; AM$6 &amp; "'!E:E") = Tables!$AE$4), 0)), "")</f>
        <v>7.1757142857142862</v>
      </c>
      <c r="AN21" s="105">
        <f>IFERROR(INDEX('Date Key'!$I$25:$I$42, MATCH(AE21, 'Date Key'!$A$25:$A$42, 0)), "")</f>
        <v>99.335454545454553</v>
      </c>
      <c r="AO21" s="106">
        <f t="shared" ca="1" si="3"/>
        <v>2.5679270539421422E-6</v>
      </c>
      <c r="AP21" s="108">
        <f t="shared" ca="1" si="4"/>
        <v>3.6978149576766848</v>
      </c>
    </row>
    <row r="22" spans="1:63" x14ac:dyDescent="0.35">
      <c r="A22" s="6">
        <v>16</v>
      </c>
      <c r="B22" s="9" cm="1">
        <f t="array" aca="1" ref="B22" ca="1">IFERROR(INDEX(INDIRECT("'" &amp; B$6 &amp; "'!O:O"), MATCH(1, (INDIRECT("'"&amp; B$6 &amp; "'!F:F") =$L73) * (INDIRECT("'" &amp; B$6 &amp; "'!E:E") = Tables!$A$4), 0)), "")</f>
        <v>3.4055305816646238E-2</v>
      </c>
      <c r="C22" s="9" cm="1">
        <f t="array" aca="1" ref="C22" ca="1">IFERROR(INDEX(INDIRECT("'" &amp; C$6 &amp; "'!O:O"), MATCH(1, (INDIRECT("'"&amp; C$6 &amp; "'!F:F") =$L73) * (INDIRECT("'" &amp; C$6 &amp; "'!E:E") = Tables!$A$4), 0)), "")</f>
        <v>5.7215511760966307E-2</v>
      </c>
      <c r="D22" s="9" cm="1">
        <f t="array" aca="1" ref="D22" ca="1">IFERROR(INDEX(INDIRECT("'" &amp; D$6 &amp; "'!O:O"), MATCH(1, (INDIRECT("'"&amp; D$6 &amp; "'!F:F") =$L73) * (INDIRECT("'" &amp; D$6 &amp; "'!E:E") = Tables!$A$4), 0)), "")</f>
        <v>6.021430024640007</v>
      </c>
      <c r="E22" s="9" cm="1">
        <f t="array" aca="1" ref="E22" ca="1">IFERROR(INDEX(INDIRECT("'" &amp; E$6 &amp; "'!O:O"), MATCH(1, (INDIRECT("'"&amp; E$6 &amp; "'!F:F") =$L73) * (INDIRECT("'" &amp; E$6 &amp; "'!E:E") = Tables!$A$4), 0)), "")</f>
        <v>6.1127008422176203</v>
      </c>
      <c r="F22" s="9" cm="1">
        <f t="array" aca="1" ref="F22" ca="1">IFERROR(INDEX(INDIRECT("'" &amp; F$6 &amp; "'!O:O"), MATCH(1, (INDIRECT("'"&amp; F$6 &amp; "'!F:F") =$L73) * (INDIRECT("'" &amp; F$6 &amp; "'!E:E") = Tables!$A$4), 0)), "")</f>
        <v>1.1664922379208094</v>
      </c>
      <c r="G22" s="9" cm="1">
        <f t="array" aca="1" ref="G22" ca="1">IFERROR(INDEX(INDIRECT("'" &amp; G$6 &amp; "'!O:O"), MATCH(1, (INDIRECT("'"&amp; G$6 &amp; "'!F:F") =$L73) * (INDIRECT("'" &amp; G$6 &amp; "'!E:E") = Tables!$A$4), 0)), "")</f>
        <v>28.590476190476174</v>
      </c>
      <c r="H22" s="9" cm="1">
        <f t="array" aca="1" ref="H22" ca="1">IFERROR(INDEX(INDIRECT("'" &amp; H$6 &amp; "'!O:O"), MATCH(1, (INDIRECT("'"&amp; H$6 &amp; "'!F:F") =$L73) * (INDIRECT("'" &amp; H$6 &amp; "'!E:E") = Tables!$A$4), 0)), "")</f>
        <v>152.91396615865369</v>
      </c>
      <c r="I22" s="103" cm="1">
        <f t="array" aca="1" ref="I22" ca="1">IFERROR(INDEX(INDIRECT("'" &amp; I$6 &amp; "'!O:O"), MATCH(1, (INDIRECT("'"&amp; I$6 &amp; "'!F:F") =$L73) * (INDIRECT("'" &amp; I$6 &amp; "'!E:E") = Tables!$A$4), 0)), "")</f>
        <v>8.1985714285714284</v>
      </c>
      <c r="J22" s="105">
        <f>IFERROR(INDEX('Date Key'!$H$25:$H$42, MATCH(A22, 'Date Key'!$A$25:$A$42, 0)), "")</f>
        <v>363.31022727272722</v>
      </c>
      <c r="K22" s="106">
        <f t="shared" ca="1" si="5"/>
        <v>1.6825017253447646E-5</v>
      </c>
      <c r="L22" s="108">
        <f t="shared" ca="1" si="0"/>
        <v>24.228024844964612</v>
      </c>
      <c r="M22" s="106">
        <f t="shared" ca="1" si="1"/>
        <v>1.6825017253447646E-5</v>
      </c>
      <c r="N22" s="108">
        <f t="shared" ca="1" si="2"/>
        <v>24.228024844964612</v>
      </c>
      <c r="P22" s="6">
        <v>16</v>
      </c>
      <c r="Q22" s="9" cm="1">
        <f t="array" aca="1" ref="Q22" ca="1">IFERROR(INDEX(INDIRECT("'" &amp; Q$6 &amp; "'!O:O"), MATCH(1, (INDIRECT("'"&amp; Q$6 &amp; "'!F:F") =$P22) * (INDIRECT("'" &amp; Q$6 &amp; "'!E:E") = Tables!$P$4), 0)), "")</f>
        <v>1.4371339054624708</v>
      </c>
      <c r="R22" s="9" cm="1">
        <f t="array" aca="1" ref="R22" ca="1">IFERROR(INDEX(INDIRECT("'" &amp; R$6 &amp; "'!O:O"), MATCH(1, (INDIRECT("'"&amp; R$6 &amp; "'!F:F") =$P22) * (INDIRECT("'" &amp; R$6 &amp; "'!E:E") = Tables!$P$4), 0)), "")</f>
        <v>3.8143674507310869E-2</v>
      </c>
      <c r="S22" s="9" cm="1">
        <f t="array" aca="1" ref="S22" ca="1">IFERROR(INDEX(INDIRECT("'" &amp; S$6 &amp; "'!O:O"), MATCH(1, (INDIRECT("'"&amp; S$6 &amp; "'!F:F") =$P22) * (INDIRECT("'" &amp; S$6 &amp; "'!E:E") = Tables!$P$4), 0)), "")</f>
        <v>3.1873770825327219E-2</v>
      </c>
      <c r="T22" s="9" cm="1">
        <f t="array" aca="1" ref="T22" ca="1">IFERROR(INDEX(INDIRECT("'" &amp; T$6 &amp; "'!O:O"), MATCH(1, (INDIRECT("'"&amp; T$6 &amp; "'!F:F") =$P22) * (INDIRECT("'" &amp; T$6 &amp; "'!E:E") = Tables!$P$4), 0)), "")</f>
        <v>1.5071513507951089</v>
      </c>
      <c r="U22" s="9" cm="1">
        <f t="array" aca="1" ref="U22" ca="1">IFERROR(INDEX(INDIRECT("'" &amp; U$6 &amp; "'!O:O"), MATCH(1, (INDIRECT("'"&amp; U$6 &amp; "'!F:F") =$P22) * (INDIRECT("'" &amp; U$6 &amp; "'!E:E") = Tables!$P$4), 0)), "")</f>
        <v>0.49319727891156456</v>
      </c>
      <c r="V22" s="9" cm="1">
        <f t="array" aca="1" ref="V22" ca="1">IFERROR(INDEX(INDIRECT("'" &amp; V$6 &amp; "'!O:O"), MATCH(1, (INDIRECT("'"&amp; V$6 &amp; "'!F:F") =$P22) * (INDIRECT("'" &amp; V$6 &amp; "'!E:E") = Tables!$P$4), 0)), "")</f>
        <v>32.54285714285713</v>
      </c>
      <c r="W22" s="103" cm="1">
        <f t="array" aca="1" ref="W22" ca="1">IFERROR(INDEX(INDIRECT("'" &amp; W$6 &amp; "'!O:O"), MATCH(1, (INDIRECT("'"&amp; W$6 &amp; "'!F:F") =$P22) * (INDIRECT("'" &amp; W$6 &amp; "'!E:E") = Tables!$P$4), 0)), "")</f>
        <v>217.80791262739521</v>
      </c>
      <c r="X22" s="103" cm="1">
        <f t="array" aca="1" ref="X22" ca="1">IFERROR(INDEX(INDIRECT("'" &amp; X$6 &amp; "'!O:O"), MATCH(1, (INDIRECT("'"&amp; X$6 &amp; "'!F:F") =$P22) * (INDIRECT("'" &amp; X$6 &amp; "'!E:E") = Tables!$P$4), 0)), "")</f>
        <v>7.1014285714285714</v>
      </c>
      <c r="Y22" s="105">
        <f>IFERROR(INDEX('Date Key'!$H$25:$H$42, MATCH(P22, 'Date Key'!$A$25:$A$42, 0)), "")</f>
        <v>363.31022727272722</v>
      </c>
      <c r="Z22" s="106">
        <f t="shared" ca="1" si="6"/>
        <v>1.2676630454350653E-5</v>
      </c>
      <c r="AA22" s="108">
        <f t="shared" ca="1" si="7"/>
        <v>18.254347854264939</v>
      </c>
      <c r="AB22" s="109"/>
      <c r="AC22" s="109"/>
      <c r="AE22" s="6">
        <v>16</v>
      </c>
      <c r="AF22" s="9" cm="1">
        <f t="array" aca="1" ref="AF22" ca="1">IFERROR(INDEX(INDIRECT("'" &amp; AF$6 &amp; "'!O:O"), MATCH(1, (INDIRECT("'"&amp; AF$6 &amp; "'!F:F") =$AE22) * (INDIRECT("'" &amp; AF$6 &amp; "'!E:E") = Tables!$AE$4), 0)), "")</f>
        <v>0.34327748263179408</v>
      </c>
      <c r="AG22" s="9" cm="1">
        <f t="array" aca="1" ref="AG22" ca="1">IFERROR(INDEX(INDIRECT("'" &amp; AG$6 &amp; "'!O:O"), MATCH(1, (INDIRECT("'"&amp; AG$6 &amp; "'!F:F") =$AE22) * (INDIRECT("'" &amp; AG$6 &amp; "'!E:E") = Tables!$AE$4), 0)), "")</f>
        <v>0.13681970203709337</v>
      </c>
      <c r="AH22" s="9" cm="1">
        <f t="array" aca="1" ref="AH22" ca="1">IFERROR(INDEX(INDIRECT("'" &amp; AH$6 &amp; "'!O:O"), MATCH(1, (INDIRECT("'"&amp; AH$6 &amp; "'!F:F") =$AE22) * (INDIRECT("'" &amp; AH$6 &amp; "'!E:E") = Tables!$AE$4), 0)), "")</f>
        <v>0.19734611298234511</v>
      </c>
      <c r="AI22" s="9" cm="1">
        <f t="array" aca="1" ref="AI22" ca="1">IFERROR(INDEX(INDIRECT("'" &amp; AI$6 &amp; "'!O:O"), MATCH(1, (INDIRECT("'"&amp; AI$6 &amp; "'!F:F") =$AE22) * (INDIRECT("'" &amp; AI$6 &amp; "'!E:E") = Tables!$AE$4), 0)), "")</f>
        <v>0.67744329765123246</v>
      </c>
      <c r="AJ22" s="9" cm="1">
        <f t="array" aca="1" ref="AJ22" ca="1">IFERROR(INDEX(INDIRECT("'" &amp; AJ$6 &amp; "'!O:O"), MATCH(1, (INDIRECT("'"&amp; AJ$6 &amp; "'!F:F") =$AE22) * (INDIRECT("'" &amp; AJ$6 &amp; "'!E:E") = Tables!$AE$4), 0)), "")</f>
        <v>1.3034188034188035</v>
      </c>
      <c r="AK22" s="9" cm="1">
        <f t="array" aca="1" ref="AK22" ca="1">IFERROR(INDEX(INDIRECT("'" &amp; AK$6 &amp; "'!O:O"), MATCH(1, (INDIRECT("'"&amp; AK$6 &amp; "'!F:F") =$AE22) * (INDIRECT("'" &amp; AK$6 &amp; "'!E:E") = Tables!$AE$4), 0)), "")</f>
        <v>38.114285714285707</v>
      </c>
      <c r="AL22" s="9" cm="1">
        <f t="array" aca="1" ref="AL22" ca="1">IFERROR(INDEX(INDIRECT("'" &amp; AL$6 &amp; "'!O:O"), MATCH(1, (INDIRECT("'"&amp; AL$6 &amp; "'!F:F") =$AE22) * (INDIRECT("'" &amp; AL$6 &amp; "'!E:E") = Tables!$AE$4), 0)), "")</f>
        <v>220.06622266872554</v>
      </c>
      <c r="AM22" s="103" cm="1">
        <f t="array" aca="1" ref="AM22" ca="1">IFERROR(INDEX(INDIRECT("'" &amp; AM$6 &amp; "'!O:O"), MATCH(1, (INDIRECT("'"&amp; AM$6 &amp; "'!F:F") =$AE22) * (INDIRECT("'" &amp; AM$6 &amp; "'!E:E") = Tables!$AE$4), 0)), "")</f>
        <v>7.0328571428571438</v>
      </c>
      <c r="AN22" s="105">
        <f>IFERROR(INDEX('Date Key'!$I$25:$I$42, MATCH(AE22, 'Date Key'!$A$25:$A$42, 0)), "")</f>
        <v>363.31022727272722</v>
      </c>
      <c r="AO22" s="106">
        <f t="shared" ca="1" si="3"/>
        <v>1.4960375834634255E-5</v>
      </c>
      <c r="AP22" s="108">
        <f t="shared" ca="1" si="4"/>
        <v>21.542941201873326</v>
      </c>
    </row>
    <row r="23" spans="1:63" x14ac:dyDescent="0.35">
      <c r="A23" s="6">
        <v>17</v>
      </c>
      <c r="B23" s="9" cm="1">
        <f t="array" aca="1" ref="B23" ca="1">IFERROR(INDEX(INDIRECT("'" &amp; B$6 &amp; "'!O:O"), MATCH(1, (INDIRECT("'"&amp; B$6 &amp; "'!F:F") =$L74) * (INDIRECT("'" &amp; B$6 &amp; "'!E:E") = Tables!$A$4), 0)), "")</f>
        <v>0</v>
      </c>
      <c r="C23" s="9" cm="1">
        <f t="array" aca="1" ref="C23" ca="1">IFERROR(INDEX(INDIRECT("'" &amp; C$6 &amp; "'!O:O"), MATCH(1, (INDIRECT("'"&amp; C$6 &amp; "'!F:F") =$L74) * (INDIRECT("'" &amp; C$6 &amp; "'!E:E") = Tables!$A$4), 0)), "")</f>
        <v>7.8774979960750738E-2</v>
      </c>
      <c r="D23" s="9" cm="1">
        <f t="array" aca="1" ref="D23" ca="1">IFERROR(INDEX(INDIRECT("'" &amp; D$6 &amp; "'!O:O"), MATCH(1, (INDIRECT("'"&amp; D$6 &amp; "'!F:F") =$L74) * (INDIRECT("'" &amp; D$6 &amp; "'!E:E") = Tables!$A$4), 0)), "")</f>
        <v>8.5618373759522566</v>
      </c>
      <c r="E23" s="9" cm="1">
        <f t="array" aca="1" ref="E23" ca="1">IFERROR(INDEX(INDIRECT("'" &amp; E$6 &amp; "'!O:O"), MATCH(1, (INDIRECT("'"&amp; E$6 &amp; "'!F:F") =$L74) * (INDIRECT("'" &amp; E$6 &amp; "'!E:E") = Tables!$A$4), 0)), "")</f>
        <v>8.6406123559130066</v>
      </c>
      <c r="F23" s="9" cm="1">
        <f t="array" aca="1" ref="F23" ca="1">IFERROR(INDEX(INDIRECT("'" &amp; F$6 &amp; "'!O:O"), MATCH(1, (INDIRECT("'"&amp; F$6 &amp; "'!F:F") =$L74) * (INDIRECT("'" &amp; F$6 &amp; "'!E:E") = Tables!$A$4), 0)), "")</f>
        <v>1.4970347113204256</v>
      </c>
      <c r="G23" s="9" cm="1">
        <f t="array" aca="1" ref="G23" ca="1">IFERROR(INDEX(INDIRECT("'" &amp; G$6 &amp; "'!O:O"), MATCH(1, (INDIRECT("'"&amp; G$6 &amp; "'!F:F") =$L74) * (INDIRECT("'" &amp; G$6 &amp; "'!E:E") = Tables!$A$4), 0)), "")</f>
        <v>28.876190476190459</v>
      </c>
      <c r="H23" s="9" cm="1">
        <f t="array" aca="1" ref="H23" ca="1">IFERROR(INDEX(INDIRECT("'" &amp; H$6 &amp; "'!O:O"), MATCH(1, (INDIRECT("'"&amp; H$6 &amp; "'!F:F") =$L74) * (INDIRECT("'" &amp; H$6 &amp; "'!E:E") = Tables!$A$4), 0)), "")</f>
        <v>135.24495325412656</v>
      </c>
      <c r="I23" s="103" cm="1">
        <f t="array" aca="1" ref="I23" ca="1">IFERROR(INDEX(INDIRECT("'" &amp; I$6 &amp; "'!O:O"), MATCH(1, (INDIRECT("'"&amp; I$6 &amp; "'!F:F") =$L74) * (INDIRECT("'" &amp; I$6 &amp; "'!E:E") = Tables!$A$4), 0)), "")</f>
        <v>8.1399999999999988</v>
      </c>
      <c r="J23" s="105">
        <f>IFERROR(INDEX('Date Key'!$H$25:$H$42, MATCH(A23, 'Date Key'!$A$25:$A$42, 0)), "")</f>
        <v>363.31022727272722</v>
      </c>
      <c r="K23" s="106">
        <f t="shared" ca="1" si="5"/>
        <v>2.378301436977366E-5</v>
      </c>
      <c r="L23" s="108">
        <f t="shared" ca="1" si="0"/>
        <v>34.247540692474068</v>
      </c>
      <c r="M23" s="106">
        <f t="shared" ca="1" si="1"/>
        <v>2.378301436977366E-5</v>
      </c>
      <c r="N23" s="108">
        <f t="shared" ca="1" si="2"/>
        <v>34.247540692474068</v>
      </c>
      <c r="P23" s="6">
        <v>17</v>
      </c>
      <c r="Q23" s="9" cm="1">
        <f t="array" aca="1" ref="Q23" ca="1">IFERROR(INDEX(INDIRECT("'" &amp; Q$6 &amp; "'!O:O"), MATCH(1, (INDIRECT("'"&amp; Q$6 &amp; "'!F:F") =$P23) * (INDIRECT("'" &amp; Q$6 &amp; "'!E:E") = Tables!$P$4), 0)), "")</f>
        <v>0</v>
      </c>
      <c r="R23" s="9" cm="1">
        <f t="array" aca="1" ref="R23" ca="1">IFERROR(INDEX(INDIRECT("'" &amp; R$6 &amp; "'!O:O"), MATCH(1, (INDIRECT("'"&amp; R$6 &amp; "'!F:F") =$P23) * (INDIRECT("'" &amp; R$6 &amp; "'!E:E") = Tables!$P$4), 0)), "")</f>
        <v>0.22803283672848895</v>
      </c>
      <c r="S23" s="9" cm="1">
        <f t="array" aca="1" ref="S23" ca="1">IFERROR(INDEX(INDIRECT("'" &amp; S$6 &amp; "'!O:O"), MATCH(1, (INDIRECT("'"&amp; S$6 &amp; "'!F:F") =$P23) * (INDIRECT("'" &amp; S$6 &amp; "'!E:E") = Tables!$P$4), 0)), "")</f>
        <v>0.79480977462305324</v>
      </c>
      <c r="T23" s="9" cm="1">
        <f t="array" aca="1" ref="T23" ca="1">IFERROR(INDEX(INDIRECT("'" &amp; T$6 &amp; "'!O:O"), MATCH(1, (INDIRECT("'"&amp; T$6 &amp; "'!F:F") =$P23) * (INDIRECT("'" &amp; T$6 &amp; "'!E:E") = Tables!$P$4), 0)), "")</f>
        <v>1.0228426113515421</v>
      </c>
      <c r="U23" s="9" cm="1">
        <f t="array" aca="1" ref="U23" ca="1">IFERROR(INDEX(INDIRECT("'" &amp; U$6 &amp; "'!O:O"), MATCH(1, (INDIRECT("'"&amp; U$6 &amp; "'!F:F") =$P23) * (INDIRECT("'" &amp; U$6 &amp; "'!E:E") = Tables!$P$4), 0)), "")</f>
        <v>0.53942089656375358</v>
      </c>
      <c r="V23" s="9" cm="1">
        <f t="array" aca="1" ref="V23" ca="1">IFERROR(INDEX(INDIRECT("'" &amp; V$6 &amp; "'!O:O"), MATCH(1, (INDIRECT("'"&amp; V$6 &amp; "'!F:F") =$P23) * (INDIRECT("'" &amp; V$6 &amp; "'!E:E") = Tables!$P$4), 0)), "")</f>
        <v>28.304761904761882</v>
      </c>
      <c r="W23" s="103" cm="1">
        <f t="array" aca="1" ref="W23" ca="1">IFERROR(INDEX(INDIRECT("'" &amp; W$6 &amp; "'!O:O"), MATCH(1, (INDIRECT("'"&amp; W$6 &amp; "'!F:F") =$P23) * (INDIRECT("'" &amp; W$6 &amp; "'!E:E") = Tables!$P$4), 0)), "")</f>
        <v>212.57427346842283</v>
      </c>
      <c r="X23" s="103" cm="1">
        <f t="array" aca="1" ref="X23" ca="1">IFERROR(INDEX(INDIRECT("'" &amp; X$6 &amp; "'!O:O"), MATCH(1, (INDIRECT("'"&amp; X$6 &amp; "'!F:F") =$P23) * (INDIRECT("'" &amp; X$6 &amp; "'!E:E") = Tables!$P$4), 0)), "")</f>
        <v>6.9185714285714282</v>
      </c>
      <c r="Y23" s="105">
        <f>IFERROR(INDEX('Date Key'!$H$25:$H$42, MATCH(P23, 'Date Key'!$A$25:$A$42, 0)), "")</f>
        <v>363.31022727272722</v>
      </c>
      <c r="Z23" s="106">
        <f t="shared" ca="1" si="6"/>
        <v>2.0967672178529147E-5</v>
      </c>
      <c r="AA23" s="108">
        <f t="shared" ca="1" si="7"/>
        <v>30.193447937081974</v>
      </c>
      <c r="AB23" s="109"/>
      <c r="AC23" s="109"/>
      <c r="AE23" s="6">
        <v>17</v>
      </c>
      <c r="AF23" s="9" cm="1">
        <f t="array" aca="1" ref="AF23" ca="1">IFERROR(INDEX(INDIRECT("'" &amp; AF$6 &amp; "'!O:O"), MATCH(1, (INDIRECT("'"&amp; AF$6 &amp; "'!F:F") =$AE23) * (INDIRECT("'" &amp; AF$6 &amp; "'!E:E") = Tables!$AE$4), 0)), "")</f>
        <v>0</v>
      </c>
      <c r="AG23" s="9" cm="1">
        <f t="array" aca="1" ref="AG23" ca="1">IFERROR(INDEX(INDIRECT("'" &amp; AG$6 &amp; "'!O:O"), MATCH(1, (INDIRECT("'"&amp; AG$6 &amp; "'!F:F") =$AE23) * (INDIRECT("'" &amp; AG$6 &amp; "'!E:E") = Tables!$AE$4), 0)), "")</f>
        <v>0.2305204676746179</v>
      </c>
      <c r="AH23" s="9" cm="1">
        <f t="array" aca="1" ref="AH23" ca="1">IFERROR(INDEX(INDIRECT("'" &amp; AH$6 &amp; "'!O:O"), MATCH(1, (INDIRECT("'"&amp; AH$6 &amp; "'!F:F") =$AE23) * (INDIRECT("'" &amp; AH$6 &amp; "'!E:E") = Tables!$AE$4), 0)), "")</f>
        <v>1.0837082080611256</v>
      </c>
      <c r="AI23" s="9" cm="1">
        <f t="array" aca="1" ref="AI23" ca="1">IFERROR(INDEX(INDIRECT("'" &amp; AI$6 &amp; "'!O:O"), MATCH(1, (INDIRECT("'"&amp; AI$6 &amp; "'!F:F") =$AE23) * (INDIRECT("'" &amp; AI$6 &amp; "'!E:E") = Tables!$AE$4), 0)), "")</f>
        <v>1.3142286757357433</v>
      </c>
      <c r="AJ23" s="9" cm="1">
        <f t="array" aca="1" ref="AJ23" ca="1">IFERROR(INDEX(INDIRECT("'" &amp; AJ$6 &amp; "'!O:O"), MATCH(1, (INDIRECT("'"&amp; AJ$6 &amp; "'!F:F") =$AE23) * (INDIRECT("'" &amp; AJ$6 &amp; "'!E:E") = Tables!$AE$4), 0)), "")</f>
        <v>1.0391592534449678</v>
      </c>
      <c r="AK23" s="9" cm="1">
        <f t="array" aca="1" ref="AK23" ca="1">IFERROR(INDEX(INDIRECT("'" &amp; AK$6 &amp; "'!O:O"), MATCH(1, (INDIRECT("'"&amp; AK$6 &amp; "'!F:F") =$AE23) * (INDIRECT("'" &amp; AK$6 &amp; "'!E:E") = Tables!$AE$4), 0)), "")</f>
        <v>31.399999999999981</v>
      </c>
      <c r="AL23" s="9" cm="1">
        <f t="array" aca="1" ref="AL23" ca="1">IFERROR(INDEX(INDIRECT("'" &amp; AL$6 &amp; "'!O:O"), MATCH(1, (INDIRECT("'"&amp; AL$6 &amp; "'!F:F") =$AE23) * (INDIRECT("'" &amp; AL$6 &amp; "'!E:E") = Tables!$AE$4), 0)), "")</f>
        <v>195.61041614275763</v>
      </c>
      <c r="AM23" s="103" cm="1">
        <f t="array" aca="1" ref="AM23" ca="1">IFERROR(INDEX(INDIRECT("'" &amp; AM$6 &amp; "'!O:O"), MATCH(1, (INDIRECT("'"&amp; AM$6 &amp; "'!F:F") =$AE23) * (INDIRECT("'" &amp; AM$6 &amp; "'!E:E") = Tables!$AE$4), 0)), "")</f>
        <v>6.9828571428571431</v>
      </c>
      <c r="AN23" s="105">
        <f>IFERROR(INDEX('Date Key'!$I$25:$I$42, MATCH(AE23, 'Date Key'!$A$25:$A$42, 0)), "")</f>
        <v>363.31022727272722</v>
      </c>
      <c r="AO23" s="106">
        <f t="shared" ca="1" si="3"/>
        <v>2.0165641179920719E-5</v>
      </c>
      <c r="AP23" s="108">
        <f t="shared" ca="1" si="4"/>
        <v>29.038523299085835</v>
      </c>
    </row>
    <row r="24" spans="1:63" x14ac:dyDescent="0.35">
      <c r="A24" s="6">
        <v>18</v>
      </c>
      <c r="B24" s="9" cm="1">
        <f t="array" aca="1" ref="B24" ca="1">IFERROR(INDEX(INDIRECT("'" &amp; B$6 &amp; "'!O:O"), MATCH(1, (INDIRECT("'"&amp; B$6 &amp; "'!F:F") =$L75) * (INDIRECT("'" &amp; B$6 &amp; "'!E:E") = Tables!$A$4), 0)), "")</f>
        <v>0.27698185291308502</v>
      </c>
      <c r="C24" s="9" cm="1">
        <f t="array" aca="1" ref="C24" ca="1">IFERROR(INDEX(INDIRECT("'" &amp; C$6 &amp; "'!O:O"), MATCH(1, (INDIRECT("'"&amp; C$6 &amp; "'!F:F") =$L75) * (INDIRECT("'" &amp; C$6 &amp; "'!E:E") = Tables!$A$4), 0)), "")</f>
        <v>0.30209463406492532</v>
      </c>
      <c r="D24" s="9" cm="1">
        <f t="array" aca="1" ref="D24" ca="1">IFERROR(INDEX(INDIRECT("'" &amp; D$6 &amp; "'!O:O"), MATCH(1, (INDIRECT("'"&amp; D$6 &amp; "'!F:F") =$L75) * (INDIRECT("'" &amp; D$6 &amp; "'!E:E") = Tables!$A$4), 0)), "")</f>
        <v>8.0642741330493912</v>
      </c>
      <c r="E24" s="9" cm="1">
        <f t="array" aca="1" ref="E24" ca="1">IFERROR(INDEX(INDIRECT("'" &amp; E$6 &amp; "'!O:O"), MATCH(1, (INDIRECT("'"&amp; E$6 &amp; "'!F:F") =$L75) * (INDIRECT("'" &amp; E$6 &amp; "'!E:E") = Tables!$A$4), 0)), "")</f>
        <v>8.6433506200274035</v>
      </c>
      <c r="F24" s="9" cm="1">
        <f t="array" aca="1" ref="F24" ca="1">IFERROR(INDEX(INDIRECT("'" &amp; F$6 &amp; "'!O:O"), MATCH(1, (INDIRECT("'"&amp; F$6 &amp; "'!F:F") =$L75) * (INDIRECT("'" &amp; F$6 &amp; "'!E:E") = Tables!$A$4), 0)), "")</f>
        <v>0.84292691435548583</v>
      </c>
      <c r="G24" s="9" cm="1">
        <f t="array" aca="1" ref="G24" ca="1">IFERROR(INDEX(INDIRECT("'" &amp; G$6 &amp; "'!O:O"), MATCH(1, (INDIRECT("'"&amp; G$6 &amp; "'!F:F") =$L75) * (INDIRECT("'" &amp; G$6 &amp; "'!E:E") = Tables!$A$4), 0)), "")</f>
        <v>36.828571428571415</v>
      </c>
      <c r="H24" s="9" cm="1">
        <f t="array" aca="1" ref="H24" ca="1">IFERROR(INDEX(INDIRECT("'" &amp; H$6 &amp; "'!O:O"), MATCH(1, (INDIRECT("'"&amp; H$6 &amp; "'!F:F") =$L75) * (INDIRECT("'" &amp; H$6 &amp; "'!E:E") = Tables!$A$4), 0)), "")</f>
        <v>114.21257724791225</v>
      </c>
      <c r="I24" s="103" cm="1">
        <f t="array" aca="1" ref="I24" ca="1">IFERROR(INDEX(INDIRECT("'" &amp; I$6 &amp; "'!O:O"), MATCH(1, (INDIRECT("'"&amp; I$6 &amp; "'!F:F") =$L75) * (INDIRECT("'" &amp; I$6 &amp; "'!E:E") = Tables!$A$4), 0)), "")</f>
        <v>7.7914285714285727</v>
      </c>
      <c r="J24" s="105">
        <f>IFERROR(INDEX('Date Key'!$H$25:$H$42, MATCH(A24, 'Date Key'!$A$25:$A$42, 0)), "")</f>
        <v>363.31022727272722</v>
      </c>
      <c r="K24" s="106">
        <f t="shared" ca="1" si="5"/>
        <v>2.3790551355822618E-5</v>
      </c>
      <c r="L24" s="108">
        <f t="shared" ca="1" si="0"/>
        <v>34.258393952384573</v>
      </c>
      <c r="M24" s="106">
        <f t="shared" ca="1" si="1"/>
        <v>2.3790551355822618E-5</v>
      </c>
      <c r="N24" s="108">
        <f t="shared" ca="1" si="2"/>
        <v>34.258393952384573</v>
      </c>
      <c r="P24" s="6">
        <v>18</v>
      </c>
      <c r="Q24" s="9" cm="1">
        <f t="array" aca="1" ref="Q24" ca="1">IFERROR(INDEX(INDIRECT("'" &amp; Q$6 &amp; "'!O:O"), MATCH(1, (INDIRECT("'"&amp; Q$6 &amp; "'!F:F") =$P24) * (INDIRECT("'" &amp; Q$6 &amp; "'!E:E") = Tables!$P$4), 0)), "")</f>
        <v>0.21967526265520537</v>
      </c>
      <c r="R24" s="9" cm="1">
        <f t="array" aca="1" ref="R24" ca="1">IFERROR(INDEX(INDIRECT("'" &amp; R$6 &amp; "'!O:O"), MATCH(1, (INDIRECT("'"&amp; R$6 &amp; "'!F:F") =$P24) * (INDIRECT("'" &amp; R$6 &amp; "'!E:E") = Tables!$P$4), 0)), "")</f>
        <v>0.30793624301093214</v>
      </c>
      <c r="S24" s="9" cm="1">
        <f t="array" aca="1" ref="S24" ca="1">IFERROR(INDEX(INDIRECT("'" &amp; S$6 &amp; "'!O:O"), MATCH(1, (INDIRECT("'"&amp; S$6 &amp; "'!F:F") =$P24) * (INDIRECT("'" &amp; S$6 &amp; "'!E:E") = Tables!$P$4), 0)), "")</f>
        <v>0.54521694939863996</v>
      </c>
      <c r="T24" s="9" cm="1">
        <f t="array" aca="1" ref="T24" ca="1">IFERROR(INDEX(INDIRECT("'" &amp; T$6 &amp; "'!O:O"), MATCH(1, (INDIRECT("'"&amp; T$6 &amp; "'!F:F") =$P24) * (INDIRECT("'" &amp; T$6 &amp; "'!E:E") = Tables!$P$4), 0)), "")</f>
        <v>1.0728284550647775</v>
      </c>
      <c r="U24" s="9" cm="1">
        <f t="array" aca="1" ref="U24" ca="1">IFERROR(INDEX(INDIRECT("'" &amp; U$6 &amp; "'!O:O"), MATCH(1, (INDIRECT("'"&amp; U$6 &amp; "'!F:F") =$P24) * (INDIRECT("'" &amp; U$6 &amp; "'!E:E") = Tables!$P$4), 0)), "")</f>
        <v>0.496685853828711</v>
      </c>
      <c r="V24" s="9" cm="1">
        <f t="array" aca="1" ref="V24" ca="1">IFERROR(INDEX(INDIRECT("'" &amp; V$6 &amp; "'!O:O"), MATCH(1, (INDIRECT("'"&amp; V$6 &amp; "'!F:F") =$P24) * (INDIRECT("'" &amp; V$6 &amp; "'!E:E") = Tables!$P$4), 0)), "")</f>
        <v>36.019047619047605</v>
      </c>
      <c r="W24" s="103" cm="1">
        <f t="array" aca="1" ref="W24" ca="1">IFERROR(INDEX(INDIRECT("'" &amp; W$6 &amp; "'!O:O"), MATCH(1, (INDIRECT("'"&amp; W$6 &amp; "'!F:F") =$P24) * (INDIRECT("'" &amp; W$6 &amp; "'!E:E") = Tables!$P$4), 0)), "")</f>
        <v>185.30907844836869</v>
      </c>
      <c r="X24" s="103" cm="1">
        <f t="array" aca="1" ref="X24" ca="1">IFERROR(INDEX(INDIRECT("'" &amp; X$6 &amp; "'!O:O"), MATCH(1, (INDIRECT("'"&amp; X$6 &amp; "'!F:F") =$P24) * (INDIRECT("'" &amp; X$6 &amp; "'!E:E") = Tables!$P$4), 0)), "")</f>
        <v>7.152857142857143</v>
      </c>
      <c r="Y24" s="105">
        <f>IFERROR(INDEX('Date Key'!$H$25:$H$42, MATCH(P24, 'Date Key'!$A$25:$A$42, 0)), "")</f>
        <v>363.31022727272722</v>
      </c>
      <c r="Z24" s="106">
        <f t="shared" ca="1" si="6"/>
        <v>2.0837624698298513E-5</v>
      </c>
      <c r="AA24" s="108">
        <f t="shared" ca="1" si="7"/>
        <v>30.006179565549857</v>
      </c>
      <c r="AB24" s="109"/>
      <c r="AC24" s="109"/>
      <c r="AE24" s="6">
        <v>18</v>
      </c>
      <c r="AF24" s="9" cm="1">
        <f t="array" aca="1" ref="AF24" ca="1">IFERROR(INDEX(INDIRECT("'" &amp; AF$6 &amp; "'!O:O"), MATCH(1, (INDIRECT("'"&amp; AF$6 &amp; "'!F:F") =$AE24) * (INDIRECT("'" &amp; AF$6 &amp; "'!E:E") = Tables!$AE$4), 0)), "")</f>
        <v>0.14326647564469916</v>
      </c>
      <c r="AG24" s="9" cm="1">
        <f t="array" aca="1" ref="AG24" ca="1">IFERROR(INDEX(INDIRECT("'" &amp; AG$6 &amp; "'!O:O"), MATCH(1, (INDIRECT("'"&amp; AG$6 &amp; "'!F:F") =$AE24) * (INDIRECT("'" &amp; AG$6 &amp; "'!E:E") = Tables!$AE$4), 0)), "")</f>
        <v>0.50237836935658853</v>
      </c>
      <c r="AH24" s="9" cm="1">
        <f t="array" aca="1" ref="AH24" ca="1">IFERROR(INDEX(INDIRECT("'" &amp; AH$6 &amp; "'!O:O"), MATCH(1, (INDIRECT("'"&amp; AH$6 &amp; "'!F:F") =$AE24) * (INDIRECT("'" &amp; AH$6 &amp; "'!E:E") = Tables!$AE$4), 0)), "")</f>
        <v>2.6317063136751928</v>
      </c>
      <c r="AI24" s="9" cm="1">
        <f t="array" aca="1" ref="AI24" ca="1">IFERROR(INDEX(INDIRECT("'" &amp; AI$6 &amp; "'!O:O"), MATCH(1, (INDIRECT("'"&amp; AI$6 &amp; "'!F:F") =$AE24) * (INDIRECT("'" &amp; AI$6 &amp; "'!E:E") = Tables!$AE$4), 0)), "")</f>
        <v>3.2773511586764803</v>
      </c>
      <c r="AJ24" s="9" cm="1">
        <f t="array" aca="1" ref="AJ24" ca="1">IFERROR(INDEX(INDIRECT("'" &amp; AJ$6 &amp; "'!O:O"), MATCH(1, (INDIRECT("'"&amp; AJ$6 &amp; "'!F:F") =$AE24) * (INDIRECT("'" &amp; AJ$6 &amp; "'!E:E") = Tables!$AE$4), 0)), "")</f>
        <v>0.82635618349904061</v>
      </c>
      <c r="AK24" s="9" cm="1">
        <f t="array" aca="1" ref="AK24" ca="1">IFERROR(INDEX(INDIRECT("'" &amp; AK$6 &amp; "'!O:O"), MATCH(1, (INDIRECT("'"&amp; AK$6 &amp; "'!F:F") =$AE24) * (INDIRECT("'" &amp; AK$6 &amp; "'!E:E") = Tables!$AE$4), 0)), "")</f>
        <v>37.780952380952371</v>
      </c>
      <c r="AL24" s="9" cm="1">
        <f t="array" aca="1" ref="AL24" ca="1">IFERROR(INDEX(INDIRECT("'" &amp; AL$6 &amp; "'!O:O"), MATCH(1, (INDIRECT("'"&amp; AL$6 &amp; "'!F:F") =$AE24) * (INDIRECT("'" &amp; AL$6 &amp; "'!E:E") = Tables!$AE$4), 0)), "")</f>
        <v>118.33779534653232</v>
      </c>
      <c r="AM24" s="103" cm="1">
        <f t="array" aca="1" ref="AM24" ca="1">IFERROR(INDEX(INDIRECT("'" &amp; AM$6 &amp; "'!O:O"), MATCH(1, (INDIRECT("'"&amp; AM$6 &amp; "'!F:F") =$AE24) * (INDIRECT("'" &amp; AM$6 &amp; "'!E:E") = Tables!$AE$4), 0)), "")</f>
        <v>7.3507142857142851</v>
      </c>
      <c r="AN24" s="105">
        <f>IFERROR(INDEX('Date Key'!$I$25:$I$42, MATCH(AE24, 'Date Key'!$A$25:$A$42, 0)), "")</f>
        <v>363.31022727272722</v>
      </c>
      <c r="AO24" s="106">
        <f t="shared" ca="1" si="3"/>
        <v>1.4769745133881992E-5</v>
      </c>
      <c r="AP24" s="108">
        <f t="shared" ca="1" si="4"/>
        <v>21.268432992790068</v>
      </c>
    </row>
    <row r="25" spans="1:63" x14ac:dyDescent="0.35">
      <c r="L25" s="109"/>
    </row>
    <row r="26" spans="1:63" x14ac:dyDescent="0.35">
      <c r="A26" s="157" t="s">
        <v>714</v>
      </c>
      <c r="B26" s="158"/>
      <c r="C26" s="158"/>
      <c r="D26" s="158"/>
      <c r="E26" s="158"/>
      <c r="F26" s="158"/>
      <c r="G26" s="158"/>
      <c r="H26" s="158"/>
      <c r="I26" s="158"/>
      <c r="J26" s="158"/>
      <c r="K26" s="158"/>
      <c r="L26" s="159"/>
      <c r="Q26" s="157" t="s">
        <v>700</v>
      </c>
      <c r="R26" s="158"/>
      <c r="S26" s="158"/>
      <c r="T26" s="158"/>
      <c r="U26" s="158"/>
      <c r="V26" s="158"/>
      <c r="W26" s="158"/>
      <c r="X26" s="158"/>
      <c r="Y26" s="158"/>
      <c r="Z26" s="158"/>
      <c r="AA26" s="158"/>
      <c r="AB26" s="159"/>
      <c r="AG26" s="157" t="s">
        <v>716</v>
      </c>
      <c r="AH26" s="158"/>
      <c r="AI26" s="158"/>
      <c r="AJ26" s="158"/>
      <c r="AK26" s="158"/>
      <c r="AL26" s="158"/>
      <c r="AM26" s="158"/>
      <c r="AN26" s="158"/>
      <c r="AO26" s="158"/>
      <c r="AP26" s="158"/>
      <c r="AQ26" s="158"/>
      <c r="AR26" s="159"/>
      <c r="AW26" s="157" t="s">
        <v>713</v>
      </c>
      <c r="AX26" s="158"/>
      <c r="AY26" s="158"/>
      <c r="AZ26" s="158"/>
      <c r="BA26" s="158"/>
      <c r="BB26" s="158"/>
      <c r="BC26" s="158"/>
      <c r="BD26" s="158"/>
      <c r="BE26" s="158"/>
      <c r="BF26" s="158"/>
      <c r="BG26" s="158"/>
      <c r="BH26" s="159"/>
    </row>
    <row r="27" spans="1:63" ht="30" customHeight="1" x14ac:dyDescent="0.35">
      <c r="A27" s="5" t="s">
        <v>317</v>
      </c>
      <c r="B27" s="5" t="s">
        <v>453</v>
      </c>
      <c r="C27" s="5" t="s">
        <v>11</v>
      </c>
      <c r="D27" s="5" t="s">
        <v>318</v>
      </c>
      <c r="E27" s="7" t="s">
        <v>17</v>
      </c>
      <c r="F27" s="7" t="s">
        <v>18</v>
      </c>
      <c r="G27" s="7" t="s">
        <v>19</v>
      </c>
      <c r="H27" s="7" t="s">
        <v>319</v>
      </c>
      <c r="I27" s="7" t="s">
        <v>479</v>
      </c>
      <c r="J27" s="7" t="s">
        <v>321</v>
      </c>
      <c r="K27" s="7" t="s">
        <v>531</v>
      </c>
      <c r="L27" s="7" t="s">
        <v>322</v>
      </c>
      <c r="M27" s="7" t="s">
        <v>20</v>
      </c>
      <c r="N27" s="7" t="s">
        <v>21</v>
      </c>
      <c r="O27" s="7" t="s">
        <v>23</v>
      </c>
      <c r="Q27" s="5" t="s">
        <v>317</v>
      </c>
      <c r="R27" s="5" t="s">
        <v>453</v>
      </c>
      <c r="S27" s="5" t="s">
        <v>11</v>
      </c>
      <c r="T27" s="5" t="s">
        <v>318</v>
      </c>
      <c r="U27" s="7" t="s">
        <v>17</v>
      </c>
      <c r="V27" s="7" t="s">
        <v>18</v>
      </c>
      <c r="W27" s="7" t="s">
        <v>19</v>
      </c>
      <c r="X27" s="7" t="s">
        <v>319</v>
      </c>
      <c r="Y27" s="7" t="s">
        <v>479</v>
      </c>
      <c r="Z27" s="7" t="s">
        <v>321</v>
      </c>
      <c r="AA27" s="7" t="s">
        <v>531</v>
      </c>
      <c r="AB27" s="7" t="s">
        <v>322</v>
      </c>
      <c r="AC27" s="7" t="s">
        <v>20</v>
      </c>
      <c r="AD27" s="7" t="s">
        <v>21</v>
      </c>
      <c r="AE27" s="7" t="s">
        <v>23</v>
      </c>
      <c r="AG27" s="5" t="s">
        <v>317</v>
      </c>
      <c r="AH27" s="5" t="s">
        <v>453</v>
      </c>
      <c r="AI27" s="5" t="s">
        <v>11</v>
      </c>
      <c r="AJ27" s="5" t="s">
        <v>318</v>
      </c>
      <c r="AK27" s="7" t="s">
        <v>17</v>
      </c>
      <c r="AL27" s="7" t="s">
        <v>18</v>
      </c>
      <c r="AM27" s="7" t="s">
        <v>19</v>
      </c>
      <c r="AN27" s="7" t="s">
        <v>319</v>
      </c>
      <c r="AO27" s="7" t="s">
        <v>479</v>
      </c>
      <c r="AP27" s="7" t="s">
        <v>321</v>
      </c>
      <c r="AQ27" s="7" t="s">
        <v>531</v>
      </c>
      <c r="AR27" s="7" t="s">
        <v>322</v>
      </c>
      <c r="AS27" s="7" t="s">
        <v>20</v>
      </c>
      <c r="AT27" s="7" t="s">
        <v>21</v>
      </c>
      <c r="AU27" s="7" t="s">
        <v>23</v>
      </c>
      <c r="AW27" s="5" t="s">
        <v>317</v>
      </c>
      <c r="AX27" s="5" t="s">
        <v>453</v>
      </c>
      <c r="AY27" s="5" t="s">
        <v>11</v>
      </c>
      <c r="AZ27" s="5" t="s">
        <v>318</v>
      </c>
      <c r="BA27" s="7" t="s">
        <v>17</v>
      </c>
      <c r="BB27" s="7" t="s">
        <v>18</v>
      </c>
      <c r="BC27" s="7" t="s">
        <v>19</v>
      </c>
      <c r="BD27" s="7" t="s">
        <v>319</v>
      </c>
      <c r="BE27" s="7" t="s">
        <v>479</v>
      </c>
      <c r="BF27" s="7" t="s">
        <v>321</v>
      </c>
      <c r="BG27" s="7" t="s">
        <v>531</v>
      </c>
      <c r="BH27" s="7" t="s">
        <v>322</v>
      </c>
      <c r="BI27" s="7" t="s">
        <v>20</v>
      </c>
      <c r="BJ27" s="7" t="s">
        <v>21</v>
      </c>
      <c r="BK27" s="7" t="s">
        <v>23</v>
      </c>
    </row>
    <row r="28" spans="1:63" ht="30" customHeight="1" x14ac:dyDescent="0.35">
      <c r="A28" s="8" t="s">
        <v>338</v>
      </c>
      <c r="B28" s="73" t="s">
        <v>457</v>
      </c>
      <c r="C28" s="100">
        <f>'Date Key'!$C$25</f>
        <v>0.10872251050160613</v>
      </c>
      <c r="D28" s="6" t="str">
        <f>'Date Key'!$G$25</f>
        <v>Lower</v>
      </c>
      <c r="E28" s="9" cm="1">
        <f t="array" aca="1" ref="E28" ca="1">IFERROR(INDIRECT("'" &amp; E$27 &amp;  "'!Q3" &amp; "±" &amp; "'!T3"),0)</f>
        <v>0</v>
      </c>
      <c r="F28" s="9" cm="1">
        <f t="array" aca="1" ref="F28" ca="1">IFERROR(INDIRECT("'" &amp; F$27 &amp;  "'!Q3"),0)</f>
        <v>4.4403330249768731E-2</v>
      </c>
      <c r="G28" s="9" cm="1">
        <f t="array" aca="1" ref="G28" ca="1">IFERROR(INDIRECT("'" &amp; G$27 &amp;  "'!Q3"),0)</f>
        <v>2.3972629521016615</v>
      </c>
      <c r="H28" s="9" cm="1">
        <f t="array" aca="1" ref="H28" ca="1">IFERROR(INDIRECT("'" &amp; H$27 &amp;  "'!Q3"),0)</f>
        <v>2.7216552525675235</v>
      </c>
      <c r="I28" s="9" cm="1">
        <f t="array" aca="1" ref="I28" ca="1">IFERROR(INDIRECT("'" &amp; I$27 &amp;  "'!Q3"),0)</f>
        <v>1.1790790162218734</v>
      </c>
      <c r="J28" s="9" cm="1">
        <f t="array" aca="1" ref="J28" ca="1">IFERROR(INDIRECT("'" &amp; J$27 &amp;  "'!Q3"),0)</f>
        <v>27.661904761904751</v>
      </c>
      <c r="K28" s="9" cm="1">
        <f t="array" aca="1" ref="K28" ca="1">IFERROR(INDIRECT("'" &amp; K$27 &amp;  "'!Q3"),0)</f>
        <v>155.22006418380965</v>
      </c>
      <c r="L28" s="9" cm="1">
        <f t="array" aca="1" ref="L28" ca="1">IFERROR(INDIRECT("'" &amp; L$27 &amp;  "'!Q3"),0)</f>
        <v>7.7114285714285717</v>
      </c>
      <c r="M28" s="9" cm="1">
        <f t="array" aca="1" ref="M28" ca="1">IFERROR(INDIRECT("'" &amp; M$27 &amp;  "'!Q3"),0)</f>
        <v>2.2793739315175352</v>
      </c>
      <c r="N28" s="9" cm="1">
        <f t="array" aca="1" ref="N28" ca="1">IFERROR(INDIRECT("'" &amp; N$27 &amp;  "'!Q3"),0)</f>
        <v>107.02835840766875</v>
      </c>
      <c r="O28" s="9" cm="1">
        <f t="array" aca="1" ref="O28" ca="1">IFERROR(INDIRECT("'" &amp; O$27 &amp;  "'!Q3"),0)</f>
        <v>0</v>
      </c>
      <c r="Q28" s="8" t="s">
        <v>338</v>
      </c>
      <c r="R28" s="73" t="s">
        <v>457</v>
      </c>
      <c r="S28" s="100">
        <f>'Date Key'!$C$25</f>
        <v>0.10872251050160613</v>
      </c>
      <c r="T28" s="6" t="str">
        <f>'Date Key'!$G$25</f>
        <v>Lower</v>
      </c>
      <c r="U28" s="9" cm="1">
        <f t="array" aca="1" ref="U28" ca="1">IFERROR(INDIRECT("'" &amp; U$27 &amp;  "'!Q6"),0)</f>
        <v>0.43998366475041628</v>
      </c>
      <c r="V28" s="9" cm="1">
        <f t="array" aca="1" ref="V28" ca="1">IFERROR(INDIRECT("'" &amp; V$27 &amp;  "'!Q6"),0)</f>
        <v>5.8741905642923226E-2</v>
      </c>
      <c r="W28" s="9" cm="1">
        <f t="array" aca="1" ref="W28" ca="1">IFERROR(INDIRECT("'" &amp; W$27 &amp;  "'!Q6"),0)</f>
        <v>8.6412512218963844E-2</v>
      </c>
      <c r="X28" s="9" cm="1">
        <f t="array" aca="1" ref="X28" ca="1">IFERROR(INDIRECT("'" &amp; X$27 &amp;  "'!Q6"),0)</f>
        <v>0.58513808261230338</v>
      </c>
      <c r="Y28" s="9" cm="1">
        <f t="array" aca="1" ref="Y28" ca="1">IFERROR(INDIRECT("'" &amp; Y$27 &amp;  "'!Q6"),0)</f>
        <v>0.12770975056689343</v>
      </c>
      <c r="Z28" s="9" cm="1">
        <f t="array" aca="1" ref="Z28" ca="1">IFERROR(INDIRECT("'" &amp; Z$27 &amp;  "'!Q6"),0)</f>
        <v>22.780952380952371</v>
      </c>
      <c r="AA28" s="9" cm="1">
        <f t="array" aca="1" ref="AA28" ca="1">IFERROR(INDIRECT("'" &amp; AA$27 &amp;  "'!Q6"),0)</f>
        <v>227.95119366595782</v>
      </c>
      <c r="AB28" s="9" cm="1">
        <f t="array" aca="1" ref="AB28" ca="1">IFERROR(INDIRECT("'" &amp; AB$27 &amp;  "'!Q6"),0)</f>
        <v>6.9742857142857151</v>
      </c>
      <c r="AC28" s="9" cm="1">
        <f t="array" aca="1" ref="AC28" ca="1">IFERROR(INDIRECT("'" &amp; AC$27 &amp;  "'!Q6"),0)</f>
        <v>1.4540656276452721</v>
      </c>
      <c r="AD28" s="9" cm="1">
        <f t="array" aca="1" ref="AD28" ca="1">IFERROR(INDIRECT("'" &amp; AD$27 &amp;  "'!Q6"),0)</f>
        <v>43.883637331913192</v>
      </c>
      <c r="AE28" s="9" cm="1">
        <f t="array" aca="1" ref="AE28" ca="1">IFERROR(INDIRECT("'" &amp; AE$27 &amp;  "'!Q6"),0)</f>
        <v>0</v>
      </c>
      <c r="AG28" s="8" t="s">
        <v>338</v>
      </c>
      <c r="AH28" s="73" t="s">
        <v>457</v>
      </c>
      <c r="AI28" s="100">
        <f>'Date Key'!$C$25</f>
        <v>0.10872251050160613</v>
      </c>
      <c r="AJ28" s="6" t="str">
        <f>'Date Key'!$G$25</f>
        <v>Lower</v>
      </c>
      <c r="AK28" s="9" cm="1">
        <f t="array" aca="1" ref="AK28" ca="1">IFERROR(INDIRECT("'" &amp; AK$27 &amp;  "'!Q9"),0)</f>
        <v>0.23582794933280277</v>
      </c>
      <c r="AL28" s="9" cm="1">
        <f t="array" aca="1" ref="AL28" ca="1">IFERROR(INDIRECT("'" &amp; AL$27 &amp;  "'!Q9"),0)</f>
        <v>0.16512488436632747</v>
      </c>
      <c r="AM28" s="9" cm="1">
        <f t="array" aca="1" ref="AM28" ca="1">IFERROR(INDIRECT("'" &amp; AM$27 &amp;  "'!Q9"),0)</f>
        <v>0.96344086021505382</v>
      </c>
      <c r="AN28" s="9" cm="1">
        <f t="array" aca="1" ref="AN28" ca="1">IFERROR(INDIRECT("'" &amp; AN$27 &amp;  "'!Q9"),0)</f>
        <v>1.3643936939141841</v>
      </c>
      <c r="AO28" s="9" cm="1">
        <f t="array" aca="1" ref="AO28" ca="1">IFERROR(INDIRECT("'" &amp; AO$27 &amp;  "'!Q9"),0)</f>
        <v>0.52976800976800975</v>
      </c>
      <c r="AP28" s="9" cm="1">
        <f t="array" aca="1" ref="AP28" ca="1">IFERROR(INDIRECT("'" &amp; AP$27 &amp;  "'!Q9"),0)</f>
        <v>36.73333333333332</v>
      </c>
      <c r="AQ28" s="9" cm="1">
        <f t="array" aca="1" ref="AQ28" ca="1">IFERROR(INDIRECT("'" &amp; AQ$27 &amp;  "'!Q9"),0)</f>
        <v>166.75420168067228</v>
      </c>
      <c r="AR28" s="9" cm="1">
        <f t="array" aca="1" ref="AR28" ca="1">IFERROR(INDIRECT("'" &amp; AR$27 &amp;  "'!Q9"),0)</f>
        <v>6.9450000000000003</v>
      </c>
      <c r="AS28" s="9" cm="1">
        <f t="array" aca="1" ref="AS28" ca="1">IFERROR(INDIRECT("'" &amp; AS$27 &amp;  "'!Q9"),0)</f>
        <v>1.3470431044498665</v>
      </c>
      <c r="AT28" s="9" cm="1">
        <f t="array" aca="1" ref="AT28" ca="1">IFERROR(INDIRECT("'" &amp; AT$27 &amp;  "'!Q9"),0)</f>
        <v>83.718546132339242</v>
      </c>
      <c r="AU28" s="9" cm="1">
        <f t="array" aca="1" ref="AU28" ca="1">IFERROR(INDIRECT("'" &amp; AU$27 &amp;  "'!Q9"),0)</f>
        <v>0</v>
      </c>
      <c r="AW28" s="8" t="s">
        <v>323</v>
      </c>
      <c r="AX28" s="73" t="s">
        <v>457</v>
      </c>
      <c r="AY28" s="6">
        <f>'Date Key'!$C$25</f>
        <v>0.10872251050160613</v>
      </c>
      <c r="AZ28" s="6" t="str">
        <f>'Date Key'!$G$25</f>
        <v>Lower</v>
      </c>
      <c r="BA28" s="9">
        <f ca="1">AVERAGE(U28,AJ28)</f>
        <v>0.43998366475041628</v>
      </c>
      <c r="BB28" s="9">
        <f ca="1">AVERAGE(V28,AK28)</f>
        <v>0.14728492748786298</v>
      </c>
      <c r="BC28" s="9">
        <f t="shared" ref="BB28:BK33" ca="1" si="8">AVERAGE(W28,AL28)</f>
        <v>0.12576869829264564</v>
      </c>
      <c r="BD28" s="9">
        <f t="shared" ca="1" si="8"/>
        <v>0.77428947141367854</v>
      </c>
      <c r="BE28" s="9">
        <f t="shared" ca="1" si="8"/>
        <v>0.74605172224053873</v>
      </c>
      <c r="BF28" s="9">
        <f t="shared" ca="1" si="8"/>
        <v>11.65536019536019</v>
      </c>
      <c r="BG28" s="9">
        <f t="shared" ca="1" si="8"/>
        <v>132.34226349964558</v>
      </c>
      <c r="BH28" s="9">
        <f t="shared" ca="1" si="8"/>
        <v>86.864243697478997</v>
      </c>
      <c r="BI28" s="9">
        <f t="shared" ca="1" si="8"/>
        <v>4.1995328138226364</v>
      </c>
      <c r="BJ28" s="9">
        <f t="shared" ca="1" si="8"/>
        <v>22.61534021818153</v>
      </c>
      <c r="BK28" s="9">
        <f t="shared" ca="1" si="8"/>
        <v>41.859273066169621</v>
      </c>
    </row>
    <row r="29" spans="1:63" ht="30" customHeight="1" x14ac:dyDescent="0.35">
      <c r="A29" s="8" t="s">
        <v>325</v>
      </c>
      <c r="B29" s="73" t="s">
        <v>458</v>
      </c>
      <c r="C29" s="100">
        <f>'Date Key'!$C$28</f>
        <v>0.21744502100321225</v>
      </c>
      <c r="D29" s="6" t="str">
        <f>'Date Key'!$G$28</f>
        <v>Lower</v>
      </c>
      <c r="E29" s="9" cm="1">
        <f t="array" aca="1" ref="E29" ca="1">IFERROR(INDIRECT("'" &amp; E$27 &amp;  "'!Q12"),0)</f>
        <v>0.14143920267449925</v>
      </c>
      <c r="F29" s="9" cm="1">
        <f t="array" aca="1" ref="F29" ca="1">IFERROR(INDIRECT("'" &amp; F$27 &amp;  "'!Q12"),0)</f>
        <v>4.1421499875512746E-2</v>
      </c>
      <c r="G29" s="9" cm="1">
        <f t="array" aca="1" ref="G29" ca="1">IFERROR(INDIRECT("'" &amp; G$27 &amp;  "'!Q12"),0)</f>
        <v>1.6196356964914269</v>
      </c>
      <c r="H29" s="9" cm="1">
        <f t="array" aca="1" ref="H29" ca="1">IFERROR(INDIRECT("'" &amp; H$27 &amp;  "'!Q12"),0)</f>
        <v>1.8024963990414389</v>
      </c>
      <c r="I29" s="9" cm="1">
        <f t="array" aca="1" ref="I29" ca="1">IFERROR(INDIRECT("'" &amp; I$27 &amp;  "'!Q12"),0)</f>
        <v>0.79565323565323565</v>
      </c>
      <c r="J29" s="9" cm="1">
        <f t="array" aca="1" ref="J29" ca="1">IFERROR(INDIRECT("'" &amp; J$27 &amp;  "'!Q12"),0)</f>
        <v>45.225396825396814</v>
      </c>
      <c r="K29" s="9" cm="1">
        <f t="array" aca="1" ref="K29" ca="1">IFERROR(INDIRECT("'" &amp; K$27 &amp;  "'!Q12"),0)</f>
        <v>105.69098823850159</v>
      </c>
      <c r="L29" s="9" cm="1">
        <f t="array" aca="1" ref="L29" ca="1">IFERROR(INDIRECT("'" &amp; L$27 &amp;  "'!Q12"),0)</f>
        <v>7.6766666666666667</v>
      </c>
      <c r="M29" s="9" cm="1">
        <f t="array" aca="1" ref="M29" ca="1">IFERROR(INDIRECT("'" &amp; M$27 &amp;  "'!Q12"),0)</f>
        <v>1.6241794963599474</v>
      </c>
      <c r="N29" s="9" cm="1">
        <f t="array" aca="1" ref="N29" ca="1">IFERROR(INDIRECT("'" &amp; N$27 &amp;  "'!Q12"),0)</f>
        <v>121.00193433490962</v>
      </c>
      <c r="O29" s="9" cm="1">
        <f t="array" aca="1" ref="O29" ca="1">IFERROR(INDIRECT("'" &amp; O$27 &amp;  "'!Q12"),0)</f>
        <v>0</v>
      </c>
      <c r="Q29" s="8" t="s">
        <v>325</v>
      </c>
      <c r="R29" s="73" t="s">
        <v>458</v>
      </c>
      <c r="S29" s="100">
        <f>'Date Key'!$C$28</f>
        <v>0.21744502100321225</v>
      </c>
      <c r="T29" s="6" t="str">
        <f>'Date Key'!$G$28</f>
        <v>Lower</v>
      </c>
      <c r="U29" s="9" cm="1">
        <f t="array" aca="1" ref="U29" ca="1">IFERROR(INDIRECT("'" &amp; U$27 &amp;  "'!Q15"),0)</f>
        <v>0.17413465180804377</v>
      </c>
      <c r="V29" s="9" cm="1">
        <f t="array" aca="1" ref="V29" ca="1">IFERROR(INDIRECT("'" &amp; V$27 &amp;  "'!Q15"),0)</f>
        <v>2.5406348755379966E-2</v>
      </c>
      <c r="W29" s="9" cm="1">
        <f t="array" aca="1" ref="W29" ca="1">IFERROR(INDIRECT("'" &amp; W$27 &amp;  "'!Q15"),0)</f>
        <v>5.2042888226759447E-2</v>
      </c>
      <c r="X29" s="9" cm="1">
        <f t="array" aca="1" ref="X29" ca="1">IFERROR(INDIRECT("'" &amp; X$27 &amp;  "'!Q15"),0)</f>
        <v>0.25158388879018317</v>
      </c>
      <c r="Y29" s="9" cm="1">
        <f t="array" aca="1" ref="Y29" ca="1">IFERROR(INDIRECT("'" &amp; Y$27 &amp;  "'!Q15"),0)</f>
        <v>0.26945985231699515</v>
      </c>
      <c r="Z29" s="9" cm="1">
        <f t="array" aca="1" ref="Z29" ca="1">IFERROR(INDIRECT("'" &amp; Z$27 &amp;  "'!Q15"),0)</f>
        <v>34.555555555555536</v>
      </c>
      <c r="AA29" s="9" cm="1">
        <f t="array" aca="1" ref="AA29" ca="1">IFERROR(INDIRECT("'" &amp; AA$27 &amp;  "'!Q15"),0)</f>
        <v>119.76991396932762</v>
      </c>
      <c r="AB29" s="9" cm="1">
        <f t="array" aca="1" ref="AB29" ca="1">IFERROR(INDIRECT("'" &amp; AB$27 &amp;  "'!Q15"),0)</f>
        <v>7.1828571428571424</v>
      </c>
      <c r="AC29" s="9" cm="1">
        <f t="array" aca="1" ref="AC29" ca="1">IFERROR(INDIRECT("'" &amp; AC$27 &amp;  "'!Q15"),0)</f>
        <v>0.87351353679580257</v>
      </c>
      <c r="AD29" s="9" cm="1">
        <f t="array" aca="1" ref="AD29" ca="1">IFERROR(INDIRECT("'" &amp; AD$27 &amp;  "'!Q15"),0)</f>
        <v>102.9528532436312</v>
      </c>
      <c r="AE29" s="9" cm="1">
        <f t="array" aca="1" ref="AE29" ca="1">IFERROR(INDIRECT("'" &amp; AE$27 &amp;  "'!Q15"),0)</f>
        <v>0</v>
      </c>
      <c r="AG29" s="8" t="s">
        <v>325</v>
      </c>
      <c r="AH29" s="73" t="s">
        <v>458</v>
      </c>
      <c r="AI29" s="100">
        <f>'Date Key'!$C$28</f>
        <v>0.21744502100321225</v>
      </c>
      <c r="AJ29" s="6" t="str">
        <f>'Date Key'!$G$28</f>
        <v>Lower</v>
      </c>
      <c r="AK29" s="9" cm="1">
        <f t="array" aca="1" ref="AK29" ca="1">IFERROR(INDIRECT("'" &amp; AK$27 &amp;  "'!Q18"),0)</f>
        <v>0</v>
      </c>
      <c r="AL29" s="9" cm="1">
        <f t="array" aca="1" ref="AL29" ca="1">IFERROR(INDIRECT("'" &amp; AL$27 &amp;  "'!Q18"),0)</f>
        <v>0.22370502432495418</v>
      </c>
      <c r="AM29" s="9" cm="1">
        <f t="array" aca="1" ref="AM29" ca="1">IFERROR(INDIRECT("'" &amp; AM$27 &amp;  "'!Q18"),0)</f>
        <v>0.65725958659701023</v>
      </c>
      <c r="AN29" s="9" cm="1">
        <f t="array" aca="1" ref="AN29" ca="1">IFERROR(INDIRECT("'" &amp; AN$27 &amp;  "'!Q18"),0)</f>
        <v>0.88096461092196454</v>
      </c>
      <c r="AO29" s="9" cm="1">
        <f t="array" aca="1" ref="AO29" ca="1">IFERROR(INDIRECT("'" &amp; AO$27 &amp;  "'!Q18"),0)</f>
        <v>0.40900284900284894</v>
      </c>
      <c r="AP29" s="9" cm="1">
        <f t="array" aca="1" ref="AP29" ca="1">IFERROR(INDIRECT("'" &amp; AP$27 &amp;  "'!Q18"),0)</f>
        <v>43.844444444444434</v>
      </c>
      <c r="AQ29" s="9" cm="1">
        <f t="array" aca="1" ref="AQ29" ca="1">IFERROR(INDIRECT("'" &amp; AQ$27 &amp;  "'!Q18"),0)</f>
        <v>93.652480271331243</v>
      </c>
      <c r="AR29" s="9" cm="1">
        <f t="array" aca="1" ref="AR29" ca="1">IFERROR(INDIRECT("'" &amp; AR$27 &amp;  "'!Q18"),0)</f>
        <v>7.0566666666666675</v>
      </c>
      <c r="AS29" s="9" cm="1">
        <f t="array" aca="1" ref="AS29" ca="1">IFERROR(INDIRECT("'" &amp; AS$27 &amp;  "'!Q18"),0)</f>
        <v>0.99460304897582308</v>
      </c>
      <c r="AT29" s="9" cm="1">
        <f t="array" aca="1" ref="AT29" ca="1">IFERROR(INDIRECT("'" &amp; AT$27 &amp;  "'!Q18"),0)</f>
        <v>118.33357047535351</v>
      </c>
      <c r="AU29" s="9" cm="1">
        <f t="array" aca="1" ref="AU29" ca="1">IFERROR(INDIRECT("'" &amp; AU$27 &amp;  "'!Q18"),0)</f>
        <v>0</v>
      </c>
      <c r="AW29" s="8" t="s">
        <v>325</v>
      </c>
      <c r="AX29" s="73" t="s">
        <v>458</v>
      </c>
      <c r="AY29" s="6">
        <f>'Date Key'!$C$28</f>
        <v>0.21744502100321225</v>
      </c>
      <c r="AZ29" s="6" t="str">
        <f>'Date Key'!$G$28</f>
        <v>Lower</v>
      </c>
      <c r="BA29" s="9">
        <f ca="1">AVERAGE(U29,AJ29)</f>
        <v>0.17413465180804377</v>
      </c>
      <c r="BB29" s="9">
        <f t="shared" ca="1" si="8"/>
        <v>1.2703174377689983E-2</v>
      </c>
      <c r="BC29" s="9">
        <f t="shared" ca="1" si="8"/>
        <v>0.1378739562758568</v>
      </c>
      <c r="BD29" s="9">
        <f t="shared" ca="1" si="8"/>
        <v>0.45442173769359673</v>
      </c>
      <c r="BE29" s="9">
        <f t="shared" ca="1" si="8"/>
        <v>0.57521223161947987</v>
      </c>
      <c r="BF29" s="9">
        <f t="shared" ca="1" si="8"/>
        <v>17.482279202279191</v>
      </c>
      <c r="BG29" s="9">
        <f t="shared" ca="1" si="8"/>
        <v>81.807179206886019</v>
      </c>
      <c r="BH29" s="9">
        <f t="shared" ca="1" si="8"/>
        <v>50.417668707094194</v>
      </c>
      <c r="BI29" s="9">
        <f t="shared" ca="1" si="8"/>
        <v>3.965090101731235</v>
      </c>
      <c r="BJ29" s="9">
        <f t="shared" ca="1" si="8"/>
        <v>51.973728146303507</v>
      </c>
      <c r="BK29" s="9">
        <f t="shared" ca="1" si="8"/>
        <v>59.166785237676756</v>
      </c>
    </row>
    <row r="30" spans="1:63" ht="30" customHeight="1" x14ac:dyDescent="0.35">
      <c r="A30" s="8" t="s">
        <v>326</v>
      </c>
      <c r="B30" s="73" t="s">
        <v>459</v>
      </c>
      <c r="C30" s="100">
        <f>'Date Key'!$C$31</f>
        <v>0.54361255250803064</v>
      </c>
      <c r="D30" s="6" t="str">
        <f>'Date Key'!$G$31</f>
        <v>Lower</v>
      </c>
      <c r="E30" s="9" cm="1">
        <f t="array" aca="1" ref="E30" ca="1">IFERROR(INDIRECT("'" &amp; E$27 &amp;  "'!Q21"),0)</f>
        <v>0.158482722785139</v>
      </c>
      <c r="F30" s="9" cm="1">
        <f t="array" aca="1" ref="F30" ca="1">IFERROR(INDIRECT("'" &amp; F$27 &amp;  "'!Q21"),0)</f>
        <v>3.8563735979495382E-2</v>
      </c>
      <c r="G30" s="9" cm="1">
        <f t="array" aca="1" ref="G30" ca="1">IFERROR(INDIRECT("'" &amp; G$27 &amp;  "'!Q21"),0)</f>
        <v>0.76687852260462874</v>
      </c>
      <c r="H30" s="9" cm="1">
        <f t="array" aca="1" ref="H30" ca="1">IFERROR(INDIRECT("'" &amp; H$27 &amp;  "'!Q21"),0)</f>
        <v>0.9639249813692633</v>
      </c>
      <c r="I30" s="9" cm="1">
        <f t="array" aca="1" ref="I30" ca="1">IFERROR(INDIRECT("'" &amp; I$27 &amp;  "'!Q21"),0)</f>
        <v>1.0183406011977441</v>
      </c>
      <c r="J30" s="9" cm="1">
        <f t="array" aca="1" ref="J30" ca="1">IFERROR(INDIRECT("'" &amp; J$27 &amp;  "'!Q21"),0)</f>
        <v>29.542857142857127</v>
      </c>
      <c r="K30" s="9" cm="1">
        <f t="array" aca="1" ref="K30" ca="1">IFERROR(INDIRECT("'" &amp; K$27 &amp;  "'!Q21"),0)</f>
        <v>117.88096159000486</v>
      </c>
      <c r="L30" s="9" cm="1">
        <f t="array" aca="1" ref="L30" ca="1">IFERROR(INDIRECT("'" &amp; L$27 &amp;  "'!Q21"),0)</f>
        <v>7.9214285714285708</v>
      </c>
      <c r="M30" s="9" cm="1">
        <f t="array" aca="1" ref="M30" ca="1">IFERROR(INDIRECT("'" &amp; M$27 &amp;  "'!Q21"),0)</f>
        <v>1.4481115068372687</v>
      </c>
      <c r="N30" s="9" cm="1">
        <f t="array" aca="1" ref="N30" ca="1">IFERROR(INDIRECT("'" &amp; N$27 &amp;  "'!Q21"),0)</f>
        <v>114.73069036226933</v>
      </c>
      <c r="O30" s="9" cm="1">
        <f t="array" aca="1" ref="O30" ca="1">IFERROR(INDIRECT("'" &amp; O$27 &amp;  "'!Q21"),0)</f>
        <v>4.3909523809523812</v>
      </c>
      <c r="Q30" s="8" t="s">
        <v>326</v>
      </c>
      <c r="R30" s="73" t="s">
        <v>459</v>
      </c>
      <c r="S30" s="100">
        <f>'Date Key'!$C$31</f>
        <v>0.54361255250803064</v>
      </c>
      <c r="T30" s="6" t="str">
        <f>'Date Key'!$G$31</f>
        <v>Lower</v>
      </c>
      <c r="U30" s="9" cm="1">
        <f t="array" aca="1" ref="U30" ca="1">IFERROR(INDIRECT("'" &amp; U$27 &amp;  "'!Q24"),0)</f>
        <v>0.14895643890187929</v>
      </c>
      <c r="V30" s="9" cm="1">
        <f t="array" aca="1" ref="V30" ca="1">IFERROR(INDIRECT("'" &amp; V$27 &amp;  "'!Q24"),0)</f>
        <v>9.0295576927598931E-2</v>
      </c>
      <c r="W30" s="9" cm="1">
        <f t="array" aca="1" ref="W30" ca="1">IFERROR(INDIRECT("'" &amp; W$27 &amp;  "'!Q24"),0)</f>
        <v>0.13051125234840311</v>
      </c>
      <c r="X30" s="9" cm="1">
        <f t="array" aca="1" ref="X30" ca="1">IFERROR(INDIRECT("'" &amp; X$27 &amp;  "'!Q24"),0)</f>
        <v>0.36976326817788124</v>
      </c>
      <c r="Y30" s="9" cm="1">
        <f t="array" aca="1" ref="Y30" ca="1">IFERROR(INDIRECT("'" &amp; Y$27 &amp;  "'!Q24"),0)</f>
        <v>0.78605965463108329</v>
      </c>
      <c r="Z30" s="9" cm="1">
        <f t="array" aca="1" ref="Z30" ca="1">IFERROR(INDIRECT("'" &amp; Z$27 &amp;  "'!Q24"),0)</f>
        <v>24.685714285714269</v>
      </c>
      <c r="AA30" s="9" cm="1">
        <f t="array" aca="1" ref="AA30" ca="1">IFERROR(INDIRECT("'" &amp; AA$27 &amp;  "'!Q24"),0)</f>
        <v>118.37386594703277</v>
      </c>
      <c r="AB30" s="9" cm="1">
        <f t="array" aca="1" ref="AB30" ca="1">IFERROR(INDIRECT("'" &amp; AB$27 &amp;  "'!Q24"),0)</f>
        <v>7.54</v>
      </c>
      <c r="AC30" s="9" cm="1">
        <f t="array" aca="1" ref="AC30" ca="1">IFERROR(INDIRECT("'" &amp; AC$27 &amp;  "'!Q24"),0)</f>
        <v>1.1155256562458777</v>
      </c>
      <c r="AD30" s="9" cm="1">
        <f t="array" aca="1" ref="AD30" ca="1">IFERROR(INDIRECT("'" &amp; AD$27 &amp;  "'!Q24"),0)</f>
        <v>112.40806561859195</v>
      </c>
      <c r="AE30" s="9" cm="1">
        <f t="array" aca="1" ref="AE30" ca="1">IFERROR(INDIRECT("'" &amp; AE$27 &amp;  "'!Q24"),0)</f>
        <v>0.63952380952380949</v>
      </c>
      <c r="AG30" s="8" t="s">
        <v>326</v>
      </c>
      <c r="AH30" s="73" t="s">
        <v>459</v>
      </c>
      <c r="AI30" s="100">
        <f>'Date Key'!$C$31</f>
        <v>0.54361255250803064</v>
      </c>
      <c r="AJ30" s="6" t="str">
        <f>'Date Key'!$G$31</f>
        <v>Lower</v>
      </c>
      <c r="AK30" s="9" cm="1">
        <f t="array" aca="1" ref="AK30" ca="1">IFERROR(INDIRECT("'" &amp; AK$27 &amp;  "'!Q24"),0)</f>
        <v>0.14895643890187929</v>
      </c>
      <c r="AL30" s="9" cm="1">
        <f t="array" aca="1" ref="AL30" ca="1">IFERROR(INDIRECT("'" &amp; AL$27 &amp;  "'!Q24"),0)</f>
        <v>9.0295576927598931E-2</v>
      </c>
      <c r="AM30" s="9" cm="1">
        <f t="array" aca="1" ref="AM30" ca="1">IFERROR(INDIRECT("'" &amp; AM$27 &amp;  "'!Q24"),0)</f>
        <v>0.13051125234840311</v>
      </c>
      <c r="AN30" s="9" cm="1">
        <f t="array" aca="1" ref="AN30" ca="1">IFERROR(INDIRECT("'" &amp; AN$27 &amp;  "'!Q24"),0)</f>
        <v>0.36976326817788124</v>
      </c>
      <c r="AO30" s="9" cm="1">
        <f t="array" aca="1" ref="AO30" ca="1">IFERROR(INDIRECT("'" &amp; AO$27 &amp;  "'!Q24"),0)</f>
        <v>0.78605965463108329</v>
      </c>
      <c r="AP30" s="9" cm="1">
        <f t="array" aca="1" ref="AP30" ca="1">IFERROR(INDIRECT("'" &amp; AP$27 &amp;  "'!Q24"),0)</f>
        <v>24.685714285714269</v>
      </c>
      <c r="AQ30" s="9" cm="1">
        <f t="array" aca="1" ref="AQ30" ca="1">IFERROR(INDIRECT("'" &amp; AQ$27 &amp;  "'!Q24"),0)</f>
        <v>118.37386594703277</v>
      </c>
      <c r="AR30" s="9" cm="1">
        <f t="array" aca="1" ref="AR30" ca="1">IFERROR(INDIRECT("'" &amp; AR$27 &amp;  "'!Q24"),0)</f>
        <v>7.54</v>
      </c>
      <c r="AS30" s="9" cm="1">
        <f t="array" aca="1" ref="AS30" ca="1">IFERROR(INDIRECT("'" &amp; AS$27 &amp;  "'!Q24"),0)</f>
        <v>1.1155256562458777</v>
      </c>
      <c r="AT30" s="9" cm="1">
        <f t="array" aca="1" ref="AT30" ca="1">IFERROR(INDIRECT("'" &amp; AT$27 &amp;  "'!Q24"),0)</f>
        <v>112.40806561859195</v>
      </c>
      <c r="AU30" s="9" cm="1">
        <f t="array" aca="1" ref="AU30" ca="1">IFERROR(INDIRECT("'" &amp; AU$27 &amp;  "'!Q24"),0)</f>
        <v>0.63952380952380949</v>
      </c>
      <c r="AW30" s="8" t="s">
        <v>326</v>
      </c>
      <c r="AX30" s="73" t="s">
        <v>459</v>
      </c>
      <c r="AY30" s="6">
        <f>'Date Key'!$C$31</f>
        <v>0.54361255250803064</v>
      </c>
      <c r="AZ30" s="6" t="str">
        <f>'Date Key'!$G$31</f>
        <v>Lower</v>
      </c>
      <c r="BA30" s="9">
        <f t="shared" ref="BA30:BA33" ca="1" si="9">AVERAGE(U30,AJ30)</f>
        <v>0.14895643890187929</v>
      </c>
      <c r="BB30" s="9">
        <f t="shared" ca="1" si="8"/>
        <v>0.11962600791473911</v>
      </c>
      <c r="BC30" s="9">
        <f t="shared" ca="1" si="8"/>
        <v>0.11040341463800102</v>
      </c>
      <c r="BD30" s="9">
        <f t="shared" ca="1" si="8"/>
        <v>0.2501372602631422</v>
      </c>
      <c r="BE30" s="9">
        <f t="shared" ca="1" si="8"/>
        <v>0.57791146140448224</v>
      </c>
      <c r="BF30" s="9">
        <f t="shared" ca="1" si="8"/>
        <v>12.735886970172675</v>
      </c>
      <c r="BG30" s="9">
        <f t="shared" ca="1" si="8"/>
        <v>71.529790116373519</v>
      </c>
      <c r="BH30" s="9">
        <f t="shared" ca="1" si="8"/>
        <v>62.956932973516388</v>
      </c>
      <c r="BI30" s="9">
        <f t="shared" ca="1" si="8"/>
        <v>4.327762828122939</v>
      </c>
      <c r="BJ30" s="9">
        <f t="shared" ca="1" si="8"/>
        <v>56.761795637418913</v>
      </c>
      <c r="BK30" s="9">
        <f t="shared" ca="1" si="8"/>
        <v>56.523794714057878</v>
      </c>
    </row>
    <row r="31" spans="1:63" ht="30" customHeight="1" x14ac:dyDescent="0.35">
      <c r="A31" s="8" t="s">
        <v>327</v>
      </c>
      <c r="B31" s="73" t="s">
        <v>460</v>
      </c>
      <c r="C31" s="100">
        <f>'Date Key'!$C$34</f>
        <v>0.54361255250803064</v>
      </c>
      <c r="D31" s="6" t="str">
        <f>'Date Key'!$G$34</f>
        <v>Upper</v>
      </c>
      <c r="E31" s="9" cm="1">
        <f t="array" aca="1" ref="E31" ca="1">IFERROR(INDIRECT("'" &amp; E$27 &amp;  "'!Q30"),0)</f>
        <v>0.42176013502686316</v>
      </c>
      <c r="F31" s="9" cm="1">
        <f t="array" aca="1" ref="F31" ca="1">IFERROR(INDIRECT("'" &amp; F$27 &amp;  "'!Q30"),0)</f>
        <v>6.9616629785810735E-2</v>
      </c>
      <c r="G31" s="9" cm="1">
        <f t="array" aca="1" ref="G31" ca="1">IFERROR(INDIRECT("'" &amp; G$27 &amp;  "'!Q30"),0)</f>
        <v>0.97990520130438552</v>
      </c>
      <c r="H31" s="9" cm="1">
        <f t="array" aca="1" ref="H31" ca="1">IFERROR(INDIRECT("'" &amp; H$27 &amp;  "'!Q30"),0)</f>
        <v>1.4712819661170595</v>
      </c>
      <c r="I31" s="9" cm="1">
        <f t="array" aca="1" ref="I31" ca="1">IFERROR(INDIRECT("'" &amp; I$27 &amp;  "'!Q30"),0)</f>
        <v>1.0330879702308273</v>
      </c>
      <c r="J31" s="9" cm="1">
        <f t="array" aca="1" ref="J31" ca="1">IFERROR(INDIRECT("'" &amp; J$27 &amp;  "'!Q30"),0)</f>
        <v>31.526984126984114</v>
      </c>
      <c r="K31" s="9" cm="1">
        <f t="array" aca="1" ref="K31" ca="1">IFERROR(INDIRECT("'" &amp; K$27 &amp;  "'!Q30"),0)</f>
        <v>112.46380143824445</v>
      </c>
      <c r="L31" s="9" cm="1">
        <f t="array" aca="1" ref="L31" ca="1">IFERROR(INDIRECT("'" &amp; L$27 &amp;  "'!Q30"),0)</f>
        <v>7.8842857142857143</v>
      </c>
      <c r="M31" s="9" cm="1">
        <f t="array" aca="1" ref="M31" ca="1">IFERROR(INDIRECT("'" &amp; M$27 &amp;  "'!Q30"),0)</f>
        <v>3.7710452666639025</v>
      </c>
      <c r="N31" s="9" cm="1">
        <f t="array" aca="1" ref="N31" ca="1">IFERROR(INDIRECT("'" &amp; N$27 &amp;  "'!Q30"),0)</f>
        <v>112.61265415543721</v>
      </c>
      <c r="O31" s="9" cm="1">
        <f t="array" aca="1" ref="O31" ca="1">IFERROR(INDIRECT("'" &amp; O$27 &amp;  "'!Q30"),0)</f>
        <v>5.5438095238095242</v>
      </c>
      <c r="Q31" s="8" t="s">
        <v>327</v>
      </c>
      <c r="R31" s="73" t="s">
        <v>460</v>
      </c>
      <c r="S31" s="100">
        <f>'Date Key'!$C$34</f>
        <v>0.54361255250803064</v>
      </c>
      <c r="T31" s="6" t="str">
        <f>'Date Key'!$G$34</f>
        <v>Upper</v>
      </c>
      <c r="U31" s="9" cm="1">
        <f t="array" aca="1" ref="U31" ca="1">IFERROR(INDIRECT("'" &amp; U$27 &amp;  "'!Q33"),0)</f>
        <v>0.1561868398591042</v>
      </c>
      <c r="V31" s="9" cm="1">
        <f t="array" aca="1" ref="V31" ca="1">IFERROR(INDIRECT("'" &amp; V$27 &amp;  "'!Q33"),0)</f>
        <v>0.1231764619182177</v>
      </c>
      <c r="W31" s="9" cm="1">
        <f t="array" aca="1" ref="W31" ca="1">IFERROR(INDIRECT("'" &amp; W$27 &amp;  "'!Q33"),0)</f>
        <v>0.13953648095543755</v>
      </c>
      <c r="X31" s="9" cm="1">
        <f t="array" aca="1" ref="X31" ca="1">IFERROR(INDIRECT("'" &amp; X$27 &amp;  "'!Q33"),0)</f>
        <v>0.41889978273275946</v>
      </c>
      <c r="Y31" s="9" cm="1">
        <f t="array" aca="1" ref="Y31" ca="1">IFERROR(INDIRECT("'" &amp; Y$27 &amp;  "'!Q33"),0)</f>
        <v>0.61097040525611945</v>
      </c>
      <c r="Z31" s="9" cm="1">
        <f t="array" aca="1" ref="Z31" ca="1">IFERROR(INDIRECT("'" &amp; Z$27 &amp;  "'!Q33"),0)</f>
        <v>22.590476190476181</v>
      </c>
      <c r="AA31" s="9" cm="1">
        <f t="array" aca="1" ref="AA31" ca="1">IFERROR(INDIRECT("'" &amp; AA$27 &amp;  "'!Q33"),0)</f>
        <v>117.88120118723003</v>
      </c>
      <c r="AB31" s="9" cm="1">
        <f t="array" aca="1" ref="AB31" ca="1">IFERROR(INDIRECT("'" &amp; AB$27 &amp;  "'!Q33"),0)</f>
        <v>7.2557142857142862</v>
      </c>
      <c r="AC31" s="9" cm="1">
        <f t="array" aca="1" ref="AC31" ca="1">IFERROR(INDIRECT("'" &amp; AC$27 &amp;  "'!Q33"),0)</f>
        <v>2.9884188718603464</v>
      </c>
      <c r="AD31" s="9" cm="1">
        <f t="array" aca="1" ref="AD31" ca="1">IFERROR(INDIRECT("'" &amp; AD$27 &amp;  "'!Q33"),0)</f>
        <v>102.24418952294506</v>
      </c>
      <c r="AE31" s="9" cm="1">
        <f t="array" aca="1" ref="AE31" ca="1">IFERROR(INDIRECT("'" &amp; AE$27 &amp;  "'!Q33"),0)</f>
        <v>0.92666666666666664</v>
      </c>
      <c r="AG31" s="8" t="s">
        <v>327</v>
      </c>
      <c r="AH31" s="73" t="s">
        <v>460</v>
      </c>
      <c r="AI31" s="100">
        <f>'Date Key'!$C$34</f>
        <v>0.54361255250803064</v>
      </c>
      <c r="AJ31" s="6" t="str">
        <f>'Date Key'!$G$34</f>
        <v>Upper</v>
      </c>
      <c r="AK31" s="9" cm="1">
        <f t="array" aca="1" ref="AK31" ca="1">IFERROR(INDIRECT("'" &amp; AK$27 &amp;  "'!Q36"),0)</f>
        <v>9.9989796959493935E-2</v>
      </c>
      <c r="AL31" s="9" cm="1">
        <f t="array" aca="1" ref="AL31" ca="1">IFERROR(INDIRECT("'" &amp; AL$27 &amp;  "'!Q36"),0)</f>
        <v>0.10269194413561324</v>
      </c>
      <c r="AM31" s="9" cm="1">
        <f t="array" aca="1" ref="AM31" ca="1">IFERROR(INDIRECT("'" &amp; AM$27 &amp;  "'!Q36"),0)</f>
        <v>0.5662619092582899</v>
      </c>
      <c r="AN31" s="9" cm="1">
        <f t="array" aca="1" ref="AN31" ca="1">IFERROR(INDIRECT("'" &amp; AN$27 &amp;  "'!Q36"),0)</f>
        <v>0.76894365035339707</v>
      </c>
      <c r="AO31" s="9" cm="1">
        <f t="array" aca="1" ref="AO31" ca="1">IFERROR(INDIRECT("'" &amp; AO$27 &amp;  "'!Q36"),0)</f>
        <v>0.87115995115995126</v>
      </c>
      <c r="AP31" s="9" cm="1">
        <f t="array" aca="1" ref="AP31" ca="1">IFERROR(INDIRECT("'" &amp; AP$27 &amp;  "'!Q36"),0)</f>
        <v>30.955555555555538</v>
      </c>
      <c r="AQ31" s="9" cm="1">
        <f t="array" aca="1" ref="AQ31" ca="1">IFERROR(INDIRECT("'" &amp; AQ$27 &amp;  "'!Q36"),0)</f>
        <v>103.14665513442272</v>
      </c>
      <c r="AR31" s="9" cm="1">
        <f t="array" aca="1" ref="AR31" ca="1">IFERROR(INDIRECT("'" &amp; AR$27 &amp;  "'!Q36"),0)</f>
        <v>7.4233333333333329</v>
      </c>
      <c r="AS31" s="9" cm="1">
        <f t="array" aca="1" ref="AS31" ca="1">IFERROR(INDIRECT("'" &amp; AS$27 &amp;  "'!Q36"),0)</f>
        <v>3.0417271973391133</v>
      </c>
      <c r="AT31" s="9" cm="1">
        <f t="array" aca="1" ref="AT31" ca="1">IFERROR(INDIRECT("'" &amp; AT$27 &amp;  "'!Q36"),0)</f>
        <v>92.04881450088179</v>
      </c>
      <c r="AU31" s="9" cm="1">
        <f t="array" aca="1" ref="AU31" ca="1">IFERROR(INDIRECT("'" &amp; AU$27 &amp;  "'!Q36"),0)</f>
        <v>1.4566666666666668</v>
      </c>
      <c r="AW31" s="8" t="s">
        <v>327</v>
      </c>
      <c r="AX31" s="73" t="s">
        <v>460</v>
      </c>
      <c r="AY31" s="6">
        <f>'Date Key'!$C$34</f>
        <v>0.54361255250803064</v>
      </c>
      <c r="AZ31" s="6" t="str">
        <f>'Date Key'!$G$34</f>
        <v>Upper</v>
      </c>
      <c r="BA31" s="9">
        <f t="shared" ca="1" si="9"/>
        <v>0.1561868398591042</v>
      </c>
      <c r="BB31" s="9">
        <f t="shared" ca="1" si="8"/>
        <v>0.11158312943885582</v>
      </c>
      <c r="BC31" s="9">
        <f t="shared" ca="1" si="8"/>
        <v>0.1211142125455254</v>
      </c>
      <c r="BD31" s="9">
        <f t="shared" ca="1" si="8"/>
        <v>0.49258084599552465</v>
      </c>
      <c r="BE31" s="9">
        <f t="shared" ca="1" si="8"/>
        <v>0.68995702780475821</v>
      </c>
      <c r="BF31" s="9">
        <f t="shared" ca="1" si="8"/>
        <v>11.730818070818067</v>
      </c>
      <c r="BG31" s="9">
        <f t="shared" ca="1" si="8"/>
        <v>74.418378371392791</v>
      </c>
      <c r="BH31" s="9">
        <f t="shared" ca="1" si="8"/>
        <v>55.201184710068503</v>
      </c>
      <c r="BI31" s="9">
        <f t="shared" ca="1" si="8"/>
        <v>5.2058761025968394</v>
      </c>
      <c r="BJ31" s="9">
        <f t="shared" ca="1" si="8"/>
        <v>52.642958360142089</v>
      </c>
      <c r="BK31" s="9">
        <f t="shared" ca="1" si="8"/>
        <v>46.487740583774226</v>
      </c>
    </row>
    <row r="32" spans="1:63" ht="30" customHeight="1" x14ac:dyDescent="0.35">
      <c r="A32" s="8" t="s">
        <v>471</v>
      </c>
      <c r="B32" s="73" t="s">
        <v>461</v>
      </c>
      <c r="C32" s="100">
        <f>'Date Key'!$C$37</f>
        <v>0.54361255250803064</v>
      </c>
      <c r="D32" s="6" t="str">
        <f>'Date Key'!$G$37</f>
        <v>Lower</v>
      </c>
      <c r="E32" s="9" cm="1">
        <f t="array" aca="1" ref="E32" ca="1">IFERROR(INDIRECT("'" &amp; E$27 &amp;  "'!Q39"),0)</f>
        <v>0.24656041411251869</v>
      </c>
      <c r="F32" s="9" cm="1">
        <f t="array" aca="1" ref="F32" ca="1">IFERROR(INDIRECT("'" &amp; F$27 &amp;  "'!Q39"),0)</f>
        <v>3.0404378230465195E-2</v>
      </c>
      <c r="G32" s="9" cm="1">
        <f t="array" aca="1" ref="G32" ca="1">IFERROR(INDIRECT("'" &amp; G$27 &amp;  "'!Q39"),0)</f>
        <v>1.9924497592513053</v>
      </c>
      <c r="H32" s="9" cm="1">
        <f t="array" aca="1" ref="H32" ca="1">IFERROR(INDIRECT("'" &amp; H$27 &amp;  "'!Q39"),0)</f>
        <v>2.2694145515942896</v>
      </c>
      <c r="I32" s="9" cm="1">
        <f t="array" aca="1" ref="I32" ca="1">IFERROR(INDIRECT("'" &amp; I$27 &amp;  "'!Q39"),0)</f>
        <v>0.83289726146868992</v>
      </c>
      <c r="J32" s="9" cm="1">
        <f t="array" aca="1" ref="J32" ca="1">IFERROR(INDIRECT("'" &amp; J$27 &amp;  "'!Q39"),0)</f>
        <v>29.923809523809506</v>
      </c>
      <c r="K32" s="9" cm="1">
        <f t="array" aca="1" ref="K32" ca="1">IFERROR(INDIRECT("'" &amp; K$27 &amp;  "'!Q39"),0)</f>
        <v>115.3664458659822</v>
      </c>
      <c r="L32" s="9" cm="1">
        <f t="array" aca="1" ref="L32" ca="1">IFERROR(INDIRECT("'" &amp; L$27 &amp;  "'!Q39"),0)</f>
        <v>7.6195238095238098</v>
      </c>
      <c r="M32" s="9" cm="1">
        <f t="array" aca="1" ref="M32" ca="1">IFERROR(INDIRECT("'" &amp; M$27 &amp;  "'!Q39"),0)</f>
        <v>0.72909794923275495</v>
      </c>
      <c r="N32" s="9" cm="1">
        <f t="array" aca="1" ref="N32" ca="1">IFERROR(INDIRECT("'" &amp; N$27 &amp;  "'!Q39"),0)</f>
        <v>109.96162762810776</v>
      </c>
      <c r="O32" s="9" cm="1">
        <f t="array" aca="1" ref="O32" ca="1">IFERROR(INDIRECT("'" &amp; O$27 &amp;  "'!Q39"),0)</f>
        <v>0</v>
      </c>
      <c r="Q32" s="8" t="s">
        <v>471</v>
      </c>
      <c r="R32" s="73" t="s">
        <v>461</v>
      </c>
      <c r="S32" s="100">
        <f>'Date Key'!$C$37</f>
        <v>0.54361255250803064</v>
      </c>
      <c r="T32" s="6" t="str">
        <f>'Date Key'!$G$37</f>
        <v>Lower</v>
      </c>
      <c r="U32" s="9" cm="1">
        <f t="array" aca="1" ref="U32" ca="1">IFERROR(INDIRECT("'" &amp; U$27 &amp;  "'!Q42"),0)</f>
        <v>0.33328792625891113</v>
      </c>
      <c r="V32" s="9" cm="1">
        <f t="array" aca="1" ref="V32" ca="1">IFERROR(INDIRECT("'" &amp; V$27 &amp;  "'!Q42"),0)</f>
        <v>0.16556565963680589</v>
      </c>
      <c r="W32" s="9" cm="1">
        <f t="array" aca="1" ref="W32" ca="1">IFERROR(INDIRECT("'" &amp; W$27 &amp;  "'!Q42"),0)</f>
        <v>0.90941971652688924</v>
      </c>
      <c r="X32" s="9" cm="1">
        <f t="array" aca="1" ref="X32" ca="1">IFERROR(INDIRECT("'" &amp; X$27 &amp;  "'!Q42"),0)</f>
        <v>1.4082733024226064</v>
      </c>
      <c r="Y32" s="9" cm="1">
        <f t="array" aca="1" ref="Y32" ca="1">IFERROR(INDIRECT("'" &amp; Y$27 &amp;  "'!Q42"),0)</f>
        <v>0.57357985929414512</v>
      </c>
      <c r="Z32" s="9" cm="1">
        <f t="array" aca="1" ref="Z32" ca="1">IFERROR(INDIRECT("'" &amp; Z$27 &amp;  "'!Q42"),0)</f>
        <v>28.749206349206332</v>
      </c>
      <c r="AA32" s="9" cm="1">
        <f t="array" aca="1" ref="AA32" ca="1">IFERROR(INDIRECT("'" &amp; AA$27 &amp;  "'!Q42"),0)</f>
        <v>127.59710840353311</v>
      </c>
      <c r="AB32" s="9" cm="1">
        <f t="array" aca="1" ref="AB32" ca="1">IFERROR(INDIRECT("'" &amp; AB$27 &amp;  "'!Q42"),0)</f>
        <v>7.1700000000000008</v>
      </c>
      <c r="AC32" s="9" cm="1">
        <f t="array" aca="1" ref="AC32" ca="1">IFERROR(INDIRECT("'" &amp; AC$27 &amp;  "'!Q42"),0)</f>
        <v>0.53983733174899096</v>
      </c>
      <c r="AD32" s="9" cm="1">
        <f t="array" aca="1" ref="AD32" ca="1">IFERROR(INDIRECT("'" &amp; AD$27 &amp;  "'!Q42"),0)</f>
        <v>98.955951714765376</v>
      </c>
      <c r="AE32" s="9" cm="1">
        <f t="array" aca="1" ref="AE32" ca="1">IFERROR(INDIRECT("'" &amp; AE$27 &amp;  "'!Q42"),0)</f>
        <v>0</v>
      </c>
      <c r="AG32" s="8" t="s">
        <v>471</v>
      </c>
      <c r="AH32" s="73" t="s">
        <v>461</v>
      </c>
      <c r="AI32" s="100">
        <f>'Date Key'!$C$37</f>
        <v>0.54361255250803064</v>
      </c>
      <c r="AJ32" s="6" t="str">
        <f>'Date Key'!$G$37</f>
        <v>Lower</v>
      </c>
      <c r="AK32" s="9" cm="1">
        <f t="array" aca="1" ref="AK32" ca="1">IFERROR(INDIRECT("'" &amp; AK$27 &amp;  "'!Q45"),0)</f>
        <v>0.20024519820187983</v>
      </c>
      <c r="AL32" s="9" cm="1">
        <f t="array" aca="1" ref="AL32" ca="1">IFERROR(INDIRECT("'" &amp; AL$27 &amp;  "'!Q45"),0)</f>
        <v>8.1262610906879681E-2</v>
      </c>
      <c r="AM32" s="9" cm="1">
        <f t="array" aca="1" ref="AM32" ca="1">IFERROR(INDIRECT("'" &amp; AM$27 &amp;  "'!Q45"),0)</f>
        <v>2.0302009629947784</v>
      </c>
      <c r="AN32" s="9" cm="1">
        <f t="array" aca="1" ref="AN32" ca="1">IFERROR(INDIRECT("'" &amp; AN$27 &amp;  "'!Q45"),0)</f>
        <v>2.3117087721035379</v>
      </c>
      <c r="AO32" s="9" cm="1">
        <f t="array" aca="1" ref="AO32" ca="1">IFERROR(INDIRECT("'" &amp; AO$27 &amp;  "'!Q45"),0)</f>
        <v>0.70614570614570615</v>
      </c>
      <c r="AP32" s="9" cm="1">
        <f t="array" aca="1" ref="AP32" ca="1">IFERROR(INDIRECT("'" &amp; AP$27 &amp;  "'!Q45"),0)</f>
        <v>32.511111111111092</v>
      </c>
      <c r="AQ32" s="9" cm="1">
        <f t="array" aca="1" ref="AQ32" ca="1">IFERROR(INDIRECT("'" &amp; AQ$27 &amp;  "'!Q45"),0)</f>
        <v>106.5102215946434</v>
      </c>
      <c r="AR32" s="9" cm="1">
        <f t="array" aca="1" ref="AR32" ca="1">IFERROR(INDIRECT("'" &amp; AR$27 &amp;  "'!Q45"),0)</f>
        <v>7.4066666666666663</v>
      </c>
      <c r="AS32" s="9" cm="1">
        <f t="array" aca="1" ref="AS32" ca="1">IFERROR(INDIRECT("'" &amp; AS$27 &amp;  "'!Q45"),0)</f>
        <v>0.62684640757206356</v>
      </c>
      <c r="AT32" s="9" cm="1">
        <f t="array" aca="1" ref="AT32" ca="1">IFERROR(INDIRECT("'" &amp; AT$27 &amp;  "'!Q45"),0)</f>
        <v>110.83939563514269</v>
      </c>
      <c r="AU32" s="9" cm="1">
        <f t="array" aca="1" ref="AU32" ca="1">IFERROR(INDIRECT("'" &amp; AU$27 &amp;  "'!Q45"),0)</f>
        <v>0</v>
      </c>
      <c r="AW32" s="8" t="s">
        <v>471</v>
      </c>
      <c r="AX32" s="73" t="s">
        <v>461</v>
      </c>
      <c r="AY32" s="6">
        <f>'Date Key'!$C$37</f>
        <v>0.54361255250803064</v>
      </c>
      <c r="AZ32" s="6" t="str">
        <f>'Date Key'!$G$37</f>
        <v>Lower</v>
      </c>
      <c r="BA32" s="9">
        <f t="shared" ca="1" si="9"/>
        <v>0.33328792625891113</v>
      </c>
      <c r="BB32" s="9">
        <f t="shared" ca="1" si="8"/>
        <v>0.18290542891934286</v>
      </c>
      <c r="BC32" s="9">
        <f t="shared" ca="1" si="8"/>
        <v>0.49534116371688447</v>
      </c>
      <c r="BD32" s="9">
        <f t="shared" ca="1" si="8"/>
        <v>1.7192371327086924</v>
      </c>
      <c r="BE32" s="9">
        <f t="shared" ca="1" si="8"/>
        <v>1.4426443156988416</v>
      </c>
      <c r="BF32" s="9">
        <f t="shared" ca="1" si="8"/>
        <v>14.727676027676019</v>
      </c>
      <c r="BG32" s="9">
        <f t="shared" ca="1" si="8"/>
        <v>80.054109757322095</v>
      </c>
      <c r="BH32" s="9">
        <f t="shared" ca="1" si="8"/>
        <v>56.840110797321699</v>
      </c>
      <c r="BI32" s="9">
        <f t="shared" ca="1" si="8"/>
        <v>3.9732519992078288</v>
      </c>
      <c r="BJ32" s="9">
        <f t="shared" ca="1" si="8"/>
        <v>49.791399061168718</v>
      </c>
      <c r="BK32" s="9">
        <f t="shared" ca="1" si="8"/>
        <v>55.419697817571347</v>
      </c>
    </row>
    <row r="33" spans="1:85" ht="30" customHeight="1" x14ac:dyDescent="0.35">
      <c r="A33" s="74" t="s">
        <v>472</v>
      </c>
      <c r="B33" s="75" t="s">
        <v>535</v>
      </c>
      <c r="C33" s="146">
        <f>'Date Key'!$C$40</f>
        <v>0.21744502100321225</v>
      </c>
      <c r="D33" s="76" t="str">
        <f>'Date Key'!$G$40</f>
        <v>Upper</v>
      </c>
      <c r="E33" s="77" cm="1">
        <f t="array" aca="1" ref="E33" ca="1">IFERROR(INDIRECT("'" &amp; E$27 &amp;  "'!Q48"),0)</f>
        <v>0.10367905290991042</v>
      </c>
      <c r="F33" s="77" cm="1">
        <f t="array" aca="1" ref="F33" ca="1">IFERROR(INDIRECT("'" &amp; F$27 &amp;  "'!Q48"),0)</f>
        <v>0.14602837526221413</v>
      </c>
      <c r="G33" s="77" cm="1">
        <f t="array" aca="1" ref="G33" ca="1">IFERROR(INDIRECT("'" &amp; G$27 &amp;  "'!Q48"),0)</f>
        <v>7.5491805112138843</v>
      </c>
      <c r="H33" s="77" cm="1">
        <f t="array" aca="1" ref="H33" ca="1">IFERROR(INDIRECT("'" &amp; H$27 &amp;  "'!Q48"),0)</f>
        <v>7.7988879393860104</v>
      </c>
      <c r="I33" s="77" cm="1">
        <f t="array" aca="1" ref="I33" ca="1">IFERROR(INDIRECT("'" &amp; I$27 &amp;  "'!Q48"),0)</f>
        <v>1.1688179545322404</v>
      </c>
      <c r="J33" s="77" cm="1">
        <f t="array" aca="1" ref="J33" ca="1">IFERROR(INDIRECT("'" &amp; J$27 &amp;  "'!Q48"),0)</f>
        <v>31.431746031746016</v>
      </c>
      <c r="K33" s="77" cm="1">
        <f t="array" aca="1" ref="K33" ca="1">IFERROR(INDIRECT("'" &amp; K$27 &amp;  "'!Q48"),0)</f>
        <v>134.12383222023084</v>
      </c>
      <c r="L33" s="77" cm="1">
        <f t="array" aca="1" ref="L33" ca="1">IFERROR(INDIRECT("'" &amp; L$27 &amp;  "'!Q48"),0)</f>
        <v>8.043333333333333</v>
      </c>
      <c r="M33" s="77" cm="1">
        <f t="array" aca="1" ref="M33" ca="1">IFERROR(INDIRECT("'" &amp; M$27 &amp;  "'!Q48"),0)</f>
        <v>0.76863605355222975</v>
      </c>
      <c r="N33" s="77" cm="1">
        <f t="array" aca="1" ref="N33" ca="1">IFERROR(INDIRECT("'" &amp; N$27 &amp;  "'!Q48"),0)</f>
        <v>124.45747989598254</v>
      </c>
      <c r="O33" s="77" cm="1">
        <f t="array" aca="1" ref="O33" ca="1">IFERROR(INDIRECT("'" &amp; O$27 &amp;  "'!Q48"),0)</f>
        <v>0</v>
      </c>
      <c r="Q33" s="74" t="s">
        <v>472</v>
      </c>
      <c r="R33" s="75" t="s">
        <v>535</v>
      </c>
      <c r="S33" s="146">
        <f>'Date Key'!$C$40</f>
        <v>0.21744502100321225</v>
      </c>
      <c r="T33" s="76" t="str">
        <f>'Date Key'!$G$40</f>
        <v>Upper</v>
      </c>
      <c r="U33" s="77" cm="1">
        <f t="array" aca="1" ref="U33" ca="1">IFERROR(INDIRECT("'" &amp; U$27 &amp;  "'!Q51"),0)</f>
        <v>0.55226972270589203</v>
      </c>
      <c r="V33" s="77" cm="1">
        <f t="array" aca="1" ref="V33" ca="1">IFERROR(INDIRECT("'" &amp; V$27 &amp;  "'!Q51"),0)</f>
        <v>0.19137091808224396</v>
      </c>
      <c r="W33" s="77" cm="1">
        <f t="array" aca="1" ref="W33" ca="1">IFERROR(INDIRECT("'" &amp; W$27 &amp;  "'!Q51"),0)</f>
        <v>0.45730016494900677</v>
      </c>
      <c r="X33" s="77" cm="1">
        <f t="array" aca="1" ref="X33" ca="1">IFERROR(INDIRECT("'" &amp; X$27 &amp;  "'!Q51"),0)</f>
        <v>1.2009408057371429</v>
      </c>
      <c r="Y33" s="77" cm="1">
        <f t="array" aca="1" ref="Y33" ca="1">IFERROR(INDIRECT("'" &amp; Y$27 &amp;  "'!Q51"),0)</f>
        <v>0.50976800976800973</v>
      </c>
      <c r="Z33" s="77" cm="1">
        <f t="array" aca="1" ref="Z33" ca="1">IFERROR(INDIRECT("'" &amp; Z$27 &amp;  "'!Q51"),0)</f>
        <v>32.28888888888887</v>
      </c>
      <c r="AA33" s="77" cm="1">
        <f t="array" aca="1" ref="AA33" ca="1">IFERROR(INDIRECT("'" &amp; AA$27 &amp;  "'!Q51"),0)</f>
        <v>205.23042151472893</v>
      </c>
      <c r="AB33" s="77" cm="1">
        <f t="array" aca="1" ref="AB33" ca="1">IFERROR(INDIRECT("'" &amp; AB$27 &amp;  "'!Q51"),0)</f>
        <v>7.0576190476190481</v>
      </c>
      <c r="AC33" s="77" cm="1">
        <f t="array" aca="1" ref="AC33" ca="1">IFERROR(INDIRECT("'" &amp; AC$27 &amp;  "'!Q51"),0)</f>
        <v>0.44819121695280223</v>
      </c>
      <c r="AD33" s="77" cm="1">
        <f t="array" aca="1" ref="AD33" ca="1">IFERROR(INDIRECT("'" &amp; AD$27 &amp;  "'!Q51"),0)</f>
        <v>58.145521796744504</v>
      </c>
      <c r="AE33" s="77" cm="1">
        <f t="array" aca="1" ref="AE33" ca="1">IFERROR(INDIRECT("'" &amp; AE$27 &amp;  "'!Q51"),0)</f>
        <v>0</v>
      </c>
      <c r="AG33" s="74" t="s">
        <v>472</v>
      </c>
      <c r="AH33" s="75" t="s">
        <v>535</v>
      </c>
      <c r="AI33" s="146">
        <f>'Date Key'!$C$40</f>
        <v>0.21744502100321225</v>
      </c>
      <c r="AJ33" s="76" t="str">
        <f>'Date Key'!$G$40</f>
        <v>Upper</v>
      </c>
      <c r="AK33" s="77" cm="1">
        <f t="array" aca="1" ref="AK33" ca="1">IFERROR(INDIRECT("'" &amp; AK$27 &amp;  "'!Q54"),0)</f>
        <v>9.865825347738176E-2</v>
      </c>
      <c r="AL33" s="77" cm="1">
        <f t="array" aca="1" ref="AL33" ca="1">IFERROR(INDIRECT("'" &amp; AL$27 &amp;  "'!Q54"),0)</f>
        <v>0.67526226539373957</v>
      </c>
      <c r="AM33" s="77" cm="1">
        <f t="array" aca="1" ref="AM33" ca="1">IFERROR(INDIRECT("'" &amp; AM$27 &amp;  "'!Q54"),0)</f>
        <v>3.3193966597533602</v>
      </c>
      <c r="AN33" s="77" cm="1">
        <f t="array" aca="1" ref="AN33" ca="1">IFERROR(INDIRECT("'" &amp; AN$27 &amp;  "'!Q54"),0)</f>
        <v>4.0933171786244813</v>
      </c>
      <c r="AO33" s="77" cm="1">
        <f t="array" aca="1" ref="AO33" ca="1">IFERROR(INDIRECT("'" &amp; AO$27 &amp;  "'!Q54"),0)</f>
        <v>0.89234839234839247</v>
      </c>
      <c r="AP33" s="77" cm="1">
        <f t="array" aca="1" ref="AP33" ca="1">IFERROR(INDIRECT("'" &amp; AP$27 &amp;  "'!Q54"),0)</f>
        <v>32.399999999999984</v>
      </c>
      <c r="AQ33" s="77" cm="1">
        <f t="array" aca="1" ref="AQ33" ca="1">IFERROR(INDIRECT("'" &amp; AQ$27 &amp;  "'!Q54"),0)</f>
        <v>156.18042791955835</v>
      </c>
      <c r="AR33" s="77" cm="1">
        <f t="array" aca="1" ref="AR33" ca="1">IFERROR(INDIRECT("'" &amp; AR$27 &amp;  "'!Q54"),0)</f>
        <v>7.1333333333333329</v>
      </c>
      <c r="AS33" s="77" cm="1">
        <f t="array" aca="1" ref="AS33" ca="1">IFERROR(INDIRECT("'" &amp; AS$27 &amp;  "'!Q54"),0)</f>
        <v>0.62865506973214336</v>
      </c>
      <c r="AT33" s="77" cm="1">
        <f t="array" aca="1" ref="AT33" ca="1">IFERROR(INDIRECT("'" &amp; AT$27 &amp;  "'!Q54"),0)</f>
        <v>97.540686135899705</v>
      </c>
      <c r="AU33" s="77" cm="1">
        <f t="array" aca="1" ref="AU33" ca="1">IFERROR(INDIRECT("'" &amp; AU$27 &amp;  "'!Q54"),0)</f>
        <v>0</v>
      </c>
      <c r="AW33" s="74" t="s">
        <v>472</v>
      </c>
      <c r="AX33" s="75" t="s">
        <v>535</v>
      </c>
      <c r="AY33" s="76">
        <f>'Date Key'!$C$40</f>
        <v>0.21744502100321225</v>
      </c>
      <c r="AZ33" s="76" t="str">
        <f>'Date Key'!$G$40</f>
        <v>Upper</v>
      </c>
      <c r="BA33" s="9">
        <f t="shared" ca="1" si="9"/>
        <v>0.55226972270589203</v>
      </c>
      <c r="BB33" s="9">
        <f t="shared" ca="1" si="8"/>
        <v>0.14501458577981285</v>
      </c>
      <c r="BC33" s="9">
        <f t="shared" ca="1" si="8"/>
        <v>0.5662812151713732</v>
      </c>
      <c r="BD33" s="9">
        <f t="shared" ca="1" si="8"/>
        <v>2.2601687327452513</v>
      </c>
      <c r="BE33" s="9">
        <f t="shared" ca="1" si="8"/>
        <v>2.3015425941962455</v>
      </c>
      <c r="BF33" s="9">
        <f t="shared" ca="1" si="8"/>
        <v>16.590618640618633</v>
      </c>
      <c r="BG33" s="9">
        <f t="shared" ca="1" si="8"/>
        <v>118.81521075736445</v>
      </c>
      <c r="BH33" s="9">
        <f t="shared" ca="1" si="8"/>
        <v>81.619023483588705</v>
      </c>
      <c r="BI33" s="9">
        <f t="shared" ca="1" si="8"/>
        <v>3.7907622751430674</v>
      </c>
      <c r="BJ33" s="9">
        <f t="shared" ca="1" si="8"/>
        <v>29.387088433238322</v>
      </c>
      <c r="BK33" s="9">
        <f t="shared" ca="1" si="8"/>
        <v>48.770343067949852</v>
      </c>
    </row>
    <row r="34" spans="1:85" ht="30" customHeight="1" x14ac:dyDescent="0.35">
      <c r="A34" s="4"/>
      <c r="B34" s="4"/>
      <c r="C34" s="4"/>
      <c r="D34" t="s">
        <v>340</v>
      </c>
      <c r="E34" s="1">
        <f ca="1">AVERAGE(E28:E33)</f>
        <v>0.17865358791815508</v>
      </c>
      <c r="F34" s="1">
        <f t="shared" ref="F34" ca="1" si="10">AVERAGE(F28:F33)</f>
        <v>6.1739658230544482E-2</v>
      </c>
      <c r="G34" s="1">
        <f t="shared" ref="G34" ca="1" si="11">AVERAGE(G28:G33)</f>
        <v>2.5508854404945485</v>
      </c>
      <c r="H34" s="1">
        <f t="shared" ref="H34" ca="1" si="12">AVERAGE(H28:H33)</f>
        <v>2.8379435150125976</v>
      </c>
      <c r="I34" s="1">
        <f t="shared" ref="I34" ca="1" si="13">AVERAGE(I28:I33)</f>
        <v>1.0046460065507685</v>
      </c>
      <c r="J34" s="1">
        <f t="shared" ref="J34" ca="1" si="14">AVERAGE(J28:J33)</f>
        <v>32.552116402116383</v>
      </c>
      <c r="K34" s="1">
        <f t="shared" ref="K34" ca="1" si="15">AVERAGE(K28:K33)</f>
        <v>123.45768225612893</v>
      </c>
      <c r="L34" s="1">
        <f t="shared" ref="L34" ca="1" si="16">AVERAGE(L28:L33)</f>
        <v>7.8094444444444449</v>
      </c>
      <c r="M34" s="1">
        <f t="shared" ref="M34" ca="1" si="17">AVERAGE(M28:M33)</f>
        <v>1.7700740340272729</v>
      </c>
      <c r="N34" s="1">
        <f t="shared" ref="N34" ca="1" si="18">AVERAGE(N28:N33)</f>
        <v>114.96545746406252</v>
      </c>
      <c r="O34" s="1">
        <f t="shared" ref="O34" ca="1" si="19">AVERAGE(O28:O33)</f>
        <v>1.655793650793651</v>
      </c>
      <c r="T34" t="s">
        <v>340</v>
      </c>
      <c r="U34" s="1">
        <f ca="1">AVERAGE(U28:U33)</f>
        <v>0.30080320738070782</v>
      </c>
      <c r="V34" s="1">
        <f t="shared" ref="V34" ca="1" si="20">AVERAGE(V28:V33)</f>
        <v>0.10909281182719494</v>
      </c>
      <c r="W34" s="1">
        <f t="shared" ref="W34" ca="1" si="21">AVERAGE(W28:W33)</f>
        <v>0.29587050253757663</v>
      </c>
      <c r="X34" s="1">
        <f t="shared" ref="X34" ca="1" si="22">AVERAGE(X28:X33)</f>
        <v>0.70576652174547938</v>
      </c>
      <c r="Y34" s="1">
        <f t="shared" ref="Y34" ca="1" si="23">AVERAGE(Y28:Y33)</f>
        <v>0.47959125530554103</v>
      </c>
      <c r="Z34" s="1">
        <f t="shared" ref="Z34" ca="1" si="24">AVERAGE(Z28:Z33)</f>
        <v>27.608465608465593</v>
      </c>
      <c r="AA34" s="1">
        <f t="shared" ref="AA34" ca="1" si="25">AVERAGE(AA28:AA33)</f>
        <v>152.80061744796836</v>
      </c>
      <c r="AB34" s="1">
        <f t="shared" ref="AB34" ca="1" si="26">AVERAGE(AB28:AB33)</f>
        <v>7.1967460317460317</v>
      </c>
      <c r="AC34" s="1">
        <f t="shared" ref="AC34" ca="1" si="27">AVERAGE(AC28:AC33)</f>
        <v>1.2365920402081818</v>
      </c>
      <c r="AD34" s="1">
        <f t="shared" ref="AD34" ca="1" si="28">AVERAGE(AD28:AD33)</f>
        <v>86.431703204765213</v>
      </c>
      <c r="AE34" s="1">
        <f t="shared" ref="AE34" ca="1" si="29">AVERAGE(AE28:AE33)</f>
        <v>0.261031746031746</v>
      </c>
      <c r="AF34" s="1"/>
      <c r="AJ34" t="s">
        <v>340</v>
      </c>
      <c r="AK34" s="1">
        <f ca="1">AVERAGE(AK28:AK33)</f>
        <v>0.13061293947890626</v>
      </c>
      <c r="AL34" s="1">
        <f t="shared" ref="AL34:AU34" ca="1" si="30">AVERAGE(AL28:AL33)</f>
        <v>0.22305705100918552</v>
      </c>
      <c r="AM34" s="1">
        <f t="shared" ca="1" si="30"/>
        <v>1.2778452051944826</v>
      </c>
      <c r="AN34" s="1">
        <f t="shared" ca="1" si="30"/>
        <v>1.6315151956825744</v>
      </c>
      <c r="AO34" s="1">
        <f t="shared" ca="1" si="30"/>
        <v>0.69908076050933199</v>
      </c>
      <c r="AP34" s="1">
        <f t="shared" ca="1" si="30"/>
        <v>33.521693121693104</v>
      </c>
      <c r="AQ34" s="1">
        <f t="shared" ca="1" si="30"/>
        <v>124.10297542461012</v>
      </c>
      <c r="AR34" s="1">
        <f t="shared" ca="1" si="30"/>
        <v>7.2508333333333335</v>
      </c>
      <c r="AS34" s="1">
        <f t="shared" ca="1" si="30"/>
        <v>1.2924000807191482</v>
      </c>
      <c r="AT34" s="1">
        <f t="shared" ca="1" si="30"/>
        <v>102.48151308303481</v>
      </c>
      <c r="AU34" s="1">
        <f t="shared" ca="1" si="30"/>
        <v>0.34936507936507938</v>
      </c>
    </row>
    <row r="35" spans="1:85" ht="30" customHeight="1" x14ac:dyDescent="0.35">
      <c r="A35" s="4"/>
      <c r="B35" s="4"/>
      <c r="C35" s="4"/>
      <c r="D35" s="4"/>
      <c r="E35" s="4"/>
      <c r="F35" s="4"/>
      <c r="G35" s="4"/>
      <c r="H35" s="4"/>
      <c r="I35" s="4"/>
      <c r="J35" s="4"/>
      <c r="K35" s="4"/>
      <c r="Q35" s="78" t="s">
        <v>536</v>
      </c>
    </row>
    <row r="36" spans="1:85" ht="30" customHeight="1" x14ac:dyDescent="0.35">
      <c r="A36" s="160" t="s">
        <v>532</v>
      </c>
      <c r="B36" s="160"/>
      <c r="C36" s="160"/>
      <c r="D36" s="160"/>
      <c r="E36" s="160"/>
      <c r="F36" s="160"/>
      <c r="G36" s="160"/>
      <c r="H36" s="160"/>
      <c r="I36" s="160"/>
      <c r="J36" s="160"/>
      <c r="K36" s="160"/>
      <c r="L36" s="160"/>
      <c r="Q36" s="157" t="s">
        <v>534</v>
      </c>
      <c r="R36" s="158"/>
      <c r="S36" s="158"/>
      <c r="T36" s="158"/>
      <c r="U36" s="158"/>
      <c r="V36" s="158"/>
      <c r="W36" s="158"/>
      <c r="X36" s="158"/>
      <c r="Y36" s="158"/>
      <c r="Z36" s="158"/>
      <c r="AA36" s="158"/>
      <c r="AB36" s="159"/>
      <c r="AC36" s="20"/>
      <c r="AG36" s="157" t="s">
        <v>715</v>
      </c>
      <c r="AH36" s="158"/>
      <c r="AI36" s="158"/>
      <c r="AJ36" s="158"/>
      <c r="AK36" s="158"/>
      <c r="AL36" s="158"/>
      <c r="AM36" s="158"/>
      <c r="AN36" s="158"/>
      <c r="AO36" s="158"/>
      <c r="AP36" s="158"/>
      <c r="AQ36" s="158"/>
      <c r="AR36" s="159"/>
      <c r="AS36" s="20"/>
      <c r="AX36" s="1"/>
      <c r="BG36" s="160" t="s">
        <v>332</v>
      </c>
      <c r="BH36" s="160"/>
      <c r="BI36" s="160"/>
      <c r="BN36" s="160" t="s">
        <v>333</v>
      </c>
      <c r="BO36" s="160"/>
      <c r="BP36" s="160"/>
      <c r="BQ36" s="160"/>
      <c r="BU36" s="160" t="s">
        <v>334</v>
      </c>
      <c r="BV36" s="160"/>
      <c r="BW36" s="160"/>
      <c r="BX36" s="160"/>
      <c r="BY36" s="160"/>
      <c r="CC36" s="161" t="s">
        <v>335</v>
      </c>
      <c r="CD36" s="161"/>
      <c r="CE36" s="161"/>
      <c r="CF36" s="161"/>
      <c r="CG36" s="161"/>
    </row>
    <row r="37" spans="1:85" ht="30" customHeight="1" x14ac:dyDescent="0.35">
      <c r="A37" s="5" t="s">
        <v>317</v>
      </c>
      <c r="B37" s="5" t="s">
        <v>453</v>
      </c>
      <c r="C37" s="5" t="s">
        <v>11</v>
      </c>
      <c r="D37" s="5" t="s">
        <v>318</v>
      </c>
      <c r="E37" s="7" t="s">
        <v>17</v>
      </c>
      <c r="F37" s="7" t="s">
        <v>18</v>
      </c>
      <c r="G37" s="7" t="s">
        <v>19</v>
      </c>
      <c r="H37" s="7" t="s">
        <v>319</v>
      </c>
      <c r="I37" s="7" t="s">
        <v>479</v>
      </c>
      <c r="J37" s="7" t="s">
        <v>321</v>
      </c>
      <c r="K37" s="7" t="s">
        <v>531</v>
      </c>
      <c r="L37" s="7" t="s">
        <v>322</v>
      </c>
      <c r="M37" s="7" t="s">
        <v>20</v>
      </c>
      <c r="N37" s="7" t="s">
        <v>21</v>
      </c>
      <c r="O37" s="7" t="s">
        <v>23</v>
      </c>
      <c r="Q37" s="5" t="s">
        <v>317</v>
      </c>
      <c r="R37" s="5" t="s">
        <v>453</v>
      </c>
      <c r="S37" s="5" t="s">
        <v>11</v>
      </c>
      <c r="T37" s="5" t="s">
        <v>318</v>
      </c>
      <c r="U37" s="7" t="s">
        <v>17</v>
      </c>
      <c r="V37" s="7" t="s">
        <v>18</v>
      </c>
      <c r="W37" s="7" t="s">
        <v>19</v>
      </c>
      <c r="X37" s="7" t="s">
        <v>319</v>
      </c>
      <c r="Y37" s="7" t="s">
        <v>479</v>
      </c>
      <c r="Z37" s="7" t="s">
        <v>321</v>
      </c>
      <c r="AA37" s="7" t="s">
        <v>531</v>
      </c>
      <c r="AB37" s="7" t="s">
        <v>322</v>
      </c>
      <c r="AC37" s="7" t="s">
        <v>20</v>
      </c>
      <c r="AD37" s="7" t="s">
        <v>21</v>
      </c>
      <c r="AE37" s="7" t="s">
        <v>23</v>
      </c>
      <c r="AG37" s="5" t="s">
        <v>317</v>
      </c>
      <c r="AH37" s="5" t="s">
        <v>453</v>
      </c>
      <c r="AI37" s="5" t="s">
        <v>11</v>
      </c>
      <c r="AJ37" s="5" t="s">
        <v>318</v>
      </c>
      <c r="AK37" s="7" t="s">
        <v>17</v>
      </c>
      <c r="AL37" s="7" t="s">
        <v>18</v>
      </c>
      <c r="AM37" s="7" t="s">
        <v>19</v>
      </c>
      <c r="AN37" s="7" t="s">
        <v>319</v>
      </c>
      <c r="AO37" s="7" t="s">
        <v>479</v>
      </c>
      <c r="AP37" s="7" t="s">
        <v>321</v>
      </c>
      <c r="AQ37" s="7" t="s">
        <v>531</v>
      </c>
      <c r="AR37" s="7" t="s">
        <v>322</v>
      </c>
      <c r="AS37" s="7" t="s">
        <v>20</v>
      </c>
      <c r="AT37" s="7" t="s">
        <v>21</v>
      </c>
      <c r="AU37" s="7" t="s">
        <v>23</v>
      </c>
      <c r="BG37" s="5" t="s">
        <v>336</v>
      </c>
      <c r="BH37" s="7" t="s">
        <v>319</v>
      </c>
      <c r="BI37" s="7" t="s">
        <v>320</v>
      </c>
      <c r="BN37" s="5" t="s">
        <v>317</v>
      </c>
      <c r="BO37" s="5" t="s">
        <v>11</v>
      </c>
      <c r="BP37" s="7" t="s">
        <v>319</v>
      </c>
      <c r="BQ37" s="7" t="s">
        <v>320</v>
      </c>
      <c r="BU37" s="5" t="s">
        <v>317</v>
      </c>
      <c r="BV37" s="5" t="s">
        <v>11</v>
      </c>
      <c r="BW37" s="5" t="s">
        <v>318</v>
      </c>
      <c r="BX37" s="7" t="s">
        <v>319</v>
      </c>
      <c r="BY37" s="7" t="s">
        <v>320</v>
      </c>
      <c r="CC37" s="5" t="s">
        <v>317</v>
      </c>
      <c r="CD37" s="5" t="s">
        <v>11</v>
      </c>
      <c r="CE37" s="5" t="s">
        <v>337</v>
      </c>
      <c r="CF37" s="7" t="s">
        <v>319</v>
      </c>
      <c r="CG37" s="7" t="s">
        <v>320</v>
      </c>
    </row>
    <row r="38" spans="1:85" ht="30" customHeight="1" x14ac:dyDescent="0.35">
      <c r="A38" s="8" t="s">
        <v>338</v>
      </c>
      <c r="B38" s="73" t="str">
        <f>'Date Key'!$G57</f>
        <v>Low HLR, Lower Outlet Height, No Plants</v>
      </c>
      <c r="C38" s="100">
        <f>'Date Key'!$C$25</f>
        <v>0.10872251050160613</v>
      </c>
      <c r="D38" s="6" t="str">
        <f>'Date Key'!$G$25</f>
        <v>Lower</v>
      </c>
      <c r="E38" s="9" cm="1">
        <f t="array" aca="1" ref="E38" ca="1">IFERROR(INDIRECT("'" &amp; E$37 &amp;  "'!S6"),0)</f>
        <v>-76.538062905852755</v>
      </c>
      <c r="F38" s="9" cm="1">
        <f t="array" aca="1" ref="F38" ca="1">IFERROR(INDIRECT("'" &amp; F$37 &amp;  "'!S6"),0)</f>
        <v>3.2773695602642854</v>
      </c>
      <c r="G38" s="9" cm="1">
        <f t="array" aca="1" ref="G38" ca="1">IFERROR(INDIRECT("'" &amp; G$37 &amp;  "'!S6"),0)</f>
        <v>96.067923859441009</v>
      </c>
      <c r="H38" s="9" cm="1">
        <f t="array" aca="1" ref="H38" ca="1">IFERROR(INDIRECT("'" &amp; H$37 &amp;  "'!S6"),0)</f>
        <v>79.488765746499212</v>
      </c>
      <c r="I38" s="9" cm="1">
        <f t="array" aca="1" ref="I38" ca="1">IFERROR(INDIRECT("'" &amp; I$37 &amp;  "'!S6"),0)</f>
        <v>82.658824386304872</v>
      </c>
      <c r="J38" s="9" cm="1">
        <f t="array" aca="1" ref="J38" ca="1">IFERROR(INDIRECT("'" &amp; J$37 &amp;  "'!S6"),0)</f>
        <v>10.312587980035071</v>
      </c>
      <c r="K38" s="9" cm="1">
        <f t="array" aca="1" ref="K38" ca="1">IFERROR(INDIRECT("'" &amp; K$37 &amp;  "'!S6"),0)</f>
        <v>-32.670382437630884</v>
      </c>
      <c r="L38" s="9" cm="1">
        <f t="array" aca="1" ref="L38" ca="1">IFERROR(INDIRECT("'" &amp; L$37 &amp;  "'!S6"),0)</f>
        <v>9.6508252326291792</v>
      </c>
      <c r="M38" s="9" cm="1">
        <f t="array" aca="1" ref="M38" ca="1">IFERROR(INDIRECT("'" &amp; M$37 &amp;  "'!S6"),0)</f>
        <v>39.6978422650864</v>
      </c>
      <c r="N38" s="9" cm="1">
        <f t="array" aca="1" ref="N38" ca="1">IFERROR(INDIRECT("'" &amp; N$37 &amp;  "'!S6"),0)</f>
        <v>42.22040119566681</v>
      </c>
      <c r="O38" s="9" cm="1">
        <f t="array" aca="1" ref="O38" ca="1">IFERROR(INDIRECT("'" &amp; O$37 &amp;  "'!S6"),0)</f>
        <v>0</v>
      </c>
      <c r="Q38" s="8" t="s">
        <v>338</v>
      </c>
      <c r="R38" s="73" t="s">
        <v>457</v>
      </c>
      <c r="S38" s="100">
        <f>'Date Key'!$C$25</f>
        <v>0.10872251050160613</v>
      </c>
      <c r="T38" s="6" t="str">
        <f>'Date Key'!$G$25</f>
        <v>Lower</v>
      </c>
      <c r="U38" s="9" cm="1">
        <f t="array" aca="1" ref="U38" ca="1">IFERROR(INDIRECT("'" &amp; U$37 &amp;  "'!S9"),0)</f>
        <v>23.233214177436526</v>
      </c>
      <c r="V38" s="9" cm="1">
        <f t="array" aca="1" ref="V38" ca="1">IFERROR(INDIRECT("'" &amp; V$37 &amp;  "'!S9"),0)</f>
        <v>-221.78137104123948</v>
      </c>
      <c r="W38" s="9" cm="1">
        <f t="array" aca="1" ref="W38" ca="1">IFERROR(INDIRECT("'" &amp; W$37 &amp;  "'!S9"),0)</f>
        <v>69.264075970974758</v>
      </c>
      <c r="X38" s="9" cm="1">
        <f t="array" aca="1" ref="X38" ca="1">IFERROR(INDIRECT("'" &amp; X$37 &amp;  "'!S9"),0)</f>
        <v>75.573921303994183</v>
      </c>
      <c r="Y38" s="9" cm="1">
        <f t="array" aca="1" ref="Y38" ca="1">IFERROR(INDIRECT("'" &amp; Y$37 &amp;  "'!S9"),0)</f>
        <v>19.120812830576156</v>
      </c>
      <c r="Z38" s="9" cm="1">
        <f t="array" aca="1" ref="Z38" ca="1">IFERROR(INDIRECT("'" &amp; Z$37 &amp;  "'!S9"),0)</f>
        <v>-108.13319051942339</v>
      </c>
      <c r="AA38" s="9" cm="1">
        <f t="array" aca="1" ref="AA38" ca="1">IFERROR(INDIRECT("'" &amp; AA$37 &amp;  "'!S9"),0)</f>
        <v>-30.698862442085417</v>
      </c>
      <c r="AB38" s="9" cm="1">
        <f t="array" aca="1" ref="AB38" ca="1">IFERROR(INDIRECT("'" &amp; AB$37 &amp;  "'!S9"),0)</f>
        <v>11.074378876172588</v>
      </c>
      <c r="AC38" s="9" cm="1">
        <f t="array" aca="1" ref="AC38" ca="1">IFERROR(INDIRECT("'" &amp; AC$37 &amp;  "'!S9"),0)</f>
        <v>15.531085654018691</v>
      </c>
      <c r="AD38" s="9" cm="1">
        <f t="array" aca="1" ref="AD38" ca="1">IFERROR(INDIRECT("'" &amp; AD$37 &amp;  "'!S9"),0)</f>
        <v>47.611071372131128</v>
      </c>
      <c r="AE38" s="9" cm="1">
        <f t="array" aca="1" ref="AE38" ca="1">IFERROR(INDIRECT("'" &amp; AE$37 &amp;  "'!S9"),0)</f>
        <v>0</v>
      </c>
      <c r="AG38" s="8" t="s">
        <v>338</v>
      </c>
      <c r="AH38" s="73" t="s">
        <v>457</v>
      </c>
      <c r="AI38" s="100">
        <f>'Date Key'!$C$25</f>
        <v>0.10872251050160613</v>
      </c>
      <c r="AJ38" s="6" t="str">
        <f>'Date Key'!$G$25</f>
        <v>Lower</v>
      </c>
      <c r="AK38" s="9" cm="1">
        <f t="array" aca="1" ref="AK38" ca="1">IFERROR(INDIRECT("'" &amp; AK$37 &amp;  "'!V3"),0)</f>
        <v>-9.3771816096539311</v>
      </c>
      <c r="AL38" s="9" cm="1">
        <f t="array" aca="1" ref="AL38" ca="1">IFERROR(INDIRECT("'" &amp; AL$37 &amp;  "'!V3"),0)</f>
        <v>-64.583333333333343</v>
      </c>
      <c r="AM38" s="9" cm="1">
        <f t="array" aca="1" ref="AM38" ca="1">IFERROR(INDIRECT("'" &amp; AM$37 &amp;  "'!V3"),0)</f>
        <v>86.519328005219378</v>
      </c>
      <c r="AN38" s="9" cm="1">
        <f t="array" aca="1" ref="AN38" ca="1">IFERROR(INDIRECT("'" &amp; AN$37 &amp;  "'!V3"),0)</f>
        <v>74.188807335578403</v>
      </c>
      <c r="AO38" s="9" cm="1">
        <f t="array" aca="1" ref="AO38" ca="1">IFERROR(INDIRECT("'" &amp; AO$37 &amp;  "'!V3"),0)</f>
        <v>62.151794616889013</v>
      </c>
      <c r="AP38" s="9" cm="1">
        <f t="array" aca="1" ref="AP38" ca="1">IFERROR(INDIRECT("'" &amp; AP$37 &amp;  "'!V3"),0)</f>
        <v>-60.337407471165392</v>
      </c>
      <c r="AQ38" s="9" cm="1">
        <f t="array" aca="1" ref="AQ38" ca="1">IFERROR(INDIRECT("'" &amp; AQ$37 &amp;  "'!V3"),0)</f>
        <v>-42.572397356296086</v>
      </c>
      <c r="AR38" s="9" cm="1">
        <f t="array" aca="1" ref="AR38" ca="1">IFERROR(INDIRECT("'" &amp; AR$37 &amp;  "'!V3"),0)</f>
        <v>10.527047054464617</v>
      </c>
      <c r="AS38" s="9" cm="1">
        <f t="array" aca="1" ref="AS38" ca="1">IFERROR(INDIRECT("'" &amp; AS$37 &amp;  "'!V3"),0)</f>
        <v>32.392776523702032</v>
      </c>
      <c r="AT38" s="9" cm="1">
        <f t="array" aca="1" ref="AT38" ca="1">IFERROR(INDIRECT("'" &amp; AT$37 &amp;  "'!V3"),0)</f>
        <v>60.601574842329164</v>
      </c>
      <c r="AU38" s="9" cm="1">
        <f t="array" aca="1" ref="AU38" ca="1">IFERROR(INDIRECT("'" &amp; AU$37 &amp;  "'!V3"),0)</f>
        <v>0</v>
      </c>
      <c r="BG38" s="6" t="s">
        <v>8</v>
      </c>
      <c r="BH38" s="16" t="e">
        <f>BH43</f>
        <v>#REF!</v>
      </c>
      <c r="BI38" s="16" t="e">
        <f>BI43</f>
        <v>#REF!</v>
      </c>
      <c r="BN38" s="8" t="s">
        <v>338</v>
      </c>
      <c r="BO38" s="6">
        <v>0.109</v>
      </c>
      <c r="BP38" s="16" t="e">
        <f>AVERAGE(#REF!,#REF!)</f>
        <v>#REF!</v>
      </c>
      <c r="BQ38" s="16" t="e">
        <f>AVERAGE(#REF!,#REF!)</f>
        <v>#REF!</v>
      </c>
      <c r="BU38" s="8" t="s">
        <v>326</v>
      </c>
      <c r="BV38" s="6">
        <v>0.54500000000000004</v>
      </c>
      <c r="BW38" s="6" t="s">
        <v>324</v>
      </c>
      <c r="BX38" s="16" t="e">
        <f>AVERAGE(#REF!,#REF!)</f>
        <v>#REF!</v>
      </c>
      <c r="BY38" s="16" t="e">
        <f>AVERAGE(#REF!,#REF!)</f>
        <v>#REF!</v>
      </c>
      <c r="CC38" s="8" t="s">
        <v>326</v>
      </c>
      <c r="CD38" s="6">
        <v>0.54500000000000004</v>
      </c>
      <c r="CE38" s="6" t="s">
        <v>15</v>
      </c>
      <c r="CF38" s="16" t="e">
        <f>AVERAGE(#REF!,#REF!)</f>
        <v>#REF!</v>
      </c>
      <c r="CG38" s="16" t="e">
        <f>AVERAGE(#REF!,#REF!)</f>
        <v>#REF!</v>
      </c>
    </row>
    <row r="39" spans="1:85" ht="30" customHeight="1" x14ac:dyDescent="0.35">
      <c r="A39" s="8" t="s">
        <v>325</v>
      </c>
      <c r="B39" s="73" t="str">
        <f>'Date Key'!$G58</f>
        <v>Medium HLR, Lower Outlet Height, No Plants</v>
      </c>
      <c r="C39" s="100">
        <f>'Date Key'!$C$28</f>
        <v>0.21744502100321225</v>
      </c>
      <c r="D39" s="6" t="str">
        <f>'Date Key'!$G$28</f>
        <v>Lower</v>
      </c>
      <c r="E39" s="9" cm="1">
        <f t="array" aca="1" ref="E39" ca="1">IFERROR(INDIRECT("'" &amp; E$37 &amp;  "'!S15"),0)</f>
        <v>-80.53470484663147</v>
      </c>
      <c r="F39" s="9" cm="1">
        <f t="array" aca="1" ref="F39" ca="1">IFERROR(INDIRECT("'" &amp; F$37 &amp;  "'!S15"),0)</f>
        <v>38.560758082497209</v>
      </c>
      <c r="G39" s="9" cm="1">
        <f t="array" aca="1" ref="G39" ca="1">IFERROR(INDIRECT("'" &amp; G$37 &amp;  "'!S15"),0)</f>
        <v>96.853030751606312</v>
      </c>
      <c r="H39" s="9" cm="1">
        <f t="array" aca="1" ref="H39" ca="1">IFERROR(INDIRECT("'" &amp; H$37 &amp;  "'!S15"),0)</f>
        <v>85.765335958036317</v>
      </c>
      <c r="I39" s="9" cm="1">
        <f t="array" aca="1" ref="I39" ca="1">IFERROR(INDIRECT("'" &amp; I$37 &amp;  "'!S15"),0)</f>
        <v>57.034518209254259</v>
      </c>
      <c r="J39" s="9" cm="1">
        <f t="array" aca="1" ref="J39" ca="1">IFERROR(INDIRECT("'" &amp; J$37 &amp;  "'!S15"),0)</f>
        <v>23.457658317224631</v>
      </c>
      <c r="K39" s="9" cm="1">
        <f t="array" aca="1" ref="K39" ca="1">IFERROR(INDIRECT("'" &amp; K$37 &amp;  "'!S15"),0)</f>
        <v>-16.397130789180242</v>
      </c>
      <c r="L39" s="9" cm="1">
        <f t="array" aca="1" ref="L39" ca="1">IFERROR(INDIRECT("'" &amp; L$37 &amp;  "'!S15"),0)</f>
        <v>6.3567310097675174</v>
      </c>
      <c r="M39" s="9" cm="1">
        <f t="array" aca="1" ref="M39" ca="1">IFERROR(INDIRECT("'" &amp; M$37 &amp;  "'!S15"),0)</f>
        <v>41.339416690606754</v>
      </c>
      <c r="N39" s="9" cm="1">
        <f t="array" aca="1" ref="N39" ca="1">IFERROR(INDIRECT("'" &amp; N$37 &amp;  "'!S15"),0)</f>
        <v>15.435702793969446</v>
      </c>
      <c r="O39" s="9" cm="1">
        <f t="array" aca="1" ref="O39" ca="1">IFERROR(INDIRECT("'" &amp; O$37 &amp;  "'!S15"),0)</f>
        <v>0</v>
      </c>
      <c r="Q39" s="8" t="s">
        <v>325</v>
      </c>
      <c r="R39" s="73" t="s">
        <v>458</v>
      </c>
      <c r="S39" s="100">
        <f>'Date Key'!$C$28</f>
        <v>0.21744502100321225</v>
      </c>
      <c r="T39" s="6" t="str">
        <f>'Date Key'!$G$28</f>
        <v>Lower</v>
      </c>
      <c r="U39" s="9" cm="1">
        <f t="array" aca="1" ref="U39" ca="1">IFERROR(INDIRECT("'" &amp; U$37 &amp;  "'!S18"),0)</f>
        <v>53.753127606338616</v>
      </c>
      <c r="V39" s="9" cm="1">
        <f t="array" aca="1" ref="V39" ca="1">IFERROR(INDIRECT("'" &amp; V$37 &amp;  "'!S18"),0)</f>
        <v>-516.2396878483836</v>
      </c>
      <c r="W39" s="9" cm="1">
        <f t="array" aca="1" ref="W39" ca="1">IFERROR(INDIRECT("'" &amp; W$37 &amp;  "'!S18"),0)</f>
        <v>71.351177940621071</v>
      </c>
      <c r="X39" s="9" cm="1">
        <f t="array" aca="1" ref="X39" ca="1">IFERROR(INDIRECT("'" &amp; X$37 &amp;  "'!S18"),0)</f>
        <v>58.903209820643305</v>
      </c>
      <c r="Y39" s="9" cm="1">
        <f t="array" aca="1" ref="Y39" ca="1">IFERROR(INDIRECT("'" &amp; Y$37 &amp;  "'!S18"),0)</f>
        <v>-3.7248886546843352</v>
      </c>
      <c r="Z39" s="9" cm="1">
        <f t="array" aca="1" ref="Z39" ca="1">IFERROR(INDIRECT("'" &amp; Z$37 &amp;  "'!S18"),0)</f>
        <v>-2.2957368355006715</v>
      </c>
      <c r="AA39" s="9" cm="1">
        <f t="array" aca="1" ref="AA39" ca="1">IFERROR(INDIRECT("'" &amp; AA$37 &amp;  "'!S18"),0)</f>
        <v>-20.506448528656435</v>
      </c>
      <c r="AB39" s="9" cm="1">
        <f t="array" aca="1" ref="AB39" ca="1">IFERROR(INDIRECT("'" &amp; AB$37 &amp;  "'!S18"),0)</f>
        <v>6.1520958461087742</v>
      </c>
      <c r="AC39" s="9" cm="1">
        <f t="array" aca="1" ref="AC39" ca="1">IFERROR(INDIRECT("'" &amp; AC$37 &amp;  "'!S18"),0)</f>
        <v>19.865722039429262</v>
      </c>
      <c r="AD39" s="9" cm="1">
        <f t="array" aca="1" ref="AD39" ca="1">IFERROR(INDIRECT("'" &amp; AD$37 &amp;  "'!S18"),0)</f>
        <v>29.483453647088982</v>
      </c>
      <c r="AE39" s="9" cm="1">
        <f t="array" aca="1" ref="AE39" ca="1">IFERROR(INDIRECT("'" &amp; AE$37 &amp;  "'!S18"),0)</f>
        <v>0</v>
      </c>
      <c r="AG39" s="8" t="s">
        <v>325</v>
      </c>
      <c r="AH39" s="73" t="s">
        <v>458</v>
      </c>
      <c r="AI39" s="100">
        <f>'Date Key'!$C$28</f>
        <v>0.21744502100321225</v>
      </c>
      <c r="AJ39" s="6" t="str">
        <f>'Date Key'!$G$28</f>
        <v>Lower</v>
      </c>
      <c r="AK39" s="9" cm="1">
        <f t="array" aca="1" ref="AK39" ca="1">IFERROR(INDIRECT("'" &amp; AK$37 &amp;  "'!V12"),0)</f>
        <v>12.438244628392743</v>
      </c>
      <c r="AL39" s="9" cm="1">
        <f t="array" aca="1" ref="AL39" ca="1">IFERROR(INDIRECT("'" &amp; AL$37 &amp;  "'!V12"),0)</f>
        <v>-181.35780531525214</v>
      </c>
      <c r="AM39" s="9" cm="1">
        <f t="array" aca="1" ref="AM39" ca="1">IFERROR(INDIRECT("'" &amp; AM$37 &amp;  "'!V12"),0)</f>
        <v>83.814285856074207</v>
      </c>
      <c r="AN39" s="9" cm="1">
        <f t="array" aca="1" ref="AN39" ca="1">IFERROR(INDIRECT("'" &amp; AN$37 &amp;  "'!V12"),0)</f>
        <v>72.119840244999565</v>
      </c>
      <c r="AO39" s="9" cm="1">
        <f t="array" aca="1" ref="AO39" ca="1">IFERROR(INDIRECT("'" &amp; AO$37 &amp;  "'!V12"),0)</f>
        <v>42.347366790310744</v>
      </c>
      <c r="AP39" s="9" cm="1">
        <f t="array" aca="1" ref="AP39" ca="1">IFERROR(INDIRECT("'" &amp; AP$37 &amp;  "'!V12"),0)</f>
        <v>12.814123262670245</v>
      </c>
      <c r="AQ39" s="9" cm="1">
        <f t="array" aca="1" ref="AQ39" ca="1">IFERROR(INDIRECT("'" &amp; AQ$37 &amp;  "'!V12"),0)</f>
        <v>-15.648427158276279</v>
      </c>
      <c r="AR39" s="9" cm="1">
        <f t="array" aca="1" ref="AR39" ca="1">IFERROR(INDIRECT("'" &amp; AR$37 &amp;  "'!V12"),0)</f>
        <v>6.3457601885739345</v>
      </c>
      <c r="AS39" s="9" cm="1">
        <f t="array" aca="1" ref="AS39" ca="1">IFERROR(INDIRECT("'" &amp; AS$37 &amp;  "'!V12"),0)</f>
        <v>37.146111291897171</v>
      </c>
      <c r="AT39" s="9" cm="1">
        <f t="array" aca="1" ref="AT39" ca="1">IFERROR(INDIRECT("'" &amp; AT$37 &amp;  "'!V12"),0)</f>
        <v>22.07135563263461</v>
      </c>
      <c r="AU39" s="9" cm="1">
        <f t="array" aca="1" ref="AU39" ca="1">IFERROR(INDIRECT("'" &amp; AU$37 &amp;  "'!V12"),0)</f>
        <v>0</v>
      </c>
      <c r="BG39" s="6" t="s">
        <v>15</v>
      </c>
      <c r="BH39" s="16" t="e">
        <f>BH44</f>
        <v>#REF!</v>
      </c>
      <c r="BI39" s="16" t="e">
        <f>BI44</f>
        <v>#REF!</v>
      </c>
      <c r="BN39" s="8" t="s">
        <v>325</v>
      </c>
      <c r="BO39" s="6">
        <v>0.218</v>
      </c>
      <c r="BP39" s="16" t="e">
        <f>AVERAGE(#REF!,#REF!)</f>
        <v>#REF!</v>
      </c>
      <c r="BQ39" s="16" t="e">
        <f>AVERAGE(#REF!,#REF!)</f>
        <v>#REF!</v>
      </c>
      <c r="BU39" s="8" t="s">
        <v>327</v>
      </c>
      <c r="BV39" s="6">
        <v>0.54500000000000004</v>
      </c>
      <c r="BW39" s="6" t="s">
        <v>9</v>
      </c>
      <c r="BX39" s="16" t="e">
        <f>AVERAGE(#REF!,#REF!)</f>
        <v>#REF!</v>
      </c>
      <c r="BY39" s="16" t="e">
        <f>AVERAGE(#REF!,#REF!)</f>
        <v>#REF!</v>
      </c>
      <c r="CC39" s="8" t="s">
        <v>339</v>
      </c>
      <c r="CD39" s="6">
        <v>0.54500000000000004</v>
      </c>
      <c r="CE39" s="6" t="s">
        <v>8</v>
      </c>
      <c r="CF39" s="16" t="e">
        <f>AVERAGE(#REF!,#REF!)</f>
        <v>#REF!</v>
      </c>
      <c r="CG39" s="16" t="e">
        <f>AVERAGE(#REF!,#REF!)</f>
        <v>#REF!</v>
      </c>
    </row>
    <row r="40" spans="1:85" ht="30" customHeight="1" x14ac:dyDescent="0.35">
      <c r="A40" s="8" t="s">
        <v>326</v>
      </c>
      <c r="B40" s="73" t="str">
        <f>'Date Key'!$G59</f>
        <v>High HLR, Lower Outlet Height, No Plants</v>
      </c>
      <c r="C40" s="100">
        <f>'Date Key'!$C$31</f>
        <v>0.54361255250803064</v>
      </c>
      <c r="D40" s="6" t="str">
        <f>'Date Key'!$G$31</f>
        <v>Lower</v>
      </c>
      <c r="E40" s="9" cm="1">
        <f t="array" aca="1" ref="E40" ca="1">IFERROR(INDIRECT("'" &amp; E$37 &amp;  "'!S24"),0)</f>
        <v>-166.60104986876635</v>
      </c>
      <c r="F40" s="9" cm="1">
        <f t="array" aca="1" ref="F40" ca="1">IFERROR(INDIRECT("'" &amp; F$37 &amp;  "'!S24"),0)</f>
        <v>-122.38279150043854</v>
      </c>
      <c r="G40" s="9" cm="1">
        <f t="array" aca="1" ref="G40" ca="1">IFERROR(INDIRECT("'" &amp; G$37 &amp;  "'!S24"),0)</f>
        <v>83.229887345086198</v>
      </c>
      <c r="H40" s="9" cm="1">
        <f t="array" aca="1" ref="H40" ca="1">IFERROR(INDIRECT("'" &amp; H$37 &amp;  "'!S24"),0)</f>
        <v>61.537160674502758</v>
      </c>
      <c r="I40" s="9" cm="1">
        <f t="array" aca="1" ref="I40" ca="1">IFERROR(INDIRECT("'" &amp; I$37 &amp;  "'!S24"),0)</f>
        <v>13.055168983689214</v>
      </c>
      <c r="J40" s="9" cm="1">
        <f t="array" aca="1" ref="J40" ca="1">IFERROR(INDIRECT("'" &amp; J$37 &amp;  "'!S24"),0)</f>
        <v>15.629130033749538</v>
      </c>
      <c r="K40" s="9" cm="1">
        <f t="array" aca="1" ref="K40" ca="1">IFERROR(INDIRECT("'" &amp; K$37 &amp;  "'!S24"),0)</f>
        <v>-1.812774432050879</v>
      </c>
      <c r="L40" s="9" cm="1">
        <f t="array" aca="1" ref="L40" ca="1">IFERROR(INDIRECT("'" &amp; L$37 &amp;  "'!S24"),0)</f>
        <v>4.6854411283495887</v>
      </c>
      <c r="M40" s="9" cm="1">
        <f t="array" aca="1" ref="M40" ca="1">IFERROR(INDIRECT("'" &amp; M$37 &amp;  "'!S24"),0)</f>
        <v>14.719187168609865</v>
      </c>
      <c r="N40" s="9" cm="1">
        <f t="array" aca="1" ref="N40" ca="1">IFERROR(INDIRECT("'" &amp; N$37 &amp;  "'!S24"),0)</f>
        <v>1.1523849507546482</v>
      </c>
      <c r="O40" s="9" cm="1">
        <f t="array" aca="1" ref="O40" ca="1">IFERROR(INDIRECT("'" &amp; O$37 &amp;  "'!S24"),0)</f>
        <v>0</v>
      </c>
      <c r="Q40" s="8" t="s">
        <v>326</v>
      </c>
      <c r="R40" s="73" t="s">
        <v>459</v>
      </c>
      <c r="S40" s="100">
        <f>'Date Key'!$C$31</f>
        <v>0.54361255250803064</v>
      </c>
      <c r="T40" s="6" t="str">
        <f>'Date Key'!$G$31</f>
        <v>Lower</v>
      </c>
      <c r="U40" s="9" cm="1">
        <f t="array" aca="1" ref="U40" ca="1">IFERROR(INDIRECT("'" &amp; U$37 &amp;  "'!S27"),0)</f>
        <v>-179.28528164748636</v>
      </c>
      <c r="V40" s="9" cm="1">
        <f t="array" aca="1" ref="V40" ca="1">IFERROR(INDIRECT("'" &amp; V$37 &amp;  "'!S27"),0)</f>
        <v>-63.557140027728245</v>
      </c>
      <c r="W40" s="9" cm="1">
        <f t="array" aca="1" ref="W40" ca="1">IFERROR(INDIRECT("'" &amp; W$37 &amp;  "'!S27"),0)</f>
        <v>51.530333849564862</v>
      </c>
      <c r="X40" s="9" cm="1">
        <f t="array" aca="1" ref="X40" ca="1">IFERROR(INDIRECT("'" &amp; X$37 &amp;  "'!S27"),0)</f>
        <v>37.41879605194827</v>
      </c>
      <c r="Y40" s="9" cm="1">
        <f t="array" aca="1" ref="Y40" ca="1">IFERROR(INDIRECT("'" &amp; Y$37 &amp;  "'!S27"),0)</f>
        <v>-51.053657281596436</v>
      </c>
      <c r="Z40" s="9" cm="1">
        <f t="array" aca="1" ref="Z40" ca="1">IFERROR(INDIRECT("'" &amp; Z$37 &amp;  "'!S27"),0)</f>
        <v>-10.443674188958257</v>
      </c>
      <c r="AA40" s="9" cm="1">
        <f t="array" aca="1" ref="AA40" ca="1">IFERROR(INDIRECT("'" &amp; AA$37 &amp;  "'!S27"),0)</f>
        <v>-5.594352120955282</v>
      </c>
      <c r="AB40" s="9" cm="1">
        <f t="array" aca="1" ref="AB40" ca="1">IFERROR(INDIRECT("'" &amp; AB$37 &amp;  "'!S27"),0)</f>
        <v>4.4560401244209675</v>
      </c>
      <c r="AC40" s="9" cm="1">
        <f t="array" aca="1" ref="AC40" ca="1">IFERROR(INDIRECT("'" &amp; AC$37 &amp;  "'!S27"),0)</f>
        <v>-28.327903923218155</v>
      </c>
      <c r="AD40" s="9" cm="1">
        <f t="array" aca="1" ref="AD40" ca="1">IFERROR(INDIRECT("'" &amp; AD$37 &amp;  "'!S27"),0)</f>
        <v>9.8832162107087793</v>
      </c>
      <c r="AE40" s="9" cm="1">
        <f t="array" aca="1" ref="AE40" ca="1">IFERROR(INDIRECT("'" &amp; AE$37 &amp;  "'!S27"),0)</f>
        <v>0</v>
      </c>
      <c r="AG40" s="8" t="s">
        <v>326</v>
      </c>
      <c r="AH40" s="73" t="s">
        <v>459</v>
      </c>
      <c r="AI40" s="100">
        <f>'Date Key'!$C$31</f>
        <v>0.54361255250803064</v>
      </c>
      <c r="AJ40" s="6" t="str">
        <f>'Date Key'!$G$31</f>
        <v>Lower</v>
      </c>
      <c r="AK40" s="9" cm="1">
        <f t="array" aca="1" ref="AK40" ca="1">IFERROR(INDIRECT("'" &amp; AK$37 &amp;  "'!V21"),0)</f>
        <v>0.54644808743169992</v>
      </c>
      <c r="AL40" s="9" cm="1">
        <f t="array" aca="1" ref="AL40" ca="1">IFERROR(INDIRECT("'" &amp; AL$37 &amp;  "'!V21"),0)</f>
        <v>-104.26829268292681</v>
      </c>
      <c r="AM40" s="9" cm="1">
        <f t="array" aca="1" ref="AM40" ca="1">IFERROR(INDIRECT("'" &amp; AM$37 &amp;  "'!V21"),0)</f>
        <v>67.096690122491523</v>
      </c>
      <c r="AN40" s="9" cm="1">
        <f t="array" aca="1" ref="AN40" ca="1">IFERROR(INDIRECT("'" &amp; AN$37 &amp;  "'!V21"),0)</f>
        <v>49.299104372202507</v>
      </c>
      <c r="AO40" s="9" cm="1">
        <f t="array" aca="1" ref="AO40" ca="1">IFERROR(INDIRECT("'" &amp; AO$37 &amp;  "'!V21"),0)</f>
        <v>-2.9404308673300861</v>
      </c>
      <c r="AP40" s="9" cm="1">
        <f t="array" aca="1" ref="AP40" ca="1">IFERROR(INDIRECT("'" &amp; AP$37 &amp;  "'!V21"),0)</f>
        <v>2.8207607994841846</v>
      </c>
      <c r="AQ40" s="9" cm="1">
        <f t="array" aca="1" ref="AQ40" ca="1">IFERROR(INDIRECT("'" &amp; AQ$37 &amp;  "'!V21"),0)</f>
        <v>-2.5184994278563355</v>
      </c>
      <c r="AR40" s="9" cm="1">
        <f t="array" aca="1" ref="AR40" ca="1">IFERROR(INDIRECT("'" &amp; AR$37 &amp;  "'!V21"),0)</f>
        <v>4.6889089269612327</v>
      </c>
      <c r="AS40" s="9" cm="1">
        <f t="array" aca="1" ref="AS40" ca="1">IFERROR(INDIRECT("'" &amp; AS$37 &amp;  "'!V21"),0)</f>
        <v>7.5112951807228985</v>
      </c>
      <c r="AT40" s="9" cm="1">
        <f t="array" aca="1" ref="AT40" ca="1">IFERROR(INDIRECT("'" &amp; AT$37 &amp;  "'!V21"),0)</f>
        <v>6.1929925946226092</v>
      </c>
      <c r="AU40" s="9" cm="1">
        <f t="array" aca="1" ref="AU40" ca="1">IFERROR(INDIRECT("'" &amp; AU$37 &amp;  "'!V21"),0)</f>
        <v>79.004446372410811</v>
      </c>
      <c r="BN40" s="8" t="s">
        <v>326</v>
      </c>
      <c r="BO40" s="6">
        <v>0.54500000000000004</v>
      </c>
      <c r="BP40" s="16" t="e">
        <f>AVERAGE(#REF!,#REF!)</f>
        <v>#REF!</v>
      </c>
      <c r="BQ40" s="16" t="e">
        <f>AVERAGE(#REF!,#REF!)</f>
        <v>#REF!</v>
      </c>
      <c r="BX40" s="16" t="e">
        <f>STDEV(#REF!,#REF!)</f>
        <v>#REF!</v>
      </c>
      <c r="BY40" s="16" t="e">
        <f>STDEV(#REF!,#REF!)</f>
        <v>#REF!</v>
      </c>
      <c r="CF40" s="16" t="e">
        <f>STDEV(#REF!,#REF!)</f>
        <v>#REF!</v>
      </c>
      <c r="CG40" s="16" t="e">
        <f>STDEV(#REF!,#REF!)</f>
        <v>#REF!</v>
      </c>
    </row>
    <row r="41" spans="1:85" ht="30" customHeight="1" x14ac:dyDescent="0.35">
      <c r="A41" s="8" t="s">
        <v>327</v>
      </c>
      <c r="B41" s="73" t="str">
        <f>'Date Key'!$G60</f>
        <v>High HLR, Upper Outlet Height, No Plants</v>
      </c>
      <c r="C41" s="100">
        <f>'Date Key'!$C$34</f>
        <v>0.54361255250803064</v>
      </c>
      <c r="D41" s="6" t="str">
        <f>'Date Key'!$G$34</f>
        <v>Upper</v>
      </c>
      <c r="E41" s="9" cm="1">
        <f t="array" aca="1" ref="E41" ca="1">IFERROR(INDIRECT("'" &amp; E$37 &amp;  "'!S33"),0)</f>
        <v>60.738055981958439</v>
      </c>
      <c r="F41" s="9" cm="1">
        <f t="array" aca="1" ref="F41" ca="1">IFERROR(INDIRECT("'" &amp; F$37 &amp;  "'!S33"),0)</f>
        <v>-104.85987343406947</v>
      </c>
      <c r="G41" s="9" cm="1">
        <f t="array" aca="1" ref="G41" ca="1">IFERROR(INDIRECT("'" &amp; G$37 &amp;  "'!S33"),0)</f>
        <v>85.681595776038122</v>
      </c>
      <c r="H41" s="9" cm="1">
        <f t="array" aca="1" ref="H41" ca="1">IFERROR(INDIRECT("'" &amp; H$37 &amp;  "'!S33"),0)</f>
        <v>71.189650851778126</v>
      </c>
      <c r="I41" s="9" cm="1">
        <f t="array" aca="1" ref="I41" ca="1">IFERROR(INDIRECT("'" &amp; I$37 &amp;  "'!S33"),0)</f>
        <v>30.181576120977457</v>
      </c>
      <c r="J41" s="9" cm="1">
        <f t="array" aca="1" ref="J41" ca="1">IFERROR(INDIRECT("'" &amp; J$37 &amp;  "'!S33"),0)</f>
        <v>28.373081302004483</v>
      </c>
      <c r="K41" s="9" cm="1">
        <f t="array" aca="1" ref="K41" ca="1">IFERROR(INDIRECT("'" &amp; K$37 &amp;  "'!S33"),0)</f>
        <v>-5.18253555139081</v>
      </c>
      <c r="L41" s="9" cm="1">
        <f t="array" aca="1" ref="L41" ca="1">IFERROR(INDIRECT("'" &amp; L$37 &amp;  "'!S33"),0)</f>
        <v>7.8920848012287381</v>
      </c>
      <c r="M41" s="9" cm="1">
        <f t="array" aca="1" ref="M41" ca="1">IFERROR(INDIRECT("'" &amp; M$37 &amp;  "'!S33"),0)</f>
        <v>20.242898910518889</v>
      </c>
      <c r="N41" s="9" cm="1">
        <f t="array" aca="1" ref="N41" ca="1">IFERROR(INDIRECT("'" &amp; N$37 &amp;  "'!S33"),0)</f>
        <v>9.0327433318250154</v>
      </c>
      <c r="O41" s="9" cm="1">
        <f t="array" aca="1" ref="O41" ca="1">IFERROR(INDIRECT("'" &amp; O$37 &amp;  "'!S33"),0)</f>
        <v>81.478571020460024</v>
      </c>
      <c r="Q41" s="8" t="s">
        <v>327</v>
      </c>
      <c r="R41" s="73" t="s">
        <v>460</v>
      </c>
      <c r="S41" s="100">
        <f>'Date Key'!$C$34</f>
        <v>0.54361255250803064</v>
      </c>
      <c r="T41" s="6" t="str">
        <f>'Date Key'!$G$34</f>
        <v>Upper</v>
      </c>
      <c r="U41" s="9" cm="1">
        <f t="array" aca="1" ref="U41" ca="1">IFERROR(INDIRECT("'" &amp; U$37 &amp;  "'!S36"),0)</f>
        <v>39.215134459036896</v>
      </c>
      <c r="V41" s="9" cm="1">
        <f t="array" aca="1" ref="V41" ca="1">IFERROR(INDIRECT("'" &amp; V$37 &amp;  "'!S36"),0)</f>
        <v>-96.33862843858968</v>
      </c>
      <c r="W41" s="9" cm="1">
        <f t="array" aca="1" ref="W41" ca="1">IFERROR(INDIRECT("'" &amp; W$37 &amp;  "'!S36"),0)</f>
        <v>65.122987014227164</v>
      </c>
      <c r="X41" s="9" cm="1">
        <f t="array" aca="1" ref="X41" ca="1">IFERROR(INDIRECT("'" &amp; X$37 &amp;  "'!S36"),0)</f>
        <v>50.818501316678997</v>
      </c>
      <c r="Y41" s="9" cm="1">
        <f t="array" aca="1" ref="Y41" ca="1">IFERROR(INDIRECT("'" &amp; Y$37 &amp;  "'!S36"),0)</f>
        <v>-41.50904735345744</v>
      </c>
      <c r="Z41" s="9" cm="1">
        <f t="array" aca="1" ref="Z41" ca="1">IFERROR(INDIRECT("'" &amp; Z$37 &amp;  "'!S36"),0)</f>
        <v>22.636861139130804</v>
      </c>
      <c r="AA41" s="9" cm="1">
        <f t="array" aca="1" ref="AA41" ca="1">IFERROR(INDIRECT("'" &amp; AA$37 &amp;  "'!S36"),0)</f>
        <v>-7.6754123449112184</v>
      </c>
      <c r="AB41" s="9" cm="1">
        <f t="array" aca="1" ref="AB41" ca="1">IFERROR(INDIRECT("'" &amp; AB$37 &amp;  "'!S36"),0)</f>
        <v>7.6603730915586183</v>
      </c>
      <c r="AC41" s="9" cm="1">
        <f t="array" aca="1" ref="AC41" ca="1">IFERROR(INDIRECT("'" &amp; AC$37 &amp;  "'!S36"),0)</f>
        <v>-14.997836239525661</v>
      </c>
      <c r="AD41" s="9" cm="1">
        <f t="array" aca="1" ref="AD41" ca="1">IFERROR(INDIRECT("'" &amp; AD$37 &amp;  "'!S36"),0)</f>
        <v>27.942648332150672</v>
      </c>
      <c r="AE41" s="9" cm="1">
        <f t="array" aca="1" ref="AE41" ca="1">IFERROR(INDIRECT("'" &amp; AE$37 &amp;  "'!S36"),0)</f>
        <v>82.523344459131351</v>
      </c>
      <c r="AG41" s="8" t="s">
        <v>327</v>
      </c>
      <c r="AH41" s="73" t="s">
        <v>460</v>
      </c>
      <c r="AI41" s="100">
        <f>'Date Key'!$C$34</f>
        <v>0.54361255250803064</v>
      </c>
      <c r="AJ41" s="6" t="str">
        <f>'Date Key'!$G$34</f>
        <v>Upper</v>
      </c>
      <c r="AK41" s="9" cm="1">
        <f t="array" aca="1" ref="AK41" ca="1">IFERROR(INDIRECT("'" &amp; AK$37 &amp;  "'!V30"),0)</f>
        <v>49.025266333553326</v>
      </c>
      <c r="AL41" s="9" cm="1">
        <f t="array" aca="1" ref="AL41" ca="1">IFERROR(INDIRECT("'" &amp; AL$37 &amp;  "'!V30"),0)</f>
        <v>-63.133133622627938</v>
      </c>
      <c r="AM41" s="9" cm="1">
        <f t="array" aca="1" ref="AM41" ca="1">IFERROR(INDIRECT("'" &amp; AM$37 &amp;  "'!V30"),0)</f>
        <v>75.910821158164595</v>
      </c>
      <c r="AN41" s="9" cm="1">
        <f t="array" aca="1" ref="AN41" ca="1">IFERROR(INDIRECT("'" &amp; AN$37 &amp;  "'!V30"),0)</f>
        <v>61.624622291402105</v>
      </c>
      <c r="AO41" s="9" cm="1">
        <f t="array" aca="1" ref="AO41" ca="1">IFERROR(INDIRECT("'" &amp; AO$37 &amp;  "'!V30"),0)</f>
        <v>13.127473536814298</v>
      </c>
      <c r="AP41" s="9" cm="1">
        <f t="array" aca="1" ref="AP41" ca="1">IFERROR(INDIRECT("'" &amp; AP$37 &amp;  "'!V30"),0)</f>
        <v>25.375088107944819</v>
      </c>
      <c r="AQ41" s="9" cm="1">
        <f t="array" aca="1" ref="AQ41" ca="1">IFERROR(INDIRECT("'" &amp; AQ$37 &amp;  "'!V30"),0)</f>
        <v>-6.1794891021908267</v>
      </c>
      <c r="AR41" s="9" cm="1">
        <f t="array" aca="1" ref="AR41" ca="1">IFERROR(INDIRECT("'" &amp; AR$37 &amp;  "'!V30"),0)</f>
        <v>7.8516639487829885</v>
      </c>
      <c r="AS41" s="9" cm="1">
        <f t="array" aca="1" ref="AS41" ca="1">IFERROR(INDIRECT("'" &amp; AS$37 &amp;  "'!V30"),0)</f>
        <v>-1.0922286202183109</v>
      </c>
      <c r="AT41" s="9" cm="1">
        <f t="array" aca="1" ref="AT41" ca="1">IFERROR(INDIRECT("'" &amp; AT$37 &amp;  "'!V30"),0)</f>
        <v>17.848661406196641</v>
      </c>
      <c r="AU41" s="9" cm="1">
        <f t="array" aca="1" ref="AU41" ca="1">IFERROR(INDIRECT("'" &amp; AU$37 &amp;  "'!V30"),0)</f>
        <v>83.220237072667942</v>
      </c>
      <c r="BO41" s="4"/>
      <c r="BP41" s="17"/>
      <c r="BQ41" s="17"/>
      <c r="BX41" s="16" t="e">
        <f>STDEV(#REF!,#REF!)</f>
        <v>#REF!</v>
      </c>
      <c r="BY41" s="16" t="e">
        <f>STDEV(#REF!,#REF!)</f>
        <v>#REF!</v>
      </c>
      <c r="CF41" s="16" t="e">
        <f>STDEV(#REF!,#REF!)</f>
        <v>#REF!</v>
      </c>
      <c r="CG41" s="16" t="e">
        <f>STDEV(#REF!,#REF!)</f>
        <v>#REF!</v>
      </c>
    </row>
    <row r="42" spans="1:85" ht="30" customHeight="1" x14ac:dyDescent="0.35">
      <c r="A42" s="8" t="s">
        <v>471</v>
      </c>
      <c r="B42" s="73" t="str">
        <f>'Date Key'!$G61</f>
        <v>High HLR, Lower Outlet Height, Yes Plants</v>
      </c>
      <c r="C42" s="100">
        <f>'Date Key'!$C$37</f>
        <v>0.54361255250803064</v>
      </c>
      <c r="D42" s="6" t="str">
        <f>'Date Key'!$G$37</f>
        <v>Lower</v>
      </c>
      <c r="E42" s="9" cm="1">
        <f t="array" aca="1" ref="E42" ca="1">IFERROR(INDIRECT("'" &amp; E$37 &amp;  "'!S42"),0)</f>
        <v>-641.25064353886978</v>
      </c>
      <c r="F42" s="9" cm="1">
        <f t="array" aca="1" ref="F42" ca="1">IFERROR(INDIRECT("'" &amp; F$37 &amp;  "'!S42"),0)</f>
        <v>-488.66666666666669</v>
      </c>
      <c r="G42" s="9" cm="1">
        <f t="array" aca="1" ref="G42" ca="1">IFERROR(INDIRECT("'" &amp; G$37 &amp;  "'!S42"),0)</f>
        <v>55.695733201785849</v>
      </c>
      <c r="H42" s="9" cm="1">
        <f t="array" aca="1" ref="H42" ca="1">IFERROR(INDIRECT("'" &amp; H$37 &amp;  "'!S42"),0)</f>
        <v>39.244093421650668</v>
      </c>
      <c r="I42" s="9" cm="1">
        <f t="array" aca="1" ref="I42" ca="1">IFERROR(INDIRECT("'" &amp; I$37 &amp;  "'!S42"),0)</f>
        <v>-37.257820994006941</v>
      </c>
      <c r="J42" s="9" cm="1">
        <f t="array" aca="1" ref="J42" ca="1">IFERROR(INDIRECT("'" &amp; J$37 &amp;  "'!S42"),0)</f>
        <v>4.42949320960299</v>
      </c>
      <c r="K42" s="9" cm="1">
        <f t="array" aca="1" ref="K42" ca="1">IFERROR(INDIRECT("'" &amp; K$37 &amp;  "'!S42"),0)</f>
        <v>-12.113392334374732</v>
      </c>
      <c r="L42" s="9" cm="1">
        <f t="array" aca="1" ref="L42" ca="1">IFERROR(INDIRECT("'" &amp; L$37 &amp;  "'!S42"),0)</f>
        <v>5.7511593758112838</v>
      </c>
      <c r="M42" s="9" cm="1">
        <f t="array" aca="1" ref="M42" ca="1">IFERROR(INDIRECT("'" &amp; M$37 &amp;  "'!S42"),0)</f>
        <v>-12.020407254782256</v>
      </c>
      <c r="N42" s="9" cm="1">
        <f t="array" aca="1" ref="N42" ca="1">IFERROR(INDIRECT("'" &amp; N$37 &amp;  "'!S42"),0)</f>
        <v>9.6588627938613083</v>
      </c>
      <c r="O42" s="9" cm="1">
        <f t="array" aca="1" ref="O42" ca="1">IFERROR(INDIRECT("'" &amp; O$37 &amp;  "'!S42"),0)</f>
        <v>0</v>
      </c>
      <c r="Q42" s="8" t="s">
        <v>471</v>
      </c>
      <c r="R42" s="73" t="s">
        <v>461</v>
      </c>
      <c r="S42" s="100">
        <f>'Date Key'!$C$37</f>
        <v>0.54361255250803064</v>
      </c>
      <c r="T42" s="6" t="str">
        <f>'Date Key'!$G$37</f>
        <v>Lower</v>
      </c>
      <c r="U42" s="9" cm="1">
        <f t="array" aca="1" ref="U42" ca="1">IFERROR(INDIRECT("'" &amp; U$37 &amp;  "'!S45"),0)</f>
        <v>-288.61431230446323</v>
      </c>
      <c r="V42" s="9" cm="1">
        <f t="array" aca="1" ref="V42" ca="1">IFERROR(INDIRECT("'" &amp; V$37 &amp;  "'!S45"),0)</f>
        <v>-120.09523809523803</v>
      </c>
      <c r="W42" s="9" cm="1">
        <f t="array" aca="1" ref="W42" ca="1">IFERROR(INDIRECT("'" &amp; W$37 &amp;  "'!S45"),0)</f>
        <v>30.688223934219511</v>
      </c>
      <c r="X42" s="9" cm="1">
        <f t="array" aca="1" ref="X42" ca="1">IFERROR(INDIRECT("'" &amp; X$37 &amp;  "'!S45"),0)</f>
        <v>26.240748842393618</v>
      </c>
      <c r="Y42" s="9" cm="1">
        <f t="array" aca="1" ref="Y42" ca="1">IFERROR(INDIRECT("'" &amp; Y$37 &amp;  "'!S45"),0)</f>
        <v>-140.79547568482215</v>
      </c>
      <c r="Z42" s="9" cm="1">
        <f t="array" aca="1" ref="Z42" ca="1">IFERROR(INDIRECT("'" &amp; Z$37 &amp;  "'!S45"),0)</f>
        <v>-18.218238884223002</v>
      </c>
      <c r="AA42" s="9" cm="1">
        <f t="array" aca="1" ref="AA42" ca="1">IFERROR(INDIRECT("'" &amp; AA$37 &amp;  "'!S45"),0)</f>
        <v>-9.5752323142415143</v>
      </c>
      <c r="AB42" s="9" cm="1">
        <f t="array" aca="1" ref="AB42" ca="1">IFERROR(INDIRECT("'" &amp; AB$37 &amp;  "'!S45"),0)</f>
        <v>3.6578474524108118</v>
      </c>
      <c r="AC42" s="9" cm="1">
        <f t="array" aca="1" ref="AC42" ca="1">IFERROR(INDIRECT("'" &amp; AC$37 &amp;  "'!S45"),0)</f>
        <v>-68.430536477411465</v>
      </c>
      <c r="AD42" s="9" cm="1">
        <f t="array" aca="1" ref="AD42" ca="1">IFERROR(INDIRECT("'" &amp; AD$37 &amp;  "'!S45"),0)</f>
        <v>8.4546564002030493</v>
      </c>
      <c r="AE42" s="9" cm="1">
        <f t="array" aca="1" ref="AE42" ca="1">IFERROR(INDIRECT("'" &amp; AE$37 &amp;  "'!S45"),0)</f>
        <v>0</v>
      </c>
      <c r="AG42" s="8" t="s">
        <v>471</v>
      </c>
      <c r="AH42" s="73" t="s">
        <v>461</v>
      </c>
      <c r="AI42" s="100">
        <f>'Date Key'!$C$37</f>
        <v>0.54361255250803064</v>
      </c>
      <c r="AJ42" s="6" t="str">
        <f>'Date Key'!$G$37</f>
        <v>Lower</v>
      </c>
      <c r="AK42" s="9" cm="1">
        <f t="array" aca="1" ref="AK42" ca="1">IFERROR(INDIRECT("'" &amp; AK$37 &amp;  "'!V39"),0)</f>
        <v>-9.4843462246776813</v>
      </c>
      <c r="AL42" s="9" cm="1">
        <f t="array" aca="1" ref="AL42" ca="1">IFERROR(INDIRECT("'" &amp; AL$37 &amp;  "'!V39"),0)</f>
        <v>-276.36363636363632</v>
      </c>
      <c r="AM42" s="9" cm="1">
        <f t="array" aca="1" ref="AM42" ca="1">IFERROR(INDIRECT("'" &amp; AM$37 &amp;  "'!V39"),0)</f>
        <v>42.733151803948275</v>
      </c>
      <c r="AN42" s="9" cm="1">
        <f t="array" aca="1" ref="AN42" ca="1">IFERROR(INDIRECT("'" &amp; AN$37 &amp;  "'!V39"),0)</f>
        <v>32.784900012942927</v>
      </c>
      <c r="AO42" s="9" cm="1">
        <f t="array" aca="1" ref="AO42" ca="1">IFERROR(INDIRECT("'" &amp; AO$37 &amp;  "'!V39"),0)</f>
        <v>22.408376963350769</v>
      </c>
      <c r="AP42" s="9" cm="1">
        <f t="array" aca="1" ref="AP42" ca="1">IFERROR(INDIRECT("'" &amp; AP$37 &amp;  "'!V39"),0)</f>
        <v>-7.426267769997879</v>
      </c>
      <c r="AQ42" s="9" cm="1">
        <f t="array" aca="1" ref="AQ42" ca="1">IFERROR(INDIRECT("'" &amp; AQ$37 &amp;  "'!V39"),0)</f>
        <v>-9.3536897300307125</v>
      </c>
      <c r="AR42" s="9" cm="1">
        <f t="array" aca="1" ref="AR42" ca="1">IFERROR(INDIRECT("'" &amp; AR$37 &amp;  "'!V39"),0)</f>
        <v>4.8496968939440999</v>
      </c>
      <c r="AS42" s="9" cm="1">
        <f t="array" aca="1" ref="AS42" ca="1">IFERROR(INDIRECT("'" &amp; AS$37 &amp;  "'!V39"),0)</f>
        <v>17.508710801393754</v>
      </c>
      <c r="AT42" s="9" cm="1">
        <f t="array" aca="1" ref="AT42" ca="1">IFERROR(INDIRECT("'" &amp; AT$37 &amp;  "'!V39"),0)</f>
        <v>9.4303203902552202</v>
      </c>
      <c r="AU42" s="9" cm="1">
        <f t="array" aca="1" ref="AU42" ca="1">IFERROR(INDIRECT("'" &amp; AU$37 &amp;  "'!V39"),0)</f>
        <v>0</v>
      </c>
    </row>
    <row r="43" spans="1:85" ht="30" customHeight="1" x14ac:dyDescent="0.35">
      <c r="A43" s="74" t="s">
        <v>472</v>
      </c>
      <c r="B43" s="75" t="str">
        <f>'Date Key'!$G62</f>
        <v>Medium HLR, Upper Outlet Height, Yes Plants</v>
      </c>
      <c r="C43" s="146">
        <f>'Date Key'!$C$40</f>
        <v>0.21744502100321225</v>
      </c>
      <c r="D43" s="76" t="str">
        <f>'Date Key'!$G$40</f>
        <v>Upper</v>
      </c>
      <c r="E43" s="77" cm="1">
        <f t="array" aca="1" ref="E43" ca="1">IFERROR(INDIRECT("'" &amp; E$37 &amp;  "'!S51"),0)</f>
        <v>0</v>
      </c>
      <c r="F43" s="77" cm="1">
        <f t="array" aca="1" ref="F43" ca="1">IFERROR(INDIRECT("'" &amp; F$37 &amp;  "'!S51"),0)</f>
        <v>-52.691350844883829</v>
      </c>
      <c r="G43" s="77" cm="1">
        <f t="array" aca="1" ref="G43" ca="1">IFERROR(INDIRECT("'" &amp; G$37 &amp;  "'!S51"),0)</f>
        <v>94.475533247866565</v>
      </c>
      <c r="H43" s="77" cm="1">
        <f t="array" aca="1" ref="H43" ca="1">IFERROR(INDIRECT("'" &amp; H$37 &amp;  "'!S51"),0)</f>
        <v>83.698045879174444</v>
      </c>
      <c r="I43" s="77" cm="1">
        <f t="array" aca="1" ref="I43" ca="1">IFERROR(INDIRECT("'" &amp; I$37 &amp;  "'!S51"),0)</f>
        <v>54.254349745328028</v>
      </c>
      <c r="J43" s="77" cm="1">
        <f t="array" aca="1" ref="J43" ca="1">IFERROR(INDIRECT("'" &amp; J$37 &amp;  "'!S51"),0)</f>
        <v>-3.2157130209060818</v>
      </c>
      <c r="K43" s="77" cm="1">
        <f t="array" aca="1" ref="K43" ca="1">IFERROR(INDIRECT("'" &amp; K$37 &amp;  "'!S51"),0)</f>
        <v>-53.954904734826293</v>
      </c>
      <c r="L43" s="77" cm="1">
        <f t="array" aca="1" ref="L43" ca="1">IFERROR(INDIRECT("'" &amp; L$37 &amp;  "'!S51"),0)</f>
        <v>12.194402302728349</v>
      </c>
      <c r="M43" s="77" cm="1">
        <f t="array" aca="1" ref="M43" ca="1">IFERROR(INDIRECT("'" &amp; M$37 &amp;  "'!S51"),0)</f>
        <v>43.379872247532212</v>
      </c>
      <c r="N43" s="77" cm="1">
        <f t="array" aca="1" ref="N43" ca="1">IFERROR(INDIRECT("'" &amp; N$37 &amp;  "'!S51"),0)</f>
        <v>54.820940693728595</v>
      </c>
      <c r="O43" s="77" cm="1">
        <f t="array" aca="1" ref="O43" ca="1">IFERROR(INDIRECT("'" &amp; O$37 &amp;  "'!S51"),0)</f>
        <v>0</v>
      </c>
      <c r="Q43" s="74" t="s">
        <v>472</v>
      </c>
      <c r="R43" s="75" t="s">
        <v>535</v>
      </c>
      <c r="S43" s="146">
        <f>'Date Key'!$C$40</f>
        <v>0.21744502100321225</v>
      </c>
      <c r="T43" s="76" t="str">
        <f>'Date Key'!$G$40</f>
        <v>Upper</v>
      </c>
      <c r="U43" s="77" cm="1">
        <f t="array" aca="1" ref="U43" ca="1">IFERROR(INDIRECT("'" &amp; U$37 &amp;  "'!S54"),0)</f>
        <v>0</v>
      </c>
      <c r="V43" s="77" cm="1">
        <f t="array" aca="1" ref="V43" ca="1">IFERROR(INDIRECT("'" &amp; V$37 &amp;  "'!S54"),0)</f>
        <v>-132.68678542380451</v>
      </c>
      <c r="W43" s="77" cm="1">
        <f t="array" aca="1" ref="W43" ca="1">IFERROR(INDIRECT("'" &amp; W$37 &amp;  "'!S54"),0)</f>
        <v>83.810346865248192</v>
      </c>
      <c r="X43" s="77" cm="1">
        <f t="array" aca="1" ref="X43" ca="1">IFERROR(INDIRECT("'" &amp; X$37 &amp;  "'!S54"),0)</f>
        <v>78.596648217975442</v>
      </c>
      <c r="Y43" s="77" cm="1">
        <f t="array" aca="1" ref="Y43" ca="1">IFERROR(INDIRECT("'" &amp; Y$37 &amp;  "'!S54"),0)</f>
        <v>6.9376773874490185</v>
      </c>
      <c r="Z43" s="77" cm="1">
        <f t="array" aca="1" ref="Z43" ca="1">IFERROR(INDIRECT("'" &amp; Z$37 &amp;  "'!S54"),0)</f>
        <v>-14.879071807950844</v>
      </c>
      <c r="AA43" s="77" cm="1">
        <f t="array" aca="1" ref="AA43" ca="1">IFERROR(INDIRECT("'" &amp; AA$37 &amp;  "'!S54"),0)</f>
        <v>-30.720368458984684</v>
      </c>
      <c r="AB43" s="77" cm="1">
        <f t="array" aca="1" ref="AB43" ca="1">IFERROR(INDIRECT("'" &amp; AB$37 &amp;  "'!S54"),0)</f>
        <v>11.363472718255608</v>
      </c>
      <c r="AC43" s="77" cm="1">
        <f t="array" aca="1" ref="AC43" ca="1">IFERROR(INDIRECT("'" &amp; AC$37 &amp;  "'!S54"),0)</f>
        <v>1.5782160758910402</v>
      </c>
      <c r="AD43" s="77" cm="1">
        <f t="array" aca="1" ref="AD43" ca="1">IFERROR(INDIRECT("'" &amp; AD$37 &amp;  "'!S54"),0)</f>
        <v>54.00730641789962</v>
      </c>
      <c r="AE43" s="77" cm="1">
        <f t="array" aca="1" ref="AE43" ca="1">IFERROR(INDIRECT("'" &amp; AE$37 &amp;  "'!S54"),0)</f>
        <v>0</v>
      </c>
      <c r="AG43" s="74" t="s">
        <v>472</v>
      </c>
      <c r="AH43" s="75" t="s">
        <v>535</v>
      </c>
      <c r="AI43" s="146">
        <f>'Date Key'!$C$40</f>
        <v>0.21744502100321225</v>
      </c>
      <c r="AJ43" s="76" t="str">
        <f>'Date Key'!$G$40</f>
        <v>Upper</v>
      </c>
      <c r="AK43" s="77" cm="1">
        <f t="array" aca="1" ref="AK43" ca="1">IFERROR(INDIRECT("'" &amp; AK$37 &amp;  "'!V48"),0)</f>
        <v>-244.54936753338015</v>
      </c>
      <c r="AL43" s="77" cm="1">
        <f t="array" aca="1" ref="AL43" ca="1">IFERROR(INDIRECT("'" &amp; AL$37 &amp;  "'!V48"),0)</f>
        <v>-64.788896989190491</v>
      </c>
      <c r="AM43" s="77" cm="1">
        <f t="array" aca="1" ref="AM43" ca="1">IFERROR(INDIRECT("'" &amp; AM$37 &amp;  "'!V48"),0)</f>
        <v>88.332815017215836</v>
      </c>
      <c r="AN43" s="77" cm="1">
        <f t="array" aca="1" ref="AN43" ca="1">IFERROR(INDIRECT("'" &amp; AN$37 &amp;  "'!V48"),0)</f>
        <v>81.040361954533239</v>
      </c>
      <c r="AO43" s="77" cm="1">
        <f t="array" aca="1" ref="AO43" ca="1">IFERROR(INDIRECT("'" &amp; AO$37 &amp;  "'!V48"),0)</f>
        <v>33.005845044148742</v>
      </c>
      <c r="AP43" s="77" cm="1">
        <f t="array" aca="1" ref="AP43" ca="1">IFERROR(INDIRECT("'" &amp; AP$37 &amp;  "'!V48"),0)</f>
        <v>-8.2567417432582886</v>
      </c>
      <c r="AQ43" s="77" cm="1">
        <f t="array" aca="1" ref="AQ43" ca="1">IFERROR(INDIRECT("'" &amp; AQ$37 &amp;  "'!V48"),0)</f>
        <v>-42.866195573454561</v>
      </c>
      <c r="AR43" s="77" cm="1">
        <f t="array" aca="1" ref="AR43" ca="1">IFERROR(INDIRECT("'" &amp; AR$37 &amp;  "'!V48"),0)</f>
        <v>11.85394588834291</v>
      </c>
      <c r="AS43" s="77" cm="1">
        <f t="array" aca="1" ref="AS43" ca="1">IFERROR(INDIRECT("'" &amp; AS$37 &amp;  "'!V48"),0)</f>
        <v>22.023623178736575</v>
      </c>
      <c r="AT43" s="77" cm="1">
        <f t="array" aca="1" ref="AT43" ca="1">IFERROR(INDIRECT("'" &amp; AT$37 &amp;  "'!V48"),0)</f>
        <v>52.65803751968636</v>
      </c>
      <c r="AU43" s="77" cm="1">
        <f t="array" aca="1" ref="AU43" ca="1">IFERROR(INDIRECT("'" &amp; AU$37 &amp;  "'!V48"),0)</f>
        <v>0</v>
      </c>
      <c r="BH43" s="3" t="e">
        <f>(1-(AVERAGE(#REF!,#REF!,#REF!,#REF!)/AVERAGE(#REF!,#REF!,#REF!,#REF!)))*100</f>
        <v>#REF!</v>
      </c>
      <c r="BI43" s="3" t="e">
        <f>(1-(AVERAGE(#REF!,#REF!,#REF!,#REF!)/AVERAGE(#REF!,#REF!,#REF!,#REF!)))*100</f>
        <v>#REF!</v>
      </c>
    </row>
    <row r="44" spans="1:85" x14ac:dyDescent="0.35">
      <c r="D44" t="s">
        <v>340</v>
      </c>
      <c r="E44" s="1">
        <f ca="1">AVERAGE(E38:E43)</f>
        <v>-150.69773419636033</v>
      </c>
      <c r="F44" s="1">
        <f t="shared" ref="F44:O44" ca="1" si="31">AVERAGE(F38:F43)</f>
        <v>-121.12709246721617</v>
      </c>
      <c r="G44" s="1">
        <f t="shared" ca="1" si="31"/>
        <v>85.333950696970689</v>
      </c>
      <c r="H44" s="1">
        <f t="shared" ca="1" si="31"/>
        <v>70.153842088606922</v>
      </c>
      <c r="I44" s="1">
        <f t="shared" ca="1" si="31"/>
        <v>33.321102741924484</v>
      </c>
      <c r="J44" s="1">
        <f t="shared" ca="1" si="31"/>
        <v>13.164372970285108</v>
      </c>
      <c r="K44" s="1">
        <f t="shared" ca="1" si="31"/>
        <v>-20.355186713242308</v>
      </c>
      <c r="L44" s="1">
        <f t="shared" ca="1" si="31"/>
        <v>7.7551073084191087</v>
      </c>
      <c r="M44" s="1">
        <f t="shared" ca="1" si="31"/>
        <v>24.559801671261976</v>
      </c>
      <c r="N44" s="1">
        <f t="shared" ca="1" si="31"/>
        <v>22.053505959967637</v>
      </c>
      <c r="O44" s="1">
        <f t="shared" ca="1" si="31"/>
        <v>13.579761836743337</v>
      </c>
      <c r="T44" t="s">
        <v>340</v>
      </c>
      <c r="U44" s="1">
        <f ca="1">AVERAGE(U38:U43)</f>
        <v>-58.61635295152292</v>
      </c>
      <c r="V44" s="1">
        <f t="shared" ref="V44" ca="1" si="32">AVERAGE(V38:V43)</f>
        <v>-191.78314181249729</v>
      </c>
      <c r="W44" s="1">
        <f t="shared" ref="W44" ca="1" si="33">AVERAGE(W38:W43)</f>
        <v>61.961190929142596</v>
      </c>
      <c r="X44" s="1">
        <f t="shared" ref="X44" ca="1" si="34">AVERAGE(X38:X43)</f>
        <v>54.591970925605636</v>
      </c>
      <c r="Y44" s="1">
        <f t="shared" ref="Y44" ca="1" si="35">AVERAGE(Y38:Y43)</f>
        <v>-35.170763126089199</v>
      </c>
      <c r="Z44" s="1">
        <f t="shared" ref="Z44" ca="1" si="36">AVERAGE(Z38:Z43)</f>
        <v>-21.888841849487562</v>
      </c>
      <c r="AA44" s="1">
        <f t="shared" ref="AA44" ca="1" si="37">AVERAGE(AA38:AA43)</f>
        <v>-17.461779368305759</v>
      </c>
      <c r="AB44" s="1">
        <f t="shared" ref="AB44" ca="1" si="38">AVERAGE(AB38:AB43)</f>
        <v>7.3940346848212286</v>
      </c>
      <c r="AC44" s="1">
        <f t="shared" ref="AC44" ca="1" si="39">AVERAGE(AC38:AC43)</f>
        <v>-12.463542145136048</v>
      </c>
      <c r="AD44" s="1">
        <f t="shared" ref="AD44" ca="1" si="40">AVERAGE(AD38:AD43)</f>
        <v>29.563725396697038</v>
      </c>
      <c r="AE44" s="1">
        <f t="shared" ref="AE44" ca="1" si="41">AVERAGE(AE38:AE43)</f>
        <v>13.753890743188558</v>
      </c>
      <c r="AJ44" t="s">
        <v>340</v>
      </c>
      <c r="AK44" s="1">
        <f ca="1">AVERAGE(AK38:AK43)</f>
        <v>-33.566822719722332</v>
      </c>
      <c r="AL44" s="1">
        <f t="shared" ref="AL44" ca="1" si="42">AVERAGE(AL38:AL43)</f>
        <v>-125.74918305116115</v>
      </c>
      <c r="AM44" s="1">
        <f t="shared" ref="AM44" ca="1" si="43">AVERAGE(AM38:AM43)</f>
        <v>74.067848660518962</v>
      </c>
      <c r="AN44" s="1">
        <f t="shared" ref="AN44" ca="1" si="44">AVERAGE(AN38:AN43)</f>
        <v>61.842939368609784</v>
      </c>
      <c r="AO44" s="1">
        <f t="shared" ref="AO44" ca="1" si="45">AVERAGE(AO38:AO43)</f>
        <v>28.350071014030576</v>
      </c>
      <c r="AP44" s="1">
        <f t="shared" ref="AP44" ca="1" si="46">AVERAGE(AP38:AP43)</f>
        <v>-5.8350741357203857</v>
      </c>
      <c r="AQ44" s="1">
        <f t="shared" ref="AQ44" ca="1" si="47">AVERAGE(AQ38:AQ43)</f>
        <v>-19.856449724684133</v>
      </c>
      <c r="AR44" s="1">
        <f t="shared" ref="AR44" ca="1" si="48">AVERAGE(AR38:AR43)</f>
        <v>7.6861704835116313</v>
      </c>
      <c r="AS44" s="1">
        <f t="shared" ref="AS44" ca="1" si="49">AVERAGE(AS38:AS43)</f>
        <v>19.248381392705685</v>
      </c>
      <c r="AT44" s="1">
        <f t="shared" ref="AT44" ca="1" si="50">AVERAGE(AT38:AT43)</f>
        <v>28.133823730954102</v>
      </c>
      <c r="AU44" s="1">
        <f t="shared" ref="AU44" ca="1" si="51">AVERAGE(AU38:AU43)</f>
        <v>27.037447240846461</v>
      </c>
      <c r="BH44" s="3" t="e">
        <f>(1-(AVERAGE(#REF!,#REF!,#REF!,#REF!)/AVERAGE(#REF!,#REF!,#REF!,#REF!)))*100</f>
        <v>#REF!</v>
      </c>
      <c r="BI44" s="3" t="e">
        <f>(1-(AVERAGE(#REF!,#REF!,#REF!,#REF!)/AVERAGE(#REF!,#REF!,#REF!,#REF!)))*100</f>
        <v>#REF!</v>
      </c>
      <c r="BP44" s="16" t="e">
        <f>STDEV(#REF!,#REF!)</f>
        <v>#REF!</v>
      </c>
      <c r="BQ44" s="16" t="e">
        <f>STDEV(#REF!,#REF!)</f>
        <v>#REF!</v>
      </c>
    </row>
    <row r="45" spans="1:85" x14ac:dyDescent="0.35">
      <c r="BP45" s="16" t="e">
        <f>STDEV(#REF!,#REF!)</f>
        <v>#REF!</v>
      </c>
      <c r="BQ45" s="16" t="e">
        <f>STDEV(#REF!,#REF!)</f>
        <v>#REF!</v>
      </c>
    </row>
    <row r="46" spans="1:85" ht="32.5" customHeight="1" x14ac:dyDescent="0.35">
      <c r="A46" s="165" t="s">
        <v>328</v>
      </c>
      <c r="B46" s="165"/>
      <c r="C46" s="165"/>
      <c r="D46" s="165"/>
      <c r="E46" s="165"/>
      <c r="F46" s="165"/>
      <c r="G46" s="165"/>
      <c r="I46" s="10"/>
      <c r="J46" s="162" t="s">
        <v>329</v>
      </c>
      <c r="K46" s="163"/>
      <c r="L46" s="164"/>
      <c r="N46" s="165" t="s">
        <v>685</v>
      </c>
      <c r="O46" s="165"/>
      <c r="P46" s="165"/>
      <c r="Q46" s="165"/>
      <c r="R46" s="165"/>
      <c r="S46" s="165"/>
      <c r="U46" s="165" t="s">
        <v>686</v>
      </c>
      <c r="V46" s="165"/>
      <c r="W46" s="165"/>
      <c r="X46" s="165"/>
      <c r="Y46" s="165"/>
      <c r="Z46" s="165"/>
      <c r="AA46" s="165"/>
      <c r="AB46" s="19"/>
      <c r="AC46" s="19"/>
      <c r="AE46" s="165" t="s">
        <v>688</v>
      </c>
      <c r="AF46" s="165"/>
      <c r="AG46" s="165"/>
      <c r="AH46" s="165"/>
      <c r="AI46" s="165"/>
      <c r="AJ46" s="165"/>
      <c r="AL46" s="1"/>
    </row>
    <row r="47" spans="1:85" ht="46.5" x14ac:dyDescent="0.35">
      <c r="A47" s="5" t="s">
        <v>317</v>
      </c>
      <c r="B47" s="5" t="s">
        <v>11</v>
      </c>
      <c r="C47" s="5" t="s">
        <v>318</v>
      </c>
      <c r="D47" s="7" t="s">
        <v>683</v>
      </c>
      <c r="E47" s="7" t="s">
        <v>547</v>
      </c>
      <c r="F47" s="7" t="s">
        <v>684</v>
      </c>
      <c r="G47" s="7" t="s">
        <v>547</v>
      </c>
      <c r="J47" s="5" t="s">
        <v>336</v>
      </c>
      <c r="K47" s="7" t="s">
        <v>683</v>
      </c>
      <c r="L47" s="7" t="s">
        <v>684</v>
      </c>
      <c r="N47" s="5" t="s">
        <v>317</v>
      </c>
      <c r="O47" s="5" t="s">
        <v>11</v>
      </c>
      <c r="P47" s="7" t="s">
        <v>683</v>
      </c>
      <c r="Q47" s="7" t="s">
        <v>547</v>
      </c>
      <c r="R47" s="7" t="s">
        <v>684</v>
      </c>
      <c r="S47" s="7" t="s">
        <v>547</v>
      </c>
      <c r="U47" s="5" t="s">
        <v>317</v>
      </c>
      <c r="V47" s="5" t="s">
        <v>11</v>
      </c>
      <c r="W47" s="5" t="s">
        <v>318</v>
      </c>
      <c r="X47" s="7" t="s">
        <v>683</v>
      </c>
      <c r="Y47" s="7" t="s">
        <v>547</v>
      </c>
      <c r="Z47" s="7" t="s">
        <v>684</v>
      </c>
      <c r="AA47" s="7" t="s">
        <v>547</v>
      </c>
      <c r="AB47" s="152"/>
      <c r="AC47" s="152"/>
      <c r="AE47" s="5" t="s">
        <v>317</v>
      </c>
      <c r="AF47" s="5" t="s">
        <v>11</v>
      </c>
      <c r="AG47" s="7" t="s">
        <v>683</v>
      </c>
      <c r="AH47" s="7" t="s">
        <v>547</v>
      </c>
      <c r="AI47" s="7" t="s">
        <v>684</v>
      </c>
      <c r="AJ47" s="7" t="s">
        <v>547</v>
      </c>
    </row>
    <row r="48" spans="1:85" x14ac:dyDescent="0.35">
      <c r="A48" s="8" t="s">
        <v>338</v>
      </c>
      <c r="B48" s="9">
        <f>'Date Key'!$C$25</f>
        <v>0.10872251050160613</v>
      </c>
      <c r="C48" s="6" t="str">
        <f>'Date Key'!$G$25</f>
        <v>Lower</v>
      </c>
      <c r="D48" s="9">
        <f>TIN!V3</f>
        <v>74.188807335578403</v>
      </c>
      <c r="E48" s="148">
        <f>TIN!W3</f>
        <v>6.0978718791580153</v>
      </c>
      <c r="F48" s="9">
        <f>TP!V3</f>
        <v>62.151794616889013</v>
      </c>
      <c r="G48" s="148">
        <f>TP!W3</f>
        <v>38.207654205742067</v>
      </c>
      <c r="I48" s="72" t="s">
        <v>345</v>
      </c>
      <c r="J48" s="6" t="s">
        <v>8</v>
      </c>
      <c r="K48" s="9">
        <f ca="1">AVERAGE(H38:H43)</f>
        <v>70.153842088606922</v>
      </c>
      <c r="L48" s="9">
        <f ca="1">AVERAGE(I38:I43)</f>
        <v>33.321102741924484</v>
      </c>
      <c r="N48" s="150" t="str" cm="1">
        <f t="array" ref="N48:N50">A48:A50</f>
        <v>1 and 3</v>
      </c>
      <c r="O48" s="148" cm="1">
        <f t="array" ref="O48:O50">B48:B50</f>
        <v>0.10872251050160613</v>
      </c>
      <c r="P48" s="148" cm="1">
        <f t="array" ref="P48:P50">D48:D50</f>
        <v>74.188807335578403</v>
      </c>
      <c r="Q48" s="148" cm="1">
        <f t="array" ref="Q48:Q50">E48:E50</f>
        <v>6.0978718791580153</v>
      </c>
      <c r="R48" s="148" cm="1">
        <f t="array" ref="R48:R50">F48:F50</f>
        <v>62.151794616889013</v>
      </c>
      <c r="S48" s="148" cm="1">
        <f t="array" ref="S48:S50">G48:G50</f>
        <v>38.207654205742067</v>
      </c>
      <c r="U48" s="150" t="s">
        <v>687</v>
      </c>
      <c r="V48" s="148">
        <f t="shared" ref="V48:AA49" si="52">B50</f>
        <v>0.54361255250803064</v>
      </c>
      <c r="W48" s="148" t="str">
        <f t="shared" si="52"/>
        <v>Lower</v>
      </c>
      <c r="X48" s="148">
        <f t="shared" si="52"/>
        <v>49.299104372202507</v>
      </c>
      <c r="Y48" s="148">
        <f t="shared" si="52"/>
        <v>17.452420576390448</v>
      </c>
      <c r="Z48" s="148">
        <f t="shared" si="52"/>
        <v>-2.9404308673300861</v>
      </c>
      <c r="AA48" s="148">
        <f t="shared" si="52"/>
        <v>36.416255194586057</v>
      </c>
      <c r="AB48" s="153"/>
      <c r="AC48" s="153"/>
      <c r="AE48" s="150" t="str">
        <f>A50</f>
        <v>7 - 9</v>
      </c>
      <c r="AF48" s="148">
        <f>B50</f>
        <v>0.54361255250803064</v>
      </c>
      <c r="AG48" s="148">
        <f>D50</f>
        <v>49.299104372202507</v>
      </c>
      <c r="AH48" s="148">
        <f t="shared" ref="AH48:AJ48" si="53">E50</f>
        <v>17.452420576390448</v>
      </c>
      <c r="AI48" s="148">
        <f t="shared" si="53"/>
        <v>-2.9404308673300861</v>
      </c>
      <c r="AJ48" s="148">
        <f t="shared" si="53"/>
        <v>36.416255194586057</v>
      </c>
    </row>
    <row r="49" spans="1:36" x14ac:dyDescent="0.35">
      <c r="A49" s="8" t="s">
        <v>325</v>
      </c>
      <c r="B49" s="9">
        <f>'Date Key'!$C$28</f>
        <v>0.21744502100321225</v>
      </c>
      <c r="C49" s="6" t="str">
        <f>'Date Key'!$G$28</f>
        <v>Lower</v>
      </c>
      <c r="D49" s="148">
        <f>TIN!V12</f>
        <v>72.119840244999565</v>
      </c>
      <c r="E49" s="148">
        <f>TIN!W12</f>
        <v>19.68957863793884</v>
      </c>
      <c r="F49" s="9">
        <f>TP!V12</f>
        <v>42.347366790310744</v>
      </c>
      <c r="G49" s="148">
        <f>TP!W12</f>
        <v>33.638681199409163</v>
      </c>
      <c r="I49" s="72" t="s">
        <v>346</v>
      </c>
      <c r="J49" s="6" t="s">
        <v>15</v>
      </c>
      <c r="K49" s="9">
        <f ca="1">AVERAGE(X38:X43)</f>
        <v>54.591970925605636</v>
      </c>
      <c r="L49" s="9">
        <f ca="1">AVERAGE(Y38:Y43)</f>
        <v>-35.170763126089199</v>
      </c>
      <c r="N49" s="151" t="str">
        <v>4 - 6</v>
      </c>
      <c r="O49" s="148">
        <v>0.21744502100321225</v>
      </c>
      <c r="P49" s="148">
        <v>72.119840244999565</v>
      </c>
      <c r="Q49" s="148">
        <v>19.68957863793884</v>
      </c>
      <c r="R49" s="148">
        <v>42.347366790310744</v>
      </c>
      <c r="S49" s="148">
        <v>33.638681199409163</v>
      </c>
      <c r="U49" s="150" t="str">
        <f>A51</f>
        <v>10 - 12</v>
      </c>
      <c r="V49" s="148">
        <f t="shared" si="52"/>
        <v>0.54361255250803064</v>
      </c>
      <c r="W49" s="148" t="str">
        <f t="shared" si="52"/>
        <v>Upper</v>
      </c>
      <c r="X49" s="148">
        <f t="shared" si="52"/>
        <v>61.624622291402105</v>
      </c>
      <c r="Y49" s="148">
        <f t="shared" si="52"/>
        <v>14.005838898674302</v>
      </c>
      <c r="Z49" s="148">
        <f t="shared" si="52"/>
        <v>13.127473536814298</v>
      </c>
      <c r="AA49" s="148">
        <f t="shared" si="52"/>
        <v>39.219416665128875</v>
      </c>
      <c r="AB49" s="153"/>
      <c r="AC49" s="153"/>
      <c r="AE49" s="150" t="str">
        <f>A52</f>
        <v>13 - 15</v>
      </c>
      <c r="AF49" s="148">
        <f>B52</f>
        <v>0.54361255250803064</v>
      </c>
      <c r="AG49" s="148">
        <f>D52</f>
        <v>32.784900012942927</v>
      </c>
      <c r="AH49" s="148">
        <f t="shared" ref="AH49:AJ49" si="54">E52</f>
        <v>7.2982247965426561</v>
      </c>
      <c r="AI49" s="148">
        <f t="shared" si="54"/>
        <v>22.408376963350769</v>
      </c>
      <c r="AJ49" s="148">
        <f t="shared" si="54"/>
        <v>12.340432481440638</v>
      </c>
    </row>
    <row r="50" spans="1:36" x14ac:dyDescent="0.35">
      <c r="A50" s="8" t="s">
        <v>326</v>
      </c>
      <c r="B50" s="9">
        <f>'Date Key'!$C$31</f>
        <v>0.54361255250803064</v>
      </c>
      <c r="C50" s="6" t="str">
        <f>'Date Key'!$G$31</f>
        <v>Lower</v>
      </c>
      <c r="D50" s="148">
        <f>TIN!V21</f>
        <v>49.299104372202507</v>
      </c>
      <c r="E50" s="148">
        <f>TIN!W21</f>
        <v>17.452420576390448</v>
      </c>
      <c r="F50" s="9">
        <f>TP!V21</f>
        <v>-2.9404308673300861</v>
      </c>
      <c r="G50" s="148">
        <f>TP!W21</f>
        <v>36.416255194586057</v>
      </c>
      <c r="I50" s="11"/>
      <c r="J50" s="11"/>
      <c r="K50" s="11"/>
      <c r="N50" s="151" t="str">
        <v>7 - 9</v>
      </c>
      <c r="O50" s="148">
        <v>0.54361255250803064</v>
      </c>
      <c r="P50" s="148">
        <v>49.299104372202507</v>
      </c>
      <c r="Q50" s="148">
        <v>17.452420576390448</v>
      </c>
      <c r="R50" s="148">
        <v>-2.9404308673300861</v>
      </c>
      <c r="S50" s="148">
        <v>36.416255194586057</v>
      </c>
    </row>
    <row r="51" spans="1:36" x14ac:dyDescent="0.35">
      <c r="A51" s="8" t="s">
        <v>327</v>
      </c>
      <c r="B51" s="9">
        <f>'Date Key'!$C$34</f>
        <v>0.54361255250803064</v>
      </c>
      <c r="C51" s="6" t="str">
        <f>'Date Key'!$G$34</f>
        <v>Upper</v>
      </c>
      <c r="D51" s="148">
        <f>TIN!V30</f>
        <v>61.624622291402105</v>
      </c>
      <c r="E51" s="148">
        <f>TIN!W30</f>
        <v>14.005838898674302</v>
      </c>
      <c r="F51" s="9">
        <f>TP!V30</f>
        <v>13.127473536814298</v>
      </c>
      <c r="G51" s="148">
        <f>TP!W30</f>
        <v>39.219416665128875</v>
      </c>
      <c r="I51" s="11"/>
    </row>
    <row r="52" spans="1:36" x14ac:dyDescent="0.35">
      <c r="A52" s="8" t="s">
        <v>471</v>
      </c>
      <c r="B52" s="9">
        <f>'Date Key'!$C$37</f>
        <v>0.54361255250803064</v>
      </c>
      <c r="C52" s="6" t="str">
        <f>'Date Key'!$G$37</f>
        <v>Lower</v>
      </c>
      <c r="D52" s="148">
        <f>TIN!V39</f>
        <v>32.784900012942927</v>
      </c>
      <c r="E52" s="148">
        <f>TIN!W39</f>
        <v>7.2982247965426561</v>
      </c>
      <c r="F52" s="9">
        <f>TP!V39</f>
        <v>22.408376963350769</v>
      </c>
      <c r="G52" s="148">
        <f>TP!W39</f>
        <v>12.340432481440638</v>
      </c>
      <c r="I52" s="11"/>
      <c r="J52" s="11"/>
      <c r="K52" s="11"/>
    </row>
    <row r="53" spans="1:36" x14ac:dyDescent="0.35">
      <c r="A53" s="8" t="s">
        <v>472</v>
      </c>
      <c r="B53" s="9">
        <f>'Date Key'!$C$40</f>
        <v>0.21744502100321225</v>
      </c>
      <c r="C53" s="6" t="str">
        <f>'Date Key'!$G$40</f>
        <v>Upper</v>
      </c>
      <c r="D53" s="148">
        <f>TIN!V48</f>
        <v>81.040361954533239</v>
      </c>
      <c r="E53" s="148">
        <f>TIN!W48</f>
        <v>5.0356830078285038</v>
      </c>
      <c r="F53" s="9">
        <f>TP!W48</f>
        <v>33.064562831257518</v>
      </c>
      <c r="G53" s="148">
        <f>TP!W48</f>
        <v>33.064562831257518</v>
      </c>
      <c r="I53" s="11"/>
      <c r="J53" s="11"/>
      <c r="K53" s="11"/>
    </row>
    <row r="55" spans="1:36" x14ac:dyDescent="0.35">
      <c r="A55" t="s">
        <v>381</v>
      </c>
      <c r="L55" t="s">
        <v>380</v>
      </c>
    </row>
    <row r="56" spans="1:36" x14ac:dyDescent="0.35">
      <c r="A56" s="157" t="s">
        <v>330</v>
      </c>
      <c r="B56" s="158"/>
      <c r="C56" s="158"/>
      <c r="D56" s="158"/>
      <c r="E56" s="158"/>
      <c r="F56" s="158"/>
      <c r="G56" s="158"/>
      <c r="H56" s="158"/>
      <c r="I56" s="159"/>
      <c r="J56" s="15"/>
      <c r="K56" s="15"/>
      <c r="L56" s="157" t="s">
        <v>331</v>
      </c>
      <c r="M56" s="158"/>
      <c r="N56" s="158"/>
      <c r="O56" s="158"/>
      <c r="P56" s="158"/>
      <c r="Q56" s="158"/>
      <c r="R56" s="158"/>
      <c r="S56" s="158"/>
      <c r="T56" s="159"/>
    </row>
    <row r="57" spans="1:36" ht="29" x14ac:dyDescent="0.35">
      <c r="A57" s="5" t="s">
        <v>10</v>
      </c>
      <c r="B57" s="7" t="s">
        <v>17</v>
      </c>
      <c r="C57" s="7" t="s">
        <v>18</v>
      </c>
      <c r="D57" s="7" t="s">
        <v>19</v>
      </c>
      <c r="E57" s="7" t="s">
        <v>319</v>
      </c>
      <c r="F57" s="7" t="s">
        <v>479</v>
      </c>
      <c r="G57" s="7" t="s">
        <v>321</v>
      </c>
      <c r="H57" s="7" t="s">
        <v>531</v>
      </c>
      <c r="I57" s="7" t="s">
        <v>322</v>
      </c>
      <c r="L57" s="5" t="s">
        <v>10</v>
      </c>
      <c r="M57" s="7" t="s">
        <v>17</v>
      </c>
      <c r="N57" s="7" t="s">
        <v>18</v>
      </c>
      <c r="O57" s="7" t="s">
        <v>19</v>
      </c>
      <c r="P57" s="7" t="s">
        <v>319</v>
      </c>
      <c r="Q57" s="7" t="s">
        <v>479</v>
      </c>
      <c r="R57" s="7" t="s">
        <v>321</v>
      </c>
      <c r="S57" s="7" t="s">
        <v>531</v>
      </c>
      <c r="T57" s="7" t="s">
        <v>322</v>
      </c>
    </row>
    <row r="58" spans="1:36" x14ac:dyDescent="0.35">
      <c r="A58" s="6">
        <v>1</v>
      </c>
      <c r="B58" s="16" cm="1">
        <f t="array" aca="1" ref="B58" ca="1">IFERROR(INDEX(INDIRECT("'" &amp; B$57 &amp; "'!R:R"), MATCH(1, (INDIRECT("'"&amp; B$57 &amp; "'!F:F") =$A58) * (INDIRECT("'" &amp; B$57 &amp; "'!E:E") = Tables!$A$55), 0)), "")</f>
        <v>-66.01941747572819</v>
      </c>
      <c r="C58" s="16" cm="1">
        <f t="array" aca="1" ref="C58" ca="1">IFERROR(INDEX(INDIRECT("'" &amp; C$57 &amp; "'!R:R"), MATCH(1, (INDIRECT("'"&amp; C$57 &amp; "'!F:F") =$A58) * (INDIRECT("'" &amp; C$57 &amp; "'!E:E") = Tables!$A$55), 0)), "")</f>
        <v>-59.740259740259781</v>
      </c>
      <c r="D58" s="16" cm="1">
        <f t="array" aca="1" ref="D58" ca="1">IFERROR(INDEX(INDIRECT("'" &amp; D$57 &amp; "'!R:R"), MATCH(1, (INDIRECT("'"&amp; D$57 &amp; "'!F:F") =$A58) * (INDIRECT("'" &amp; D$57 &amp; "'!E:E") = Tables!$A$55), 0)), "")</f>
        <v>95.494088779834925</v>
      </c>
      <c r="E58" s="16" cm="1">
        <f t="array" aca="1" ref="E58" ca="1">IFERROR(INDEX(INDIRECT("'" &amp; E$57 &amp; "'!R:R"), MATCH(1, (INDIRECT("'"&amp; E$57 &amp; "'!F:F") =$A58) * (INDIRECT("'" &amp; E$57 &amp; "'!E:E") = Tables!$A$55), 0)), "")</f>
        <v>77.306094970855554</v>
      </c>
      <c r="F58" s="16" cm="1">
        <f t="array" aca="1" ref="F58" ca="1">IFERROR(INDEX(INDIRECT("'" &amp; F$57 &amp; "'!R:R"), MATCH(1, (INDIRECT("'"&amp; F$57 &amp; "'!F:F") =$A58) * (INDIRECT("'" &amp; F$57 &amp; "'!E:E") = Tables!$A$55), 0)), "")</f>
        <v>97.266111074726567</v>
      </c>
      <c r="G58" s="16" cm="1">
        <f t="array" aca="1" ref="G58" ca="1">IFERROR(INDEX(INDIRECT("'" &amp; G$57 &amp; "'!R:R"), MATCH(1, (INDIRECT("'"&amp; G$57 &amp; "'!F:F") =$A58) * (INDIRECT("'" &amp; G$57 &amp; "'!E:E") = Tables!$A$55), 0)), "")</f>
        <v>42.333430317137001</v>
      </c>
      <c r="H58" s="16" cm="1">
        <f t="array" aca="1" ref="H58" ca="1">IFERROR(INDEX(INDIRECT("'" &amp; H$57 &amp; "'!R:R"), MATCH(1, (INDIRECT("'"&amp; H$57 &amp; "'!F:F") =$A58) * (INDIRECT("'" &amp; H$57 &amp; "'!E:E") = Tables!$A$55), 0)), "")</f>
        <v>-63.863642806248635</v>
      </c>
      <c r="I58" s="16" cm="1">
        <f t="array" aca="1" ref="I58" ca="1">IFERROR(INDEX(INDIRECT("'" &amp; I$57 &amp; "'!R:R"), MATCH(1, (INDIRECT("'"&amp; I$57 &amp; "'!F:F") =$A58) * (INDIRECT("'" &amp; I$57 &amp; "'!E:E") = Tables!$A$55), 0)), "")</f>
        <v>11.770056394396955</v>
      </c>
      <c r="L58" s="6">
        <v>1</v>
      </c>
      <c r="M58" s="16" cm="1">
        <f t="array" aca="1" ref="M58" ca="1">IFERROR(INDEX(INDIRECT("'" &amp; M$57 &amp; "'!R:R"), MATCH(1, (INDIRECT("'"&amp; B$57 &amp; "'!F:F") =$L58) * (INDIRECT("'" &amp; B$57 &amp; "'!E:E") = Tables!$L$55), 0)), "")</f>
        <v>41.747572815533971</v>
      </c>
      <c r="N58" s="16" cm="1">
        <f t="array" aca="1" ref="N58" ca="1">IFERROR(INDEX(INDIRECT("'" &amp; N$57 &amp; "'!R:R"), MATCH(1, (INDIRECT("'"&amp; C$57 &amp; "'!F:F") =$L58) * (INDIRECT("'" &amp; C$57 &amp; "'!E:E") = Tables!$L$55), 0)), "")</f>
        <v>-102.59740259740258</v>
      </c>
      <c r="O58" s="16" cm="1">
        <f t="array" aca="1" ref="O58" ca="1">IFERROR(INDEX(INDIRECT("'" &amp; O$57 &amp; "'!R:R"), MATCH(1, (INDIRECT("'"&amp; D$57 &amp; "'!F:F") =$L58) * (INDIRECT("'" &amp; D$57 &amp; "'!E:E") = Tables!$L$55), 0)), "")</f>
        <v>68.637073388356001</v>
      </c>
      <c r="P58" s="16" cm="1">
        <f t="array" aca="1" ref="P58" ca="1">IFERROR(INDEX(INDIRECT("'" &amp; P$57 &amp; "'!R:R"), MATCH(1, (INDIRECT("'"&amp; E$57 &amp; "'!F:F") =$L58) * (INDIRECT("'" &amp; E$57 &amp; "'!E:E") = Tables!$L$55), 0)), "")</f>
        <v>62.98972934943572</v>
      </c>
      <c r="Q58" s="16" cm="1">
        <f t="array" aca="1" ref="Q58" ca="1">IFERROR(INDEX(INDIRECT("'" &amp; Q$57 &amp; "'!R:R"), MATCH(1, (INDIRECT("'"&amp; F$57 &amp; "'!F:F") =$L58) * (INDIRECT("'" &amp; F$57 &amp; "'!E:E") = Tables!$L$55), 0)), "")</f>
        <v>55.054358504158749</v>
      </c>
      <c r="R58" s="16" cm="1">
        <f t="array" aca="1" ref="R58" ca="1">IFERROR(INDEX(INDIRECT("'" &amp; R$57 &amp; "'!R:R"), MATCH(1, (INDIRECT("'"&amp; G$57 &amp; "'!F:F") =$L58) * (INDIRECT("'" &amp; G$57 &amp; "'!E:E") = Tables!$L$55), 0)), "")</f>
        <v>-88.594704684317776</v>
      </c>
      <c r="S58" s="16" cm="1">
        <f t="array" aca="1" ref="S58" ca="1">IFERROR(INDEX(INDIRECT("'" &amp; S$57 &amp; "'!R:R"), MATCH(1, (INDIRECT("'"&amp; H$57 &amp; "'!F:F") =$L58) * (INDIRECT("'" &amp; H$57 &amp; "'!E:E") = Tables!$L$55), 0)), "")</f>
        <v>-25.024547690168575</v>
      </c>
      <c r="T58" s="16" cm="1">
        <f t="array" aca="1" ref="T58" ca="1">IFERROR(INDEX(INDIRECT("'" &amp; T$57 &amp; "'!R:R"), MATCH(1, (INDIRECT("'"&amp; I$57 &amp; "'!F:F") =$L58) * (INDIRECT("'" &amp; I$57 &amp; "'!E:E") = Tables!$L$55), 0)), "")</f>
        <v>12.916136074222329</v>
      </c>
    </row>
    <row r="59" spans="1:36" x14ac:dyDescent="0.35">
      <c r="A59" s="6">
        <v>2</v>
      </c>
      <c r="B59" s="16" cm="1">
        <f t="array" aca="1" ref="B59" ca="1">IFERROR(INDEX(INDIRECT("'" &amp; B$57 &amp; "'!R:R"), MATCH(1, (INDIRECT("'"&amp; B$57 &amp; "'!F:F") =$A59) * (INDIRECT("'" &amp; B$57 &amp; "'!E:E") = Tables!$A$55), 0)), "")</f>
        <v>-124.70588235294117</v>
      </c>
      <c r="C59" s="16" cm="1">
        <f t="array" aca="1" ref="C59" ca="1">IFERROR(INDEX(INDIRECT("'" &amp; C$57 &amp; "'!R:R"), MATCH(1, (INDIRECT("'"&amp; C$57 &amp; "'!F:F") =$A59) * (INDIRECT("'" &amp; C$57 &amp; "'!E:E") = Tables!$A$55), 0)), "")</f>
        <v>-9.375</v>
      </c>
      <c r="D59" s="16" cm="1">
        <f t="array" aca="1" ref="D59" ca="1">IFERROR(INDEX(INDIRECT("'" &amp; D$57 &amp; "'!R:R"), MATCH(1, (INDIRECT("'"&amp; D$57 &amp; "'!F:F") =$A59) * (INDIRECT("'" &amp; D$57 &amp; "'!E:E") = Tables!$A$55), 0)), "")</f>
        <v>93.862595419847324</v>
      </c>
      <c r="E59" s="16" cm="1">
        <f t="array" aca="1" ref="E59" ca="1">IFERROR(INDEX(INDIRECT("'" &amp; E$57 &amp; "'!R:R"), MATCH(1, (INDIRECT("'"&amp; E$57 &amp; "'!F:F") =$A59) * (INDIRECT("'" &amp; E$57 &amp; "'!E:E") = Tables!$A$55), 0)), "")</f>
        <v>0</v>
      </c>
      <c r="F59" s="16" cm="1">
        <f t="array" aca="1" ref="F59" ca="1">IFERROR(INDEX(INDIRECT("'" &amp; F$57 &amp; "'!R:R"), MATCH(1, (INDIRECT("'"&amp; F$57 &amp; "'!F:F") =$A59) * (INDIRECT("'" &amp; F$57 &amp; "'!E:E") = Tables!$A$55), 0)), "")</f>
        <v>0</v>
      </c>
      <c r="G59" s="16" cm="1">
        <f t="array" aca="1" ref="G59" ca="1">IFERROR(INDEX(INDIRECT("'" &amp; G$57 &amp; "'!R:R"), MATCH(1, (INDIRECT("'"&amp; G$57 &amp; "'!F:F") =$A59) * (INDIRECT("'" &amp; G$57 &amp; "'!E:E") = Tables!$A$55), 0)), "")</f>
        <v>6.7324955116696668</v>
      </c>
      <c r="H59" s="16" cm="1">
        <f t="array" aca="1" ref="H59" ca="1">IFERROR(INDEX(INDIRECT("'" &amp; H$57 &amp; "'!R:R"), MATCH(1, (INDIRECT("'"&amp; H$57 &amp; "'!F:F") =$A59) * (INDIRECT("'" &amp; H$57 &amp; "'!E:E") = Tables!$A$55), 0)), "")</f>
        <v>-16.274789402852363</v>
      </c>
      <c r="I59" s="16" cm="1">
        <f t="array" aca="1" ref="I59" ca="1">IFERROR(INDEX(INDIRECT("'" &amp; I$57 &amp; "'!R:R"), MATCH(1, (INDIRECT("'"&amp; I$57 &amp; "'!F:F") =$A59) * (INDIRECT("'" &amp; I$57 &amp; "'!E:E") = Tables!$A$55), 0)), "")</f>
        <v>9.9168975069252046</v>
      </c>
      <c r="L59" s="6">
        <v>2</v>
      </c>
      <c r="M59" s="16" cm="1">
        <f t="array" aca="1" ref="M59" ca="1">IFERROR(INDEX(INDIRECT("'" &amp; M$57 &amp; "'!R:R"), MATCH(1, (INDIRECT("'"&amp; B$57 &amp; "'!F:F") =$L59) * (INDIRECT("'" &amp; B$57 &amp; "'!E:E") = Tables!$L$55), 0)), "")</f>
        <v>-3.5294117647058698</v>
      </c>
      <c r="N59" s="16" cm="1">
        <f t="array" aca="1" ref="N59" ca="1">IFERROR(INDEX(INDIRECT("'" &amp; N$57 &amp; "'!R:R"), MATCH(1, (INDIRECT("'"&amp; C$57 &amp; "'!F:F") =$L59) * (INDIRECT("'" &amp; C$57 &amp; "'!E:E") = Tables!$L$55), 0)), "")</f>
        <v>-489.06250000000011</v>
      </c>
      <c r="O59" s="16" cm="1">
        <f t="array" aca="1" ref="O59" ca="1">IFERROR(INDEX(INDIRECT("'" &amp; O$57 &amp; "'!R:R"), MATCH(1, (INDIRECT("'"&amp; D$57 &amp; "'!F:F") =$L59) * (INDIRECT("'" &amp; D$57 &amp; "'!E:E") = Tables!$L$55), 0)), "")</f>
        <v>40.732824427480921</v>
      </c>
      <c r="P59" s="16" cm="1">
        <f t="array" aca="1" ref="P59" ca="1">IFERROR(INDEX(INDIRECT("'" &amp; P$57 &amp; "'!R:R"), MATCH(1, (INDIRECT("'"&amp; E$57 &amp; "'!F:F") =$L59) * (INDIRECT("'" &amp; E$57 &amp; "'!E:E") = Tables!$L$55), 0)), "")</f>
        <v>0</v>
      </c>
      <c r="Q59" s="16" cm="1">
        <f t="array" aca="1" ref="Q59" ca="1">IFERROR(INDEX(INDIRECT("'" &amp; Q$57 &amp; "'!R:R"), MATCH(1, (INDIRECT("'"&amp; F$57 &amp; "'!F:F") =$L59) * (INDIRECT("'" &amp; F$57 &amp; "'!E:E") = Tables!$L$55), 0)), "")</f>
        <v>0</v>
      </c>
      <c r="R59" s="16" cm="1">
        <f t="array" aca="1" ref="R59" ca="1">IFERROR(INDEX(INDIRECT("'" &amp; R$57 &amp; "'!R:R"), MATCH(1, (INDIRECT("'"&amp; G$57 &amp; "'!F:F") =$L59) * (INDIRECT("'" &amp; G$57 &amp; "'!E:E") = Tables!$L$55), 0)), "")</f>
        <v>-25.433871932974284</v>
      </c>
      <c r="S59" s="16" cm="1">
        <f t="array" aca="1" ref="S59" ca="1">IFERROR(INDEX(INDIRECT("'" &amp; S$57 &amp; "'!R:R"), MATCH(1, (INDIRECT("'"&amp; H$57 &amp; "'!F:F") =$L59) * (INDIRECT("'" &amp; H$57 &amp; "'!E:E") = Tables!$L$55), 0)), "")</f>
        <v>-6.1796705819131548</v>
      </c>
      <c r="T59" s="16" cm="1">
        <f t="array" aca="1" ref="T59" ca="1">IFERROR(INDEX(INDIRECT("'" &amp; T$57 &amp; "'!R:R"), MATCH(1, (INDIRECT("'"&amp; I$57 &amp; "'!F:F") =$L59) * (INDIRECT("'" &amp; I$57 &amp; "'!E:E") = Tables!$L$55), 0)), "")</f>
        <v>10.286241920590966</v>
      </c>
    </row>
    <row r="60" spans="1:36" x14ac:dyDescent="0.35">
      <c r="A60" s="6">
        <v>3</v>
      </c>
      <c r="B60" s="16" cm="1">
        <f t="array" aca="1" ref="B60" ca="1">IFERROR(INDEX(INDIRECT("'" &amp; B$57 &amp; "'!R:R"), MATCH(1, (INDIRECT("'"&amp; B$57 &amp; "'!F:F") =$A60) * (INDIRECT("'" &amp; B$57 &amp; "'!E:E") = Tables!$A$55), 0)), "")</f>
        <v>-38.888888888888886</v>
      </c>
      <c r="C60" s="16" cm="1">
        <f t="array" aca="1" ref="C60" ca="1">IFERROR(INDEX(INDIRECT("'" &amp; C$57 &amp; "'!R:R"), MATCH(1, (INDIRECT("'"&amp; C$57 &amp; "'!F:F") =$A60) * (INDIRECT("'" &amp; C$57 &amp; "'!E:E") = Tables!$A$55), 0)), "")</f>
        <v>78.94736842105263</v>
      </c>
      <c r="D60" s="16" cm="1">
        <f t="array" aca="1" ref="D60" ca="1">IFERROR(INDEX(INDIRECT("'" &amp; D$57 &amp; "'!R:R"), MATCH(1, (INDIRECT("'"&amp; D$57 &amp; "'!F:F") =$A60) * (INDIRECT("'" &amp; D$57 &amp; "'!E:E") = Tables!$A$55), 0)), "")</f>
        <v>98.847087378640779</v>
      </c>
      <c r="E60" s="16" cm="1">
        <f t="array" aca="1" ref="E60" ca="1">IFERROR(INDEX(INDIRECT("'" &amp; E$57 &amp; "'!R:R"), MATCH(1, (INDIRECT("'"&amp; E$57 &amp; "'!F:F") =$A60) * (INDIRECT("'" &amp; E$57 &amp; "'!E:E") = Tables!$A$55), 0)), "")</f>
        <v>81.671436522142855</v>
      </c>
      <c r="F60" s="16" cm="1">
        <f t="array" aca="1" ref="F60" ca="1">IFERROR(INDEX(INDIRECT("'" &amp; F$57 &amp; "'!R:R"), MATCH(1, (INDIRECT("'"&amp; F$57 &amp; "'!F:F") =$A60) * (INDIRECT("'" &amp; F$57 &amp; "'!E:E") = Tables!$A$55), 0)), "")</f>
        <v>68.051537697883191</v>
      </c>
      <c r="G60" s="16" cm="1">
        <f t="array" aca="1" ref="G60" ca="1">IFERROR(INDEX(INDIRECT("'" &amp; G$57 &amp; "'!R:R"), MATCH(1, (INDIRECT("'"&amp; G$57 &amp; "'!F:F") =$A60) * (INDIRECT("'" &amp; G$57 &amp; "'!E:E") = Tables!$A$55), 0)), "")</f>
        <v>-18.128161888701456</v>
      </c>
      <c r="H60" s="16" cm="1">
        <f t="array" aca="1" ref="H60" ca="1">IFERROR(INDEX(INDIRECT("'" &amp; H$57 &amp; "'!R:R"), MATCH(1, (INDIRECT("'"&amp; H$57 &amp; "'!F:F") =$A60) * (INDIRECT("'" &amp; H$57 &amp; "'!E:E") = Tables!$A$55), 0)), "")</f>
        <v>-17.87271510379167</v>
      </c>
      <c r="I60" s="16" cm="1">
        <f t="array" aca="1" ref="I60" ca="1">IFERROR(INDEX(INDIRECT("'" &amp; I$57 &amp; "'!R:R"), MATCH(1, (INDIRECT("'"&amp; I$57 &amp; "'!F:F") =$A60) * (INDIRECT("'" &amp; I$57 &amp; "'!E:E") = Tables!$A$55), 0)), "")</f>
        <v>7.2655217965653769</v>
      </c>
      <c r="L60" s="6">
        <v>3</v>
      </c>
      <c r="M60" s="16" cm="1">
        <f t="array" aca="1" ref="M60" ca="1">IFERROR(INDEX(INDIRECT("'" &amp; M$57 &amp; "'!R:R"), MATCH(1, (INDIRECT("'"&amp; B$57 &amp; "'!F:F") =$L60) * (INDIRECT("'" &amp; B$57 &amp; "'!E:E") = Tables!$L$55), 0)), "")</f>
        <v>31.481481481481488</v>
      </c>
      <c r="N60" s="16" cm="1">
        <f t="array" aca="1" ref="N60" ca="1">IFERROR(INDEX(INDIRECT("'" &amp; N$57 &amp; "'!R:R"), MATCH(1, (INDIRECT("'"&amp; C$57 &amp; "'!F:F") =$L60) * (INDIRECT("'" &amp; C$57 &amp; "'!E:E") = Tables!$L$55), 0)), "")</f>
        <v>-73.68421052631578</v>
      </c>
      <c r="O60" s="16" cm="1">
        <f t="array" aca="1" ref="O60" ca="1">IFERROR(INDEX(INDIRECT("'" &amp; O$57 &amp; "'!R:R"), MATCH(1, (INDIRECT("'"&amp; D$57 &amp; "'!F:F") =$L60) * (INDIRECT("'" &amp; D$57 &amp; "'!E:E") = Tables!$L$55), 0)), "")</f>
        <v>98.422330097087368</v>
      </c>
      <c r="P60" s="16" cm="1">
        <f t="array" aca="1" ref="P60" ca="1">IFERROR(INDEX(INDIRECT("'" &amp; P$57 &amp; "'!R:R"), MATCH(1, (INDIRECT("'"&amp; E$57 &amp; "'!F:F") =$L60) * (INDIRECT("'" &amp; E$57 &amp; "'!E:E") = Tables!$L$55), 0)), "")</f>
        <v>88.158113258552646</v>
      </c>
      <c r="Q60" s="16" cm="1">
        <f t="array" aca="1" ref="Q60" ca="1">IFERROR(INDEX(INDIRECT("'" &amp; Q$57 &amp; "'!R:R"), MATCH(1, (INDIRECT("'"&amp; F$57 &amp; "'!F:F") =$L60) * (INDIRECT("'" &amp; F$57 &amp; "'!E:E") = Tables!$L$55), 0)), "")</f>
        <v>-16.81273284300644</v>
      </c>
      <c r="R60" s="16" cm="1">
        <f t="array" aca="1" ref="R60" ca="1">IFERROR(INDEX(INDIRECT("'" &amp; R$57 &amp; "'!R:R"), MATCH(1, (INDIRECT("'"&amp; G$57 &amp; "'!F:F") =$L60) * (INDIRECT("'" &amp; G$57 &amp; "'!E:E") = Tables!$L$55), 0)), "")</f>
        <v>-210.37099494097808</v>
      </c>
      <c r="S60" s="16" cm="1">
        <f t="array" aca="1" ref="S60" ca="1">IFERROR(INDEX(INDIRECT("'" &amp; S$57 &amp; "'!R:R"), MATCH(1, (INDIRECT("'"&amp; H$57 &amp; "'!F:F") =$L60) * (INDIRECT("'" &amp; H$57 &amp; "'!E:E") = Tables!$L$55), 0)), "")</f>
        <v>-60.892369054174523</v>
      </c>
      <c r="T60" s="16" cm="1">
        <f t="array" aca="1" ref="T60" ca="1">IFERROR(INDEX(INDIRECT("'" &amp; T$57 &amp; "'!R:R"), MATCH(1, (INDIRECT("'"&amp; I$57 &amp; "'!F:F") =$L60) * (INDIRECT("'" &amp; I$57 &amp; "'!E:E") = Tables!$L$55), 0)), "")</f>
        <v>10.020758633704464</v>
      </c>
    </row>
    <row r="61" spans="1:36" x14ac:dyDescent="0.35">
      <c r="A61" s="6">
        <v>4</v>
      </c>
      <c r="B61" s="16" cm="1">
        <f t="array" aca="1" ref="B61" ca="1">IFERROR(INDEX(INDIRECT("'" &amp; B$57 &amp; "'!R:R"), MATCH(1, (INDIRECT("'"&amp; B$57 &amp; "'!F:F") =$A61) * (INDIRECT("'" &amp; B$57 &amp; "'!E:E") = Tables!$A$55), 0)), "")</f>
        <v>-330.30303030303037</v>
      </c>
      <c r="C61" s="16" cm="1">
        <f t="array" aca="1" ref="C61" ca="1">IFERROR(INDEX(INDIRECT("'" &amp; C$57 &amp; "'!R:R"), MATCH(1, (INDIRECT("'"&amp; C$57 &amp; "'!F:F") =$A61) * (INDIRECT("'" &amp; C$57 &amp; "'!E:E") = Tables!$A$55), 0)), "")</f>
        <v>-19.23076923076923</v>
      </c>
      <c r="D61" s="16" cm="1">
        <f t="array" aca="1" ref="D61" ca="1">IFERROR(INDEX(INDIRECT("'" &amp; D$57 &amp; "'!R:R"), MATCH(1, (INDIRECT("'"&amp; D$57 &amp; "'!F:F") =$A61) * (INDIRECT("'" &amp; D$57 &amp; "'!E:E") = Tables!$A$55), 0)), "")</f>
        <v>95.161290322580655</v>
      </c>
      <c r="E61" s="16" cm="1">
        <f t="array" aca="1" ref="E61" ca="1">IFERROR(INDEX(INDIRECT("'" &amp; E$57 &amp; "'!R:R"), MATCH(1, (INDIRECT("'"&amp; E$57 &amp; "'!F:F") =$A61) * (INDIRECT("'" &amp; E$57 &amp; "'!E:E") = Tables!$A$55), 0)), "")</f>
        <v>70.796452795238423</v>
      </c>
      <c r="F61" s="16" cm="1">
        <f t="array" aca="1" ref="F61" ca="1">IFERROR(INDEX(INDIRECT("'" &amp; F$57 &amp; "'!R:R"), MATCH(1, (INDIRECT("'"&amp; F$57 &amp; "'!F:F") =$A61) * (INDIRECT("'" &amp; F$57 &amp; "'!E:E") = Tables!$A$55), 0)), "")</f>
        <v>83.326016010302794</v>
      </c>
      <c r="G61" s="16" cm="1">
        <f t="array" aca="1" ref="G61" ca="1">IFERROR(INDEX(INDIRECT("'" &amp; G$57 &amp; "'!R:R"), MATCH(1, (INDIRECT("'"&amp; G$57 &amp; "'!F:F") =$A61) * (INDIRECT("'" &amp; G$57 &amp; "'!E:E") = Tables!$A$55), 0)), "")</f>
        <v>15.357967667436467</v>
      </c>
      <c r="H61" s="16" cm="1">
        <f t="array" aca="1" ref="H61" ca="1">IFERROR(INDEX(INDIRECT("'" &amp; H$57 &amp; "'!R:R"), MATCH(1, (INDIRECT("'"&amp; H$57 &amp; "'!F:F") =$A61) * (INDIRECT("'" &amp; H$57 &amp; "'!E:E") = Tables!$A$55), 0)), "")</f>
        <v>2.0281148776660651</v>
      </c>
      <c r="I61" s="16" cm="1">
        <f t="array" aca="1" ref="I61" ca="1">IFERROR(INDEX(INDIRECT("'" &amp; I$57 &amp; "'!R:R"), MATCH(1, (INDIRECT("'"&amp; I$57 &amp; "'!F:F") =$A61) * (INDIRECT("'" &amp; I$57 &amp; "'!E:E") = Tables!$A$55), 0)), "")</f>
        <v>7.3107532852119128</v>
      </c>
      <c r="L61" s="6">
        <v>4</v>
      </c>
      <c r="M61" s="16" cm="1">
        <f t="array" aca="1" ref="M61" ca="1">IFERROR(INDEX(INDIRECT("'" &amp; M$57 &amp; "'!R:R"), MATCH(1, (INDIRECT("'"&amp; B$57 &amp; "'!F:F") =$L61) * (INDIRECT("'" &amp; B$57 &amp; "'!E:E") = Tables!$L$55), 0)), "")</f>
        <v>90.909090909090907</v>
      </c>
      <c r="N61" s="16" cm="1">
        <f t="array" aca="1" ref="N61" ca="1">IFERROR(INDEX(INDIRECT("'" &amp; N$57 &amp; "'!R:R"), MATCH(1, (INDIRECT("'"&amp; C$57 &amp; "'!F:F") =$L61) * (INDIRECT("'" &amp; C$57 &amp; "'!E:E") = Tables!$L$55), 0)), "")</f>
        <v>-371.15384615384625</v>
      </c>
      <c r="O61" s="16" cm="1">
        <f t="array" aca="1" ref="O61" ca="1">IFERROR(INDEX(INDIRECT("'" &amp; O$57 &amp; "'!R:R"), MATCH(1, (INDIRECT("'"&amp; D$57 &amp; "'!F:F") =$L61) * (INDIRECT("'" &amp; D$57 &amp; "'!E:E") = Tables!$L$55), 0)), "")</f>
        <v>71.411290322580641</v>
      </c>
      <c r="P61" s="16" cm="1">
        <f t="array" aca="1" ref="P61" ca="1">IFERROR(INDEX(INDIRECT("'" &amp; P$57 &amp; "'!R:R"), MATCH(1, (INDIRECT("'"&amp; E$57 &amp; "'!F:F") =$L61) * (INDIRECT("'" &amp; E$57 &amp; "'!E:E") = Tables!$L$55), 0)), "")</f>
        <v>62.364771635088381</v>
      </c>
      <c r="Q61" s="16" cm="1">
        <f t="array" aca="1" ref="Q61" ca="1">IFERROR(INDEX(INDIRECT("'" &amp; Q$57 &amp; "'!R:R"), MATCH(1, (INDIRECT("'"&amp; F$57 &amp; "'!F:F") =$L61) * (INDIRECT("'" &amp; F$57 &amp; "'!E:E") = Tables!$L$55), 0)), "")</f>
        <v>53.324991585078521</v>
      </c>
      <c r="R61" s="16" cm="1">
        <f t="array" aca="1" ref="R61" ca="1">IFERROR(INDEX(INDIRECT("'" &amp; R$57 &amp; "'!R:R"), MATCH(1, (INDIRECT("'"&amp; G$57 &amp; "'!F:F") =$L61) * (INDIRECT("'" &amp; G$57 &amp; "'!E:E") = Tables!$L$55), 0)), "")</f>
        <v>-2.1445067634444426</v>
      </c>
      <c r="S61" s="16" cm="1">
        <f t="array" aca="1" ref="S61" ca="1">IFERROR(INDEX(INDIRECT("'" &amp; S$57 &amp; "'!R:R"), MATCH(1, (INDIRECT("'"&amp; H$57 &amp; "'!F:F") =$L61) * (INDIRECT("'" &amp; H$57 &amp; "'!E:E") = Tables!$L$55), 0)), "")</f>
        <v>-5.516985917183681</v>
      </c>
      <c r="T61" s="16" cm="1">
        <f t="array" aca="1" ref="T61" ca="1">IFERROR(INDEX(INDIRECT("'" &amp; T$57 &amp; "'!R:R"), MATCH(1, (INDIRECT("'"&amp; I$57 &amp; "'!F:F") =$L61) * (INDIRECT("'" &amp; I$57 &amp; "'!E:E") = Tables!$L$55), 0)), "")</f>
        <v>6.7925226725893069</v>
      </c>
    </row>
    <row r="62" spans="1:36" x14ac:dyDescent="0.35">
      <c r="A62" s="6">
        <v>5</v>
      </c>
      <c r="B62" s="16" cm="1">
        <f t="array" aca="1" ref="B62" ca="1">IFERROR(INDEX(INDIRECT("'" &amp; B$57 &amp; "'!R:R"), MATCH(1, (INDIRECT("'"&amp; B$57 &amp; "'!F:F") =$A62) * (INDIRECT("'" &amp; B$57 &amp; "'!E:E") = Tables!$A$55), 0)), "")</f>
        <v>31.818181818181824</v>
      </c>
      <c r="C62" s="16" cm="1">
        <f t="array" aca="1" ref="C62" ca="1">IFERROR(INDEX(INDIRECT("'" &amp; C$57 &amp; "'!R:R"), MATCH(1, (INDIRECT("'"&amp; C$57 &amp; "'!F:F") =$A62) * (INDIRECT("'" &amp; C$57 &amp; "'!E:E") = Tables!$A$55), 0)), "")</f>
        <v>73.91304347826086</v>
      </c>
      <c r="D62" s="16" cm="1">
        <f t="array" aca="1" ref="D62" ca="1">IFERROR(INDEX(INDIRECT("'" &amp; D$57 &amp; "'!R:R"), MATCH(1, (INDIRECT("'"&amp; D$57 &amp; "'!F:F") =$A62) * (INDIRECT("'" &amp; D$57 &amp; "'!E:E") = Tables!$A$55), 0)), "")</f>
        <v>98.287493513233002</v>
      </c>
      <c r="E62" s="16" cm="1">
        <f t="array" aca="1" ref="E62" ca="1">IFERROR(INDEX(INDIRECT("'" &amp; E$57 &amp; "'!R:R"), MATCH(1, (INDIRECT("'"&amp; E$57 &amp; "'!F:F") =$A62) * (INDIRECT("'" &amp; E$57 &amp; "'!E:E") = Tables!$A$55), 0)), "")</f>
        <v>94.939336885211247</v>
      </c>
      <c r="F62" s="16" cm="1">
        <f t="array" aca="1" ref="F62" ca="1">IFERROR(INDEX(INDIRECT("'" &amp; F$57 &amp; "'!R:R"), MATCH(1, (INDIRECT("'"&amp; F$57 &amp; "'!F:F") =$A62) * (INDIRECT("'" &amp; F$57 &amp; "'!E:E") = Tables!$A$55), 0)), "")</f>
        <v>64.521486932801835</v>
      </c>
      <c r="G62" s="16" cm="1">
        <f t="array" aca="1" ref="G62" ca="1">IFERROR(INDEX(INDIRECT("'" &amp; G$57 &amp; "'!R:R"), MATCH(1, (INDIRECT("'"&amp; G$57 &amp; "'!F:F") =$A62) * (INDIRECT("'" &amp; G$57 &amp; "'!E:E") = Tables!$A$55), 0)), "")</f>
        <v>18.656716417910481</v>
      </c>
      <c r="H62" s="16" cm="1">
        <f t="array" aca="1" ref="H62" ca="1">IFERROR(INDEX(INDIRECT("'" &amp; H$57 &amp; "'!R:R"), MATCH(1, (INDIRECT("'"&amp; H$57 &amp; "'!F:F") =$A62) * (INDIRECT("'" &amp; H$57 &amp; "'!E:E") = Tables!$A$55), 0)), "")</f>
        <v>-4.6515307363151681</v>
      </c>
      <c r="I62" s="16" cm="1">
        <f t="array" aca="1" ref="I62" ca="1">IFERROR(INDEX(INDIRECT("'" &amp; I$57 &amp; "'!R:R"), MATCH(1, (INDIRECT("'"&amp; I$57 &amp; "'!F:F") =$A62) * (INDIRECT("'" &amp; I$57 &amp; "'!E:E") = Tables!$A$55), 0)), "")</f>
        <v>8.8928892889288953</v>
      </c>
      <c r="L62" s="6">
        <v>5</v>
      </c>
      <c r="M62" s="16" cm="1">
        <f t="array" aca="1" ref="M62" ca="1">IFERROR(INDEX(INDIRECT("'" &amp; M$57 &amp; "'!R:R"), MATCH(1, (INDIRECT("'"&amp; B$57 &amp; "'!F:F") =$L62) * (INDIRECT("'" &amp; B$57 &amp; "'!E:E") = Tables!$L$55), 0)), "")</f>
        <v>31.818181818181813</v>
      </c>
      <c r="N62" s="16" cm="1">
        <f t="array" aca="1" ref="N62" ca="1">IFERROR(INDEX(INDIRECT("'" &amp; N$57 &amp; "'!R:R"), MATCH(1, (INDIRECT("'"&amp; C$57 &amp; "'!F:F") =$L62) * (INDIRECT("'" &amp; C$57 &amp; "'!E:E") = Tables!$L$55), 0)), "")</f>
        <v>-869.56521739130426</v>
      </c>
      <c r="O62" s="16" cm="1">
        <f t="array" aca="1" ref="O62" ca="1">IFERROR(INDEX(INDIRECT("'" &amp; O$57 &amp; "'!R:R"), MATCH(1, (INDIRECT("'"&amp; D$57 &amp; "'!F:F") =$L62) * (INDIRECT("'" &amp; D$57 &amp; "'!E:E") = Tables!$L$55), 0)), "")</f>
        <v>73.845355474831351</v>
      </c>
      <c r="P62" s="16" cm="1">
        <f t="array" aca="1" ref="P62" ca="1">IFERROR(INDEX(INDIRECT("'" &amp; P$57 &amp; "'!R:R"), MATCH(1, (INDIRECT("'"&amp; E$57 &amp; "'!F:F") =$L62) * (INDIRECT("'" &amp; E$57 &amp; "'!E:E") = Tables!$L$55), 0)), "")</f>
        <v>59.54315474373427</v>
      </c>
      <c r="Q62" s="16" cm="1">
        <f t="array" aca="1" ref="Q62" ca="1">IFERROR(INDEX(INDIRECT("'" &amp; Q$57 &amp; "'!R:R"), MATCH(1, (INDIRECT("'"&amp; F$57 &amp; "'!F:F") =$L62) * (INDIRECT("'" &amp; F$57 &amp; "'!E:E") = Tables!$L$55), 0)), "")</f>
        <v>20.60215795626592</v>
      </c>
      <c r="R62" s="16" cm="1">
        <f t="array" aca="1" ref="R62" ca="1">IFERROR(INDEX(INDIRECT("'" &amp; R$57 &amp; "'!R:R"), MATCH(1, (INDIRECT("'"&amp; G$57 &amp; "'!F:F") =$L62) * (INDIRECT("'" &amp; G$57 &amp; "'!E:E") = Tables!$L$55), 0)), "")</f>
        <v>-32.770927968851417</v>
      </c>
      <c r="S62" s="16" cm="1">
        <f t="array" aca="1" ref="S62" ca="1">IFERROR(INDEX(INDIRECT("'" &amp; S$57 &amp; "'!R:R"), MATCH(1, (INDIRECT("'"&amp; H$57 &amp; "'!F:F") =$L62) * (INDIRECT("'" &amp; H$57 &amp; "'!E:E") = Tables!$L$55), 0)), "")</f>
        <v>-10.725728505632492</v>
      </c>
      <c r="T62" s="16" cm="1">
        <f t="array" aca="1" ref="T62" ca="1">IFERROR(INDEX(INDIRECT("'" &amp; T$57 &amp; "'!R:R"), MATCH(1, (INDIRECT("'"&amp; I$57 &amp; "'!F:F") =$L62) * (INDIRECT("'" &amp; I$57 &amp; "'!E:E") = Tables!$L$55), 0)), "")</f>
        <v>10.153015301530143</v>
      </c>
    </row>
    <row r="63" spans="1:36" x14ac:dyDescent="0.35">
      <c r="A63" s="6">
        <v>6</v>
      </c>
      <c r="B63" s="16" cm="1">
        <f t="array" aca="1" ref="B63" ca="1">IFERROR(INDEX(INDIRECT("'" &amp; B$57 &amp; "'!R:R"), MATCH(1, (INDIRECT("'"&amp; B$57 &amp; "'!F:F") =$A63) * (INDIRECT("'" &amp; B$57 &amp; "'!E:E") = Tables!$A$55), 0)), "")</f>
        <v>56.88073394495413</v>
      </c>
      <c r="C63" s="16" cm="1">
        <f t="array" aca="1" ref="C63" ca="1">IFERROR(INDEX(INDIRECT("'" &amp; C$57 &amp; "'!R:R"), MATCH(1, (INDIRECT("'"&amp; C$57 &amp; "'!F:F") =$A63) * (INDIRECT("'" &amp; C$57 &amp; "'!E:E") = Tables!$A$55), 0)), "")</f>
        <v>61</v>
      </c>
      <c r="D63" s="16" cm="1">
        <f t="array" aca="1" ref="D63" ca="1">IFERROR(INDEX(INDIRECT("'" &amp; D$57 &amp; "'!R:R"), MATCH(1, (INDIRECT("'"&amp; D$57 &amp; "'!F:F") =$A63) * (INDIRECT("'" &amp; D$57 &amp; "'!E:E") = Tables!$A$55), 0)), "")</f>
        <v>97.110308419005278</v>
      </c>
      <c r="E63" s="16" cm="1">
        <f t="array" aca="1" ref="E63" ca="1">IFERROR(INDEX(INDIRECT("'" &amp; E$57 &amp; "'!R:R"), MATCH(1, (INDIRECT("'"&amp; E$57 &amp; "'!F:F") =$A63) * (INDIRECT("'" &amp; E$57 &amp; "'!E:E") = Tables!$A$55), 0)), "")</f>
        <v>91.56021819365931</v>
      </c>
      <c r="F63" s="16" cm="1">
        <f t="array" aca="1" ref="F63" ca="1">IFERROR(INDEX(INDIRECT("'" &amp; F$57 &amp; "'!R:R"), MATCH(1, (INDIRECT("'"&amp; F$57 &amp; "'!F:F") =$A63) * (INDIRECT("'" &amp; F$57 &amp; "'!E:E") = Tables!$A$55), 0)), "")</f>
        <v>23.256051684658139</v>
      </c>
      <c r="G63" s="16" cm="1">
        <f t="array" aca="1" ref="G63" ca="1">IFERROR(INDEX(INDIRECT("'" &amp; G$57 &amp; "'!R:R"), MATCH(1, (INDIRECT("'"&amp; G$57 &amp; "'!F:F") =$A63) * (INDIRECT("'" &amp; G$57 &amp; "'!E:E") = Tables!$A$55), 0)), "")</f>
        <v>36.358290866326946</v>
      </c>
      <c r="H63" s="16" cm="1">
        <f t="array" aca="1" ref="H63" ca="1">IFERROR(INDEX(INDIRECT("'" &amp; H$57 &amp; "'!R:R"), MATCH(1, (INDIRECT("'"&amp; H$57 &amp; "'!F:F") =$A63) * (INDIRECT("'" &amp; H$57 &amp; "'!E:E") = Tables!$A$55), 0)), "")</f>
        <v>-46.567976508891618</v>
      </c>
      <c r="I63" s="16" cm="1">
        <f t="array" aca="1" ref="I63" ca="1">IFERROR(INDEX(INDIRECT("'" &amp; I$57 &amp; "'!R:R"), MATCH(1, (INDIRECT("'"&amp; I$57 &amp; "'!F:F") =$A63) * (INDIRECT("'" &amp; I$57 &amp; "'!E:E") = Tables!$A$55), 0)), "")</f>
        <v>2.8665504551617427</v>
      </c>
      <c r="L63" s="6">
        <v>6</v>
      </c>
      <c r="M63" s="16" cm="1">
        <f t="array" aca="1" ref="M63" ca="1">IFERROR(INDEX(INDIRECT("'" &amp; M$57 &amp; "'!R:R"), MATCH(1, (INDIRECT("'"&amp; B$57 &amp; "'!F:F") =$L63) * (INDIRECT("'" &amp; B$57 &amp; "'!E:E") = Tables!$L$55), 0)), "")</f>
        <v>38.532110091743121</v>
      </c>
      <c r="N63" s="16" cm="1">
        <f t="array" aca="1" ref="N63" ca="1">IFERROR(INDEX(INDIRECT("'" &amp; N$57 &amp; "'!R:R"), MATCH(1, (INDIRECT("'"&amp; C$57 &amp; "'!F:F") =$L63) * (INDIRECT("'" &amp; C$57 &amp; "'!E:E") = Tables!$L$55), 0)), "")</f>
        <v>-308.00000000000011</v>
      </c>
      <c r="O63" s="16" cm="1">
        <f t="array" aca="1" ref="O63" ca="1">IFERROR(INDEX(INDIRECT("'" &amp; O$57 &amp; "'!R:R"), MATCH(1, (INDIRECT("'"&amp; D$57 &amp; "'!F:F") =$L63) * (INDIRECT("'" &amp; D$57 &amp; "'!E:E") = Tables!$L$55), 0)), "")</f>
        <v>68.796888024451235</v>
      </c>
      <c r="P63" s="16" cm="1">
        <f t="array" aca="1" ref="P63" ca="1">IFERROR(INDEX(INDIRECT("'" &amp; P$57 &amp; "'!R:R"), MATCH(1, (INDIRECT("'"&amp; E$57 &amp; "'!F:F") =$L63) * (INDIRECT("'" &amp; E$57 &amp; "'!E:E") = Tables!$L$55), 0)), "")</f>
        <v>54.80170308310727</v>
      </c>
      <c r="Q63" s="16" cm="1">
        <f t="array" aca="1" ref="Q63" ca="1">IFERROR(INDEX(INDIRECT("'" &amp; Q$57 &amp; "'!R:R"), MATCH(1, (INDIRECT("'"&amp; F$57 &amp; "'!F:F") =$L63) * (INDIRECT("'" &amp; F$57 &amp; "'!E:E") = Tables!$L$55), 0)), "")</f>
        <v>-85.101815505397454</v>
      </c>
      <c r="R63" s="16" cm="1">
        <f t="array" aca="1" ref="R63" ca="1">IFERROR(INDEX(INDIRECT("'" &amp; R$57 &amp; "'!R:R"), MATCH(1, (INDIRECT("'"&amp; G$57 &amp; "'!F:F") =$L63) * (INDIRECT("'" &amp; G$57 &amp; "'!E:E") = Tables!$L$55), 0)), "")</f>
        <v>28.028224225793842</v>
      </c>
      <c r="S63" s="16" cm="1">
        <f t="array" aca="1" ref="S63" ca="1">IFERROR(INDEX(INDIRECT("'" &amp; S$57 &amp; "'!R:R"), MATCH(1, (INDIRECT("'"&amp; H$57 &amp; "'!F:F") =$L63) * (INDIRECT("'" &amp; H$57 &amp; "'!E:E") = Tables!$L$55), 0)), "")</f>
        <v>-45.276631163153127</v>
      </c>
      <c r="T63" s="16" cm="1">
        <f t="array" aca="1" ref="T63" ca="1">IFERROR(INDEX(INDIRECT("'" &amp; T$57 &amp; "'!R:R"), MATCH(1, (INDIRECT("'"&amp; I$57 &amp; "'!F:F") =$L63) * (INDIRECT("'" &amp; I$57 &amp; "'!E:E") = Tables!$L$55), 0)), "")</f>
        <v>1.5107495642068702</v>
      </c>
    </row>
    <row r="64" spans="1:36" x14ac:dyDescent="0.35">
      <c r="A64" s="6">
        <v>7</v>
      </c>
      <c r="B64" s="16" cm="1">
        <f t="array" aca="1" ref="B64" ca="1">IFERROR(INDEX(INDIRECT("'" &amp; B$57 &amp; "'!R:R"), MATCH(1, (INDIRECT("'"&amp; B$57 &amp; "'!F:F") =$A64) * (INDIRECT("'" &amp; B$57 &amp; "'!E:E") = Tables!$A$55), 0)), "")</f>
        <v>0</v>
      </c>
      <c r="C64" s="16" cm="1">
        <f t="array" aca="1" ref="C64" ca="1">IFERROR(INDEX(INDIRECT("'" &amp; C$57 &amp; "'!R:R"), MATCH(1, (INDIRECT("'"&amp; C$57 &amp; "'!F:F") =$A64) * (INDIRECT("'" &amp; C$57 &amp; "'!E:E") = Tables!$A$55), 0)), "")</f>
        <v>-35.294117647058812</v>
      </c>
      <c r="D64" s="16" cm="1">
        <f t="array" aca="1" ref="D64" ca="1">IFERROR(INDEX(INDIRECT("'" &amp; D$57 &amp; "'!R:R"), MATCH(1, (INDIRECT("'"&amp; D$57 &amp; "'!F:F") =$A64) * (INDIRECT("'" &amp; D$57 &amp; "'!E:E") = Tables!$A$55), 0)), "")</f>
        <v>88.860759493670884</v>
      </c>
      <c r="E64" s="16" cm="1">
        <f t="array" aca="1" ref="E64" ca="1">IFERROR(INDEX(INDIRECT("'" &amp; E$57 &amp; "'!R:R"), MATCH(1, (INDIRECT("'"&amp; E$57 &amp; "'!F:F") =$A64) * (INDIRECT("'" &amp; E$57 &amp; "'!E:E") = Tables!$A$55), 0)), "")</f>
        <v>70.17661638902473</v>
      </c>
      <c r="F64" s="16" cm="1">
        <f t="array" aca="1" ref="F64" ca="1">IFERROR(INDEX(INDIRECT("'" &amp; F$57 &amp; "'!R:R"), MATCH(1, (INDIRECT("'"&amp; F$57 &amp; "'!F:F") =$A64) * (INDIRECT("'" &amp; F$57 &amp; "'!E:E") = Tables!$A$55), 0)), "")</f>
        <v>47.369656590949738</v>
      </c>
      <c r="G64" s="16" cm="1">
        <f t="array" aca="1" ref="G64" ca="1">IFERROR(INDEX(INDIRECT("'" &amp; G$57 &amp; "'!R:R"), MATCH(1, (INDIRECT("'"&amp; G$57 &amp; "'!F:F") =$A64) * (INDIRECT("'" &amp; G$57 &amp; "'!E:E") = Tables!$A$55), 0)), "")</f>
        <v>16.599597585513092</v>
      </c>
      <c r="H64" s="16" cm="1">
        <f t="array" aca="1" ref="H64" ca="1">IFERROR(INDEX(INDIRECT("'" &amp; H$57 &amp; "'!R:R"), MATCH(1, (INDIRECT("'"&amp; H$57 &amp; "'!F:F") =$A64) * (INDIRECT("'" &amp; H$57 &amp; "'!E:E") = Tables!$A$55), 0)), "")</f>
        <v>10.343690760735191</v>
      </c>
      <c r="I64" s="16" cm="1">
        <f t="array" aca="1" ref="I64" ca="1">IFERROR(INDEX(INDIRECT("'" &amp; I$57 &amp; "'!R:R"), MATCH(1, (INDIRECT("'"&amp; I$57 &amp; "'!F:F") =$A64) * (INDIRECT("'" &amp; I$57 &amp; "'!E:E") = Tables!$A$55), 0)), "")</f>
        <v>6.8301225919439439</v>
      </c>
      <c r="L64" s="6">
        <v>7</v>
      </c>
      <c r="M64" s="16" cm="1">
        <f t="array" aca="1" ref="M64" ca="1">IFERROR(INDEX(INDIRECT("'" &amp; M$57 &amp; "'!R:R"), MATCH(1, (INDIRECT("'"&amp; B$57 &amp; "'!F:F") =$L64) * (INDIRECT("'" &amp; B$57 &amp; "'!E:E") = Tables!$L$55), 0)), "")</f>
        <v>44.230769230769226</v>
      </c>
      <c r="N64" s="16" cm="1">
        <f t="array" aca="1" ref="N64" ca="1">IFERROR(INDEX(INDIRECT("'" &amp; N$57 &amp; "'!R:R"), MATCH(1, (INDIRECT("'"&amp; C$57 &amp; "'!F:F") =$L64) * (INDIRECT("'" &amp; C$57 &amp; "'!E:E") = Tables!$L$55), 0)), "")</f>
        <v>-7.8431372549019329</v>
      </c>
      <c r="O64" s="16" cm="1">
        <f t="array" aca="1" ref="O64" ca="1">IFERROR(INDEX(INDIRECT("'" &amp; O$57 &amp; "'!R:R"), MATCH(1, (INDIRECT("'"&amp; D$57 &amp; "'!F:F") =$L64) * (INDIRECT("'" &amp; D$57 &amp; "'!E:E") = Tables!$L$55), 0)), "")</f>
        <v>62.531645569620252</v>
      </c>
      <c r="P64" s="16" cm="1">
        <f t="array" aca="1" ref="P64" ca="1">IFERROR(INDEX(INDIRECT("'" &amp; P$57 &amp; "'!R:R"), MATCH(1, (INDIRECT("'"&amp; E$57 &amp; "'!F:F") =$L64) * (INDIRECT("'" &amp; E$57 &amp; "'!E:E") = Tables!$L$55), 0)), "")</f>
        <v>56.855186275485735</v>
      </c>
      <c r="Q64" s="16" cm="1">
        <f t="array" aca="1" ref="Q64" ca="1">IFERROR(INDEX(INDIRECT("'" &amp; Q$57 &amp; "'!R:R"), MATCH(1, (INDIRECT("'"&amp; F$57 &amp; "'!F:F") =$L64) * (INDIRECT("'" &amp; F$57 &amp; "'!E:E") = Tables!$L$55), 0)), "")</f>
        <v>35.771776068681802</v>
      </c>
      <c r="R64" s="16" cm="1">
        <f t="array" aca="1" ref="R64" ca="1">IFERROR(INDEX(INDIRECT("'" &amp; R$57 &amp; "'!R:R"), MATCH(1, (INDIRECT("'"&amp; G$57 &amp; "'!F:F") =$L64) * (INDIRECT("'" &amp; G$57 &amp; "'!E:E") = Tables!$L$55), 0)), "")</f>
        <v>0.16767270288398084</v>
      </c>
      <c r="S64" s="16" cm="1">
        <f t="array" aca="1" ref="S64" ca="1">IFERROR(INDEX(INDIRECT("'" &amp; S$57 &amp; "'!R:R"), MATCH(1, (INDIRECT("'"&amp; H$57 &amp; "'!F:F") =$L64) * (INDIRECT("'" &amp; H$57 &amp; "'!E:E") = Tables!$L$55), 0)), "")</f>
        <v>3.5624894264012608</v>
      </c>
      <c r="T64" s="16" cm="1">
        <f t="array" aca="1" ref="T64" ca="1">IFERROR(INDEX(INDIRECT("'" &amp; T$57 &amp; "'!R:R"), MATCH(1, (INDIRECT("'"&amp; I$57 &amp; "'!F:F") =$L64) * (INDIRECT("'" &amp; I$57 &amp; "'!E:E") = Tables!$L$55), 0)), "")</f>
        <v>6.6199649737302853</v>
      </c>
    </row>
    <row r="65" spans="1:20" x14ac:dyDescent="0.35">
      <c r="A65" s="6">
        <v>8</v>
      </c>
      <c r="B65" s="16" cm="1">
        <f t="array" aca="1" ref="B65" ca="1">IFERROR(INDEX(INDIRECT("'" &amp; B$57 &amp; "'!R:R"), MATCH(1, (INDIRECT("'"&amp; B$57 &amp; "'!F:F") =$A65) * (INDIRECT("'" &amp; B$57 &amp; "'!E:E") = Tables!$A$55), 0)), "")</f>
        <v>-524.99999999999977</v>
      </c>
      <c r="C65" s="16" cm="1">
        <f t="array" aca="1" ref="C65" ca="1">IFERROR(INDEX(INDIRECT("'" &amp; C$57 &amp; "'!R:R"), MATCH(1, (INDIRECT("'"&amp; C$57 &amp; "'!F:F") =$A65) * (INDIRECT("'" &amp; C$57 &amp; "'!E:E") = Tables!$A$55), 0)), "")</f>
        <v>-130.55555555555566</v>
      </c>
      <c r="D65" s="16" cm="1">
        <f t="array" aca="1" ref="D65" ca="1">IFERROR(INDEX(INDIRECT("'" &amp; D$57 &amp; "'!R:R"), MATCH(1, (INDIRECT("'"&amp; D$57 &amp; "'!F:F") =$A65) * (INDIRECT("'" &amp; D$57 &amp; "'!E:E") = Tables!$A$55), 0)), "")</f>
        <v>80.547945205479451</v>
      </c>
      <c r="E65" s="16" cm="1">
        <f t="array" aca="1" ref="E65" ca="1">IFERROR(INDEX(INDIRECT("'" &amp; E$57 &amp; "'!R:R"), MATCH(1, (INDIRECT("'"&amp; E$57 &amp; "'!F:F") =$A65) * (INDIRECT("'" &amp; E$57 &amp; "'!E:E") = Tables!$A$55), 0)), "")</f>
        <v>55.934667354868871</v>
      </c>
      <c r="F65" s="16" cm="1">
        <f t="array" aca="1" ref="F65" ca="1">IFERROR(INDEX(INDIRECT("'" &amp; F$57 &amp; "'!R:R"), MATCH(1, (INDIRECT("'"&amp; F$57 &amp; "'!F:F") =$A65) * (INDIRECT("'" &amp; F$57 &amp; "'!E:E") = Tables!$A$55), 0)), "")</f>
        <v>21.938159542121262</v>
      </c>
      <c r="G65" s="16" cm="1">
        <f t="array" aca="1" ref="G65" ca="1">IFERROR(INDEX(INDIRECT("'" &amp; G$57 &amp; "'!R:R"), MATCH(1, (INDIRECT("'"&amp; G$57 &amp; "'!F:F") =$A65) * (INDIRECT("'" &amp; G$57 &amp; "'!E:E") = Tables!$A$55), 0)), "")</f>
        <v>8.5370585952658011</v>
      </c>
      <c r="H65" s="16" cm="1">
        <f t="array" aca="1" ref="H65" ca="1">IFERROR(INDEX(INDIRECT("'" &amp; H$57 &amp; "'!R:R"), MATCH(1, (INDIRECT("'"&amp; H$57 &amp; "'!F:F") =$A65) * (INDIRECT("'" &amp; H$57 &amp; "'!E:E") = Tables!$A$55), 0)), "")</f>
        <v>4.5743014917992149</v>
      </c>
      <c r="I65" s="16" cm="1">
        <f t="array" aca="1" ref="I65" ca="1">IFERROR(INDEX(INDIRECT("'" &amp; I$57 &amp; "'!R:R"), MATCH(1, (INDIRECT("'"&amp; I$57 &amp; "'!F:F") =$A65) * (INDIRECT("'" &amp; I$57 &amp; "'!E:E") = Tables!$A$55), 0)), "")</f>
        <v>6.7844028676341983</v>
      </c>
      <c r="L65" s="6">
        <v>8</v>
      </c>
      <c r="M65" s="16" cm="1">
        <f t="array" aca="1" ref="M65" ca="1">IFERROR(INDEX(INDIRECT("'" &amp; M$57 &amp; "'!R:R"), MATCH(1, (INDIRECT("'"&amp; B$57 &amp; "'!F:F") =$L65) * (INDIRECT("'" &amp; B$57 &amp; "'!E:E") = Tables!$L$55), 0)), "")</f>
        <v>-574.99999999999989</v>
      </c>
      <c r="N65" s="16" cm="1">
        <f t="array" aca="1" ref="N65" ca="1">IFERROR(INDEX(INDIRECT("'" &amp; N$57 &amp; "'!R:R"), MATCH(1, (INDIRECT("'"&amp; C$57 &amp; "'!F:F") =$L65) * (INDIRECT("'" &amp; C$57 &amp; "'!E:E") = Tables!$L$55), 0)), "")</f>
        <v>-55.555555555555578</v>
      </c>
      <c r="O65" s="16" cm="1">
        <f t="array" aca="1" ref="O65" ca="1">IFERROR(INDEX(INDIRECT("'" &amp; O$57 &amp; "'!R:R"), MATCH(1, (INDIRECT("'"&amp; D$57 &amp; "'!F:F") =$L65) * (INDIRECT("'" &amp; D$57 &amp; "'!E:E") = Tables!$L$55), 0)), "")</f>
        <v>45.753424657534246</v>
      </c>
      <c r="P65" s="16" cm="1">
        <f t="array" aca="1" ref="P65" ca="1">IFERROR(INDEX(INDIRECT("'" &amp; P$57 &amp; "'!R:R"), MATCH(1, (INDIRECT("'"&amp; E$57 &amp; "'!F:F") =$L65) * (INDIRECT("'" &amp; E$57 &amp; "'!E:E") = Tables!$L$55), 0)), "")</f>
        <v>26.695236451199357</v>
      </c>
      <c r="Q65" s="16" cm="1">
        <f t="array" aca="1" ref="Q65" ca="1">IFERROR(INDEX(INDIRECT("'" &amp; Q$57 &amp; "'!R:R"), MATCH(1, (INDIRECT("'"&amp; F$57 &amp; "'!F:F") =$L65) * (INDIRECT("'" &amp; F$57 &amp; "'!E:E") = Tables!$L$55), 0)), "")</f>
        <v>-38.845913074584139</v>
      </c>
      <c r="R65" s="16" cm="1">
        <f t="array" aca="1" ref="R65" ca="1">IFERROR(INDEX(INDIRECT("'" &amp; R$57 &amp; "'!R:R"), MATCH(1, (INDIRECT("'"&amp; G$57 &amp; "'!F:F") =$L65) * (INDIRECT("'" &amp; G$57 &amp; "'!E:E") = Tables!$L$55), 0)), "")</f>
        <v>-14.551804423748571</v>
      </c>
      <c r="S65" s="16" cm="1">
        <f t="array" aca="1" ref="S65" ca="1">IFERROR(INDEX(INDIRECT("'" &amp; S$57 &amp; "'!R:R"), MATCH(1, (INDIRECT("'"&amp; H$57 &amp; "'!F:F") =$L65) * (INDIRECT("'" &amp; H$57 &amp; "'!E:E") = Tables!$L$55), 0)), "")</f>
        <v>-1.7807576199942332</v>
      </c>
      <c r="T65" s="16" cm="1">
        <f t="array" aca="1" ref="T65" ca="1">IFERROR(INDEX(INDIRECT("'" &amp; T$57 &amp; "'!R:R"), MATCH(1, (INDIRECT("'"&amp; I$57 &amp; "'!F:F") =$L65) * (INDIRECT("'" &amp; I$57 &amp; "'!E:E") = Tables!$L$55), 0)), "")</f>
        <v>5.787725126770404</v>
      </c>
    </row>
    <row r="66" spans="1:20" x14ac:dyDescent="0.35">
      <c r="A66" s="6">
        <v>9</v>
      </c>
      <c r="B66" s="16" cm="1">
        <f t="array" aca="1" ref="B66" ca="1">IFERROR(INDEX(INDIRECT("'" &amp; B$57 &amp; "'!R:R"), MATCH(1, (INDIRECT("'"&amp; B$57 &amp; "'!F:F") =$A66) * (INDIRECT("'" &amp; B$57 &amp; "'!E:E") = Tables!$A$55), 0)), "")</f>
        <v>25.196850393700764</v>
      </c>
      <c r="C66" s="16" cm="1">
        <f t="array" aca="1" ref="C66" ca="1">IFERROR(INDEX(INDIRECT("'" &amp; C$57 &amp; "'!R:R"), MATCH(1, (INDIRECT("'"&amp; C$57 &amp; "'!F:F") =$A66) * (INDIRECT("'" &amp; C$57 &amp; "'!E:E") = Tables!$A$55), 0)), "")</f>
        <v>-201.29870129870119</v>
      </c>
      <c r="D66" s="16" cm="1">
        <f t="array" aca="1" ref="D66" ca="1">IFERROR(INDEX(INDIRECT("'" &amp; D$57 &amp; "'!R:R"), MATCH(1, (INDIRECT("'"&amp; D$57 &amp; "'!F:F") =$A66) * (INDIRECT("'" &amp; D$57 &amp; "'!E:E") = Tables!$A$55), 0)), "")</f>
        <v>80.28095733610823</v>
      </c>
      <c r="E66" s="16" cm="1">
        <f t="array" aca="1" ref="E66" ca="1">IFERROR(INDEX(INDIRECT("'" &amp; E$57 &amp; "'!R:R"), MATCH(1, (INDIRECT("'"&amp; E$57 &amp; "'!F:F") =$A66) * (INDIRECT("'" &amp; E$57 &amp; "'!E:E") = Tables!$A$55), 0)), "")</f>
        <v>58.500198279614658</v>
      </c>
      <c r="F66" s="16" cm="1">
        <f t="array" aca="1" ref="F66" ca="1">IFERROR(INDEX(INDIRECT("'" &amp; F$57 &amp; "'!R:R"), MATCH(1, (INDIRECT("'"&amp; F$57 &amp; "'!F:F") =$A66) * (INDIRECT("'" &amp; F$57 &amp; "'!E:E") = Tables!$A$55), 0)), "")</f>
        <v>-30.142309182003359</v>
      </c>
      <c r="G66" s="16" cm="1">
        <f t="array" aca="1" ref="G66" ca="1">IFERROR(INDEX(INDIRECT("'" &amp; G$57 &amp; "'!R:R"), MATCH(1, (INDIRECT("'"&amp; G$57 &amp; "'!F:F") =$A66) * (INDIRECT("'" &amp; G$57 &amp; "'!E:E") = Tables!$A$55), 0)), "")</f>
        <v>21.750733920469724</v>
      </c>
      <c r="H66" s="16" cm="1">
        <f t="array" aca="1" ref="H66" ca="1">IFERROR(INDEX(INDIRECT("'" &amp; H$57 &amp; "'!R:R"), MATCH(1, (INDIRECT("'"&amp; H$57 &amp; "'!F:F") =$A66) * (INDIRECT("'" &amp; H$57 &amp; "'!E:E") = Tables!$A$55), 0)), "")</f>
        <v>-20.356315548687043</v>
      </c>
      <c r="I66" s="16" cm="1">
        <f t="array" aca="1" ref="I66" ca="1">IFERROR(INDEX(INDIRECT("'" &amp; I$57 &amp; "'!R:R"), MATCH(1, (INDIRECT("'"&amp; I$57 &amp; "'!F:F") =$A66) * (INDIRECT("'" &amp; I$57 &amp; "'!E:E") = Tables!$A$55), 0)), "")</f>
        <v>0.44179792547062169</v>
      </c>
      <c r="L66" s="6">
        <v>9</v>
      </c>
      <c r="M66" s="16" cm="1">
        <f t="array" aca="1" ref="M66" ca="1">IFERROR(INDEX(INDIRECT("'" &amp; M$57 &amp; "'!R:R"), MATCH(1, (INDIRECT("'"&amp; B$57 &amp; "'!F:F") =$L66) * (INDIRECT("'" &amp; B$57 &amp; "'!E:E") = Tables!$L$55), 0)), "")</f>
        <v>-7.0866141732283783</v>
      </c>
      <c r="N66" s="16" cm="1">
        <f t="array" aca="1" ref="N66" ca="1">IFERROR(INDEX(INDIRECT("'" &amp; N$57 &amp; "'!R:R"), MATCH(1, (INDIRECT("'"&amp; C$57 &amp; "'!F:F") =$L66) * (INDIRECT("'" &amp; C$57 &amp; "'!E:E") = Tables!$L$55), 0)), "")</f>
        <v>-127.27272727272721</v>
      </c>
      <c r="O66" s="16" cm="1">
        <f t="array" aca="1" ref="O66" ca="1">IFERROR(INDEX(INDIRECT("'" &amp; O$57 &amp; "'!R:R"), MATCH(1, (INDIRECT("'"&amp; D$57 &amp; "'!F:F") =$L66) * (INDIRECT("'" &amp; D$57 &amp; "'!E:E") = Tables!$L$55), 0)), "")</f>
        <v>46.305931321540058</v>
      </c>
      <c r="P66" s="16" cm="1">
        <f t="array" aca="1" ref="P66" ca="1">IFERROR(INDEX(INDIRECT("'" &amp; P$57 &amp; "'!R:R"), MATCH(1, (INDIRECT("'"&amp; E$57 &amp; "'!F:F") =$L66) * (INDIRECT("'" &amp; E$57 &amp; "'!E:E") = Tables!$L$55), 0)), "")</f>
        <v>28.705965429159708</v>
      </c>
      <c r="Q66" s="16" cm="1">
        <f t="array" aca="1" ref="Q66" ca="1">IFERROR(INDEX(INDIRECT("'" &amp; Q$57 &amp; "'!R:R"), MATCH(1, (INDIRECT("'"&amp; F$57 &amp; "'!F:F") =$L66) * (INDIRECT("'" &amp; F$57 &amp; "'!E:E") = Tables!$L$55), 0)), "")</f>
        <v>-150.08683483888697</v>
      </c>
      <c r="R66" s="16" cm="1">
        <f t="array" aca="1" ref="R66" ca="1">IFERROR(INDEX(INDIRECT("'" &amp; R$57 &amp; "'!R:R"), MATCH(1, (INDIRECT("'"&amp; G$57 &amp; "'!F:F") =$L66) * (INDIRECT("'" &amp; G$57 &amp; "'!E:E") = Tables!$L$55), 0)), "")</f>
        <v>-16.946890846010177</v>
      </c>
      <c r="S66" s="16" cm="1">
        <f t="array" aca="1" ref="S66" ca="1">IFERROR(INDEX(INDIRECT("'" &amp; S$57 &amp; "'!R:R"), MATCH(1, (INDIRECT("'"&amp; H$57 &amp; "'!F:F") =$L66) * (INDIRECT("'" &amp; H$57 &amp; "'!E:E") = Tables!$L$55), 0)), "")</f>
        <v>-18.564788169272873</v>
      </c>
      <c r="T66" s="16" cm="1">
        <f t="array" aca="1" ref="T66" ca="1">IFERROR(INDEX(INDIRECT("'" &amp; T$57 &amp; "'!R:R"), MATCH(1, (INDIRECT("'"&amp; I$57 &amp; "'!F:F") =$L66) * (INDIRECT("'" &amp; I$57 &amp; "'!E:E") = Tables!$L$55), 0)), "")</f>
        <v>0.96043027276221382</v>
      </c>
    </row>
    <row r="67" spans="1:20" x14ac:dyDescent="0.35">
      <c r="A67" s="6">
        <v>10</v>
      </c>
      <c r="B67" s="16" cm="1">
        <f t="array" aca="1" ref="B67" ca="1">IFERROR(INDEX(INDIRECT("'" &amp; B$57 &amp; "'!R:R"), MATCH(1, (INDIRECT("'"&amp; B$57 &amp; "'!F:F") =$A67) * (INDIRECT("'" &amp; B$57 &amp; "'!E:E") = Tables!$A$55), 0)), "")</f>
        <v>46.363636363636388</v>
      </c>
      <c r="C67" s="16" cm="1">
        <f t="array" aca="1" ref="C67" ca="1">IFERROR(INDEX(INDIRECT("'" &amp; C$57 &amp; "'!R:R"), MATCH(1, (INDIRECT("'"&amp; C$57 &amp; "'!F:F") =$A67) * (INDIRECT("'" &amp; C$57 &amp; "'!E:E") = Tables!$A$55), 0)), "")</f>
        <v>-218.96551724137927</v>
      </c>
      <c r="D67" s="16" cm="1">
        <f t="array" aca="1" ref="D67" ca="1">IFERROR(INDEX(INDIRECT("'" &amp; D$57 &amp; "'!R:R"), MATCH(1, (INDIRECT("'"&amp; D$57 &amp; "'!F:F") =$A67) * (INDIRECT("'" &amp; D$57 &amp; "'!E:E") = Tables!$A$55), 0)), "")</f>
        <v>86.90789473684211</v>
      </c>
      <c r="E67" s="16" cm="1">
        <f t="array" aca="1" ref="E67" ca="1">IFERROR(INDEX(INDIRECT("'" &amp; E$57 &amp; "'!R:R"), MATCH(1, (INDIRECT("'"&amp; E$57 &amp; "'!F:F") =$A67) * (INDIRECT("'" &amp; E$57 &amp; "'!E:E") = Tables!$A$55), 0)), "")</f>
        <v>67.440757673233179</v>
      </c>
      <c r="F67" s="16" cm="1">
        <f t="array" aca="1" ref="F67" ca="1">IFERROR(INDEX(INDIRECT("'" &amp; F$57 &amp; "'!R:R"), MATCH(1, (INDIRECT("'"&amp; F$57 &amp; "'!F:F") =$A67) * (INDIRECT("'" &amp; F$57 &amp; "'!E:E") = Tables!$A$55), 0)), "")</f>
        <v>-2.875656608258903</v>
      </c>
      <c r="G67" s="16" cm="1">
        <f t="array" aca="1" ref="G67" ca="1">IFERROR(INDEX(INDIRECT("'" &amp; G$57 &amp; "'!R:R"), MATCH(1, (INDIRECT("'"&amp; G$57 &amp; "'!F:F") =$A67) * (INDIRECT("'" &amp; G$57 &amp; "'!E:E") = Tables!$A$55), 0)), "")</f>
        <v>23.325514725045615</v>
      </c>
      <c r="H67" s="16" cm="1">
        <f t="array" aca="1" ref="H67" ca="1">IFERROR(INDEX(INDIRECT("'" &amp; H$57 &amp; "'!R:R"), MATCH(1, (INDIRECT("'"&amp; H$57 &amp; "'!F:F") =$A67) * (INDIRECT("'" &amp; H$57 &amp; "'!E:E") = Tables!$A$55), 0)), "")</f>
        <v>-9.554745531534703</v>
      </c>
      <c r="I67" s="16" cm="1">
        <f t="array" aca="1" ref="I67" ca="1">IFERROR(INDEX(INDIRECT("'" &amp; I$57 &amp; "'!R:R"), MATCH(1, (INDIRECT("'"&amp; I$57 &amp; "'!F:F") =$A67) * (INDIRECT("'" &amp; I$57 &amp; "'!E:E") = Tables!$A$55), 0)), "")</f>
        <v>3.5411565266528555</v>
      </c>
      <c r="L67" s="6">
        <v>10</v>
      </c>
      <c r="M67" s="16" cm="1">
        <f t="array" aca="1" ref="M67" ca="1">IFERROR(INDEX(INDIRECT("'" &amp; M$57 &amp; "'!R:R"), MATCH(1, (INDIRECT("'"&amp; B$57 &amp; "'!F:F") =$L67) * (INDIRECT("'" &amp; B$57 &amp; "'!E:E") = Tables!$L$55), 0)), "")</f>
        <v>60.000000000000007</v>
      </c>
      <c r="N67" s="16" cm="1">
        <f t="array" aca="1" ref="N67" ca="1">IFERROR(INDEX(INDIRECT("'" &amp; N$57 &amp; "'!R:R"), MATCH(1, (INDIRECT("'"&amp; C$57 &amp; "'!F:F") =$L67) * (INDIRECT("'" &amp; C$57 &amp; "'!E:E") = Tables!$L$55), 0)), "")</f>
        <v>-343.10344827586204</v>
      </c>
      <c r="O67" s="16" cm="1">
        <f t="array" aca="1" ref="O67" ca="1">IFERROR(INDEX(INDIRECT("'" &amp; O$57 &amp; "'!R:R"), MATCH(1, (INDIRECT("'"&amp; D$57 &amp; "'!F:F") =$L67) * (INDIRECT("'" &amp; D$57 &amp; "'!E:E") = Tables!$L$55), 0)), "")</f>
        <v>54.210526315789465</v>
      </c>
      <c r="P67" s="16" cm="1">
        <f t="array" aca="1" ref="P67" ca="1">IFERROR(INDEX(INDIRECT("'" &amp; P$57 &amp; "'!R:R"), MATCH(1, (INDIRECT("'"&amp; E$57 &amp; "'!F:F") =$L67) * (INDIRECT("'" &amp; E$57 &amp; "'!E:E") = Tables!$L$55), 0)), "")</f>
        <v>42.416811625905346</v>
      </c>
      <c r="Q67" s="16" cm="1">
        <f t="array" aca="1" ref="Q67" ca="1">IFERROR(INDEX(INDIRECT("'" &amp; Q$57 &amp; "'!R:R"), MATCH(1, (INDIRECT("'"&amp; F$57 &amp; "'!F:F") =$L67) * (INDIRECT("'" &amp; F$57 &amp; "'!E:E") = Tables!$L$55), 0)), "")</f>
        <v>-125.09106245926156</v>
      </c>
      <c r="R67" s="16" cm="1">
        <f t="array" aca="1" ref="R67" ca="1">IFERROR(INDEX(INDIRECT("'" &amp; R$57 &amp; "'!R:R"), MATCH(1, (INDIRECT("'"&amp; G$57 &amp; "'!F:F") =$L67) * (INDIRECT("'" &amp; G$57 &amp; "'!E:E") = Tables!$L$55), 0)), "")</f>
        <v>18.504039614281997</v>
      </c>
      <c r="S67" s="16" cm="1">
        <f t="array" aca="1" ref="S67" ca="1">IFERROR(INDEX(INDIRECT("'" &amp; S$57 &amp; "'!R:R"), MATCH(1, (INDIRECT("'"&amp; H$57 &amp; "'!F:F") =$L67) * (INDIRECT("'" &amp; H$57 &amp; "'!E:E") = Tables!$L$55), 0)), "")</f>
        <v>-9.4691736374521653</v>
      </c>
      <c r="T67" s="16" cm="1">
        <f t="array" aca="1" ref="T67" ca="1">IFERROR(INDEX(INDIRECT("'" &amp; T$57 &amp; "'!R:R"), MATCH(1, (INDIRECT("'"&amp; I$57 &amp; "'!F:F") =$L67) * (INDIRECT("'" &amp; I$57 &amp; "'!E:E") = Tables!$L$55), 0)), "")</f>
        <v>3.8048596722546568</v>
      </c>
    </row>
    <row r="68" spans="1:20" x14ac:dyDescent="0.35">
      <c r="A68" s="6">
        <v>11</v>
      </c>
      <c r="B68" s="16" cm="1">
        <f t="array" aca="1" ref="B68" ca="1">IFERROR(INDEX(INDIRECT("'" &amp; B$57 &amp; "'!R:R"), MATCH(1, (INDIRECT("'"&amp; B$57 &amp; "'!F:F") =$A68) * (INDIRECT("'" &amp; B$57 &amp; "'!E:E") = Tables!$A$55), 0)), "")</f>
        <v>63.414634146341477</v>
      </c>
      <c r="C68" s="16" cm="1">
        <f t="array" aca="1" ref="C68" ca="1">IFERROR(INDEX(INDIRECT("'" &amp; C$57 &amp; "'!R:R"), MATCH(1, (INDIRECT("'"&amp; C$57 &amp; "'!F:F") =$A68) * (INDIRECT("'" &amp; C$57 &amp; "'!E:E") = Tables!$A$55), 0)), "")</f>
        <v>-24.827586206896555</v>
      </c>
      <c r="D68" s="16" cm="1">
        <f t="array" aca="1" ref="D68" ca="1">IFERROR(INDEX(INDIRECT("'" &amp; D$57 &amp; "'!R:R"), MATCH(1, (INDIRECT("'"&amp; D$57 &amp; "'!F:F") =$A68) * (INDIRECT("'" &amp; D$57 &amp; "'!E:E") = Tables!$A$55), 0)), "")</f>
        <v>81.743524952621598</v>
      </c>
      <c r="E68" s="16" cm="1">
        <f t="array" aca="1" ref="E68" ca="1">IFERROR(INDEX(INDIRECT("'" &amp; E$57 &amp; "'!R:R"), MATCH(1, (INDIRECT("'"&amp; E$57 &amp; "'!F:F") =$A68) * (INDIRECT("'" &amp; E$57 &amp; "'!E:E") = Tables!$A$55), 0)), "")</f>
        <v>68.795806508651495</v>
      </c>
      <c r="F68" s="16" cm="1">
        <f t="array" aca="1" ref="F68" ca="1">IFERROR(INDEX(INDIRECT("'" &amp; F$57 &amp; "'!R:R"), MATCH(1, (INDIRECT("'"&amp; F$57 &amp; "'!F:F") =$A68) * (INDIRECT("'" &amp; F$57 &amp; "'!E:E") = Tables!$A$55), 0)), "")</f>
        <v>51.962381801619173</v>
      </c>
      <c r="G68" s="16" cm="1">
        <f t="array" aca="1" ref="G68" ca="1">IFERROR(INDEX(INDIRECT("'" &amp; G$57 &amp; "'!R:R"), MATCH(1, (INDIRECT("'"&amp; G$57 &amp; "'!F:F") =$A68) * (INDIRECT("'" &amp; G$57 &amp; "'!E:E") = Tables!$A$55), 0)), "")</f>
        <v>27.359238699444877</v>
      </c>
      <c r="H68" s="16" cm="1">
        <f t="array" aca="1" ref="H68" ca="1">IFERROR(INDEX(INDIRECT("'" &amp; H$57 &amp; "'!R:R"), MATCH(1, (INDIRECT("'"&amp; H$57 &amp; "'!F:F") =$A68) * (INDIRECT("'" &amp; H$57 &amp; "'!E:E") = Tables!$A$55), 0)), "")</f>
        <v>-3.672773381137695</v>
      </c>
      <c r="I68" s="16" cm="1">
        <f t="array" aca="1" ref="I68" ca="1">IFERROR(INDEX(INDIRECT("'" &amp; I$57 &amp; "'!R:R"), MATCH(1, (INDIRECT("'"&amp; I$57 &amp; "'!F:F") =$A68) * (INDIRECT("'" &amp; I$57 &amp; "'!E:E") = Tables!$A$55), 0)), "")</f>
        <v>9.615384615384615</v>
      </c>
      <c r="L68" s="6">
        <v>11</v>
      </c>
      <c r="M68" s="16" cm="1">
        <f t="array" aca="1" ref="M68" ca="1">IFERROR(INDEX(INDIRECT("'" &amp; M$57 &amp; "'!R:R"), MATCH(1, (INDIRECT("'"&amp; B$57 &amp; "'!F:F") =$L68) * (INDIRECT("'" &amp; B$57 &amp; "'!E:E") = Tables!$L$55), 0)), "")</f>
        <v>-11.585365853658548</v>
      </c>
      <c r="N68" s="16" cm="1">
        <f t="array" aca="1" ref="N68" ca="1">IFERROR(INDEX(INDIRECT("'" &amp; N$57 &amp; "'!R:R"), MATCH(1, (INDIRECT("'"&amp; C$57 &amp; "'!F:F") =$L68) * (INDIRECT("'" &amp; C$57 &amp; "'!E:E") = Tables!$L$55), 0)), "")</f>
        <v>6.8965517241379226</v>
      </c>
      <c r="O68" s="16" cm="1">
        <f t="array" aca="1" ref="O68" ca="1">IFERROR(INDEX(INDIRECT("'" &amp; O$57 &amp; "'!R:R"), MATCH(1, (INDIRECT("'"&amp; D$57 &amp; "'!F:F") =$L68) * (INDIRECT("'" &amp; D$57 &amp; "'!E:E") = Tables!$L$55), 0)), "")</f>
        <v>55.337965887555271</v>
      </c>
      <c r="P68" s="16" cm="1">
        <f t="array" aca="1" ref="P68" ca="1">IFERROR(INDEX(INDIRECT("'" &amp; P$57 &amp; "'!R:R"), MATCH(1, (INDIRECT("'"&amp; E$57 &amp; "'!F:F") =$L68) * (INDIRECT("'" &amp; E$57 &amp; "'!E:E") = Tables!$L$55), 0)), "")</f>
        <v>30.675761586739782</v>
      </c>
      <c r="Q68" s="16" cm="1">
        <f t="array" aca="1" ref="Q68" ca="1">IFERROR(INDEX(INDIRECT("'" &amp; Q$57 &amp; "'!R:R"), MATCH(1, (INDIRECT("'"&amp; F$57 &amp; "'!F:F") =$L68) * (INDIRECT("'" &amp; F$57 &amp; "'!E:E") = Tables!$L$55), 0)), "")</f>
        <v>31.562335612835348</v>
      </c>
      <c r="R68" s="16" cm="1">
        <f t="array" aca="1" ref="R68" ca="1">IFERROR(INDEX(INDIRECT("'" &amp; R$57 &amp; "'!R:R"), MATCH(1, (INDIRECT("'"&amp; G$57 &amp; "'!F:F") =$L68) * (INDIRECT("'" &amp; G$57 &amp; "'!E:E") = Tables!$L$55), 0)), "")</f>
        <v>23.790642347343351</v>
      </c>
      <c r="S68" s="16" cm="1">
        <f t="array" aca="1" ref="S68" ca="1">IFERROR(INDEX(INDIRECT("'" &amp; S$57 &amp; "'!R:R"), MATCH(1, (INDIRECT("'"&amp; H$57 &amp; "'!F:F") =$L68) * (INDIRECT("'" &amp; H$57 &amp; "'!E:E") = Tables!$L$55), 0)), "")</f>
        <v>-5.7789036287729356</v>
      </c>
      <c r="T68" s="16" cm="1">
        <f t="array" aca="1" ref="T68" ca="1">IFERROR(INDEX(INDIRECT("'" &amp; T$57 &amp; "'!R:R"), MATCH(1, (INDIRECT("'"&amp; I$57 &amp; "'!F:F") =$L68) * (INDIRECT("'" &amp; I$57 &amp; "'!E:E") = Tables!$L$55), 0)), "")</f>
        <v>9.0508115737473638</v>
      </c>
    </row>
    <row r="69" spans="1:20" x14ac:dyDescent="0.35">
      <c r="A69" s="6">
        <v>12</v>
      </c>
      <c r="B69" s="16" cm="1">
        <f t="array" aca="1" ref="B69" ca="1">IFERROR(INDEX(INDIRECT("'" &amp; B$57 &amp; "'!R:R"), MATCH(1, (INDIRECT("'"&amp; B$57 &amp; "'!F:F") =$A69) * (INDIRECT("'" &amp; B$57 &amp; "'!E:E") = Tables!$A$55), 0)), "")</f>
        <v>72.435897435897445</v>
      </c>
      <c r="C69" s="16" cm="1">
        <f t="array" aca="1" ref="C69" ca="1">IFERROR(INDEX(INDIRECT("'" &amp; C$57 &amp; "'!R:R"), MATCH(1, (INDIRECT("'"&amp; C$57 &amp; "'!F:F") =$A69) * (INDIRECT("'" &amp; C$57 &amp; "'!E:E") = Tables!$A$55), 0)), "")</f>
        <v>-70.786516853932582</v>
      </c>
      <c r="D69" s="16" cm="1">
        <f t="array" aca="1" ref="D69" ca="1">IFERROR(INDEX(INDIRECT("'" &amp; D$57 &amp; "'!R:R"), MATCH(1, (INDIRECT("'"&amp; D$57 &amp; "'!F:F") =$A69) * (INDIRECT("'" &amp; D$57 &amp; "'!E:E") = Tables!$A$55), 0)), "")</f>
        <v>88.393367638650659</v>
      </c>
      <c r="E69" s="16" cm="1">
        <f t="array" aca="1" ref="E69" ca="1">IFERROR(INDEX(INDIRECT("'" &amp; E$57 &amp; "'!R:R"), MATCH(1, (INDIRECT("'"&amp; E$57 &amp; "'!F:F") =$A69) * (INDIRECT("'" &amp; E$57 &amp; "'!E:E") = Tables!$A$55), 0)), "")</f>
        <v>77.332388373449717</v>
      </c>
      <c r="F69" s="16" cm="1">
        <f t="array" aca="1" ref="F69" ca="1">IFERROR(INDEX(INDIRECT("'" &amp; F$57 &amp; "'!R:R"), MATCH(1, (INDIRECT("'"&amp; F$57 &amp; "'!F:F") =$A69) * (INDIRECT("'" &amp; F$57 &amp; "'!E:E") = Tables!$A$55), 0)), "")</f>
        <v>41.458003169572109</v>
      </c>
      <c r="G69" s="16" cm="1">
        <f t="array" aca="1" ref="G69" ca="1">IFERROR(INDEX(INDIRECT("'" &amp; G$57 &amp; "'!R:R"), MATCH(1, (INDIRECT("'"&amp; G$57 &amp; "'!F:F") =$A69) * (INDIRECT("'" &amp; G$57 &amp; "'!E:E") = Tables!$A$55), 0)), "")</f>
        <v>34.43449048152295</v>
      </c>
      <c r="H69" s="16" cm="1">
        <f t="array" aca="1" ref="H69" ca="1">IFERROR(INDEX(INDIRECT("'" &amp; H$57 &amp; "'!R:R"), MATCH(1, (INDIRECT("'"&amp; H$57 &amp; "'!F:F") =$A69) * (INDIRECT("'" &amp; H$57 &amp; "'!E:E") = Tables!$A$55), 0)), "")</f>
        <v>-2.3200877415000321</v>
      </c>
      <c r="I69" s="16" cm="1">
        <f t="array" aca="1" ref="I69" ca="1">IFERROR(INDEX(INDIRECT("'" &amp; I$57 &amp; "'!R:R"), MATCH(1, (INDIRECT("'"&amp; I$57 &amp; "'!F:F") =$A69) * (INDIRECT("'" &amp; I$57 &amp; "'!E:E") = Tables!$A$55), 0)), "")</f>
        <v>10.519713261648745</v>
      </c>
      <c r="L69" s="6">
        <v>12</v>
      </c>
      <c r="M69" s="16" cm="1">
        <f t="array" aca="1" ref="M69" ca="1">IFERROR(INDEX(INDIRECT("'" &amp; M$57 &amp; "'!R:R"), MATCH(1, (INDIRECT("'"&amp; B$57 &amp; "'!F:F") =$L69) * (INDIRECT("'" &amp; B$57 &amp; "'!E:E") = Tables!$L$55), 0)), "")</f>
        <v>69.230769230769226</v>
      </c>
      <c r="N69" s="16" cm="1">
        <f t="array" aca="1" ref="N69" ca="1">IFERROR(INDEX(INDIRECT("'" &amp; N$57 &amp; "'!R:R"), MATCH(1, (INDIRECT("'"&amp; C$57 &amp; "'!F:F") =$L69) * (INDIRECT("'" &amp; C$57 &amp; "'!E:E") = Tables!$L$55), 0)), "")</f>
        <v>47.191011235955081</v>
      </c>
      <c r="O69" s="16" cm="1">
        <f t="array" aca="1" ref="O69" ca="1">IFERROR(INDEX(INDIRECT("'" &amp; O$57 &amp; "'!R:R"), MATCH(1, (INDIRECT("'"&amp; D$57 &amp; "'!F:F") =$L69) * (INDIRECT("'" &amp; D$57 &amp; "'!E:E") = Tables!$L$55), 0)), "")</f>
        <v>85.820468839336755</v>
      </c>
      <c r="P69" s="16" cm="1">
        <f t="array" aca="1" ref="P69" ca="1">IFERROR(INDEX(INDIRECT("'" &amp; P$57 &amp; "'!R:R"), MATCH(1, (INDIRECT("'"&amp; E$57 &amp; "'!F:F") =$L69) * (INDIRECT("'" &amp; E$57 &amp; "'!E:E") = Tables!$L$55), 0)), "")</f>
        <v>79.362930737391849</v>
      </c>
      <c r="Q69" s="16" cm="1">
        <f t="array" aca="1" ref="Q69" ca="1">IFERROR(INDEX(INDIRECT("'" &amp; Q$57 &amp; "'!R:R"), MATCH(1, (INDIRECT("'"&amp; F$57 &amp; "'!F:F") =$L69) * (INDIRECT("'" &amp; F$57 &amp; "'!E:E") = Tables!$L$55), 0)), "")</f>
        <v>-30.998415213946107</v>
      </c>
      <c r="R69" s="16" cm="1">
        <f t="array" aca="1" ref="R69" ca="1">IFERROR(INDEX(INDIRECT("'" &amp; R$57 &amp; "'!R:R"), MATCH(1, (INDIRECT("'"&amp; G$57 &amp; "'!F:F") =$L69) * (INDIRECT("'" &amp; G$57 &amp; "'!E:E") = Tables!$L$55), 0)), "")</f>
        <v>25.615901455767066</v>
      </c>
      <c r="S69" s="16" cm="1">
        <f t="array" aca="1" ref="S69" ca="1">IFERROR(INDEX(INDIRECT("'" &amp; S$57 &amp; "'!R:R"), MATCH(1, (INDIRECT("'"&amp; H$57 &amp; "'!F:F") =$L69) * (INDIRECT("'" &amp; H$57 &amp; "'!E:E") = Tables!$L$55), 0)), "")</f>
        <v>-7.7781597685085524</v>
      </c>
      <c r="T69" s="16" cm="1">
        <f t="array" aca="1" ref="T69" ca="1">IFERROR(INDEX(INDIRECT("'" &amp; T$57 &amp; "'!R:R"), MATCH(1, (INDIRECT("'"&amp; I$57 &amp; "'!F:F") =$L69) * (INDIRECT("'" &amp; I$57 &amp; "'!E:E") = Tables!$L$55), 0)), "")</f>
        <v>10.125448028673834</v>
      </c>
    </row>
    <row r="70" spans="1:20" x14ac:dyDescent="0.35">
      <c r="A70" s="6">
        <v>13</v>
      </c>
      <c r="B70" s="16" cm="1">
        <f t="array" aca="1" ref="B70" ca="1">IFERROR(INDEX(INDIRECT("'" &amp; B$57 &amp; "'!R:R"), MATCH(1, (INDIRECT("'"&amp; B$57 &amp; "'!F:F") =$A70) * (INDIRECT("'" &amp; B$57 &amp; "'!E:E") = Tables!$A$55), 0)), "")</f>
        <v>9.9322799097065548</v>
      </c>
      <c r="C70" s="16" cm="1">
        <f t="array" aca="1" ref="C70" ca="1">IFERROR(INDEX(INDIRECT("'" &amp; C$57 &amp; "'!R:R"), MATCH(1, (INDIRECT("'"&amp; C$57 &amp; "'!F:F") =$A70) * (INDIRECT("'" &amp; C$57 &amp; "'!E:E") = Tables!$A$55), 0)), "")</f>
        <v>-354</v>
      </c>
      <c r="D70" s="16" cm="1">
        <f t="array" aca="1" ref="D70" ca="1">IFERROR(INDEX(INDIRECT("'" &amp; D$57 &amp; "'!R:R"), MATCH(1, (INDIRECT("'"&amp; D$57 &amp; "'!F:F") =$A70) * (INDIRECT("'" &amp; D$57 &amp; "'!E:E") = Tables!$A$55), 0)), "")</f>
        <v>47.777101096224129</v>
      </c>
      <c r="E70" s="16" cm="1">
        <f t="array" aca="1" ref="E70" ca="1">IFERROR(INDEX(INDIRECT("'" &amp; E$57 &amp; "'!R:R"), MATCH(1, (INDIRECT("'"&amp; E$57 &amp; "'!F:F") =$A70) * (INDIRECT("'" &amp; E$57 &amp; "'!E:E") = Tables!$A$55), 0)), "")</f>
        <v>34.02518285540841</v>
      </c>
      <c r="F70" s="16" cm="1">
        <f t="array" aca="1" ref="F70" ca="1">IFERROR(INDEX(INDIRECT("'" &amp; F$57 &amp; "'!R:R"), MATCH(1, (INDIRECT("'"&amp; F$57 &amp; "'!F:F") =$A70) * (INDIRECT("'" &amp; F$57 &amp; "'!E:E") = Tables!$A$55), 0)), "")</f>
        <v>-180.48780487804876</v>
      </c>
      <c r="G70" s="16" cm="1">
        <f t="array" aca="1" ref="G70" ca="1">IFERROR(INDEX(INDIRECT("'" &amp; G$57 &amp; "'!R:R"), MATCH(1, (INDIRECT("'"&amp; G$57 &amp; "'!F:F") =$A70) * (INDIRECT("'" &amp; G$57 &amp; "'!E:E") = Tables!$A$55), 0)), "")</f>
        <v>-10.954381752701092</v>
      </c>
      <c r="H70" s="16" cm="1">
        <f t="array" aca="1" ref="H70" ca="1">IFERROR(INDEX(INDIRECT("'" &amp; H$57 &amp; "'!R:R"), MATCH(1, (INDIRECT("'"&amp; H$57 &amp; "'!F:F") =$A70) * (INDIRECT("'" &amp; H$57 &amp; "'!E:E") = Tables!$A$55), 0)), "")</f>
        <v>-30.664930407637534</v>
      </c>
      <c r="I70" s="16" cm="1">
        <f t="array" aca="1" ref="I70" ca="1">IFERROR(INDEX(INDIRECT("'" &amp; I$57 &amp; "'!R:R"), MATCH(1, (INDIRECT("'"&amp; I$57 &amp; "'!F:F") =$A70) * (INDIRECT("'" &amp; I$57 &amp; "'!E:E") = Tables!$A$55), 0)), "")</f>
        <v>-7.9020150138298106E-2</v>
      </c>
      <c r="L70" s="6">
        <v>13</v>
      </c>
      <c r="M70" s="16" cm="1">
        <f t="array" aca="1" ref="M70" ca="1">IFERROR(INDEX(INDIRECT("'" &amp; M$57 &amp; "'!R:R"), MATCH(1, (INDIRECT("'"&amp; B$57 &amp; "'!F:F") =$L70) * (INDIRECT("'" &amp; B$57 &amp; "'!E:E") = Tables!$L$55), 0)), "")</f>
        <v>28.893905191873593</v>
      </c>
      <c r="N70" s="16" cm="1">
        <f t="array" aca="1" ref="N70" ca="1">IFERROR(INDEX(INDIRECT("'" &amp; N$57 &amp; "'!R:R"), MATCH(1, (INDIRECT("'"&amp; C$57 &amp; "'!F:F") =$L70) * (INDIRECT("'" &amp; C$57 &amp; "'!E:E") = Tables!$L$55), 0)), "")</f>
        <v>-61.999999999999986</v>
      </c>
      <c r="O70" s="16" cm="1">
        <f t="array" aca="1" ref="O70" ca="1">IFERROR(INDEX(INDIRECT("'" &amp; O$57 &amp; "'!R:R"), MATCH(1, (INDIRECT("'"&amp; D$57 &amp; "'!F:F") =$L70) * (INDIRECT("'" &amp; D$57 &amp; "'!E:E") = Tables!$L$55), 0)), "")</f>
        <v>31.425091352009748</v>
      </c>
      <c r="P70" s="16" cm="1">
        <f t="array" aca="1" ref="P70" ca="1">IFERROR(INDEX(INDIRECT("'" &amp; P$57 &amp; "'!R:R"), MATCH(1, (INDIRECT("'"&amp; E$57 &amp; "'!F:F") =$L70) * (INDIRECT("'" &amp; E$57 &amp; "'!E:E") = Tables!$L$55), 0)), "")</f>
        <v>29.544557587287066</v>
      </c>
      <c r="Q70" s="16" cm="1">
        <f t="array" aca="1" ref="Q70" ca="1">IFERROR(INDEX(INDIRECT("'" &amp; Q$57 &amp; "'!R:R"), MATCH(1, (INDIRECT("'"&amp; F$57 &amp; "'!F:F") =$L70) * (INDIRECT("'" &amp; F$57 &amp; "'!E:E") = Tables!$L$55), 0)), "")</f>
        <v>-465.85365853658527</v>
      </c>
      <c r="R70" s="16" cm="1">
        <f t="array" aca="1" ref="R70" ca="1">IFERROR(INDEX(INDIRECT("'" &amp; R$57 &amp; "'!R:R"), MATCH(1, (INDIRECT("'"&amp; G$57 &amp; "'!F:F") =$L70) * (INDIRECT("'" &amp; G$57 &amp; "'!E:E") = Tables!$L$55), 0)), "")</f>
        <v>-33.013205282112864</v>
      </c>
      <c r="S70" s="16" cm="1">
        <f t="array" aca="1" ref="S70" ca="1">IFERROR(INDEX(INDIRECT("'" &amp; S$57 &amp; "'!R:R"), MATCH(1, (INDIRECT("'"&amp; H$57 &amp; "'!F:F") =$L70) * (INDIRECT("'" &amp; H$57 &amp; "'!E:E") = Tables!$L$55), 0)), "")</f>
        <v>-27.660916651817068</v>
      </c>
      <c r="T70" s="16" cm="1">
        <f t="array" aca="1" ref="T70" ca="1">IFERROR(INDEX(INDIRECT("'" &amp; T$57 &amp; "'!R:R"), MATCH(1, (INDIRECT("'"&amp; I$57 &amp; "'!F:F") =$L70) * (INDIRECT("'" &amp; I$57 &amp; "'!E:E") = Tables!$L$55), 0)), "")</f>
        <v>-2.0940339786645668</v>
      </c>
    </row>
    <row r="71" spans="1:20" x14ac:dyDescent="0.35">
      <c r="A71" s="6">
        <v>14</v>
      </c>
      <c r="B71" s="16" cm="1">
        <f t="array" aca="1" ref="B71" ca="1">IFERROR(INDEX(INDIRECT("'" &amp; B$57 &amp; "'!R:R"), MATCH(1, (INDIRECT("'"&amp; B$57 &amp; "'!F:F") =$A71) * (INDIRECT("'" &amp; B$57 &amp; "'!E:E") = Tables!$A$55), 0)), "")</f>
        <v>-153.68421052631584</v>
      </c>
      <c r="C71" s="16" cm="1">
        <f t="array" aca="1" ref="C71" ca="1">IFERROR(INDEX(INDIRECT("'" &amp; C$57 &amp; "'!R:R"), MATCH(1, (INDIRECT("'"&amp; C$57 &amp; "'!F:F") =$A71) * (INDIRECT("'" &amp; C$57 &amp; "'!E:E") = Tables!$A$55), 0)), "")</f>
        <v>-771.99999999999989</v>
      </c>
      <c r="D71" s="16" cm="1">
        <f t="array" aca="1" ref="D71" ca="1">IFERROR(INDEX(INDIRECT("'" &amp; D$57 &amp; "'!R:R"), MATCH(1, (INDIRECT("'"&amp; D$57 &amp; "'!F:F") =$A71) * (INDIRECT("'" &amp; D$57 &amp; "'!E:E") = Tables!$A$55), 0)), "")</f>
        <v>55.510425128621712</v>
      </c>
      <c r="E71" s="16" cm="1">
        <f t="array" aca="1" ref="E71" ca="1">IFERROR(INDEX(INDIRECT("'" &amp; E$57 &amp; "'!R:R"), MATCH(1, (INDIRECT("'"&amp; E$57 &amp; "'!F:F") =$A71) * (INDIRECT("'" &amp; E$57 &amp; "'!E:E") = Tables!$A$55), 0)), "")</f>
        <v>38.850162646882204</v>
      </c>
      <c r="F71" s="16" cm="1">
        <f t="array" aca="1" ref="F71" ca="1">IFERROR(INDEX(INDIRECT("'" &amp; F$57 &amp; "'!R:R"), MATCH(1, (INDIRECT("'"&amp; F$57 &amp; "'!F:F") =$A71) * (INDIRECT("'" &amp; F$57 &amp; "'!E:E") = Tables!$A$55), 0)), "")</f>
        <v>43.182427002410918</v>
      </c>
      <c r="G71" s="16" cm="1">
        <f t="array" aca="1" ref="G71" ca="1">IFERROR(INDEX(INDIRECT("'" &amp; G$57 &amp; "'!R:R"), MATCH(1, (INDIRECT("'"&amp; G$57 &amp; "'!F:F") =$A71) * (INDIRECT("'" &amp; G$57 &amp; "'!E:E") = Tables!$A$55), 0)), "")</f>
        <v>10.184595798854224</v>
      </c>
      <c r="H71" s="16" cm="1">
        <f t="array" aca="1" ref="H71" ca="1">IFERROR(INDEX(INDIRECT("'" &amp; H$57 &amp; "'!R:R"), MATCH(1, (INDIRECT("'"&amp; H$57 &amp; "'!F:F") =$A71) * (INDIRECT("'" &amp; H$57 &amp; "'!E:E") = Tables!$A$55), 0)), "")</f>
        <v>-3.8404918581086411</v>
      </c>
      <c r="I71" s="16" cm="1">
        <f t="array" aca="1" ref="I71" ca="1">IFERROR(INDEX(INDIRECT("'" &amp; I$57 &amp; "'!R:R"), MATCH(1, (INDIRECT("'"&amp; I$57 &amp; "'!F:F") =$A71) * (INDIRECT("'" &amp; I$57 &amp; "'!E:E") = Tables!$A$55), 0)), "")</f>
        <v>8.6648501362397763</v>
      </c>
      <c r="L71" s="6">
        <v>14</v>
      </c>
      <c r="M71" s="16" cm="1">
        <f t="array" aca="1" ref="M71" ca="1">IFERROR(INDEX(INDIRECT("'" &amp; M$57 &amp; "'!R:R"), MATCH(1, (INDIRECT("'"&amp; B$57 &amp; "'!F:F") =$L71) * (INDIRECT("'" &amp; B$57 &amp; "'!E:E") = Tables!$L$55), 0)), "")</f>
        <v>5.2631578947368363</v>
      </c>
      <c r="N71" s="16" cm="1">
        <f t="array" aca="1" ref="N71" ca="1">IFERROR(INDEX(INDIRECT("'" &amp; N$57 &amp; "'!R:R"), MATCH(1, (INDIRECT("'"&amp; C$57 &amp; "'!F:F") =$L71) * (INDIRECT("'" &amp; C$57 &amp; "'!E:E") = Tables!$L$55), 0)), "")</f>
        <v>-163.99999999999991</v>
      </c>
      <c r="O71" s="16" cm="1">
        <f t="array" aca="1" ref="O71" ca="1">IFERROR(INDEX(INDIRECT("'" &amp; O$57 &amp; "'!R:R"), MATCH(1, (INDIRECT("'"&amp; D$57 &amp; "'!F:F") =$L71) * (INDIRECT("'" &amp; D$57 &amp; "'!E:E") = Tables!$L$55), 0)), "")</f>
        <v>32.114811806119668</v>
      </c>
      <c r="P71" s="16" cm="1">
        <f t="array" aca="1" ref="P71" ca="1">IFERROR(INDEX(INDIRECT("'" &amp; P$57 &amp; "'!R:R"), MATCH(1, (INDIRECT("'"&amp; E$57 &amp; "'!F:F") =$L71) * (INDIRECT("'" &amp; E$57 &amp; "'!E:E") = Tables!$L$55), 0)), "")</f>
        <v>29.274318593347481</v>
      </c>
      <c r="Q71" s="16" cm="1">
        <f t="array" aca="1" ref="Q71" ca="1">IFERROR(INDEX(INDIRECT("'" &amp; Q$57 &amp; "'!R:R"), MATCH(1, (INDIRECT("'"&amp; F$57 &amp; "'!F:F") =$L71) * (INDIRECT("'" &amp; F$57 &amp; "'!E:E") = Tables!$L$55), 0)), "")</f>
        <v>39.539244575408503</v>
      </c>
      <c r="R71" s="16" cm="1">
        <f t="array" aca="1" ref="R71" ca="1">IFERROR(INDEX(INDIRECT("'" &amp; R$57 &amp; "'!R:R"), MATCH(1, (INDIRECT("'"&amp; G$57 &amp; "'!F:F") =$L71) * (INDIRECT("'" &amp; G$57 &amp; "'!E:E") = Tables!$L$55), 0)), "")</f>
        <v>-16.390833863781062</v>
      </c>
      <c r="S71" s="16" cm="1">
        <f t="array" aca="1" ref="S71" ca="1">IFERROR(INDEX(INDIRECT("'" &amp; S$57 &amp; "'!R:R"), MATCH(1, (INDIRECT("'"&amp; H$57 &amp; "'!F:F") =$L71) * (INDIRECT("'" &amp; H$57 &amp; "'!E:E") = Tables!$L$55), 0)), "")</f>
        <v>-1.7417815081098853</v>
      </c>
      <c r="T71" s="16" cm="1">
        <f t="array" aca="1" ref="T71" ca="1">IFERROR(INDEX(INDIRECT("'" &amp; T$57 &amp; "'!R:R"), MATCH(1, (INDIRECT("'"&amp; I$57 &amp; "'!F:F") =$L71) * (INDIRECT("'" &amp; I$57 &amp; "'!E:E") = Tables!$L$55), 0)), "")</f>
        <v>5.504087193460494</v>
      </c>
    </row>
    <row r="72" spans="1:20" x14ac:dyDescent="0.35">
      <c r="A72" s="6">
        <v>15</v>
      </c>
      <c r="B72" s="16" cm="1">
        <f t="array" aca="1" ref="B72" ca="1">IFERROR(INDEX(INDIRECT("'" &amp; B$57 &amp; "'!R:R"), MATCH(1, (INDIRECT("'"&amp; B$57 &amp; "'!F:F") =$A72) * (INDIRECT("'" &amp; B$57 &amp; "'!E:E") = Tables!$A$55), 0)), "")</f>
        <v>-1780</v>
      </c>
      <c r="C72" s="16" cm="1">
        <f t="array" aca="1" ref="C72" ca="1">IFERROR(INDEX(INDIRECT("'" &amp; C$57 &amp; "'!R:R"), MATCH(1, (INDIRECT("'"&amp; C$57 &amp; "'!F:F") =$A72) * (INDIRECT("'" &amp; C$57 &amp; "'!E:E") = Tables!$A$55), 0)), "")</f>
        <v>-339.99999999999994</v>
      </c>
      <c r="D72" s="16" cm="1">
        <f t="array" aca="1" ref="D72" ca="1">IFERROR(INDEX(INDIRECT("'" &amp; D$57 &amp; "'!R:R"), MATCH(1, (INDIRECT("'"&amp; D$57 &amp; "'!F:F") =$A72) * (INDIRECT("'" &amp; D$57 &amp; "'!E:E") = Tables!$A$55), 0)), "")</f>
        <v>63.799673380511713</v>
      </c>
      <c r="E72" s="16" cm="1">
        <f t="array" aca="1" ref="E72" ca="1">IFERROR(INDEX(INDIRECT("'" &amp; E$57 &amp; "'!R:R"), MATCH(1, (INDIRECT("'"&amp; E$57 &amp; "'!F:F") =$A72) * (INDIRECT("'" &amp; E$57 &amp; "'!E:E") = Tables!$A$55), 0)), "")</f>
        <v>44.856934762661382</v>
      </c>
      <c r="F72" s="16" cm="1">
        <f t="array" aca="1" ref="F72" ca="1">IFERROR(INDEX(INDIRECT("'" &amp; F$57 &amp; "'!R:R"), MATCH(1, (INDIRECT("'"&amp; F$57 &amp; "'!F:F") =$A72) * (INDIRECT("'" &amp; F$57 &amp; "'!E:E") = Tables!$A$55), 0)), "")</f>
        <v>25.531914893617024</v>
      </c>
      <c r="G72" s="16" cm="1">
        <f t="array" aca="1" ref="G72" ca="1">IFERROR(INDEX(INDIRECT("'" &amp; G$57 &amp; "'!R:R"), MATCH(1, (INDIRECT("'"&amp; G$57 &amp; "'!F:F") =$A72) * (INDIRECT("'" &amp; G$57 &amp; "'!E:E") = Tables!$A$55), 0)), "")</f>
        <v>14.058265582655839</v>
      </c>
      <c r="H72" s="16" cm="1">
        <f t="array" aca="1" ref="H72" ca="1">IFERROR(INDEX(INDIRECT("'" &amp; H$57 &amp; "'!R:R"), MATCH(1, (INDIRECT("'"&amp; H$57 &amp; "'!F:F") =$A72) * (INDIRECT("'" &amp; H$57 &amp; "'!E:E") = Tables!$A$55), 0)), "")</f>
        <v>-1.8347547373780193</v>
      </c>
      <c r="I72" s="16" cm="1">
        <f t="array" aca="1" ref="I72" ca="1">IFERROR(INDEX(INDIRECT("'" &amp; I$57 &amp; "'!R:R"), MATCH(1, (INDIRECT("'"&amp; I$57 &amp; "'!F:F") =$A72) * (INDIRECT("'" &amp; I$57 &amp; "'!E:E") = Tables!$A$55), 0)), "")</f>
        <v>8.6676481413323732</v>
      </c>
      <c r="L72" s="6">
        <v>15</v>
      </c>
      <c r="M72" s="16" cm="1">
        <f t="array" aca="1" ref="M72" ca="1">IFERROR(INDEX(INDIRECT("'" &amp; M$57 &amp; "'!R:R"), MATCH(1, (INDIRECT("'"&amp; B$57 &amp; "'!F:F") =$L72) * (INDIRECT("'" &amp; B$57 &amp; "'!E:E") = Tables!$L$55), 0)), "")</f>
        <v>-900</v>
      </c>
      <c r="N72" s="16" cm="1">
        <f t="array" aca="1" ref="N72" ca="1">IFERROR(INDEX(INDIRECT("'" &amp; N$57 &amp; "'!R:R"), MATCH(1, (INDIRECT("'"&amp; C$57 &amp; "'!F:F") =$L72) * (INDIRECT("'" &amp; C$57 &amp; "'!E:E") = Tables!$L$55), 0)), "")</f>
        <v>-134.28571428571422</v>
      </c>
      <c r="O72" s="16" cm="1">
        <f t="array" aca="1" ref="O72" ca="1">IFERROR(INDEX(INDIRECT("'" &amp; O$57 &amp; "'!R:R"), MATCH(1, (INDIRECT("'"&amp; D$57 &amp; "'!F:F") =$L72) * (INDIRECT("'" &amp; D$57 &amp; "'!E:E") = Tables!$L$55), 0)), "")</f>
        <v>28.524768644529118</v>
      </c>
      <c r="P72" s="16" cm="1">
        <f t="array" aca="1" ref="P72" ca="1">IFERROR(INDEX(INDIRECT("'" &amp; P$57 &amp; "'!R:R"), MATCH(1, (INDIRECT("'"&amp; E$57 &amp; "'!F:F") =$L72) * (INDIRECT("'" &amp; E$57 &amp; "'!E:E") = Tables!$L$55), 0)), "")</f>
        <v>19.903370346546311</v>
      </c>
      <c r="Q72" s="16" cm="1">
        <f t="array" aca="1" ref="Q72" ca="1">IFERROR(INDEX(INDIRECT("'" &amp; Q$57 &amp; "'!R:R"), MATCH(1, (INDIRECT("'"&amp; F$57 &amp; "'!F:F") =$L72) * (INDIRECT("'" &amp; F$57 &amp; "'!E:E") = Tables!$L$55), 0)), "")</f>
        <v>3.9279869067103235</v>
      </c>
      <c r="R72" s="16" cm="1">
        <f t="array" aca="1" ref="R72" ca="1">IFERROR(INDEX(INDIRECT("'" &amp; R$57 &amp; "'!R:R"), MATCH(1, (INDIRECT("'"&amp; G$57 &amp; "'!F:F") =$L72) * (INDIRECT("'" &amp; G$57 &amp; "'!E:E") = Tables!$L$55), 0)), "")</f>
        <v>-5.250677506775081</v>
      </c>
      <c r="S72" s="16" cm="1">
        <f t="array" aca="1" ref="S72" ca="1">IFERROR(INDEX(INDIRECT("'" &amp; S$57 &amp; "'!R:R"), MATCH(1, (INDIRECT("'"&amp; H$57 &amp; "'!F:F") =$L72) * (INDIRECT("'" &amp; H$57 &amp; "'!E:E") = Tables!$L$55), 0)), "")</f>
        <v>0.67700121720241091</v>
      </c>
      <c r="T72" s="16" cm="1">
        <f t="array" aca="1" ref="T72" ca="1">IFERROR(INDEX(INDIRECT("'" &amp; T$57 &amp; "'!R:R"), MATCH(1, (INDIRECT("'"&amp; I$57 &amp; "'!F:F") =$L72) * (INDIRECT("'" &amp; I$57 &amp; "'!E:E") = Tables!$L$55), 0)), "")</f>
        <v>7.5634891424365076</v>
      </c>
    </row>
    <row r="73" spans="1:20" x14ac:dyDescent="0.35">
      <c r="A73" s="6">
        <v>16</v>
      </c>
      <c r="B73" s="16" cm="1">
        <f t="array" aca="1" ref="B73" ca="1">IFERROR(INDEX(INDIRECT("'" &amp; B$57 &amp; "'!R:R"), MATCH(1, (INDIRECT("'"&amp; B$57 &amp; "'!F:F") =$A73) * (INDIRECT("'" &amp; B$57 &amp; "'!E:E") = Tables!$A$55), 0)), "")</f>
        <v>-4119.9999999999991</v>
      </c>
      <c r="C73" s="16" cm="1">
        <f t="array" aca="1" ref="C73" ca="1">IFERROR(INDEX(INDIRECT("'" &amp; C$57 &amp; "'!R:R"), MATCH(1, (INDIRECT("'"&amp; C$57 &amp; "'!F:F") =$A73) * (INDIRECT("'" &amp; C$57 &amp; "'!E:E") = Tables!$A$55), 0)), "")</f>
        <v>33.333333333333336</v>
      </c>
      <c r="D73" s="16" cm="1">
        <f t="array" aca="1" ref="D73" ca="1">IFERROR(INDEX(INDIRECT("'" &amp; D$57 &amp; "'!R:R"), MATCH(1, (INDIRECT("'"&amp; D$57 &amp; "'!F:F") =$A73) * (INDIRECT("'" &amp; D$57 &amp; "'!E:E") = Tables!$A$55), 0)), "")</f>
        <v>99.470661110485409</v>
      </c>
      <c r="E73" s="16" cm="1">
        <f t="array" aca="1" ref="E73" ca="1">IFERROR(INDEX(INDIRECT("'" &amp; E$57 &amp; "'!R:R"), MATCH(1, (INDIRECT("'"&amp; E$57 &amp; "'!F:F") =$A73) * (INDIRECT("'" &amp; E$57 &amp; "'!E:E") = Tables!$A$55), 0)), "")</f>
        <v>75.343937324956173</v>
      </c>
      <c r="F73" s="16" cm="1">
        <f t="array" aca="1" ref="F73" ca="1">IFERROR(INDEX(INDIRECT("'" &amp; F$57 &amp; "'!R:R"), MATCH(1, (INDIRECT("'"&amp; F$57 &amp; "'!F:F") =$A73) * (INDIRECT("'" &amp; F$57 &amp; "'!E:E") = Tables!$A$55), 0)), "")</f>
        <v>57.719626168224302</v>
      </c>
      <c r="G73" s="16" cm="1">
        <f t="array" aca="1" ref="G73" ca="1">IFERROR(INDEX(INDIRECT("'" &amp; G$57 &amp; "'!R:R"), MATCH(1, (INDIRECT("'"&amp; G$57 &amp; "'!F:F") =$A73) * (INDIRECT("'" &amp; G$57 &amp; "'!E:E") = Tables!$A$55), 0)), "")</f>
        <v>-13.824117255163237</v>
      </c>
      <c r="H73" s="16" cm="1">
        <f t="array" aca="1" ref="H73" ca="1">IFERROR(INDEX(INDIRECT("'" &amp; H$57 &amp; "'!R:R"), MATCH(1, (INDIRECT("'"&amp; H$57 &amp; "'!F:F") =$A73) * (INDIRECT("'" &amp; H$57 &amp; "'!E:E") = Tables!$A$55), 0)), "")</f>
        <v>-42.438207639851377</v>
      </c>
      <c r="I73" s="16" cm="1">
        <f t="array" aca="1" ref="I73" ca="1">IFERROR(INDEX(INDIRECT("'" &amp; I$57 &amp; "'!R:R"), MATCH(1, (INDIRECT("'"&amp; I$57 &amp; "'!F:F") =$A73) * (INDIRECT("'" &amp; I$57 &amp; "'!E:E") = Tables!$A$55), 0)), "")</f>
        <v>13.382122320961843</v>
      </c>
      <c r="L73" s="6">
        <v>16</v>
      </c>
      <c r="M73" s="16" cm="1">
        <f t="array" aca="1" ref="M73" ca="1">IFERROR(INDEX(INDIRECT("'" &amp; M$57 &amp; "'!R:R"), MATCH(1, (INDIRECT("'"&amp; B$57 &amp; "'!F:F") =$L73) * (INDIRECT("'" &amp; B$57 &amp; "'!E:E") = Tables!$L$55), 0)), "")</f>
        <v>-908</v>
      </c>
      <c r="N73" s="16" cm="1">
        <f t="array" aca="1" ref="N73" ca="1">IFERROR(INDEX(INDIRECT("'" &amp; N$57 &amp; "'!R:R"), MATCH(1, (INDIRECT("'"&amp; C$57 &amp; "'!F:F") =$L73) * (INDIRECT("'" &amp; C$57 &amp; "'!E:E") = Tables!$L$55), 0)), "")</f>
        <v>-139.13043478260875</v>
      </c>
      <c r="O73" s="16" cm="1">
        <f t="array" aca="1" ref="O73" ca="1">IFERROR(INDEX(INDIRECT("'" &amp; O$57 &amp; "'!R:R"), MATCH(1, (INDIRECT("'"&amp; D$57 &amp; "'!F:F") =$L73) * (INDIRECT("'" &amp; D$57 &amp; "'!E:E") = Tables!$L$55), 0)), "")</f>
        <v>96.722603896835224</v>
      </c>
      <c r="P73" s="16" cm="1">
        <f t="array" aca="1" ref="P73" ca="1">IFERROR(INDEX(INDIRECT("'" &amp; P$57 &amp; "'!R:R"), MATCH(1, (INDIRECT("'"&amp; E$57 &amp; "'!F:F") =$L73) * (INDIRECT("'" &amp; E$57 &amp; "'!E:E") = Tables!$L$55), 0)), "")</f>
        <v>88.917447211346541</v>
      </c>
      <c r="Q73" s="16" cm="1">
        <f t="array" aca="1" ref="Q73" ca="1">IFERROR(INDEX(INDIRECT("'" &amp; Q$57 &amp; "'!R:R"), MATCH(1, (INDIRECT("'"&amp; F$57 &amp; "'!F:F") =$L73) * (INDIRECT("'" &amp; F$57 &amp; "'!E:E") = Tables!$L$55), 0)), "")</f>
        <v>-11.738317757009353</v>
      </c>
      <c r="R73" s="16" cm="1">
        <f t="array" aca="1" ref="R73" ca="1">IFERROR(INDEX(INDIRECT("'" &amp; R$57 &amp; "'!R:R"), MATCH(1, (INDIRECT("'"&amp; G$57 &amp; "'!F:F") =$L73) * (INDIRECT("'" &amp; G$57 &amp; "'!E:E") = Tables!$L$55), 0)), "")</f>
        <v>-33.311125916056007</v>
      </c>
      <c r="S73" s="16" cm="1">
        <f t="array" aca="1" ref="S73" ca="1">IFERROR(INDEX(INDIRECT("'" &amp; S$57 &amp; "'!R:R"), MATCH(1, (INDIRECT("'"&amp; H$57 &amp; "'!F:F") =$L73) * (INDIRECT("'" &amp; H$57 &amp; "'!E:E") = Tables!$L$55), 0)), "")</f>
        <v>-43.91505772625046</v>
      </c>
      <c r="T73" s="16" cm="1">
        <f t="array" aca="1" ref="T73" ca="1">IFERROR(INDEX(INDIRECT("'" &amp; T$57 &amp; "'!R:R"), MATCH(1, (INDIRECT("'"&amp; I$57 &amp; "'!F:F") =$L73) * (INDIRECT("'" &amp; I$57 &amp; "'!E:E") = Tables!$L$55), 0)), "")</f>
        <v>14.218504966021939</v>
      </c>
    </row>
    <row r="74" spans="1:20" x14ac:dyDescent="0.35">
      <c r="A74" s="6">
        <v>17</v>
      </c>
      <c r="B74" s="16" t="str" cm="1">
        <f t="array" aca="1" ref="B74" ca="1">IFERROR(INDEX(INDIRECT("'" &amp; B$57 &amp; "'!R:R"), MATCH(1, (INDIRECT("'"&amp; B$57 &amp; "'!F:F") =$A74) * (INDIRECT("'" &amp; B$57 &amp; "'!E:E") = Tables!$A$55), 0)), "")</f>
        <v/>
      </c>
      <c r="C74" s="16" cm="1">
        <f t="array" aca="1" ref="C74" ca="1">IFERROR(INDEX(INDIRECT("'" &amp; C$57 &amp; "'!R:R"), MATCH(1, (INDIRECT("'"&amp; C$57 &amp; "'!F:F") =$A74) * (INDIRECT("'" &amp; C$57 &amp; "'!E:E") = Tables!$A$55), 0)), "")</f>
        <v>-189.47368421052627</v>
      </c>
      <c r="D74" s="16" cm="1">
        <f t="array" aca="1" ref="D74" ca="1">IFERROR(INDEX(INDIRECT("'" &amp; D$57 &amp; "'!R:R"), MATCH(1, (INDIRECT("'"&amp; D$57 &amp; "'!F:F") =$A74) * (INDIRECT("'" &amp; D$57 &amp; "'!E:E") = Tables!$A$55), 0)), "")</f>
        <v>90.716831683168309</v>
      </c>
      <c r="E74" s="16" cm="1">
        <f t="array" aca="1" ref="E74" ca="1">IFERROR(INDEX(INDIRECT("'" &amp; E$57 &amp; "'!R:R"), MATCH(1, (INDIRECT("'"&amp; E$57 &amp; "'!F:F") =$A74) * (INDIRECT("'" &amp; E$57 &amp; "'!E:E") = Tables!$A$55), 0)), "")</f>
        <v>88.162382835614849</v>
      </c>
      <c r="F74" s="16" cm="1">
        <f t="array" aca="1" ref="F74" ca="1">IFERROR(INDEX(INDIRECT("'" &amp; F$57 &amp; "'!R:R"), MATCH(1, (INDIRECT("'"&amp; F$57 &amp; "'!F:F") =$A74) * (INDIRECT("'" &amp; F$57 &amp; "'!E:E") = Tables!$A$55), 0)), "")</f>
        <v>63.967375473346941</v>
      </c>
      <c r="G74" s="16" cm="1">
        <f t="array" aca="1" ref="G74" ca="1">IFERROR(INDEX(INDIRECT("'" &amp; G$57 &amp; "'!R:R"), MATCH(1, (INDIRECT("'"&amp; G$57 &amp; "'!F:F") =$A74) * (INDIRECT("'" &amp; G$57 &amp; "'!E:E") = Tables!$A$55), 0)), "")</f>
        <v>1.9788918205804973</v>
      </c>
      <c r="H74" s="16" cm="1">
        <f t="array" aca="1" ref="H74" ca="1">IFERROR(INDEX(INDIRECT("'" &amp; H$57 &amp; "'!R:R"), MATCH(1, (INDIRECT("'"&amp; H$57 &amp; "'!F:F") =$A74) * (INDIRECT("'" &amp; H$57 &amp; "'!E:E") = Tables!$A$55), 0)), "")</f>
        <v>-57.177231647966728</v>
      </c>
      <c r="I74" s="16" cm="1">
        <f t="array" aca="1" ref="I74" ca="1">IFERROR(INDEX(INDIRECT("'" &amp; I$57 &amp; "'!R:R"), MATCH(1, (INDIRECT("'"&amp; I$57 &amp; "'!F:F") =$A74) * (INDIRECT("'" &amp; I$57 &amp; "'!E:E") = Tables!$A$55), 0)), "")</f>
        <v>15.005265005265001</v>
      </c>
      <c r="L74" s="6">
        <v>17</v>
      </c>
      <c r="M74" s="16" t="str" cm="1">
        <f t="array" aca="1" ref="M74" ca="1">IFERROR(INDEX(INDIRECT("'" &amp; M$57 &amp; "'!R:R"), MATCH(1, (INDIRECT("'"&amp; B$57 &amp; "'!F:F") =$L74) * (INDIRECT("'" &amp; B$57 &amp; "'!E:E") = Tables!$L$55), 0)), "")</f>
        <v/>
      </c>
      <c r="N74" s="16" cm="1">
        <f t="array" aca="1" ref="N74" ca="1">IFERROR(INDEX(INDIRECT("'" &amp; N$57 &amp; "'!R:R"), MATCH(1, (INDIRECT("'"&amp; C$57 &amp; "'!F:F") =$L74) * (INDIRECT("'" &amp; C$57 &amp; "'!E:E") = Tables!$L$55), 0)), "")</f>
        <v>-192.63157894736835</v>
      </c>
      <c r="O74" s="16" cm="1">
        <f t="array" aca="1" ref="O74" ca="1">IFERROR(INDEX(INDIRECT("'" &amp; O$57 &amp; "'!R:R"), MATCH(1, (INDIRECT("'"&amp; D$57 &amp; "'!F:F") =$L74) * (INDIRECT("'" &amp; D$57 &amp; "'!E:E") = Tables!$L$55), 0)), "")</f>
        <v>87.342574257425738</v>
      </c>
      <c r="P74" s="16" cm="1">
        <f t="array" aca="1" ref="P74" ca="1">IFERROR(INDEX(INDIRECT("'" &amp; P$57 &amp; "'!R:R"), MATCH(1, (INDIRECT("'"&amp; E$57 &amp; "'!F:F") =$L74) * (INDIRECT("'" &amp; E$57 &amp; "'!E:E") = Tables!$L$55), 0)), "")</f>
        <v>84.790097951375159</v>
      </c>
      <c r="Q74" s="16" cm="1">
        <f t="array" aca="1" ref="Q74" ca="1">IFERROR(INDEX(INDIRECT("'" &amp; Q$57 &amp; "'!R:R"), MATCH(1, (INDIRECT("'"&amp; F$57 &amp; "'!F:F") =$L74) * (INDIRECT("'" &amp; F$57 &amp; "'!E:E") = Tables!$L$55), 0)), "")</f>
        <v>30.585493737256041</v>
      </c>
      <c r="R74" s="16" cm="1">
        <f t="array" aca="1" ref="R74" ca="1">IFERROR(INDEX(INDIRECT("'" &amp; R$57 &amp; "'!R:R"), MATCH(1, (INDIRECT("'"&amp; G$57 &amp; "'!F:F") =$L74) * (INDIRECT("'" &amp; G$57 &amp; "'!E:E") = Tables!$L$55), 0)), "")</f>
        <v>-8.7401055408971029</v>
      </c>
      <c r="S74" s="16" cm="1">
        <f t="array" aca="1" ref="S74" ca="1">IFERROR(INDEX(INDIRECT("'" &amp; S$57 &amp; "'!R:R"), MATCH(1, (INDIRECT("'"&amp; H$57 &amp; "'!F:F") =$L74) * (INDIRECT("'" &amp; H$57 &amp; "'!E:E") = Tables!$L$55), 0)), "")</f>
        <v>-44.634170396882602</v>
      </c>
      <c r="T74" s="16" cm="1">
        <f t="array" aca="1" ref="T74" ca="1">IFERROR(INDEX(INDIRECT("'" &amp; T$57 &amp; "'!R:R"), MATCH(1, (INDIRECT("'"&amp; I$57 &amp; "'!F:F") =$L74) * (INDIRECT("'" &amp; I$57 &amp; "'!E:E") = Tables!$L$55), 0)), "")</f>
        <v>14.215514215514203</v>
      </c>
    </row>
    <row r="75" spans="1:20" x14ac:dyDescent="0.35">
      <c r="A75" s="6">
        <v>18</v>
      </c>
      <c r="B75" s="16" cm="1">
        <f t="array" aca="1" ref="B75" ca="1">IFERROR(INDEX(INDIRECT("'" &amp; B$57 &amp; "'!R:R"), MATCH(1, (INDIRECT("'"&amp; B$57 &amp; "'!F:F") =$A75) * (INDIRECT("'" &amp; B$57 &amp; "'!E:E") = Tables!$A$55), 0)), "")</f>
        <v>20.68965517241379</v>
      </c>
      <c r="C75" s="16" cm="1">
        <f t="array" aca="1" ref="C75" ca="1">IFERROR(INDEX(INDIRECT("'" &amp; C$57 &amp; "'!R:R"), MATCH(1, (INDIRECT("'"&amp; C$57 &amp; "'!F:F") =$A75) * (INDIRECT("'" &amp; C$57 &amp; "'!E:E") = Tables!$A$55), 0)), "")</f>
        <v>-1.9337016574585641</v>
      </c>
      <c r="D75" s="16" cm="1">
        <f t="array" aca="1" ref="D75" ca="1">IFERROR(INDEX(INDIRECT("'" &amp; D$57 &amp; "'!R:R"), MATCH(1, (INDIRECT("'"&amp; D$57 &amp; "'!F:F") =$A75) * (INDIRECT("'" &amp; D$57 &amp; "'!E:E") = Tables!$A$55), 0)), "")</f>
        <v>93.239106949945977</v>
      </c>
      <c r="E75" s="16" cm="1">
        <f t="array" aca="1" ref="E75" ca="1">IFERROR(INDEX(INDIRECT("'" &amp; E$57 &amp; "'!R:R"), MATCH(1, (INDIRECT("'"&amp; E$57 &amp; "'!F:F") =$A75) * (INDIRECT("'" &amp; E$57 &amp; "'!E:E") = Tables!$A$55), 0)), "")</f>
        <v>87.587817476952296</v>
      </c>
      <c r="F75" s="16" cm="1">
        <f t="array" aca="1" ref="F75" ca="1">IFERROR(INDEX(INDIRECT("'" &amp; F$57 &amp; "'!R:R"), MATCH(1, (INDIRECT("'"&amp; F$57 &amp; "'!F:F") =$A75) * (INDIRECT("'" &amp; F$57 &amp; "'!E:E") = Tables!$A$55), 0)), "")</f>
        <v>41.076047594412834</v>
      </c>
      <c r="G75" s="16" cm="1">
        <f t="array" aca="1" ref="G75" ca="1">IFERROR(INDEX(INDIRECT("'" &amp; G$57 &amp; "'!R:R"), MATCH(1, (INDIRECT("'"&amp; G$57 &amp; "'!F:F") =$A75) * (INDIRECT("'" &amp; G$57 &amp; "'!E:E") = Tables!$A$55), 0)), "")</f>
        <v>2.1980863718644938</v>
      </c>
      <c r="H75" s="16" cm="1">
        <f t="array" aca="1" ref="H75" ca="1">IFERROR(INDEX(INDIRECT("'" &amp; H$57 &amp; "'!R:R"), MATCH(1, (INDIRECT("'"&amp; H$57 &amp; "'!F:F") =$A75) * (INDIRECT("'" &amp; H$57 &amp; "'!E:E") = Tables!$A$55), 0)), "")</f>
        <v>-62.249274916660767</v>
      </c>
      <c r="I75" s="16" cm="1">
        <f t="array" aca="1" ref="I75" ca="1">IFERROR(INDEX(INDIRECT("'" &amp; I$57 &amp; "'!R:R"), MATCH(1, (INDIRECT("'"&amp; I$57 &amp; "'!F:F") =$A75) * (INDIRECT("'" &amp; I$57 &amp; "'!E:E") = Tables!$A$55), 0)), "")</f>
        <v>8.195819581958208</v>
      </c>
      <c r="L75" s="6">
        <v>18</v>
      </c>
      <c r="M75" s="16" cm="1">
        <f t="array" aca="1" ref="M75" ca="1">IFERROR(INDEX(INDIRECT("'" &amp; M$57 &amp; "'!R:R"), MATCH(1, (INDIRECT("'"&amp; B$57 &amp; "'!F:F") =$L75) * (INDIRECT("'" &amp; B$57 &amp; "'!E:E") = Tables!$L$55), 0)), "")</f>
        <v>48.275862068965516</v>
      </c>
      <c r="N75" s="16" cm="1">
        <f t="array" aca="1" ref="N75" ca="1">IFERROR(INDEX(INDIRECT("'" &amp; N$57 &amp; "'!R:R"), MATCH(1, (INDIRECT("'"&amp; C$57 &amp; "'!F:F") =$L75) * (INDIRECT("'" &amp; C$57 &amp; "'!E:E") = Tables!$L$55), 0)), "")</f>
        <v>-66.298342541436469</v>
      </c>
      <c r="O75" s="16" cm="1">
        <f t="array" aca="1" ref="O75" ca="1">IFERROR(INDEX(INDIRECT("'" &amp; O$57 &amp; "'!R:R"), MATCH(1, (INDIRECT("'"&amp; D$57 &amp; "'!F:F") =$L75) * (INDIRECT("'" &amp; D$57 &amp; "'!E:E") = Tables!$L$55), 0)), "")</f>
        <v>67.365862441483614</v>
      </c>
      <c r="P75" s="16" cm="1">
        <f t="array" aca="1" ref="P75" ca="1">IFERROR(INDEX(INDIRECT("'" &amp; P$57 &amp; "'!R:R"), MATCH(1, (INDIRECT("'"&amp; E$57 &amp; "'!F:F") =$L75) * (INDIRECT("'" &amp; E$57 &amp; "'!E:E") = Tables!$L$55), 0)), "")</f>
        <v>62.082399491204612</v>
      </c>
      <c r="Q75" s="16" cm="1">
        <f t="array" aca="1" ref="Q75" ca="1">IFERROR(INDEX(INDIRECT("'" &amp; Q$57 &amp; "'!R:R"), MATCH(1, (INDIRECT("'"&amp; F$57 &amp; "'!F:F") =$L75) * (INDIRECT("'" &amp; F$57 &amp; "'!E:E") = Tables!$L$55), 0)), "")</f>
        <v>1.9658561821003673</v>
      </c>
      <c r="R75" s="16" cm="1">
        <f t="array" aca="1" ref="R75" ca="1">IFERROR(INDEX(INDIRECT("'" &amp; R$57 &amp; "'!R:R"), MATCH(1, (INDIRECT("'"&amp; G$57 &amp; "'!F:F") =$L75) * (INDIRECT("'" &amp; G$57 &amp; "'!E:E") = Tables!$L$55), 0)), "")</f>
        <v>-2.5859839668994189</v>
      </c>
      <c r="S75" s="16" cm="1">
        <f t="array" aca="1" ref="S75" ca="1">IFERROR(INDEX(INDIRECT("'" &amp; S$57 &amp; "'!R:R"), MATCH(1, (INDIRECT("'"&amp; H$57 &amp; "'!F:F") =$L75) * (INDIRECT("'" &amp; H$57 &amp; "'!E:E") = Tables!$L$55), 0)), "")</f>
        <v>-3.6118772538209942</v>
      </c>
      <c r="T75" s="16" cm="1">
        <f t="array" aca="1" ref="T75" ca="1">IFERROR(INDEX(INDIRECT("'" &amp; T$57 &amp; "'!R:R"), MATCH(1, (INDIRECT("'"&amp; I$57 &amp; "'!F:F") =$L75) * (INDIRECT("'" &amp; I$57 &amp; "'!E:E") = Tables!$L$55), 0)), "")</f>
        <v>5.6563989732306812</v>
      </c>
    </row>
    <row r="80" spans="1:20" ht="18.5" x14ac:dyDescent="0.45">
      <c r="B80" t="s">
        <v>699</v>
      </c>
    </row>
    <row r="81" spans="1:16" x14ac:dyDescent="0.35">
      <c r="D81" s="167" t="s">
        <v>345</v>
      </c>
      <c r="E81" s="167"/>
      <c r="F81" s="167" t="s">
        <v>346</v>
      </c>
      <c r="G81" s="167"/>
      <c r="H81" s="166" t="s">
        <v>711</v>
      </c>
      <c r="I81" s="166"/>
    </row>
    <row r="82" spans="1:16" ht="58" x14ac:dyDescent="0.35">
      <c r="B82" s="154"/>
      <c r="C82" s="155" t="s">
        <v>697</v>
      </c>
      <c r="D82" s="155" t="s">
        <v>698</v>
      </c>
      <c r="E82" s="155" t="s">
        <v>473</v>
      </c>
      <c r="F82" s="155" t="s">
        <v>698</v>
      </c>
      <c r="G82" s="155" t="s">
        <v>473</v>
      </c>
      <c r="H82" s="155" t="s">
        <v>698</v>
      </c>
      <c r="I82" s="155" t="s">
        <v>701</v>
      </c>
    </row>
    <row r="83" spans="1:16" ht="16.5" x14ac:dyDescent="0.35">
      <c r="A83" s="171" t="s">
        <v>710</v>
      </c>
      <c r="B83" s="7" t="s">
        <v>702</v>
      </c>
      <c r="C83" s="149">
        <f ca="1">E$28</f>
        <v>0</v>
      </c>
      <c r="D83" s="149">
        <f ca="1">U$28</f>
        <v>0.43998366475041628</v>
      </c>
      <c r="E83" s="149">
        <f ca="1">E$38</f>
        <v>-76.538062905852755</v>
      </c>
      <c r="F83" s="149">
        <f ca="1">AK$28</f>
        <v>0.23582794933280277</v>
      </c>
      <c r="G83" s="149">
        <f ca="1">U$38</f>
        <v>23.233214177436526</v>
      </c>
      <c r="H83" s="149">
        <f ca="1">AVERAGE(D83,F83)</f>
        <v>0.33790580704160955</v>
      </c>
      <c r="I83" s="149">
        <f ca="1">AVERAGE(E83,G83)</f>
        <v>-26.652424364208116</v>
      </c>
      <c r="P83" s="154" t="s">
        <v>689</v>
      </c>
    </row>
    <row r="84" spans="1:16" ht="16.5" x14ac:dyDescent="0.35">
      <c r="A84" s="171"/>
      <c r="B84" s="7" t="s">
        <v>703</v>
      </c>
      <c r="C84" s="149">
        <f ca="1">F$28</f>
        <v>4.4403330249768731E-2</v>
      </c>
      <c r="D84" s="149">
        <f ca="1">V$28</f>
        <v>5.8741905642923226E-2</v>
      </c>
      <c r="E84" s="149">
        <f ca="1">F$38</f>
        <v>3.2773695602642854</v>
      </c>
      <c r="F84" s="149">
        <f ca="1">AL$28</f>
        <v>0.16512488436632747</v>
      </c>
      <c r="G84" s="149">
        <f ca="1">V$38</f>
        <v>-221.78137104123948</v>
      </c>
      <c r="H84" s="149">
        <f t="shared" ref="H84:H92" ca="1" si="55">AVERAGE(D84,F84)</f>
        <v>0.11193339500462535</v>
      </c>
      <c r="I84" s="149">
        <f t="shared" ref="I84:I92" ca="1" si="56">AVERAGE(E84,G84)</f>
        <v>-109.2520007404876</v>
      </c>
      <c r="P84" s="154" t="s">
        <v>690</v>
      </c>
    </row>
    <row r="85" spans="1:16" ht="16.5" x14ac:dyDescent="0.35">
      <c r="A85" s="171"/>
      <c r="B85" s="7" t="s">
        <v>704</v>
      </c>
      <c r="C85" s="149">
        <f ca="1">G$28</f>
        <v>2.3972629521016615</v>
      </c>
      <c r="D85" s="149">
        <f ca="1">W$28</f>
        <v>8.6412512218963844E-2</v>
      </c>
      <c r="E85" s="149">
        <f ca="1">G$38</f>
        <v>96.067923859441009</v>
      </c>
      <c r="F85" s="149">
        <f ca="1">AM$28</f>
        <v>0.96344086021505382</v>
      </c>
      <c r="G85" s="149">
        <f ca="1">W$38</f>
        <v>69.264075970974758</v>
      </c>
      <c r="H85" s="149">
        <f t="shared" ca="1" si="55"/>
        <v>0.52492668621700878</v>
      </c>
      <c r="I85" s="149">
        <f t="shared" ca="1" si="56"/>
        <v>82.665999915207891</v>
      </c>
      <c r="P85" s="154" t="s">
        <v>691</v>
      </c>
    </row>
    <row r="86" spans="1:16" ht="16.5" x14ac:dyDescent="0.35">
      <c r="A86" s="171"/>
      <c r="B86" s="7" t="s">
        <v>705</v>
      </c>
      <c r="C86" s="149">
        <f ca="1">H$28</f>
        <v>2.7216552525675235</v>
      </c>
      <c r="D86" s="149">
        <f ca="1">X$28</f>
        <v>0.58513808261230338</v>
      </c>
      <c r="E86" s="149">
        <f ca="1">H$38</f>
        <v>79.488765746499212</v>
      </c>
      <c r="F86" s="149">
        <f ca="1">AN$28</f>
        <v>1.3643936939141841</v>
      </c>
      <c r="G86" s="149">
        <f ca="1">X$38</f>
        <v>75.573921303994183</v>
      </c>
      <c r="H86" s="149">
        <f t="shared" ca="1" si="55"/>
        <v>0.97476588826324373</v>
      </c>
      <c r="I86" s="149">
        <f t="shared" ca="1" si="56"/>
        <v>77.531343525246697</v>
      </c>
      <c r="P86" s="154" t="s">
        <v>692</v>
      </c>
    </row>
    <row r="87" spans="1:16" x14ac:dyDescent="0.35">
      <c r="A87" s="171"/>
      <c r="B87" s="7" t="s">
        <v>694</v>
      </c>
      <c r="C87" s="149">
        <f ca="1">I$28</f>
        <v>1.1790790162218734</v>
      </c>
      <c r="D87" s="149">
        <f ca="1">Y$28</f>
        <v>0.12770975056689343</v>
      </c>
      <c r="E87" s="149">
        <f ca="1">I$38</f>
        <v>82.658824386304872</v>
      </c>
      <c r="F87" s="149">
        <f ca="1">AO$28</f>
        <v>0.52976800976800975</v>
      </c>
      <c r="G87" s="149">
        <f ca="1">Y$38</f>
        <v>19.120812830576156</v>
      </c>
      <c r="H87" s="149">
        <f t="shared" ca="1" si="55"/>
        <v>0.32873888016745156</v>
      </c>
      <c r="I87" s="149">
        <f t="shared" ca="1" si="56"/>
        <v>50.889818608440514</v>
      </c>
      <c r="P87" s="154" t="s">
        <v>693</v>
      </c>
    </row>
    <row r="88" spans="1:16" x14ac:dyDescent="0.35">
      <c r="A88" s="171"/>
      <c r="B88" s="7" t="s">
        <v>695</v>
      </c>
      <c r="C88" s="149">
        <f ca="1">J$28</f>
        <v>27.661904761904751</v>
      </c>
      <c r="D88" s="149">
        <f ca="1">Z$28</f>
        <v>22.780952380952371</v>
      </c>
      <c r="E88" s="149">
        <f ca="1">J$38</f>
        <v>10.312587980035071</v>
      </c>
      <c r="F88" s="149">
        <f ca="1">AP$28</f>
        <v>36.73333333333332</v>
      </c>
      <c r="G88" s="149">
        <f ca="1">Z$38</f>
        <v>-108.13319051942339</v>
      </c>
      <c r="H88" s="149">
        <f t="shared" ca="1" si="55"/>
        <v>29.757142857142846</v>
      </c>
      <c r="I88" s="149">
        <f t="shared" ca="1" si="56"/>
        <v>-48.910301269694159</v>
      </c>
      <c r="P88" s="154" t="s">
        <v>694</v>
      </c>
    </row>
    <row r="89" spans="1:16" ht="16.5" x14ac:dyDescent="0.35">
      <c r="A89" s="171"/>
      <c r="B89" s="7" t="s">
        <v>706</v>
      </c>
      <c r="C89" s="149">
        <f ca="1">K$28</f>
        <v>155.22006418380965</v>
      </c>
      <c r="D89" s="149">
        <f ca="1">AA$28</f>
        <v>227.95119366595782</v>
      </c>
      <c r="E89" s="149">
        <f ca="1">K$38</f>
        <v>-32.670382437630884</v>
      </c>
      <c r="F89" s="149">
        <f ca="1">AQ$28</f>
        <v>166.75420168067228</v>
      </c>
      <c r="G89" s="149">
        <f ca="1">AA$38</f>
        <v>-30.698862442085417</v>
      </c>
      <c r="H89" s="149">
        <f t="shared" ca="1" si="55"/>
        <v>197.35269767331505</v>
      </c>
      <c r="I89" s="149">
        <f t="shared" ca="1" si="56"/>
        <v>-31.684622439858153</v>
      </c>
      <c r="P89" s="154" t="s">
        <v>712</v>
      </c>
    </row>
    <row r="90" spans="1:16" x14ac:dyDescent="0.35">
      <c r="A90" s="171"/>
      <c r="B90" s="7" t="s">
        <v>322</v>
      </c>
      <c r="C90" s="149">
        <f ca="1">L$28</f>
        <v>7.7114285714285717</v>
      </c>
      <c r="D90" s="149">
        <f ca="1">AB$28</f>
        <v>6.9742857142857151</v>
      </c>
      <c r="E90" s="149">
        <f ca="1">L$38</f>
        <v>9.6508252326291792</v>
      </c>
      <c r="F90" s="149">
        <f ca="1">AR$28</f>
        <v>6.9450000000000003</v>
      </c>
      <c r="G90" s="149">
        <f ca="1">AB$38</f>
        <v>11.074378876172588</v>
      </c>
      <c r="H90" s="149">
        <f t="shared" ca="1" si="55"/>
        <v>6.9596428571428577</v>
      </c>
      <c r="I90" s="149">
        <f t="shared" ca="1" si="56"/>
        <v>10.362602054400885</v>
      </c>
      <c r="P90" s="154" t="s">
        <v>695</v>
      </c>
    </row>
    <row r="91" spans="1:16" x14ac:dyDescent="0.35">
      <c r="A91" s="171"/>
      <c r="B91" s="7" t="s">
        <v>707</v>
      </c>
      <c r="C91" s="149">
        <f ca="1">M$28</f>
        <v>2.2793739315175352</v>
      </c>
      <c r="D91" s="149">
        <f ca="1">AC$28</f>
        <v>1.4540656276452721</v>
      </c>
      <c r="E91" s="149">
        <f ca="1">M$38</f>
        <v>39.6978422650864</v>
      </c>
      <c r="F91" s="149">
        <f ca="1">AS$28</f>
        <v>1.3470431044498665</v>
      </c>
      <c r="G91" s="149">
        <f ca="1">AC$38</f>
        <v>15.531085654018691</v>
      </c>
      <c r="H91" s="149">
        <f t="shared" ca="1" si="55"/>
        <v>1.4005543660475692</v>
      </c>
      <c r="I91" s="149">
        <f t="shared" ca="1" si="56"/>
        <v>27.614463959552545</v>
      </c>
      <c r="P91" s="154" t="s">
        <v>23</v>
      </c>
    </row>
    <row r="92" spans="1:16" x14ac:dyDescent="0.35">
      <c r="A92" s="171"/>
      <c r="B92" s="7" t="s">
        <v>708</v>
      </c>
      <c r="C92" s="149">
        <f ca="1">N$28</f>
        <v>107.02835840766875</v>
      </c>
      <c r="D92" s="149">
        <f ca="1">AD$28</f>
        <v>43.883637331913192</v>
      </c>
      <c r="E92" s="149">
        <f ca="1">N$38</f>
        <v>42.22040119566681</v>
      </c>
      <c r="F92" s="149">
        <f ca="1">AT$28</f>
        <v>83.718546132339242</v>
      </c>
      <c r="G92" s="149">
        <f ca="1">AD$38</f>
        <v>47.611071372131128</v>
      </c>
      <c r="H92" s="149">
        <f t="shared" ca="1" si="55"/>
        <v>63.801091732126217</v>
      </c>
      <c r="I92" s="149">
        <f t="shared" ca="1" si="56"/>
        <v>44.915736283898966</v>
      </c>
      <c r="P92" s="154" t="s">
        <v>322</v>
      </c>
    </row>
    <row r="93" spans="1:16" ht="16.5" x14ac:dyDescent="0.35">
      <c r="A93" s="171"/>
      <c r="B93" s="7" t="s">
        <v>709</v>
      </c>
      <c r="C93" s="149">
        <f ca="1">O$28</f>
        <v>0</v>
      </c>
      <c r="D93" s="149">
        <f ca="1">AE$28</f>
        <v>0</v>
      </c>
      <c r="E93" s="149">
        <f ca="1">O$38</f>
        <v>0</v>
      </c>
      <c r="F93" s="149">
        <f ca="1">AU$28</f>
        <v>0</v>
      </c>
      <c r="G93" s="149">
        <f ca="1">AE$38</f>
        <v>0</v>
      </c>
      <c r="H93" s="149">
        <f t="shared" ref="H93" ca="1" si="57">AVERAGE(D93,F93)</f>
        <v>0</v>
      </c>
      <c r="I93" s="149">
        <f t="shared" ref="I93" ca="1" si="58">AVERAGE(E93,G93)</f>
        <v>0</v>
      </c>
      <c r="P93" s="154" t="s">
        <v>696</v>
      </c>
    </row>
    <row r="97" spans="1:13" x14ac:dyDescent="0.35">
      <c r="C97" s="147" t="s">
        <v>344</v>
      </c>
      <c r="D97" s="167" t="s">
        <v>345</v>
      </c>
      <c r="E97" s="167"/>
      <c r="F97" s="167" t="s">
        <v>346</v>
      </c>
      <c r="G97" s="167"/>
      <c r="H97" s="166" t="s">
        <v>711</v>
      </c>
      <c r="I97" s="166"/>
    </row>
    <row r="98" spans="1:13" ht="58" x14ac:dyDescent="0.35">
      <c r="A98" s="169"/>
      <c r="B98" s="170"/>
      <c r="C98" s="155" t="s">
        <v>697</v>
      </c>
      <c r="D98" s="155" t="s">
        <v>698</v>
      </c>
      <c r="E98" s="155" t="s">
        <v>473</v>
      </c>
      <c r="F98" s="155" t="s">
        <v>698</v>
      </c>
      <c r="G98" s="155" t="s">
        <v>473</v>
      </c>
      <c r="H98" s="155" t="s">
        <v>698</v>
      </c>
      <c r="I98" s="155" t="s">
        <v>701</v>
      </c>
    </row>
    <row r="99" spans="1:13" x14ac:dyDescent="0.35">
      <c r="A99" s="168" t="s">
        <v>717</v>
      </c>
      <c r="B99" s="7" t="s">
        <v>702</v>
      </c>
      <c r="C99" s="149">
        <f ca="1">E$34</f>
        <v>0.17865358791815508</v>
      </c>
      <c r="D99" s="149">
        <f ca="1">U$34</f>
        <v>0.30080320738070782</v>
      </c>
      <c r="E99" s="149">
        <f ca="1">E$44</f>
        <v>-150.69773419636033</v>
      </c>
      <c r="F99" s="149">
        <f ca="1">AK$34</f>
        <v>0.13061293947890626</v>
      </c>
      <c r="G99" s="149">
        <f ca="1">U$44</f>
        <v>-58.61635295152292</v>
      </c>
      <c r="H99" s="149">
        <f ca="1">AVERAGE(D99,F99)</f>
        <v>0.21570807342980702</v>
      </c>
      <c r="I99" s="149">
        <f ca="1">AVERAGE(E99,G99)</f>
        <v>-104.65704357394162</v>
      </c>
      <c r="L99" s="1"/>
      <c r="M99" s="1"/>
    </row>
    <row r="100" spans="1:13" x14ac:dyDescent="0.35">
      <c r="A100" s="168"/>
      <c r="B100" s="7" t="s">
        <v>703</v>
      </c>
      <c r="C100" s="149">
        <f ca="1">F$34</f>
        <v>6.1739658230544482E-2</v>
      </c>
      <c r="D100" s="149">
        <f ca="1">V$34</f>
        <v>0.10909281182719494</v>
      </c>
      <c r="E100" s="149">
        <f ca="1">F$44</f>
        <v>-121.12709246721617</v>
      </c>
      <c r="F100" s="149">
        <f ca="1">AL$34</f>
        <v>0.22305705100918552</v>
      </c>
      <c r="G100" s="149">
        <f ca="1">V$44</f>
        <v>-191.78314181249729</v>
      </c>
      <c r="H100" s="149">
        <f t="shared" ref="H100:H109" ca="1" si="59">AVERAGE(D100,F100)</f>
        <v>0.16607493141819024</v>
      </c>
      <c r="I100" s="149">
        <f t="shared" ref="I100:I109" ca="1" si="60">AVERAGE(E100,G100)</f>
        <v>-156.45511713985672</v>
      </c>
    </row>
    <row r="101" spans="1:13" x14ac:dyDescent="0.35">
      <c r="A101" s="168"/>
      <c r="B101" s="7" t="s">
        <v>704</v>
      </c>
      <c r="C101" s="149">
        <f ca="1">G$34</f>
        <v>2.5508854404945485</v>
      </c>
      <c r="D101" s="149">
        <f ca="1">W$34</f>
        <v>0.29587050253757663</v>
      </c>
      <c r="E101" s="149">
        <f ca="1">G$44</f>
        <v>85.333950696970689</v>
      </c>
      <c r="F101" s="149">
        <f ca="1">AM$34</f>
        <v>1.2778452051944826</v>
      </c>
      <c r="G101" s="149">
        <f ca="1">W$44</f>
        <v>61.961190929142596</v>
      </c>
      <c r="H101" s="149">
        <f t="shared" ca="1" si="59"/>
        <v>0.78685785386602958</v>
      </c>
      <c r="I101" s="149">
        <f t="shared" ca="1" si="60"/>
        <v>73.647570813056646</v>
      </c>
    </row>
    <row r="102" spans="1:13" x14ac:dyDescent="0.35">
      <c r="A102" s="168"/>
      <c r="B102" s="7" t="s">
        <v>705</v>
      </c>
      <c r="C102" s="149">
        <f ca="1">H$34</f>
        <v>2.8379435150125976</v>
      </c>
      <c r="D102" s="149">
        <f ca="1">X$34</f>
        <v>0.70576652174547938</v>
      </c>
      <c r="E102" s="149">
        <f ca="1">H$44</f>
        <v>70.153842088606922</v>
      </c>
      <c r="F102" s="149">
        <f ca="1">AN$34</f>
        <v>1.6315151956825744</v>
      </c>
      <c r="G102" s="149">
        <f ca="1">X$44</f>
        <v>54.591970925605636</v>
      </c>
      <c r="H102" s="149">
        <f t="shared" ca="1" si="59"/>
        <v>1.1686408587140269</v>
      </c>
      <c r="I102" s="149">
        <f t="shared" ca="1" si="60"/>
        <v>62.372906507106279</v>
      </c>
    </row>
    <row r="103" spans="1:13" x14ac:dyDescent="0.35">
      <c r="A103" s="168"/>
      <c r="B103" s="7" t="s">
        <v>694</v>
      </c>
      <c r="C103" s="149">
        <f ca="1">I$34</f>
        <v>1.0046460065507685</v>
      </c>
      <c r="D103" s="149">
        <f ca="1">Y$34</f>
        <v>0.47959125530554103</v>
      </c>
      <c r="E103" s="149">
        <f ca="1">I$44</f>
        <v>33.321102741924484</v>
      </c>
      <c r="F103" s="149">
        <f ca="1">AO$34</f>
        <v>0.69908076050933199</v>
      </c>
      <c r="G103" s="149">
        <f ca="1">Y$44</f>
        <v>-35.170763126089199</v>
      </c>
      <c r="H103" s="149">
        <f t="shared" ca="1" si="59"/>
        <v>0.58933600790743657</v>
      </c>
      <c r="I103" s="149">
        <f t="shared" ca="1" si="60"/>
        <v>-0.92483019208235717</v>
      </c>
    </row>
    <row r="104" spans="1:13" x14ac:dyDescent="0.35">
      <c r="A104" s="168"/>
      <c r="B104" s="7" t="s">
        <v>695</v>
      </c>
      <c r="C104" s="149">
        <f ca="1">J$34</f>
        <v>32.552116402116383</v>
      </c>
      <c r="D104" s="149">
        <f ca="1">Z$34</f>
        <v>27.608465608465593</v>
      </c>
      <c r="E104" s="149">
        <f ca="1">J$44</f>
        <v>13.164372970285108</v>
      </c>
      <c r="F104" s="149">
        <f ca="1">AP$34</f>
        <v>33.521693121693104</v>
      </c>
      <c r="G104" s="149">
        <f ca="1">Z$44</f>
        <v>-21.888841849487562</v>
      </c>
      <c r="H104" s="149">
        <f t="shared" ca="1" si="59"/>
        <v>30.565079365079349</v>
      </c>
      <c r="I104" s="149">
        <f t="shared" ca="1" si="60"/>
        <v>-4.3622344396012274</v>
      </c>
    </row>
    <row r="105" spans="1:13" x14ac:dyDescent="0.35">
      <c r="A105" s="168"/>
      <c r="B105" s="7" t="s">
        <v>706</v>
      </c>
      <c r="C105" s="149">
        <f ca="1">K$34</f>
        <v>123.45768225612893</v>
      </c>
      <c r="D105" s="149">
        <f ca="1">AA$34</f>
        <v>152.80061744796836</v>
      </c>
      <c r="E105" s="149">
        <f ca="1">K$44</f>
        <v>-20.355186713242308</v>
      </c>
      <c r="F105" s="149">
        <f ca="1">AQ$34</f>
        <v>124.10297542461012</v>
      </c>
      <c r="G105" s="149">
        <f ca="1">AA$44</f>
        <v>-17.461779368305759</v>
      </c>
      <c r="H105" s="149">
        <f t="shared" ca="1" si="59"/>
        <v>138.45179643628924</v>
      </c>
      <c r="I105" s="149">
        <f t="shared" ca="1" si="60"/>
        <v>-18.908483040774033</v>
      </c>
    </row>
    <row r="106" spans="1:13" x14ac:dyDescent="0.35">
      <c r="A106" s="168"/>
      <c r="B106" s="7" t="s">
        <v>322</v>
      </c>
      <c r="C106" s="149">
        <f ca="1">L$34</f>
        <v>7.8094444444444449</v>
      </c>
      <c r="D106" s="149">
        <f ca="1">AB$34</f>
        <v>7.1967460317460317</v>
      </c>
      <c r="E106" s="149">
        <f ca="1">L$44</f>
        <v>7.7551073084191087</v>
      </c>
      <c r="F106" s="149">
        <f ca="1">AR$34</f>
        <v>7.2508333333333335</v>
      </c>
      <c r="G106" s="149">
        <f ca="1">AB$44</f>
        <v>7.3940346848212286</v>
      </c>
      <c r="H106" s="149">
        <f t="shared" ca="1" si="59"/>
        <v>7.2237896825396826</v>
      </c>
      <c r="I106" s="149">
        <f t="shared" ca="1" si="60"/>
        <v>7.5745709966201691</v>
      </c>
    </row>
    <row r="107" spans="1:13" x14ac:dyDescent="0.35">
      <c r="A107" s="168"/>
      <c r="B107" s="7" t="s">
        <v>707</v>
      </c>
      <c r="C107" s="149">
        <f ca="1">M$34</f>
        <v>1.7700740340272729</v>
      </c>
      <c r="D107" s="149">
        <f ca="1">AC$34</f>
        <v>1.2365920402081818</v>
      </c>
      <c r="E107" s="149">
        <f ca="1">M$44</f>
        <v>24.559801671261976</v>
      </c>
      <c r="F107" s="149">
        <f ca="1">AS$34</f>
        <v>1.2924000807191482</v>
      </c>
      <c r="G107" s="149">
        <f ca="1">AC$44</f>
        <v>-12.463542145136048</v>
      </c>
      <c r="H107" s="149">
        <f t="shared" ca="1" si="59"/>
        <v>1.264496060463665</v>
      </c>
      <c r="I107" s="149">
        <f t="shared" ca="1" si="60"/>
        <v>6.0481297630629642</v>
      </c>
    </row>
    <row r="108" spans="1:13" x14ac:dyDescent="0.35">
      <c r="A108" s="168"/>
      <c r="B108" s="7" t="s">
        <v>708</v>
      </c>
      <c r="C108" s="149">
        <f ca="1">N$34</f>
        <v>114.96545746406252</v>
      </c>
      <c r="D108" s="149">
        <f ca="1">AD$34</f>
        <v>86.431703204765213</v>
      </c>
      <c r="E108" s="149">
        <f ca="1">N$44</f>
        <v>22.053505959967637</v>
      </c>
      <c r="F108" s="149">
        <f ca="1">AT$34</f>
        <v>102.48151308303481</v>
      </c>
      <c r="G108" s="149">
        <f ca="1">AD$44</f>
        <v>29.563725396697038</v>
      </c>
      <c r="H108" s="149">
        <f t="shared" ca="1" si="59"/>
        <v>94.456608143900013</v>
      </c>
      <c r="I108" s="149">
        <f t="shared" ca="1" si="60"/>
        <v>25.808615678332337</v>
      </c>
    </row>
    <row r="109" spans="1:13" x14ac:dyDescent="0.35">
      <c r="A109" s="168"/>
      <c r="B109" s="7" t="s">
        <v>709</v>
      </c>
      <c r="C109" s="149">
        <f ca="1">O$34</f>
        <v>1.655793650793651</v>
      </c>
      <c r="D109" s="149">
        <f ca="1">AE$34</f>
        <v>0.261031746031746</v>
      </c>
      <c r="E109" s="149">
        <f ca="1">O$44</f>
        <v>13.579761836743337</v>
      </c>
      <c r="F109" s="149">
        <f ca="1">AU$34</f>
        <v>0.34936507936507938</v>
      </c>
      <c r="G109" s="149">
        <f ca="1">AE$44</f>
        <v>13.753890743188558</v>
      </c>
      <c r="H109" s="149">
        <f t="shared" ca="1" si="59"/>
        <v>0.30519841269841269</v>
      </c>
      <c r="I109" s="149">
        <f t="shared" ca="1" si="60"/>
        <v>13.666826289965947</v>
      </c>
    </row>
  </sheetData>
  <mergeCells count="28">
    <mergeCell ref="A99:A109"/>
    <mergeCell ref="A98:B98"/>
    <mergeCell ref="D81:E81"/>
    <mergeCell ref="F81:G81"/>
    <mergeCell ref="A83:A93"/>
    <mergeCell ref="H81:I81"/>
    <mergeCell ref="D97:E97"/>
    <mergeCell ref="F97:G97"/>
    <mergeCell ref="H97:I97"/>
    <mergeCell ref="BU36:BY36"/>
    <mergeCell ref="CC36:CG36"/>
    <mergeCell ref="A56:I56"/>
    <mergeCell ref="L56:T56"/>
    <mergeCell ref="J46:L46"/>
    <mergeCell ref="A46:G46"/>
    <mergeCell ref="N46:S46"/>
    <mergeCell ref="U46:AA46"/>
    <mergeCell ref="AE46:AJ46"/>
    <mergeCell ref="AG36:AR36"/>
    <mergeCell ref="A26:L26"/>
    <mergeCell ref="A36:L36"/>
    <mergeCell ref="A5:I5"/>
    <mergeCell ref="BG36:BI36"/>
    <mergeCell ref="BN36:BQ36"/>
    <mergeCell ref="Q26:AB26"/>
    <mergeCell ref="AG26:AR26"/>
    <mergeCell ref="AW26:BH26"/>
    <mergeCell ref="Q36:AB36"/>
  </mergeCells>
  <hyperlinks>
    <hyperlink ref="B1" location="'Organized Data'!A1" display="Organized Data" xr:uid="{F3CFE801-C2C4-4DC7-BB74-9F4D0EEE136E}"/>
  </hyperlink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C1B2ED-C4DA-4FDA-BE87-AE541DB7E705}">
  <sheetPr codeName="Sheet8">
    <tabColor rgb="FF92D050"/>
  </sheetPr>
  <dimension ref="A1:AT87"/>
  <sheetViews>
    <sheetView zoomScale="75" zoomScaleNormal="75" workbookViewId="0">
      <selection activeCell="C20" sqref="C20"/>
    </sheetView>
  </sheetViews>
  <sheetFormatPr defaultColWidth="11" defaultRowHeight="15.5" x14ac:dyDescent="0.35"/>
  <cols>
    <col min="1" max="1" width="14.6640625" style="65" customWidth="1"/>
    <col min="2" max="2" width="12.08203125" style="4" customWidth="1"/>
    <col min="3" max="3" width="41.33203125" style="4" customWidth="1"/>
    <col min="4" max="4" width="8.5" style="4" customWidth="1"/>
    <col min="5" max="22" width="11" style="4"/>
    <col min="24" max="24" width="17" customWidth="1"/>
  </cols>
  <sheetData>
    <row r="1" spans="1:45" ht="23.5" x14ac:dyDescent="0.35">
      <c r="A1" s="50" t="s">
        <v>467</v>
      </c>
      <c r="C1" s="26" t="s">
        <v>468</v>
      </c>
      <c r="F1" s="70" t="s">
        <v>17</v>
      </c>
      <c r="G1" s="26" t="s">
        <v>527</v>
      </c>
    </row>
    <row r="2" spans="1:45" ht="49.5" customHeight="1" x14ac:dyDescent="0.35">
      <c r="A2" s="18" t="s">
        <v>0</v>
      </c>
      <c r="B2" s="18" t="s">
        <v>433</v>
      </c>
      <c r="C2" s="18" t="s">
        <v>466</v>
      </c>
      <c r="D2" s="18" t="s">
        <v>497</v>
      </c>
      <c r="E2" s="18" t="s">
        <v>387</v>
      </c>
      <c r="F2" s="18" t="s">
        <v>404</v>
      </c>
      <c r="G2" s="18" t="s">
        <v>454</v>
      </c>
      <c r="H2" s="18">
        <v>0</v>
      </c>
      <c r="I2" s="18">
        <v>30</v>
      </c>
      <c r="J2" s="18">
        <v>60</v>
      </c>
      <c r="K2" s="18">
        <v>90</v>
      </c>
      <c r="L2" s="18">
        <v>120</v>
      </c>
      <c r="M2" s="18">
        <v>150</v>
      </c>
      <c r="N2" s="18">
        <v>180</v>
      </c>
      <c r="O2" s="19" t="s">
        <v>340</v>
      </c>
      <c r="P2" s="19" t="s">
        <v>547</v>
      </c>
      <c r="Q2" s="19" t="s">
        <v>341</v>
      </c>
      <c r="R2" s="19" t="s">
        <v>342</v>
      </c>
      <c r="S2" s="19" t="s">
        <v>547</v>
      </c>
      <c r="T2" s="19" t="s">
        <v>475</v>
      </c>
      <c r="U2" s="19" t="s">
        <v>533</v>
      </c>
      <c r="V2" s="19" t="s">
        <v>547</v>
      </c>
    </row>
    <row r="3" spans="1:45" x14ac:dyDescent="0.35">
      <c r="A3" s="41">
        <f>IFERROR(INDEX('Date Key'!$B$2:$B$19, MATCH(F3,'Date Key'!$A$2:$A$19, 0)), "")</f>
        <v>45175</v>
      </c>
      <c r="B3" s="4">
        <f>INT((ROW(A1)-1)/9)+1</f>
        <v>1</v>
      </c>
      <c r="C3" s="26" t="str">
        <f>IFERROR(INDEX('Date Key'!$G$57:$G$62, MATCH(B3,'Date Key'!$A$57:$A$62, 0)), "")</f>
        <v>Low HLR, Lower Outlet Height, No Plants</v>
      </c>
      <c r="D3" s="4" t="str">
        <f>IFERROR(INDEX('Date Key'!$G$2:$G$19, MATCH(F3, 'Date Key'!$A$2:$A$19, 0)), "")</f>
        <v>No</v>
      </c>
      <c r="E3" s="4" t="str">
        <f>CHOOSE(MOD(ROW(G3)-ROW($G$3), 9) + 1, "in", "in", "in", "tank 1", "tank 1", "tank 1", "tank 2", "tank 2", "tank 2")</f>
        <v>in</v>
      </c>
      <c r="F3" s="4">
        <f>MOD(ROW(G3)-ROW($G$3), 3) + 1 + 3 * INT((ROW(G3)-ROW($G$3))/9)</f>
        <v>1</v>
      </c>
      <c r="G3" s="4">
        <f>MOD(ROW(G3)-ROW($G$3), 3) + 1</f>
        <v>1</v>
      </c>
      <c r="H3" s="11" cm="1">
        <f t="array" ref="H3">IFERROR(INDEX('Master Data Sheet'!$1:$1048576, MATCH(1, ('Master Data Sheet'!$H:$H=H$2) * (INDEX('Master Data Sheet'!$1:$1, , MATCH($F$1, 'Master Data Sheet'!$1:$1, 0)) = $F$1) * ('Master Data Sheet'!$G:$G=$B3) * ('Master Data Sheet'!$F:$F=$E3) * ('Master Data Sheet'!$A:$A=$F3), 0), MATCH($F$1, 'Master Data Sheet'!$1:$1, 0)), "")</f>
        <v>0.28166438042981246</v>
      </c>
      <c r="I3" s="11" cm="1">
        <f t="array" ref="I3">IFERROR(INDEX('Master Data Sheet'!$1:$1048576, MATCH(1, ('Master Data Sheet'!$H:$H=I$2) * (INDEX('Master Data Sheet'!$1:$1, , MATCH($F$1, 'Master Data Sheet'!$1:$1, 0)) = $F$1) * ('Master Data Sheet'!$G:$G=$B3) * ('Master Data Sheet'!$F:$F=$E3) * ('Master Data Sheet'!$A:$A=$F3), 0), MATCH($F$1, 'Master Data Sheet'!$1:$1, 0)), "")</f>
        <v>0.64014631915866493</v>
      </c>
      <c r="J3" s="11" cm="1">
        <f t="array" ref="J3">IFERROR(INDEX('Master Data Sheet'!$1:$1048576, MATCH(1, ('Master Data Sheet'!$H:$H=J$2) * (INDEX('Master Data Sheet'!$1:$1, , MATCH($F$1, 'Master Data Sheet'!$1:$1, 0)) = $F$1) * ('Master Data Sheet'!$G:$G=$B3) * ('Master Data Sheet'!$F:$F=$E3) * ('Master Data Sheet'!$A:$A=$F3), 0), MATCH($F$1, 'Master Data Sheet'!$1:$1, 0)), "")</f>
        <v>0.43529949702789206</v>
      </c>
      <c r="K3" s="11" cm="1">
        <f t="array" ref="K3">IFERROR(INDEX('Master Data Sheet'!$1:$1048576, MATCH(1, ('Master Data Sheet'!$H:$H=K$2) * (INDEX('Master Data Sheet'!$1:$1, , MATCH($F$1, 'Master Data Sheet'!$1:$1, 0)) = $F$1) * ('Master Data Sheet'!$G:$G=$B3) * ('Master Data Sheet'!$F:$F=$E3) * ('Master Data Sheet'!$A:$A=$F3), 0), MATCH($F$1, 'Master Data Sheet'!$1:$1, 0)), "")</f>
        <v>0.92181069958847728</v>
      </c>
      <c r="L3" s="11" cm="1">
        <f t="array" ref="L3">IFERROR(INDEX('Master Data Sheet'!$1:$1048576, MATCH(1, ('Master Data Sheet'!$H:$H=L$2) * (INDEX('Master Data Sheet'!$1:$1, , MATCH($F$1, 'Master Data Sheet'!$1:$1, 0)) = $F$1) * ('Master Data Sheet'!$G:$G=$B3) * ('Master Data Sheet'!$F:$F=$E3) * ('Master Data Sheet'!$A:$A=$F3), 0), MATCH($F$1, 'Master Data Sheet'!$1:$1, 0)), "")</f>
        <v>7.6817558299039787E-2</v>
      </c>
      <c r="M3" s="11" cm="1">
        <f t="array" ref="M3">IFERROR(INDEX('Master Data Sheet'!$1:$1048576, MATCH(1, ('Master Data Sheet'!$H:$H=M$2) * (INDEX('Master Data Sheet'!$1:$1, , MATCH($F$1, 'Master Data Sheet'!$1:$1, 0)) = $F$1) * ('Master Data Sheet'!$G:$G=$B3) * ('Master Data Sheet'!$F:$F=$E3) * ('Master Data Sheet'!$A:$A=$F3), 0), MATCH($F$1, 'Master Data Sheet'!$1:$1, 0)), "")</f>
        <v>0.28166438042981246</v>
      </c>
      <c r="N3" s="11" cm="1">
        <f t="array" ref="N3">IFERROR(INDEX('Master Data Sheet'!$1:$1048576, MATCH(1, ('Master Data Sheet'!$H:$H=N$2) * (INDEX('Master Data Sheet'!$1:$1, , MATCH($F$1, 'Master Data Sheet'!$1:$1, 0)) = $F$1) * ('Master Data Sheet'!$G:$G=$B3) * ('Master Data Sheet'!$F:$F=$E3) * ('Master Data Sheet'!$A:$A=$F3), 0), MATCH($F$1, 'Master Data Sheet'!$1:$1, 0)), "")</f>
        <v>0</v>
      </c>
      <c r="O3" s="11">
        <f>AVERAGE(H3:N3)</f>
        <v>0.37677183356195698</v>
      </c>
      <c r="P3" s="11">
        <f>STDEV(H3:N3)</f>
        <v>0.32142376224912556</v>
      </c>
      <c r="Q3" s="11"/>
      <c r="R3" s="46">
        <f>AVERAGE(O3:O5)</f>
        <v>0.27998897021609298</v>
      </c>
      <c r="S3" s="46">
        <f>AVERAGE(P3:P5)</f>
        <v>0.28410953625665702</v>
      </c>
      <c r="U3" s="47">
        <f>AVERAGE(T6, T9)</f>
        <v>-9.3771816096539311</v>
      </c>
      <c r="V3" s="47">
        <f>STDEV(T6,T9)</f>
        <v>67.551369871207143</v>
      </c>
      <c r="X3" t="s">
        <v>343</v>
      </c>
    </row>
    <row r="4" spans="1:45" x14ac:dyDescent="0.35">
      <c r="A4" s="41">
        <f>IFERROR(INDEX('Date Key'!$B$2:$B$19, MATCH(F4,'Date Key'!$A$2:$A$19, 0)), "")</f>
        <v>45181</v>
      </c>
      <c r="B4" s="4">
        <f t="shared" ref="B4:B35" si="0">INT((ROW(B2)-1)/9)+1</f>
        <v>1</v>
      </c>
      <c r="C4" s="26" t="str">
        <f>IFERROR(INDEX('Date Key'!$G$57:$G$62, MATCH(B4,'Date Key'!$A$57:$A$62, 0)), "")</f>
        <v>Low HLR, Lower Outlet Height, No Plants</v>
      </c>
      <c r="D4" s="4" t="str">
        <f>IFERROR(INDEX('Date Key'!$G$2:$G$19, MATCH(F4, 'Date Key'!$A$2:$A$19, 0)), "")</f>
        <v>No</v>
      </c>
      <c r="E4" s="4" t="str">
        <f t="shared" ref="E4:E56" si="1">CHOOSE(MOD(ROW(G4)-ROW($G$3), 9) + 1, "in", "in", "in", "tank 1", "tank 1", "tank 1", "tank 2", "tank 2", "tank 2")</f>
        <v>in</v>
      </c>
      <c r="F4" s="4">
        <f t="shared" ref="F4:F56" si="2">MOD(ROW(G4)-ROW($G$3), 3) + 1 + 3 * INT((ROW(G4)-ROW($G$3))/9)</f>
        <v>2</v>
      </c>
      <c r="G4" s="4">
        <f t="shared" ref="G4:G56" si="3">MOD(ROW(G4)-ROW($G$3), 3) + 1</f>
        <v>2</v>
      </c>
      <c r="H4" s="11" cm="1">
        <f t="array" ref="H4">IFERROR(INDEX('Master Data Sheet'!$1:$1048576, MATCH(1, ('Master Data Sheet'!$H:$H=H$2) * (INDEX('Master Data Sheet'!$1:$1, , MATCH($F$1, 'Master Data Sheet'!$1:$1, 0)) = $F$1) * ('Master Data Sheet'!$G:$G=$B4) * ('Master Data Sheet'!$F:$F=$E4) * ('Master Data Sheet'!$A:$A=$F4), 0), MATCH($F$1, 'Master Data Sheet'!$1:$1, 0)), "")</f>
        <v>0.40969364426154553</v>
      </c>
      <c r="I4" s="11" cm="1">
        <f t="array" ref="I4">IFERROR(INDEX('Master Data Sheet'!$1:$1048576, MATCH(1, ('Master Data Sheet'!$H:$H=I$2) * (INDEX('Master Data Sheet'!$1:$1, , MATCH($F$1, 'Master Data Sheet'!$1:$1, 0)) = $F$1) * ('Master Data Sheet'!$G:$G=$B4) * ('Master Data Sheet'!$F:$F=$E4) * ('Master Data Sheet'!$A:$A=$F4), 0), MATCH($F$1, 'Master Data Sheet'!$1:$1, 0)), "")</f>
        <v>0.28166438042981246</v>
      </c>
      <c r="J4" s="11" cm="1">
        <f t="array" ref="J4">IFERROR(INDEX('Master Data Sheet'!$1:$1048576, MATCH(1, ('Master Data Sheet'!$H:$H=J$2) * (INDEX('Master Data Sheet'!$1:$1, , MATCH($F$1, 'Master Data Sheet'!$1:$1, 0)) = $F$1) * ('Master Data Sheet'!$G:$G=$B4) * ('Master Data Sheet'!$F:$F=$E4) * ('Master Data Sheet'!$A:$A=$F4), 0), MATCH($F$1, 'Master Data Sheet'!$1:$1, 0)), "")</f>
        <v>0.20484682213077277</v>
      </c>
      <c r="K4" s="11" cm="1">
        <f t="array" ref="K4">IFERROR(INDEX('Master Data Sheet'!$1:$1048576, MATCH(1, ('Master Data Sheet'!$H:$H=K$2) * (INDEX('Master Data Sheet'!$1:$1, , MATCH($F$1, 'Master Data Sheet'!$1:$1, 0)) = $F$1) * ('Master Data Sheet'!$G:$G=$B4) * ('Master Data Sheet'!$F:$F=$E4) * ('Master Data Sheet'!$A:$A=$F4), 0), MATCH($F$1, 'Master Data Sheet'!$1:$1, 0)), "")</f>
        <v>0.12802926383173296</v>
      </c>
      <c r="L4" s="11" cm="1">
        <f t="array" ref="L4">IFERROR(INDEX('Master Data Sheet'!$1:$1048576, MATCH(1, ('Master Data Sheet'!$H:$H=L$2) * (INDEX('Master Data Sheet'!$1:$1, , MATCH($F$1, 'Master Data Sheet'!$1:$1, 0)) = $F$1) * ('Master Data Sheet'!$G:$G=$B4) * ('Master Data Sheet'!$F:$F=$E4) * ('Master Data Sheet'!$A:$A=$F4), 0), MATCH($F$1, 'Master Data Sheet'!$1:$1, 0)), "")</f>
        <v>0</v>
      </c>
      <c r="M4" s="11" cm="1">
        <f t="array" ref="M4">IFERROR(INDEX('Master Data Sheet'!$1:$1048576, MATCH(1, ('Master Data Sheet'!$H:$H=M$2) * (INDEX('Master Data Sheet'!$1:$1, , MATCH($F$1, 'Master Data Sheet'!$1:$1, 0)) = $F$1) * ('Master Data Sheet'!$G:$G=$B4) * ('Master Data Sheet'!$F:$F=$E4) * ('Master Data Sheet'!$A:$A=$F4), 0), MATCH($F$1, 'Master Data Sheet'!$1:$1, 0)), "")</f>
        <v>0.15363511659807957</v>
      </c>
      <c r="N4" s="11" cm="1">
        <f t="array" ref="N4">IFERROR(INDEX('Master Data Sheet'!$1:$1048576, MATCH(1, ('Master Data Sheet'!$H:$H=N$2) * (INDEX('Master Data Sheet'!$1:$1, , MATCH($F$1, 'Master Data Sheet'!$1:$1, 0)) = $F$1) * ('Master Data Sheet'!$G:$G=$B4) * ('Master Data Sheet'!$F:$F=$E4) * ('Master Data Sheet'!$A:$A=$F4), 0), MATCH($F$1, 'Master Data Sheet'!$1:$1, 0)), "")</f>
        <v>0.99862825788751708</v>
      </c>
      <c r="O4" s="11"/>
      <c r="P4" s="11">
        <f t="shared" ref="P4:P56" si="4">STDEV(H4:N4)</f>
        <v>0.32905548999065776</v>
      </c>
      <c r="X4" t="str">
        <f>IFERROR(INDEX('Date Key'!$G$57:$G$62, MATCH(B3,'Date Key'!$A$57:$A$62, 0)), "")</f>
        <v>Low HLR, Lower Outlet Height, No Plants</v>
      </c>
      <c r="Y4" s="1">
        <f t="shared" ref="Y4:AE4" si="5">H3</f>
        <v>0.28166438042981246</v>
      </c>
      <c r="Z4" s="1">
        <f t="shared" si="5"/>
        <v>0.64014631915866493</v>
      </c>
      <c r="AA4" s="1">
        <f t="shared" si="5"/>
        <v>0.43529949702789206</v>
      </c>
      <c r="AB4" s="1">
        <f t="shared" si="5"/>
        <v>0.92181069958847728</v>
      </c>
      <c r="AC4" s="1">
        <f t="shared" si="5"/>
        <v>7.6817558299039787E-2</v>
      </c>
      <c r="AD4" s="1">
        <f t="shared" si="5"/>
        <v>0.28166438042981246</v>
      </c>
      <c r="AE4" s="1">
        <f t="shared" si="5"/>
        <v>0</v>
      </c>
      <c r="AF4" s="1">
        <f t="shared" ref="AF4:AL4" si="6">H4</f>
        <v>0.40969364426154553</v>
      </c>
      <c r="AG4" s="1">
        <f t="shared" si="6"/>
        <v>0.28166438042981246</v>
      </c>
      <c r="AH4" s="1">
        <f t="shared" si="6"/>
        <v>0.20484682213077277</v>
      </c>
      <c r="AI4" s="1">
        <f t="shared" si="6"/>
        <v>0.12802926383173296</v>
      </c>
      <c r="AJ4" s="1">
        <f t="shared" si="6"/>
        <v>0</v>
      </c>
      <c r="AK4" s="1">
        <f t="shared" si="6"/>
        <v>0.15363511659807957</v>
      </c>
      <c r="AL4" s="1">
        <f t="shared" si="6"/>
        <v>0.99862825788751708</v>
      </c>
      <c r="AM4" s="1">
        <f t="shared" ref="AM4:AS4" si="7">H5</f>
        <v>0.59372349448685335</v>
      </c>
      <c r="AN4" s="1">
        <f t="shared" si="7"/>
        <v>0.18999151823579305</v>
      </c>
      <c r="AO4" s="1">
        <f t="shared" si="7"/>
        <v>0.11874469889737066</v>
      </c>
      <c r="AP4" s="1">
        <f t="shared" si="7"/>
        <v>0</v>
      </c>
      <c r="AQ4" s="1">
        <f t="shared" si="7"/>
        <v>0.23748939779474132</v>
      </c>
      <c r="AR4" s="1">
        <f t="shared" si="7"/>
        <v>0</v>
      </c>
      <c r="AS4" s="1">
        <f t="shared" si="7"/>
        <v>0.14249363867684478</v>
      </c>
    </row>
    <row r="5" spans="1:45" x14ac:dyDescent="0.35">
      <c r="A5" s="41">
        <f>IFERROR(INDEX('Date Key'!$B$2:$B$19, MATCH(F5,'Date Key'!$A$2:$A$19, 0)), "")</f>
        <v>45195</v>
      </c>
      <c r="B5" s="4">
        <f t="shared" si="0"/>
        <v>1</v>
      </c>
      <c r="C5" s="26" t="str">
        <f>IFERROR(INDEX('Date Key'!$G$57:$G$62, MATCH(B5,'Date Key'!$A$57:$A$62, 0)), "")</f>
        <v>Low HLR, Lower Outlet Height, No Plants</v>
      </c>
      <c r="D5" s="4" t="str">
        <f>IFERROR(INDEX('Date Key'!$G$2:$G$19, MATCH(F5, 'Date Key'!$A$2:$A$19, 0)), "")</f>
        <v>No</v>
      </c>
      <c r="E5" s="4" t="str">
        <f t="shared" si="1"/>
        <v>in</v>
      </c>
      <c r="F5" s="4">
        <f t="shared" si="2"/>
        <v>3</v>
      </c>
      <c r="G5" s="4">
        <f t="shared" si="3"/>
        <v>3</v>
      </c>
      <c r="H5" s="11" cm="1">
        <f t="array" ref="H5">IFERROR(INDEX('Master Data Sheet'!$1:$1048576, MATCH(1, ('Master Data Sheet'!$H:$H=H$2) * (INDEX('Master Data Sheet'!$1:$1, , MATCH($F$1, 'Master Data Sheet'!$1:$1, 0)) = $F$1) * ('Master Data Sheet'!$G:$G=$B5) * ('Master Data Sheet'!$F:$F=$E5) * ('Master Data Sheet'!$A:$A=$F5), 0), MATCH($F$1, 'Master Data Sheet'!$1:$1, 0)), "")</f>
        <v>0.59372349448685335</v>
      </c>
      <c r="I5" s="11" cm="1">
        <f t="array" ref="I5">IFERROR(INDEX('Master Data Sheet'!$1:$1048576, MATCH(1, ('Master Data Sheet'!$H:$H=I$2) * (INDEX('Master Data Sheet'!$1:$1, , MATCH($F$1, 'Master Data Sheet'!$1:$1, 0)) = $F$1) * ('Master Data Sheet'!$G:$G=$B5) * ('Master Data Sheet'!$F:$F=$E5) * ('Master Data Sheet'!$A:$A=$F5), 0), MATCH($F$1, 'Master Data Sheet'!$1:$1, 0)), "")</f>
        <v>0.18999151823579305</v>
      </c>
      <c r="J5" s="11" cm="1">
        <f t="array" ref="J5">IFERROR(INDEX('Master Data Sheet'!$1:$1048576, MATCH(1, ('Master Data Sheet'!$H:$H=J$2) * (INDEX('Master Data Sheet'!$1:$1, , MATCH($F$1, 'Master Data Sheet'!$1:$1, 0)) = $F$1) * ('Master Data Sheet'!$G:$G=$B5) * ('Master Data Sheet'!$F:$F=$E5) * ('Master Data Sheet'!$A:$A=$F5), 0), MATCH($F$1, 'Master Data Sheet'!$1:$1, 0)), "")</f>
        <v>0.11874469889737066</v>
      </c>
      <c r="K5" s="11" cm="1">
        <f t="array" ref="K5">IFERROR(INDEX('Master Data Sheet'!$1:$1048576, MATCH(1, ('Master Data Sheet'!$H:$H=K$2) * (INDEX('Master Data Sheet'!$1:$1, , MATCH($F$1, 'Master Data Sheet'!$1:$1, 0)) = $F$1) * ('Master Data Sheet'!$G:$G=$B5) * ('Master Data Sheet'!$F:$F=$E5) * ('Master Data Sheet'!$A:$A=$F5), 0), MATCH($F$1, 'Master Data Sheet'!$1:$1, 0)), "")</f>
        <v>0</v>
      </c>
      <c r="L5" s="11" cm="1">
        <f t="array" ref="L5">IFERROR(INDEX('Master Data Sheet'!$1:$1048576, MATCH(1, ('Master Data Sheet'!$H:$H=L$2) * (INDEX('Master Data Sheet'!$1:$1, , MATCH($F$1, 'Master Data Sheet'!$1:$1, 0)) = $F$1) * ('Master Data Sheet'!$G:$G=$B5) * ('Master Data Sheet'!$F:$F=$E5) * ('Master Data Sheet'!$A:$A=$F5), 0), MATCH($F$1, 'Master Data Sheet'!$1:$1, 0)), "")</f>
        <v>0.23748939779474132</v>
      </c>
      <c r="M5" s="11" cm="1">
        <f t="array" ref="M5">IFERROR(INDEX('Master Data Sheet'!$1:$1048576, MATCH(1, ('Master Data Sheet'!$H:$H=M$2) * (INDEX('Master Data Sheet'!$1:$1, , MATCH($F$1, 'Master Data Sheet'!$1:$1, 0)) = $F$1) * ('Master Data Sheet'!$G:$G=$B5) * ('Master Data Sheet'!$F:$F=$E5) * ('Master Data Sheet'!$A:$A=$F5), 0), MATCH($F$1, 'Master Data Sheet'!$1:$1, 0)), "")</f>
        <v>0</v>
      </c>
      <c r="N5" s="11" cm="1">
        <f t="array" ref="N5">IFERROR(INDEX('Master Data Sheet'!$1:$1048576, MATCH(1, ('Master Data Sheet'!$H:$H=N$2) * (INDEX('Master Data Sheet'!$1:$1, , MATCH($F$1, 'Master Data Sheet'!$1:$1, 0)) = $F$1) * ('Master Data Sheet'!$G:$G=$B5) * ('Master Data Sheet'!$F:$F=$E5) * ('Master Data Sheet'!$A:$A=$F5), 0), MATCH($F$1, 'Master Data Sheet'!$1:$1, 0)), "")</f>
        <v>0.14249363867684478</v>
      </c>
      <c r="O5" s="11">
        <f t="shared" ref="O5:O29" si="8">AVERAGE(H5:N5)</f>
        <v>0.18320610687022901</v>
      </c>
      <c r="P5" s="11">
        <f t="shared" si="4"/>
        <v>0.20184935653018782</v>
      </c>
      <c r="Y5" s="1"/>
      <c r="Z5" s="1"/>
      <c r="AA5" s="1"/>
      <c r="AB5" s="1"/>
      <c r="AC5" s="1"/>
      <c r="AD5" s="1"/>
      <c r="AE5" s="1"/>
      <c r="AF5" s="1"/>
      <c r="AG5" s="1"/>
      <c r="AH5" s="1"/>
      <c r="AI5" s="1"/>
      <c r="AJ5" s="1"/>
      <c r="AK5" s="1"/>
      <c r="AL5" s="1"/>
      <c r="AM5" s="1"/>
      <c r="AN5" s="1"/>
      <c r="AO5" s="1"/>
      <c r="AP5" s="1"/>
      <c r="AQ5" s="1"/>
      <c r="AR5" s="1"/>
      <c r="AS5" s="1"/>
    </row>
    <row r="6" spans="1:45" x14ac:dyDescent="0.35">
      <c r="A6" s="41">
        <f>IFERROR(INDEX('Date Key'!$B$2:$B$19, MATCH(F6,'Date Key'!$A$2:$A$19, 0)), "")</f>
        <v>45175</v>
      </c>
      <c r="B6" s="4">
        <f t="shared" si="0"/>
        <v>1</v>
      </c>
      <c r="C6" s="26" t="str">
        <f>IFERROR(INDEX('Date Key'!$G$57:$G$62, MATCH(B6,'Date Key'!$A$57:$A$62, 0)), "")</f>
        <v>Low HLR, Lower Outlet Height, No Plants</v>
      </c>
      <c r="D6" s="4" t="str">
        <f>IFERROR(INDEX('Date Key'!$G$2:$G$19, MATCH(F6, 'Date Key'!$A$2:$A$19, 0)), "")</f>
        <v>No</v>
      </c>
      <c r="E6" s="4" t="str">
        <f t="shared" si="1"/>
        <v>tank 1</v>
      </c>
      <c r="F6" s="4">
        <f t="shared" si="2"/>
        <v>1</v>
      </c>
      <c r="G6" s="4">
        <f t="shared" si="3"/>
        <v>1</v>
      </c>
      <c r="H6" s="11" cm="1">
        <f t="array" ref="H6">IFERROR(INDEX('Master Data Sheet'!$1:$1048576, MATCH(1, ('Master Data Sheet'!$H:$H=H$2) * (INDEX('Master Data Sheet'!$1:$1, , MATCH($F$1, 'Master Data Sheet'!$1:$1, 0)) = $F$1) * ('Master Data Sheet'!$G:$G=$B6) * ('Master Data Sheet'!$F:$F=$E6) * ('Master Data Sheet'!$A:$A=$F6), 0), MATCH($F$1, 'Master Data Sheet'!$1:$1, 0)), "")</f>
        <v>0.20484682213077277</v>
      </c>
      <c r="I6" s="11" cm="1">
        <f t="array" ref="I6">IFERROR(INDEX('Master Data Sheet'!$1:$1048576, MATCH(1, ('Master Data Sheet'!$H:$H=I$2) * (INDEX('Master Data Sheet'!$1:$1, , MATCH($F$1, 'Master Data Sheet'!$1:$1, 0)) = $F$1) * ('Master Data Sheet'!$G:$G=$B6) * ('Master Data Sheet'!$F:$F=$E6) * ('Master Data Sheet'!$A:$A=$F6), 0), MATCH($F$1, 'Master Data Sheet'!$1:$1, 0)), "")</f>
        <v>0.23045267489711932</v>
      </c>
      <c r="J6" s="11" cm="1">
        <f t="array" ref="J6">IFERROR(INDEX('Master Data Sheet'!$1:$1048576, MATCH(1, ('Master Data Sheet'!$H:$H=J$2) * (INDEX('Master Data Sheet'!$1:$1, , MATCH($F$1, 'Master Data Sheet'!$1:$1, 0)) = $F$1) * ('Master Data Sheet'!$G:$G=$B6) * ('Master Data Sheet'!$F:$F=$E6) * ('Master Data Sheet'!$A:$A=$F6), 0), MATCH($F$1, 'Master Data Sheet'!$1:$1, 0)), "")</f>
        <v>0.38408779149519889</v>
      </c>
      <c r="K6" s="11" cm="1">
        <f t="array" ref="K6">IFERROR(INDEX('Master Data Sheet'!$1:$1048576, MATCH(1, ('Master Data Sheet'!$H:$H=K$2) * (INDEX('Master Data Sheet'!$1:$1, , MATCH($F$1, 'Master Data Sheet'!$1:$1, 0)) = $F$1) * ('Master Data Sheet'!$G:$G=$B6) * ('Master Data Sheet'!$F:$F=$E6) * ('Master Data Sheet'!$A:$A=$F6), 0), MATCH($F$1, 'Master Data Sheet'!$1:$1, 0)), "")</f>
        <v>0.12802926383173296</v>
      </c>
      <c r="L6" s="11" cm="1">
        <f t="array" ref="L6">IFERROR(INDEX('Master Data Sheet'!$1:$1048576, MATCH(1, ('Master Data Sheet'!$H:$H=L$2) * (INDEX('Master Data Sheet'!$1:$1, , MATCH($F$1, 'Master Data Sheet'!$1:$1, 0)) = $F$1) * ('Master Data Sheet'!$G:$G=$B6) * ('Master Data Sheet'!$F:$F=$E6) * ('Master Data Sheet'!$A:$A=$F6), 0), MATCH($F$1, 'Master Data Sheet'!$1:$1, 0)), "")</f>
        <v>1.3571101966163694</v>
      </c>
      <c r="M6" s="11" cm="1">
        <f t="array" ref="M6">IFERROR(INDEX('Master Data Sheet'!$1:$1048576, MATCH(1, ('Master Data Sheet'!$H:$H=M$2) * (INDEX('Master Data Sheet'!$1:$1, , MATCH($F$1, 'Master Data Sheet'!$1:$1, 0)) = $F$1) * ('Master Data Sheet'!$G:$G=$B6) * ('Master Data Sheet'!$F:$F=$E6) * ('Master Data Sheet'!$A:$A=$F6), 0), MATCH($F$1, 'Master Data Sheet'!$1:$1, 0)), "")</f>
        <v>0.97302240512117066</v>
      </c>
      <c r="N6" s="11" cm="1">
        <f t="array" ref="N6">IFERROR(INDEX('Master Data Sheet'!$1:$1048576, MATCH(1, ('Master Data Sheet'!$H:$H=N$2) * (INDEX('Master Data Sheet'!$1:$1, , MATCH($F$1, 'Master Data Sheet'!$1:$1, 0)) = $F$1) * ('Master Data Sheet'!$G:$G=$B6) * ('Master Data Sheet'!$F:$F=$E6) * ('Master Data Sheet'!$A:$A=$F6), 0), MATCH($F$1, 'Master Data Sheet'!$1:$1, 0)), "")</f>
        <v>1.1010516689529035</v>
      </c>
      <c r="O6" s="11">
        <f>AVERAGE(H6:N6)</f>
        <v>0.62551440329218111</v>
      </c>
      <c r="P6" s="11">
        <f t="shared" si="4"/>
        <v>0.50347842772842777</v>
      </c>
      <c r="Q6" s="46">
        <f>(1-(O6/O3))*100</f>
        <v>-66.01941747572819</v>
      </c>
      <c r="R6" s="46" t="e">
        <f>AVERAGE(Q6:Q8)</f>
        <v>#DIV/0!</v>
      </c>
      <c r="S6" s="46" t="e">
        <f>STDEV(Q6:Q8)</f>
        <v>#DIV/0!</v>
      </c>
      <c r="T6" s="47">
        <f>(1-(AVERAGE(H6:N6,H8:N8)/AVERAGE(H3:N3,H5:N5)))*100</f>
        <v>-57.14321332402514</v>
      </c>
      <c r="U6" s="47"/>
      <c r="V6" s="47"/>
      <c r="W6" s="14"/>
      <c r="Y6" s="2"/>
      <c r="Z6" s="2"/>
      <c r="AA6" s="2"/>
      <c r="AB6" s="2"/>
      <c r="AC6" s="2"/>
      <c r="AD6" s="2"/>
      <c r="AE6" s="2"/>
      <c r="AF6" s="2"/>
      <c r="AG6" s="2"/>
    </row>
    <row r="7" spans="1:45" x14ac:dyDescent="0.35">
      <c r="A7" s="41">
        <f>IFERROR(INDEX('Date Key'!$B$2:$B$19, MATCH(F7,'Date Key'!$A$2:$A$19, 0)), "")</f>
        <v>45181</v>
      </c>
      <c r="B7" s="4">
        <f t="shared" si="0"/>
        <v>1</v>
      </c>
      <c r="C7" s="26" t="str">
        <f>IFERROR(INDEX('Date Key'!$G$57:$G$62, MATCH(B7,'Date Key'!$A$57:$A$62, 0)), "")</f>
        <v>Low HLR, Lower Outlet Height, No Plants</v>
      </c>
      <c r="D7" s="4" t="str">
        <f>IFERROR(INDEX('Date Key'!$G$2:$G$19, MATCH(F7, 'Date Key'!$A$2:$A$19, 0)), "")</f>
        <v>No</v>
      </c>
      <c r="E7" s="4" t="str">
        <f t="shared" si="1"/>
        <v>tank 1</v>
      </c>
      <c r="F7" s="4">
        <f t="shared" si="2"/>
        <v>2</v>
      </c>
      <c r="G7" s="4">
        <f t="shared" si="3"/>
        <v>2</v>
      </c>
      <c r="H7" s="11" cm="1">
        <f t="array" ref="H7">IFERROR(INDEX('Master Data Sheet'!$1:$1048576, MATCH(1, ('Master Data Sheet'!$H:$H=H$2) * (INDEX('Master Data Sheet'!$1:$1, , MATCH($F$1, 'Master Data Sheet'!$1:$1, 0)) = $F$1) * ('Master Data Sheet'!$G:$G=$B7) * ('Master Data Sheet'!$F:$F=$E7) * ('Master Data Sheet'!$A:$A=$F7), 0), MATCH($F$1, 'Master Data Sheet'!$1:$1, 0)), "")</f>
        <v>0.46090534979423864</v>
      </c>
      <c r="I7" s="11" cm="1">
        <f t="array" ref="I7">IFERROR(INDEX('Master Data Sheet'!$1:$1048576, MATCH(1, ('Master Data Sheet'!$H:$H=I$2) * (INDEX('Master Data Sheet'!$1:$1, , MATCH($F$1, 'Master Data Sheet'!$1:$1, 0)) = $F$1) * ('Master Data Sheet'!$G:$G=$B7) * ('Master Data Sheet'!$F:$F=$E7) * ('Master Data Sheet'!$A:$A=$F7), 0), MATCH($F$1, 'Master Data Sheet'!$1:$1, 0)), "")</f>
        <v>0.92181069958847728</v>
      </c>
      <c r="J7" s="11" cm="1">
        <f t="array" ref="J7">IFERROR(INDEX('Master Data Sheet'!$1:$1048576, MATCH(1, ('Master Data Sheet'!$H:$H=J$2) * (INDEX('Master Data Sheet'!$1:$1, , MATCH($F$1, 'Master Data Sheet'!$1:$1, 0)) = $F$1) * ('Master Data Sheet'!$G:$G=$B7) * ('Master Data Sheet'!$F:$F=$E7) * ('Master Data Sheet'!$A:$A=$F7), 0), MATCH($F$1, 'Master Data Sheet'!$1:$1, 0)), "")</f>
        <v>0.15363511659807957</v>
      </c>
      <c r="K7" s="11" cm="1">
        <f t="array" ref="K7">IFERROR(INDEX('Master Data Sheet'!$1:$1048576, MATCH(1, ('Master Data Sheet'!$H:$H=K$2) * (INDEX('Master Data Sheet'!$1:$1, , MATCH($F$1, 'Master Data Sheet'!$1:$1, 0)) = $F$1) * ('Master Data Sheet'!$G:$G=$B7) * ('Master Data Sheet'!$F:$F=$E7) * ('Master Data Sheet'!$A:$A=$F7), 0), MATCH($F$1, 'Master Data Sheet'!$1:$1, 0)), "")</f>
        <v>0.79378143575674442</v>
      </c>
      <c r="L7" s="11" cm="1">
        <f t="array" ref="L7">IFERROR(INDEX('Master Data Sheet'!$1:$1048576, MATCH(1, ('Master Data Sheet'!$H:$H=L$2) * (INDEX('Master Data Sheet'!$1:$1, , MATCH($F$1, 'Master Data Sheet'!$1:$1, 0)) = $F$1) * ('Master Data Sheet'!$G:$G=$B7) * ('Master Data Sheet'!$F:$F=$E7) * ('Master Data Sheet'!$A:$A=$F7), 0), MATCH($F$1, 'Master Data Sheet'!$1:$1, 0)), "")</f>
        <v>0.8449931412894377</v>
      </c>
      <c r="M7" s="11" cm="1">
        <f t="array" ref="M7">IFERROR(INDEX('Master Data Sheet'!$1:$1048576, MATCH(1, ('Master Data Sheet'!$H:$H=M$2) * (INDEX('Master Data Sheet'!$1:$1, , MATCH($F$1, 'Master Data Sheet'!$1:$1, 0)) = $F$1) * ('Master Data Sheet'!$G:$G=$B7) * ('Master Data Sheet'!$F:$F=$E7) * ('Master Data Sheet'!$A:$A=$F7), 0), MATCH($F$1, 'Master Data Sheet'!$1:$1, 0)), "")</f>
        <v>0.43529949702789206</v>
      </c>
      <c r="N7" s="11" cm="1">
        <f t="array" ref="N7">IFERROR(INDEX('Master Data Sheet'!$1:$1048576, MATCH(1, ('Master Data Sheet'!$H:$H=N$2) * (INDEX('Master Data Sheet'!$1:$1, , MATCH($F$1, 'Master Data Sheet'!$1:$1, 0)) = $F$1) * ('Master Data Sheet'!$G:$G=$B7) * ('Master Data Sheet'!$F:$F=$E7) * ('Master Data Sheet'!$A:$A=$F7), 0), MATCH($F$1, 'Master Data Sheet'!$1:$1, 0)), "")</f>
        <v>1.2802926383173299</v>
      </c>
      <c r="O7" s="11"/>
      <c r="P7" s="11">
        <f t="shared" si="4"/>
        <v>0.37449797214442732</v>
      </c>
      <c r="Q7" s="46" t="e">
        <f>(1-(O7/O4))*100</f>
        <v>#DIV/0!</v>
      </c>
      <c r="X7" t="str">
        <f>IFERROR(INDEX('Date Key'!$G$57:$G$62, MATCH(B6,'Date Key'!$A$57:$A$62, 0)), "")</f>
        <v>Low HLR, Lower Outlet Height, No Plants</v>
      </c>
      <c r="Y7" s="1">
        <f t="shared" ref="Y7:AE7" si="9">H6</f>
        <v>0.20484682213077277</v>
      </c>
      <c r="Z7" s="1">
        <f t="shared" si="9"/>
        <v>0.23045267489711932</v>
      </c>
      <c r="AA7" s="1">
        <f t="shared" si="9"/>
        <v>0.38408779149519889</v>
      </c>
      <c r="AB7" s="1">
        <f t="shared" si="9"/>
        <v>0.12802926383173296</v>
      </c>
      <c r="AC7" s="1">
        <f t="shared" si="9"/>
        <v>1.3571101966163694</v>
      </c>
      <c r="AD7" s="1">
        <f t="shared" si="9"/>
        <v>0.97302240512117066</v>
      </c>
      <c r="AE7" s="1">
        <f t="shared" si="9"/>
        <v>1.1010516689529035</v>
      </c>
      <c r="AF7" s="1">
        <f t="shared" ref="AF7:AL7" si="10">H7</f>
        <v>0.46090534979423864</v>
      </c>
      <c r="AG7" s="1">
        <f t="shared" si="10"/>
        <v>0.92181069958847728</v>
      </c>
      <c r="AH7" s="1">
        <f t="shared" si="10"/>
        <v>0.15363511659807957</v>
      </c>
      <c r="AI7" s="1">
        <f t="shared" si="10"/>
        <v>0.79378143575674442</v>
      </c>
      <c r="AJ7" s="1">
        <f t="shared" si="10"/>
        <v>0.8449931412894377</v>
      </c>
      <c r="AK7" s="1">
        <f t="shared" si="10"/>
        <v>0.43529949702789206</v>
      </c>
      <c r="AL7" s="1">
        <f t="shared" si="10"/>
        <v>1.2802926383173299</v>
      </c>
      <c r="AM7" s="1">
        <f t="shared" ref="AM7:AS7" si="11">H8</f>
        <v>0.26123833757421538</v>
      </c>
      <c r="AN7" s="1">
        <f t="shared" si="11"/>
        <v>0.28498727735368956</v>
      </c>
      <c r="AO7" s="1">
        <f t="shared" si="11"/>
        <v>0.14249363867684478</v>
      </c>
      <c r="AP7" s="1">
        <f t="shared" si="11"/>
        <v>9.4995759117896525E-2</v>
      </c>
      <c r="AQ7" s="1">
        <f t="shared" si="11"/>
        <v>0.3799830364715861</v>
      </c>
      <c r="AR7" s="1">
        <f t="shared" si="11"/>
        <v>0.28498727735368956</v>
      </c>
      <c r="AS7" s="1">
        <f t="shared" si="11"/>
        <v>0.33248515691263786</v>
      </c>
    </row>
    <row r="8" spans="1:45" x14ac:dyDescent="0.35">
      <c r="A8" s="41">
        <f>IFERROR(INDEX('Date Key'!$B$2:$B$19, MATCH(F8,'Date Key'!$A$2:$A$19, 0)), "")</f>
        <v>45195</v>
      </c>
      <c r="B8" s="4">
        <f t="shared" si="0"/>
        <v>1</v>
      </c>
      <c r="C8" s="26" t="str">
        <f>IFERROR(INDEX('Date Key'!$G$57:$G$62, MATCH(B8,'Date Key'!$A$57:$A$62, 0)), "")</f>
        <v>Low HLR, Lower Outlet Height, No Plants</v>
      </c>
      <c r="D8" s="4" t="str">
        <f>IFERROR(INDEX('Date Key'!$G$2:$G$19, MATCH(F8, 'Date Key'!$A$2:$A$19, 0)), "")</f>
        <v>No</v>
      </c>
      <c r="E8" s="4" t="str">
        <f t="shared" si="1"/>
        <v>tank 1</v>
      </c>
      <c r="F8" s="4">
        <f t="shared" si="2"/>
        <v>3</v>
      </c>
      <c r="G8" s="4">
        <f t="shared" si="3"/>
        <v>3</v>
      </c>
      <c r="H8" s="11" cm="1">
        <f t="array" ref="H8">IFERROR(INDEX('Master Data Sheet'!$1:$1048576, MATCH(1, ('Master Data Sheet'!$H:$H=H$2) * (INDEX('Master Data Sheet'!$1:$1, , MATCH($F$1, 'Master Data Sheet'!$1:$1, 0)) = $F$1) * ('Master Data Sheet'!$G:$G=$B8) * ('Master Data Sheet'!$F:$F=$E8) * ('Master Data Sheet'!$A:$A=$F8), 0), MATCH($F$1, 'Master Data Sheet'!$1:$1, 0)), "")</f>
        <v>0.26123833757421538</v>
      </c>
      <c r="I8" s="11" cm="1">
        <f t="array" ref="I8">IFERROR(INDEX('Master Data Sheet'!$1:$1048576, MATCH(1, ('Master Data Sheet'!$H:$H=I$2) * (INDEX('Master Data Sheet'!$1:$1, , MATCH($F$1, 'Master Data Sheet'!$1:$1, 0)) = $F$1) * ('Master Data Sheet'!$G:$G=$B8) * ('Master Data Sheet'!$F:$F=$E8) * ('Master Data Sheet'!$A:$A=$F8), 0), MATCH($F$1, 'Master Data Sheet'!$1:$1, 0)), "")</f>
        <v>0.28498727735368956</v>
      </c>
      <c r="J8" s="11" cm="1">
        <f t="array" ref="J8">IFERROR(INDEX('Master Data Sheet'!$1:$1048576, MATCH(1, ('Master Data Sheet'!$H:$H=J$2) * (INDEX('Master Data Sheet'!$1:$1, , MATCH($F$1, 'Master Data Sheet'!$1:$1, 0)) = $F$1) * ('Master Data Sheet'!$G:$G=$B8) * ('Master Data Sheet'!$F:$F=$E8) * ('Master Data Sheet'!$A:$A=$F8), 0), MATCH($F$1, 'Master Data Sheet'!$1:$1, 0)), "")</f>
        <v>0.14249363867684478</v>
      </c>
      <c r="K8" s="11" cm="1">
        <f t="array" ref="K8">IFERROR(INDEX('Master Data Sheet'!$1:$1048576, MATCH(1, ('Master Data Sheet'!$H:$H=K$2) * (INDEX('Master Data Sheet'!$1:$1, , MATCH($F$1, 'Master Data Sheet'!$1:$1, 0)) = $F$1) * ('Master Data Sheet'!$G:$G=$B8) * ('Master Data Sheet'!$F:$F=$E8) * ('Master Data Sheet'!$A:$A=$F8), 0), MATCH($F$1, 'Master Data Sheet'!$1:$1, 0)), "")</f>
        <v>9.4995759117896525E-2</v>
      </c>
      <c r="L8" s="11" cm="1">
        <f t="array" ref="L8">IFERROR(INDEX('Master Data Sheet'!$1:$1048576, MATCH(1, ('Master Data Sheet'!$H:$H=L$2) * (INDEX('Master Data Sheet'!$1:$1, , MATCH($F$1, 'Master Data Sheet'!$1:$1, 0)) = $F$1) * ('Master Data Sheet'!$G:$G=$B8) * ('Master Data Sheet'!$F:$F=$E8) * ('Master Data Sheet'!$A:$A=$F8), 0), MATCH($F$1, 'Master Data Sheet'!$1:$1, 0)), "")</f>
        <v>0.3799830364715861</v>
      </c>
      <c r="M8" s="11" cm="1">
        <f t="array" ref="M8">IFERROR(INDEX('Master Data Sheet'!$1:$1048576, MATCH(1, ('Master Data Sheet'!$H:$H=M$2) * (INDEX('Master Data Sheet'!$1:$1, , MATCH($F$1, 'Master Data Sheet'!$1:$1, 0)) = $F$1) * ('Master Data Sheet'!$G:$G=$B8) * ('Master Data Sheet'!$F:$F=$E8) * ('Master Data Sheet'!$A:$A=$F8), 0), MATCH($F$1, 'Master Data Sheet'!$1:$1, 0)), "")</f>
        <v>0.28498727735368956</v>
      </c>
      <c r="N8" s="11" cm="1">
        <f t="array" ref="N8">IFERROR(INDEX('Master Data Sheet'!$1:$1048576, MATCH(1, ('Master Data Sheet'!$H:$H=N$2) * (INDEX('Master Data Sheet'!$1:$1, , MATCH($F$1, 'Master Data Sheet'!$1:$1, 0)) = $F$1) * ('Master Data Sheet'!$G:$G=$B8) * ('Master Data Sheet'!$F:$F=$E8) * ('Master Data Sheet'!$A:$A=$F8), 0), MATCH($F$1, 'Master Data Sheet'!$1:$1, 0)), "")</f>
        <v>0.33248515691263786</v>
      </c>
      <c r="O8" s="11">
        <f t="shared" si="8"/>
        <v>0.2544529262086514</v>
      </c>
      <c r="P8" s="11">
        <f t="shared" si="4"/>
        <v>0.10142241929967977</v>
      </c>
      <c r="Q8" s="46">
        <f>(1-(O8/O5))*100</f>
        <v>-38.888888888888886</v>
      </c>
      <c r="Y8" s="2"/>
      <c r="Z8" s="2"/>
      <c r="AA8" s="2"/>
      <c r="AB8" s="2"/>
      <c r="AC8" s="2"/>
      <c r="AD8" s="2"/>
      <c r="AE8" s="2"/>
      <c r="AF8" s="2"/>
      <c r="AG8" s="2"/>
    </row>
    <row r="9" spans="1:45" x14ac:dyDescent="0.35">
      <c r="A9" s="41">
        <f>IFERROR(INDEX('Date Key'!$B$2:$B$19, MATCH(F9,'Date Key'!$A$2:$A$19, 0)), "")</f>
        <v>45175</v>
      </c>
      <c r="B9" s="4">
        <f t="shared" si="0"/>
        <v>1</v>
      </c>
      <c r="C9" s="26" t="str">
        <f>IFERROR(INDEX('Date Key'!$G$57:$G$62, MATCH(B9,'Date Key'!$A$57:$A$62, 0)), "")</f>
        <v>Low HLR, Lower Outlet Height, No Plants</v>
      </c>
      <c r="D9" s="4" t="str">
        <f>IFERROR(INDEX('Date Key'!$G$2:$G$19, MATCH(F9, 'Date Key'!$A$2:$A$19, 0)), "")</f>
        <v>No</v>
      </c>
      <c r="E9" s="4" t="str">
        <f t="shared" si="1"/>
        <v>tank 2</v>
      </c>
      <c r="F9" s="4">
        <f t="shared" si="2"/>
        <v>1</v>
      </c>
      <c r="G9" s="4">
        <f t="shared" si="3"/>
        <v>1</v>
      </c>
      <c r="H9" s="11" cm="1">
        <f t="array" ref="H9">IFERROR(INDEX('Master Data Sheet'!$1:$1048576, MATCH(1, ('Master Data Sheet'!$H:$H=H$2) * (INDEX('Master Data Sheet'!$1:$1, , MATCH($F$1, 'Master Data Sheet'!$1:$1, 0)) = $F$1) * ('Master Data Sheet'!$G:$G=$B9) * ('Master Data Sheet'!$F:$F=$E9) * ('Master Data Sheet'!$A:$A=$F9), 0), MATCH($F$1, 'Master Data Sheet'!$1:$1, 0)), "")</f>
        <v>2.5605852766346596E-2</v>
      </c>
      <c r="I9" s="11" cm="1">
        <f t="array" ref="I9">IFERROR(INDEX('Master Data Sheet'!$1:$1048576, MATCH(1, ('Master Data Sheet'!$H:$H=I$2) * (INDEX('Master Data Sheet'!$1:$1, , MATCH($F$1, 'Master Data Sheet'!$1:$1, 0)) = $F$1) * ('Master Data Sheet'!$G:$G=$B9) * ('Master Data Sheet'!$F:$F=$E9) * ('Master Data Sheet'!$A:$A=$F9), 0), MATCH($F$1, 'Master Data Sheet'!$1:$1, 0)), "")</f>
        <v>0.12802926383173296</v>
      </c>
      <c r="J9" s="11" cm="1">
        <f t="array" ref="J9">IFERROR(INDEX('Master Data Sheet'!$1:$1048576, MATCH(1, ('Master Data Sheet'!$H:$H=J$2) * (INDEX('Master Data Sheet'!$1:$1, , MATCH($F$1, 'Master Data Sheet'!$1:$1, 0)) = $F$1) * ('Master Data Sheet'!$G:$G=$B9) * ('Master Data Sheet'!$F:$F=$E9) * ('Master Data Sheet'!$A:$A=$F9), 0), MATCH($F$1, 'Master Data Sheet'!$1:$1, 0)), "")</f>
        <v>0.23045267489711932</v>
      </c>
      <c r="K9" s="11" cm="1">
        <f t="array" ref="K9">IFERROR(INDEX('Master Data Sheet'!$1:$1048576, MATCH(1, ('Master Data Sheet'!$H:$H=K$2) * (INDEX('Master Data Sheet'!$1:$1, , MATCH($F$1, 'Master Data Sheet'!$1:$1, 0)) = $F$1) * ('Master Data Sheet'!$G:$G=$B9) * ('Master Data Sheet'!$F:$F=$E9) * ('Master Data Sheet'!$A:$A=$F9), 0), MATCH($F$1, 'Master Data Sheet'!$1:$1, 0)), "")</f>
        <v>0</v>
      </c>
      <c r="L9" s="11" cm="1">
        <f t="array" ref="L9">IFERROR(INDEX('Master Data Sheet'!$1:$1048576, MATCH(1, ('Master Data Sheet'!$H:$H=L$2) * (INDEX('Master Data Sheet'!$1:$1, , MATCH($F$1, 'Master Data Sheet'!$1:$1, 0)) = $F$1) * ('Master Data Sheet'!$G:$G=$B9) * ('Master Data Sheet'!$F:$F=$E9) * ('Master Data Sheet'!$A:$A=$F9), 0), MATCH($F$1, 'Master Data Sheet'!$1:$1, 0)), "")</f>
        <v>7.6817558299039787E-2</v>
      </c>
      <c r="M9" s="11" cm="1">
        <f t="array" ref="M9">IFERROR(INDEX('Master Data Sheet'!$1:$1048576, MATCH(1, ('Master Data Sheet'!$H:$H=M$2) * (INDEX('Master Data Sheet'!$1:$1, , MATCH($F$1, 'Master Data Sheet'!$1:$1, 0)) = $F$1) * ('Master Data Sheet'!$G:$G=$B9) * ('Master Data Sheet'!$F:$F=$E9) * ('Master Data Sheet'!$A:$A=$F9), 0), MATCH($F$1, 'Master Data Sheet'!$1:$1, 0)), "")</f>
        <v>0.79378143575674442</v>
      </c>
      <c r="N9" s="11" cm="1">
        <f t="array" ref="N9">IFERROR(INDEX('Master Data Sheet'!$1:$1048576, MATCH(1, ('Master Data Sheet'!$H:$H=N$2) * (INDEX('Master Data Sheet'!$1:$1, , MATCH($F$1, 'Master Data Sheet'!$1:$1, 0)) = $F$1) * ('Master Data Sheet'!$G:$G=$B9) * ('Master Data Sheet'!$F:$F=$E9) * ('Master Data Sheet'!$A:$A=$F9), 0), MATCH($F$1, 'Master Data Sheet'!$1:$1, 0)), "")</f>
        <v>0.28166438042981246</v>
      </c>
      <c r="O9" s="11">
        <f t="shared" si="8"/>
        <v>0.21947873799725651</v>
      </c>
      <c r="P9" s="11">
        <f t="shared" si="4"/>
        <v>0.2733385875455327</v>
      </c>
      <c r="Q9" s="46">
        <f>(1-(O9/O3))*100</f>
        <v>41.747572815533971</v>
      </c>
      <c r="R9" s="46" t="e">
        <f>AVERAGE(Q9:Q11)</f>
        <v>#DIV/0!</v>
      </c>
      <c r="S9" s="46" t="e">
        <f>STDEV(Q9:Q11)</f>
        <v>#DIV/0!</v>
      </c>
      <c r="T9" s="47">
        <f>(1-(AVERAGE(H9:N9,H11:N11)/AVERAGE(H3:N3,H5:N5)))*100</f>
        <v>38.388850104717278</v>
      </c>
      <c r="U9" s="47"/>
      <c r="V9" s="47"/>
      <c r="Y9" s="2"/>
      <c r="Z9" s="2"/>
      <c r="AA9" s="2"/>
      <c r="AB9" s="2"/>
      <c r="AC9" s="2"/>
      <c r="AD9" s="2"/>
      <c r="AE9" s="2"/>
      <c r="AF9" s="2"/>
      <c r="AG9" s="2"/>
    </row>
    <row r="10" spans="1:45" x14ac:dyDescent="0.35">
      <c r="A10" s="41">
        <f>IFERROR(INDEX('Date Key'!$B$2:$B$19, MATCH(F10,'Date Key'!$A$2:$A$19, 0)), "")</f>
        <v>45181</v>
      </c>
      <c r="B10" s="4">
        <f t="shared" si="0"/>
        <v>1</v>
      </c>
      <c r="C10" s="26" t="str">
        <f>IFERROR(INDEX('Date Key'!$G$57:$G$62, MATCH(B10,'Date Key'!$A$57:$A$62, 0)), "")</f>
        <v>Low HLR, Lower Outlet Height, No Plants</v>
      </c>
      <c r="D10" s="4" t="str">
        <f>IFERROR(INDEX('Date Key'!$G$2:$G$19, MATCH(F10, 'Date Key'!$A$2:$A$19, 0)), "")</f>
        <v>No</v>
      </c>
      <c r="E10" s="4" t="str">
        <f t="shared" si="1"/>
        <v>tank 2</v>
      </c>
      <c r="F10" s="4">
        <f t="shared" si="2"/>
        <v>2</v>
      </c>
      <c r="G10" s="4">
        <f t="shared" si="3"/>
        <v>2</v>
      </c>
      <c r="H10" s="11" cm="1">
        <f t="array" ref="H10">IFERROR(INDEX('Master Data Sheet'!$1:$1048576, MATCH(1, ('Master Data Sheet'!$H:$H=H$2) * (INDEX('Master Data Sheet'!$1:$1, , MATCH($F$1, 'Master Data Sheet'!$1:$1, 0)) = $F$1) * ('Master Data Sheet'!$G:$G=$B10) * ('Master Data Sheet'!$F:$F=$E10) * ('Master Data Sheet'!$A:$A=$F10), 0), MATCH($F$1, 'Master Data Sheet'!$1:$1, 0)), "")</f>
        <v>0</v>
      </c>
      <c r="I10" s="11" cm="1">
        <f t="array" ref="I10">IFERROR(INDEX('Master Data Sheet'!$1:$1048576, MATCH(1, ('Master Data Sheet'!$H:$H=I$2) * (INDEX('Master Data Sheet'!$1:$1, , MATCH($F$1, 'Master Data Sheet'!$1:$1, 0)) = $F$1) * ('Master Data Sheet'!$G:$G=$B10) * ('Master Data Sheet'!$F:$F=$E10) * ('Master Data Sheet'!$A:$A=$F10), 0), MATCH($F$1, 'Master Data Sheet'!$1:$1, 0)), "")</f>
        <v>0.66575217192501146</v>
      </c>
      <c r="J10" s="11" cm="1">
        <f t="array" ref="J10">IFERROR(INDEX('Master Data Sheet'!$1:$1048576, MATCH(1, ('Master Data Sheet'!$H:$H=J$2) * (INDEX('Master Data Sheet'!$1:$1, , MATCH($F$1, 'Master Data Sheet'!$1:$1, 0)) = $F$1) * ('Master Data Sheet'!$G:$G=$B10) * ('Master Data Sheet'!$F:$F=$E10) * ('Master Data Sheet'!$A:$A=$F10), 0), MATCH($F$1, 'Master Data Sheet'!$1:$1, 0)), "")</f>
        <v>0.35848193872885231</v>
      </c>
      <c r="K10" s="11" cm="1">
        <f t="array" ref="K10">IFERROR(INDEX('Master Data Sheet'!$1:$1048576, MATCH(1, ('Master Data Sheet'!$H:$H=K$2) * (INDEX('Master Data Sheet'!$1:$1, , MATCH($F$1, 'Master Data Sheet'!$1:$1, 0)) = $F$1) * ('Master Data Sheet'!$G:$G=$B10) * ('Master Data Sheet'!$F:$F=$E10) * ('Master Data Sheet'!$A:$A=$F10), 0), MATCH($F$1, 'Master Data Sheet'!$1:$1, 0)), "")</f>
        <v>0.28166438042981246</v>
      </c>
      <c r="L10" s="11" cm="1">
        <f t="array" ref="L10">IFERROR(INDEX('Master Data Sheet'!$1:$1048576, MATCH(1, ('Master Data Sheet'!$H:$H=L$2) * (INDEX('Master Data Sheet'!$1:$1, , MATCH($F$1, 'Master Data Sheet'!$1:$1, 0)) = $F$1) * ('Master Data Sheet'!$G:$G=$B10) * ('Master Data Sheet'!$F:$F=$E10) * ('Master Data Sheet'!$A:$A=$F10), 0), MATCH($F$1, 'Master Data Sheet'!$1:$1, 0)), "")</f>
        <v>2.5605852766346596E-2</v>
      </c>
      <c r="M10" s="11" cm="1">
        <f t="array" ref="M10">IFERROR(INDEX('Master Data Sheet'!$1:$1048576, MATCH(1, ('Master Data Sheet'!$H:$H=M$2) * (INDEX('Master Data Sheet'!$1:$1, , MATCH($F$1, 'Master Data Sheet'!$1:$1, 0)) = $F$1) * ('Master Data Sheet'!$G:$G=$B10) * ('Master Data Sheet'!$F:$F=$E10) * ('Master Data Sheet'!$A:$A=$F10), 0), MATCH($F$1, 'Master Data Sheet'!$1:$1, 0)), "")</f>
        <v>0.35848193872885231</v>
      </c>
      <c r="N10" s="11" cm="1">
        <f t="array" ref="N10">IFERROR(INDEX('Master Data Sheet'!$1:$1048576, MATCH(1, ('Master Data Sheet'!$H:$H=N$2) * (INDEX('Master Data Sheet'!$1:$1, , MATCH($F$1, 'Master Data Sheet'!$1:$1, 0)) = $F$1) * ('Master Data Sheet'!$G:$G=$B10) * ('Master Data Sheet'!$F:$F=$E10) * ('Master Data Sheet'!$A:$A=$F10), 0), MATCH($F$1, 'Master Data Sheet'!$1:$1, 0)), "")</f>
        <v>0.56332876085962491</v>
      </c>
      <c r="O10" s="11"/>
      <c r="P10" s="11">
        <f t="shared" si="4"/>
        <v>0.24907407730929851</v>
      </c>
      <c r="Q10" s="46" t="e">
        <f>(1-(O10/O4))*100</f>
        <v>#DIV/0!</v>
      </c>
      <c r="X10" t="str">
        <f>IFERROR(INDEX('Date Key'!$G$57:$G$62, MATCH(B9,'Date Key'!$A$57:$A$62, 0)), "")</f>
        <v>Low HLR, Lower Outlet Height, No Plants</v>
      </c>
      <c r="Y10" s="1">
        <f t="shared" ref="Y10:AE10" si="12">H9</f>
        <v>2.5605852766346596E-2</v>
      </c>
      <c r="Z10" s="1">
        <f t="shared" si="12"/>
        <v>0.12802926383173296</v>
      </c>
      <c r="AA10" s="1">
        <f t="shared" si="12"/>
        <v>0.23045267489711932</v>
      </c>
      <c r="AB10" s="1">
        <f t="shared" si="12"/>
        <v>0</v>
      </c>
      <c r="AC10" s="1">
        <f t="shared" si="12"/>
        <v>7.6817558299039787E-2</v>
      </c>
      <c r="AD10" s="1">
        <f t="shared" si="12"/>
        <v>0.79378143575674442</v>
      </c>
      <c r="AE10" s="1">
        <f t="shared" si="12"/>
        <v>0.28166438042981246</v>
      </c>
      <c r="AF10" s="1">
        <f t="shared" ref="AF10:AL10" si="13">H10</f>
        <v>0</v>
      </c>
      <c r="AG10" s="1">
        <f t="shared" si="13"/>
        <v>0.66575217192501146</v>
      </c>
      <c r="AH10" s="1">
        <f t="shared" si="13"/>
        <v>0.35848193872885231</v>
      </c>
      <c r="AI10" s="1">
        <f t="shared" si="13"/>
        <v>0.28166438042981246</v>
      </c>
      <c r="AJ10" s="1">
        <f t="shared" si="13"/>
        <v>2.5605852766346596E-2</v>
      </c>
      <c r="AK10" s="1">
        <f t="shared" si="13"/>
        <v>0.35848193872885231</v>
      </c>
      <c r="AL10" s="1">
        <f t="shared" si="13"/>
        <v>0.56332876085962491</v>
      </c>
      <c r="AM10" s="1">
        <f t="shared" ref="AM10:AS10" si="14">H11</f>
        <v>4.7497879558948262E-2</v>
      </c>
      <c r="AN10" s="1">
        <f t="shared" si="14"/>
        <v>0</v>
      </c>
      <c r="AO10" s="1">
        <f t="shared" si="14"/>
        <v>0.21374045801526714</v>
      </c>
      <c r="AP10" s="1">
        <f t="shared" si="14"/>
        <v>0.11874469889737066</v>
      </c>
      <c r="AQ10" s="1">
        <f t="shared" si="14"/>
        <v>0.26123833757421538</v>
      </c>
      <c r="AR10" s="1">
        <f t="shared" si="14"/>
        <v>4.7497879558948262E-2</v>
      </c>
      <c r="AS10" s="1">
        <f t="shared" si="14"/>
        <v>0.18999151823579305</v>
      </c>
    </row>
    <row r="11" spans="1:45" x14ac:dyDescent="0.35">
      <c r="A11" s="42">
        <f>IFERROR(INDEX('Date Key'!$B$2:$B$19, MATCH(F11,'Date Key'!$A$2:$A$19, 0)), "")</f>
        <v>45195</v>
      </c>
      <c r="B11" s="27">
        <f t="shared" si="0"/>
        <v>1</v>
      </c>
      <c r="C11" s="51" t="str">
        <f>IFERROR(INDEX('Date Key'!$G$57:$G$62, MATCH(B11,'Date Key'!$A$57:$A$62, 0)), "")</f>
        <v>Low HLR, Lower Outlet Height, No Plants</v>
      </c>
      <c r="D11" s="27" t="str">
        <f>IFERROR(INDEX('Date Key'!$G$2:$G$19, MATCH(F11, 'Date Key'!$A$2:$A$19, 0)), "")</f>
        <v>No</v>
      </c>
      <c r="E11" s="27" t="str">
        <f t="shared" si="1"/>
        <v>tank 2</v>
      </c>
      <c r="F11" s="27">
        <f t="shared" si="2"/>
        <v>3</v>
      </c>
      <c r="G11" s="27">
        <f t="shared" si="3"/>
        <v>3</v>
      </c>
      <c r="H11" s="28" cm="1">
        <f t="array" ref="H11">IFERROR(INDEX('Master Data Sheet'!$1:$1048576, MATCH(1, ('Master Data Sheet'!$H:$H=H$2) * (INDEX('Master Data Sheet'!$1:$1, , MATCH($F$1, 'Master Data Sheet'!$1:$1, 0)) = $F$1) * ('Master Data Sheet'!$G:$G=$B11) * ('Master Data Sheet'!$F:$F=$E11) * ('Master Data Sheet'!$A:$A=$F11), 0), MATCH($F$1, 'Master Data Sheet'!$1:$1, 0)), "")</f>
        <v>4.7497879558948262E-2</v>
      </c>
      <c r="I11" s="28" cm="1">
        <f t="array" ref="I11">IFERROR(INDEX('Master Data Sheet'!$1:$1048576, MATCH(1, ('Master Data Sheet'!$H:$H=I$2) * (INDEX('Master Data Sheet'!$1:$1, , MATCH($F$1, 'Master Data Sheet'!$1:$1, 0)) = $F$1) * ('Master Data Sheet'!$G:$G=$B11) * ('Master Data Sheet'!$F:$F=$E11) * ('Master Data Sheet'!$A:$A=$F11), 0), MATCH($F$1, 'Master Data Sheet'!$1:$1, 0)), "")</f>
        <v>0</v>
      </c>
      <c r="J11" s="28" cm="1">
        <f t="array" ref="J11">IFERROR(INDEX('Master Data Sheet'!$1:$1048576, MATCH(1, ('Master Data Sheet'!$H:$H=J$2) * (INDEX('Master Data Sheet'!$1:$1, , MATCH($F$1, 'Master Data Sheet'!$1:$1, 0)) = $F$1) * ('Master Data Sheet'!$G:$G=$B11) * ('Master Data Sheet'!$F:$F=$E11) * ('Master Data Sheet'!$A:$A=$F11), 0), MATCH($F$1, 'Master Data Sheet'!$1:$1, 0)), "")</f>
        <v>0.21374045801526714</v>
      </c>
      <c r="K11" s="28" cm="1">
        <f t="array" ref="K11">IFERROR(INDEX('Master Data Sheet'!$1:$1048576, MATCH(1, ('Master Data Sheet'!$H:$H=K$2) * (INDEX('Master Data Sheet'!$1:$1, , MATCH($F$1, 'Master Data Sheet'!$1:$1, 0)) = $F$1) * ('Master Data Sheet'!$G:$G=$B11) * ('Master Data Sheet'!$F:$F=$E11) * ('Master Data Sheet'!$A:$A=$F11), 0), MATCH($F$1, 'Master Data Sheet'!$1:$1, 0)), "")</f>
        <v>0.11874469889737066</v>
      </c>
      <c r="L11" s="28" cm="1">
        <f t="array" ref="L11">IFERROR(INDEX('Master Data Sheet'!$1:$1048576, MATCH(1, ('Master Data Sheet'!$H:$H=L$2) * (INDEX('Master Data Sheet'!$1:$1, , MATCH($F$1, 'Master Data Sheet'!$1:$1, 0)) = $F$1) * ('Master Data Sheet'!$G:$G=$B11) * ('Master Data Sheet'!$F:$F=$E11) * ('Master Data Sheet'!$A:$A=$F11), 0), MATCH($F$1, 'Master Data Sheet'!$1:$1, 0)), "")</f>
        <v>0.26123833757421538</v>
      </c>
      <c r="M11" s="28" cm="1">
        <f t="array" ref="M11">IFERROR(INDEX('Master Data Sheet'!$1:$1048576, MATCH(1, ('Master Data Sheet'!$H:$H=M$2) * (INDEX('Master Data Sheet'!$1:$1, , MATCH($F$1, 'Master Data Sheet'!$1:$1, 0)) = $F$1) * ('Master Data Sheet'!$G:$G=$B11) * ('Master Data Sheet'!$F:$F=$E11) * ('Master Data Sheet'!$A:$A=$F11), 0), MATCH($F$1, 'Master Data Sheet'!$1:$1, 0)), "")</f>
        <v>4.7497879558948262E-2</v>
      </c>
      <c r="N11" s="28" cm="1">
        <f t="array" ref="N11">IFERROR(INDEX('Master Data Sheet'!$1:$1048576, MATCH(1, ('Master Data Sheet'!$H:$H=N$2) * (INDEX('Master Data Sheet'!$1:$1, , MATCH($F$1, 'Master Data Sheet'!$1:$1, 0)) = $F$1) * ('Master Data Sheet'!$G:$G=$B11) * ('Master Data Sheet'!$F:$F=$E11) * ('Master Data Sheet'!$A:$A=$F11), 0), MATCH($F$1, 'Master Data Sheet'!$1:$1, 0)), "")</f>
        <v>0.18999151823579305</v>
      </c>
      <c r="O11" s="28">
        <f t="shared" si="8"/>
        <v>0.12553011026293467</v>
      </c>
      <c r="P11" s="28">
        <f t="shared" si="4"/>
        <v>9.8602712923889446E-2</v>
      </c>
      <c r="Q11" s="48">
        <f>(1-(O11/O5))*100</f>
        <v>31.481481481481488</v>
      </c>
      <c r="R11" s="27"/>
      <c r="S11" s="27"/>
      <c r="T11" s="27"/>
      <c r="U11" s="27"/>
      <c r="V11" s="27"/>
    </row>
    <row r="12" spans="1:45" x14ac:dyDescent="0.35">
      <c r="A12" s="41">
        <f>IFERROR(INDEX('Date Key'!$B$2:$B$19, MATCH(F12,'Date Key'!$A$2:$A$19, 0)), "")</f>
        <v>45217</v>
      </c>
      <c r="B12" s="4">
        <f t="shared" si="0"/>
        <v>2</v>
      </c>
      <c r="C12" s="26" t="str">
        <f>IFERROR(INDEX('Date Key'!$G$57:$G$62, MATCH(B12,'Date Key'!$A$57:$A$62, 0)), "")</f>
        <v>Medium HLR, Lower Outlet Height, No Plants</v>
      </c>
      <c r="D12" s="4" t="str">
        <f>IFERROR(INDEX('Date Key'!$G$2:$G$19, MATCH(F12, 'Date Key'!$A$2:$A$19, 0)), "")</f>
        <v>No</v>
      </c>
      <c r="E12" s="4" t="str">
        <f t="shared" si="1"/>
        <v>in</v>
      </c>
      <c r="F12" s="4">
        <f t="shared" si="2"/>
        <v>4</v>
      </c>
      <c r="G12" s="4">
        <f t="shared" si="3"/>
        <v>1</v>
      </c>
      <c r="H12" s="11" cm="1">
        <f t="array" ref="H12">IFERROR(INDEX('Master Data Sheet'!$1:$1048576, MATCH(1, ('Master Data Sheet'!$H:$H=H$2) * (INDEX('Master Data Sheet'!$1:$1, , MATCH($F$1, 'Master Data Sheet'!$1:$1, 0)) = $F$1) * ('Master Data Sheet'!$G:$G=$B12) * ('Master Data Sheet'!$F:$F=$E12) * ('Master Data Sheet'!$A:$A=$F12), 0), MATCH($F$1, 'Master Data Sheet'!$1:$1, 0)), "")</f>
        <v>7.124681933842239E-2</v>
      </c>
      <c r="I12" s="11" cm="1">
        <f t="array" ref="I12">IFERROR(INDEX('Master Data Sheet'!$1:$1048576, MATCH(1, ('Master Data Sheet'!$H:$H=I$2) * (INDEX('Master Data Sheet'!$1:$1, , MATCH($F$1, 'Master Data Sheet'!$1:$1, 0)) = $F$1) * ('Master Data Sheet'!$G:$G=$B12) * ('Master Data Sheet'!$F:$F=$E12) * ('Master Data Sheet'!$A:$A=$F12), 0), MATCH($F$1, 'Master Data Sheet'!$1:$1, 0)), "")</f>
        <v>0.44529262086513999</v>
      </c>
      <c r="J12" s="11" cm="1">
        <f t="array" ref="J12">IFERROR(INDEX('Master Data Sheet'!$1:$1048576, MATCH(1, ('Master Data Sheet'!$H:$H=J$2) * (INDEX('Master Data Sheet'!$1:$1, , MATCH($F$1, 'Master Data Sheet'!$1:$1, 0)) = $F$1) * ('Master Data Sheet'!$G:$G=$B12) * ('Master Data Sheet'!$F:$F=$E12) * ('Master Data Sheet'!$A:$A=$F12), 0), MATCH($F$1, 'Master Data Sheet'!$1:$1, 0)), "")</f>
        <v>0</v>
      </c>
      <c r="K12" s="11" cm="1">
        <f t="array" ref="K12">IFERROR(INDEX('Master Data Sheet'!$1:$1048576, MATCH(1, ('Master Data Sheet'!$H:$H=K$2) * (INDEX('Master Data Sheet'!$1:$1, , MATCH($F$1, 'Master Data Sheet'!$1:$1, 0)) = $F$1) * ('Master Data Sheet'!$G:$G=$B12) * ('Master Data Sheet'!$F:$F=$E12) * ('Master Data Sheet'!$A:$A=$F12), 0), MATCH($F$1, 'Master Data Sheet'!$1:$1, 0)), "")</f>
        <v>7.124681933842239E-2</v>
      </c>
      <c r="L12" s="11" cm="1">
        <f t="array" ref="L12">IFERROR(INDEX('Master Data Sheet'!$1:$1048576, MATCH(1, ('Master Data Sheet'!$H:$H=L$2) * (INDEX('Master Data Sheet'!$1:$1, , MATCH($F$1, 'Master Data Sheet'!$1:$1, 0)) = $F$1) * ('Master Data Sheet'!$G:$G=$B12) * ('Master Data Sheet'!$F:$F=$E12) * ('Master Data Sheet'!$A:$A=$F12), 0), MATCH($F$1, 'Master Data Sheet'!$1:$1, 0)), "")</f>
        <v>0</v>
      </c>
      <c r="M12" s="11" cm="1">
        <f t="array" ref="M12">IFERROR(INDEX('Master Data Sheet'!$1:$1048576, MATCH(1, ('Master Data Sheet'!$H:$H=M$2) * (INDEX('Master Data Sheet'!$1:$1, , MATCH($F$1, 'Master Data Sheet'!$1:$1, 0)) = $F$1) * ('Master Data Sheet'!$G:$G=$B12) * ('Master Data Sheet'!$F:$F=$E12) * ('Master Data Sheet'!$A:$A=$F12), 0), MATCH($F$1, 'Master Data Sheet'!$1:$1, 0)), "")</f>
        <v>0</v>
      </c>
      <c r="N12" s="11" cm="1">
        <f t="array" ref="N12">IFERROR(INDEX('Master Data Sheet'!$1:$1048576, MATCH(1, ('Master Data Sheet'!$H:$H=N$2) * (INDEX('Master Data Sheet'!$1:$1, , MATCH($F$1, 'Master Data Sheet'!$1:$1, 0)) = $F$1) * ('Master Data Sheet'!$G:$G=$B12) * ('Master Data Sheet'!$F:$F=$E12) * ('Master Data Sheet'!$A:$A=$F12), 0), MATCH($F$1, 'Master Data Sheet'!$1:$1, 0)), "")</f>
        <v>0</v>
      </c>
      <c r="O12" s="11">
        <f t="shared" si="8"/>
        <v>8.3969465648854963E-2</v>
      </c>
      <c r="P12" s="11">
        <f t="shared" si="4"/>
        <v>0.16282999242520263</v>
      </c>
      <c r="R12" s="11">
        <f>AVERAGE(O12:O14)</f>
        <v>0.14143920267449925</v>
      </c>
      <c r="S12" s="11">
        <f>AVERAGE(P12:P14)</f>
        <v>0.13394810844817862</v>
      </c>
      <c r="U12" s="47">
        <f>AVERAGE(T15, T18)</f>
        <v>12.438244628392743</v>
      </c>
      <c r="V12" s="47">
        <f>STDEV(T15,T18)</f>
        <v>50.281657950903174</v>
      </c>
      <c r="X12" t="s">
        <v>343</v>
      </c>
    </row>
    <row r="13" spans="1:45" x14ac:dyDescent="0.35">
      <c r="A13" s="41">
        <f>IFERROR(INDEX('Date Key'!$B$2:$B$19, MATCH(F13,'Date Key'!$A$2:$A$19, 0)), "")</f>
        <v>45224</v>
      </c>
      <c r="B13" s="4">
        <f t="shared" si="0"/>
        <v>2</v>
      </c>
      <c r="C13" s="26" t="str">
        <f>IFERROR(INDEX('Date Key'!$G$57:$G$62, MATCH(B13,'Date Key'!$A$57:$A$62, 0)), "")</f>
        <v>Medium HLR, Lower Outlet Height, No Plants</v>
      </c>
      <c r="D13" s="4" t="str">
        <f>IFERROR(INDEX('Date Key'!$G$2:$G$19, MATCH(F13, 'Date Key'!$A$2:$A$19, 0)), "")</f>
        <v>No</v>
      </c>
      <c r="E13" s="4" t="str">
        <f t="shared" si="1"/>
        <v>in</v>
      </c>
      <c r="F13" s="4">
        <f t="shared" si="2"/>
        <v>5</v>
      </c>
      <c r="G13" s="4">
        <f t="shared" si="3"/>
        <v>2</v>
      </c>
      <c r="H13" s="11" cm="1">
        <f t="array" ref="H13">IFERROR(INDEX('Master Data Sheet'!$1:$1048576, MATCH(1, ('Master Data Sheet'!$H:$H=H$2) * (INDEX('Master Data Sheet'!$1:$1, , MATCH($F$1, 'Master Data Sheet'!$1:$1, 0)) = $F$1) * ('Master Data Sheet'!$G:$G=$B13) * ('Master Data Sheet'!$F:$F=$E13) * ('Master Data Sheet'!$A:$A=$F13), 0), MATCH($F$1, 'Master Data Sheet'!$1:$1, 0)), "")</f>
        <v>0</v>
      </c>
      <c r="I13" s="11" cm="1">
        <f t="array" ref="I13">IFERROR(INDEX('Master Data Sheet'!$1:$1048576, MATCH(1, ('Master Data Sheet'!$H:$H=I$2) * (INDEX('Master Data Sheet'!$1:$1, , MATCH($F$1, 'Master Data Sheet'!$1:$1, 0)) = $F$1) * ('Master Data Sheet'!$G:$G=$B13) * ('Master Data Sheet'!$F:$F=$E13) * ('Master Data Sheet'!$A:$A=$F13), 0), MATCH($F$1, 'Master Data Sheet'!$1:$1, 0)), "")</f>
        <v>0</v>
      </c>
      <c r="J13" s="11" cm="1">
        <f t="array" ref="J13">IFERROR(INDEX('Master Data Sheet'!$1:$1048576, MATCH(1, ('Master Data Sheet'!$H:$H=J$2) * (INDEX('Master Data Sheet'!$1:$1, , MATCH($F$1, 'Master Data Sheet'!$1:$1, 0)) = $F$1) * ('Master Data Sheet'!$G:$G=$B13) * ('Master Data Sheet'!$F:$F=$E13) * ('Master Data Sheet'!$A:$A=$F13), 0), MATCH($F$1, 'Master Data Sheet'!$1:$1, 0)), "")</f>
        <v>0</v>
      </c>
      <c r="K13" s="11" cm="1">
        <f t="array" ref="K13">IFERROR(INDEX('Master Data Sheet'!$1:$1048576, MATCH(1, ('Master Data Sheet'!$H:$H=K$2) * (INDEX('Master Data Sheet'!$1:$1, , MATCH($F$1, 'Master Data Sheet'!$1:$1, 0)) = $F$1) * ('Master Data Sheet'!$G:$G=$B13) * ('Master Data Sheet'!$F:$F=$E13) * ('Master Data Sheet'!$A:$A=$F13), 0), MATCH($F$1, 'Master Data Sheet'!$1:$1, 0)), "")</f>
        <v>0.25461158742530532</v>
      </c>
      <c r="L13" s="11" cm="1">
        <f t="array" ref="L13">IFERROR(INDEX('Master Data Sheet'!$1:$1048576, MATCH(1, ('Master Data Sheet'!$H:$H=L$2) * (INDEX('Master Data Sheet'!$1:$1, , MATCH($F$1, 'Master Data Sheet'!$1:$1, 0)) = $F$1) * ('Master Data Sheet'!$G:$G=$B13) * ('Master Data Sheet'!$F:$F=$E13) * ('Master Data Sheet'!$A:$A=$F13), 0), MATCH($F$1, 'Master Data Sheet'!$1:$1, 0)), "")</f>
        <v>0</v>
      </c>
      <c r="M13" s="11" cm="1">
        <f t="array" ref="M13">IFERROR(INDEX('Master Data Sheet'!$1:$1048576, MATCH(1, ('Master Data Sheet'!$H:$H=M$2) * (INDEX('Master Data Sheet'!$1:$1, , MATCH($F$1, 'Master Data Sheet'!$1:$1, 0)) = $F$1) * ('Master Data Sheet'!$G:$G=$B13) * ('Master Data Sheet'!$F:$F=$E13) * ('Master Data Sheet'!$A:$A=$F13), 0), MATCH($F$1, 'Master Data Sheet'!$1:$1, 0)), "")</f>
        <v>0.14549233567160302</v>
      </c>
      <c r="N13" s="11" cm="1">
        <f t="array" ref="N13">IFERROR(INDEX('Master Data Sheet'!$1:$1048576, MATCH(1, ('Master Data Sheet'!$H:$H=N$2) * (INDEX('Master Data Sheet'!$1:$1, , MATCH($F$1, 'Master Data Sheet'!$1:$1, 0)) = $F$1) * ('Master Data Sheet'!$G:$G=$B13) * ('Master Data Sheet'!$F:$F=$E13) * ('Master Data Sheet'!$A:$A=$F13), 0), MATCH($F$1, 'Master Data Sheet'!$1:$1, 0)), "")</f>
        <v>0</v>
      </c>
      <c r="O13" s="11">
        <f t="shared" si="8"/>
        <v>5.7157703299558334E-2</v>
      </c>
      <c r="P13" s="11">
        <f t="shared" si="4"/>
        <v>0.10257197380786649</v>
      </c>
      <c r="X13" t="str">
        <f>IFERROR(INDEX('Date Key'!$G$57:$G$62, MATCH(B12,'Date Key'!$A$57:$A$62, 0)), "")</f>
        <v>Medium HLR, Lower Outlet Height, No Plants</v>
      </c>
      <c r="Y13" s="1">
        <f t="shared" ref="Y13:AE13" si="15">H12</f>
        <v>7.124681933842239E-2</v>
      </c>
      <c r="Z13" s="1">
        <f t="shared" si="15"/>
        <v>0.44529262086513999</v>
      </c>
      <c r="AA13" s="1">
        <f t="shared" si="15"/>
        <v>0</v>
      </c>
      <c r="AB13" s="1">
        <f t="shared" si="15"/>
        <v>7.124681933842239E-2</v>
      </c>
      <c r="AC13" s="1">
        <f t="shared" si="15"/>
        <v>0</v>
      </c>
      <c r="AD13" s="1">
        <f t="shared" si="15"/>
        <v>0</v>
      </c>
      <c r="AE13" s="1">
        <f t="shared" si="15"/>
        <v>0</v>
      </c>
      <c r="AF13" s="1">
        <f t="shared" ref="AF13:AL13" si="16">H13</f>
        <v>0</v>
      </c>
      <c r="AG13" s="1">
        <f t="shared" si="16"/>
        <v>0</v>
      </c>
      <c r="AH13" s="1">
        <f t="shared" si="16"/>
        <v>0</v>
      </c>
      <c r="AI13" s="1">
        <f t="shared" si="16"/>
        <v>0.25461158742530532</v>
      </c>
      <c r="AJ13" s="1">
        <f t="shared" si="16"/>
        <v>0</v>
      </c>
      <c r="AK13" s="1">
        <f t="shared" si="16"/>
        <v>0.14549233567160302</v>
      </c>
      <c r="AL13" s="1">
        <f t="shared" si="16"/>
        <v>0</v>
      </c>
      <c r="AM13" s="1">
        <f t="shared" ref="AM13:AS13" si="17">H14</f>
        <v>7.2746167835801512E-2</v>
      </c>
      <c r="AN13" s="1">
        <f t="shared" si="17"/>
        <v>0.20005196154845417</v>
      </c>
      <c r="AO13" s="1">
        <f t="shared" si="17"/>
        <v>0.40010392309690834</v>
      </c>
      <c r="AP13" s="1">
        <f t="shared" si="17"/>
        <v>0.18186541958950375</v>
      </c>
      <c r="AQ13" s="1">
        <f t="shared" si="17"/>
        <v>0.3637308391790075</v>
      </c>
      <c r="AR13" s="1">
        <f t="shared" si="17"/>
        <v>0.45466354897375955</v>
      </c>
      <c r="AS13" s="1">
        <f t="shared" si="17"/>
        <v>0.30917121330215641</v>
      </c>
    </row>
    <row r="14" spans="1:45" x14ac:dyDescent="0.35">
      <c r="A14" s="41">
        <f>IFERROR(INDEX('Date Key'!$B$2:$B$19, MATCH(F14,'Date Key'!$A$2:$A$19, 0)), "")</f>
        <v>45230</v>
      </c>
      <c r="B14" s="4">
        <f t="shared" si="0"/>
        <v>2</v>
      </c>
      <c r="C14" s="26" t="str">
        <f>IFERROR(INDEX('Date Key'!$G$57:$G$62, MATCH(B14,'Date Key'!$A$57:$A$62, 0)), "")</f>
        <v>Medium HLR, Lower Outlet Height, No Plants</v>
      </c>
      <c r="D14" s="4" t="str">
        <f>IFERROR(INDEX('Date Key'!$G$2:$G$19, MATCH(F14, 'Date Key'!$A$2:$A$19, 0)), "")</f>
        <v>Yes</v>
      </c>
      <c r="E14" s="4" t="str">
        <f t="shared" si="1"/>
        <v>in</v>
      </c>
      <c r="F14" s="4">
        <f t="shared" si="2"/>
        <v>6</v>
      </c>
      <c r="G14" s="4">
        <f t="shared" si="3"/>
        <v>3</v>
      </c>
      <c r="H14" s="11" cm="1">
        <f t="array" ref="H14">IFERROR(INDEX('Master Data Sheet'!$1:$1048576, MATCH(1, ('Master Data Sheet'!$H:$H=H$2) * (INDEX('Master Data Sheet'!$1:$1, , MATCH($F$1, 'Master Data Sheet'!$1:$1, 0)) = $F$1) * ('Master Data Sheet'!$G:$G=$B14) * ('Master Data Sheet'!$F:$F=$E14) * ('Master Data Sheet'!$A:$A=$F14), 0), MATCH($F$1, 'Master Data Sheet'!$1:$1, 0)), "")</f>
        <v>7.2746167835801512E-2</v>
      </c>
      <c r="I14" s="11" cm="1">
        <f t="array" ref="I14">IFERROR(INDEX('Master Data Sheet'!$1:$1048576, MATCH(1, ('Master Data Sheet'!$H:$H=I$2) * (INDEX('Master Data Sheet'!$1:$1, , MATCH($F$1, 'Master Data Sheet'!$1:$1, 0)) = $F$1) * ('Master Data Sheet'!$G:$G=$B14) * ('Master Data Sheet'!$F:$F=$E14) * ('Master Data Sheet'!$A:$A=$F14), 0), MATCH($F$1, 'Master Data Sheet'!$1:$1, 0)), "")</f>
        <v>0.20005196154845417</v>
      </c>
      <c r="J14" s="11" cm="1">
        <f t="array" ref="J14">IFERROR(INDEX('Master Data Sheet'!$1:$1048576, MATCH(1, ('Master Data Sheet'!$H:$H=J$2) * (INDEX('Master Data Sheet'!$1:$1, , MATCH($F$1, 'Master Data Sheet'!$1:$1, 0)) = $F$1) * ('Master Data Sheet'!$G:$G=$B14) * ('Master Data Sheet'!$F:$F=$E14) * ('Master Data Sheet'!$A:$A=$F14), 0), MATCH($F$1, 'Master Data Sheet'!$1:$1, 0)), "")</f>
        <v>0.40010392309690834</v>
      </c>
      <c r="K14" s="11" cm="1">
        <f t="array" ref="K14">IFERROR(INDEX('Master Data Sheet'!$1:$1048576, MATCH(1, ('Master Data Sheet'!$H:$H=K$2) * (INDEX('Master Data Sheet'!$1:$1, , MATCH($F$1, 'Master Data Sheet'!$1:$1, 0)) = $F$1) * ('Master Data Sheet'!$G:$G=$B14) * ('Master Data Sheet'!$F:$F=$E14) * ('Master Data Sheet'!$A:$A=$F14), 0), MATCH($F$1, 'Master Data Sheet'!$1:$1, 0)), "")</f>
        <v>0.18186541958950375</v>
      </c>
      <c r="L14" s="11" cm="1">
        <f t="array" ref="L14">IFERROR(INDEX('Master Data Sheet'!$1:$1048576, MATCH(1, ('Master Data Sheet'!$H:$H=L$2) * (INDEX('Master Data Sheet'!$1:$1, , MATCH($F$1, 'Master Data Sheet'!$1:$1, 0)) = $F$1) * ('Master Data Sheet'!$G:$G=$B14) * ('Master Data Sheet'!$F:$F=$E14) * ('Master Data Sheet'!$A:$A=$F14), 0), MATCH($F$1, 'Master Data Sheet'!$1:$1, 0)), "")</f>
        <v>0.3637308391790075</v>
      </c>
      <c r="M14" s="11" cm="1">
        <f t="array" ref="M14">IFERROR(INDEX('Master Data Sheet'!$1:$1048576, MATCH(1, ('Master Data Sheet'!$H:$H=M$2) * (INDEX('Master Data Sheet'!$1:$1, , MATCH($F$1, 'Master Data Sheet'!$1:$1, 0)) = $F$1) * ('Master Data Sheet'!$G:$G=$B14) * ('Master Data Sheet'!$F:$F=$E14) * ('Master Data Sheet'!$A:$A=$F14), 0), MATCH($F$1, 'Master Data Sheet'!$1:$1, 0)), "")</f>
        <v>0.45466354897375955</v>
      </c>
      <c r="N14" s="11" cm="1">
        <f t="array" ref="N14">IFERROR(INDEX('Master Data Sheet'!$1:$1048576, MATCH(1, ('Master Data Sheet'!$H:$H=N$2) * (INDEX('Master Data Sheet'!$1:$1, , MATCH($F$1, 'Master Data Sheet'!$1:$1, 0)) = $F$1) * ('Master Data Sheet'!$G:$G=$B14) * ('Master Data Sheet'!$F:$F=$E14) * ('Master Data Sheet'!$A:$A=$F14), 0), MATCH($F$1, 'Master Data Sheet'!$1:$1, 0)), "")</f>
        <v>0.30917121330215641</v>
      </c>
      <c r="O14" s="11">
        <f t="shared" si="8"/>
        <v>0.28319043907508445</v>
      </c>
      <c r="P14" s="11">
        <f t="shared" si="4"/>
        <v>0.13644235911146671</v>
      </c>
      <c r="Y14" s="1"/>
      <c r="Z14" s="1"/>
      <c r="AA14" s="1"/>
      <c r="AB14" s="1"/>
      <c r="AC14" s="1"/>
      <c r="AD14" s="1"/>
      <c r="AE14" s="1"/>
      <c r="AF14" s="1"/>
      <c r="AG14" s="1"/>
      <c r="AH14" s="1"/>
      <c r="AI14" s="1"/>
      <c r="AJ14" s="1"/>
      <c r="AK14" s="1"/>
      <c r="AL14" s="1"/>
      <c r="AM14" s="1"/>
      <c r="AN14" s="1"/>
      <c r="AO14" s="1"/>
      <c r="AP14" s="1"/>
      <c r="AQ14" s="1"/>
      <c r="AR14" s="1"/>
      <c r="AS14" s="1"/>
    </row>
    <row r="15" spans="1:45" x14ac:dyDescent="0.35">
      <c r="A15" s="41">
        <f>IFERROR(INDEX('Date Key'!$B$2:$B$19, MATCH(F15,'Date Key'!$A$2:$A$19, 0)), "")</f>
        <v>45217</v>
      </c>
      <c r="B15" s="4">
        <f t="shared" si="0"/>
        <v>2</v>
      </c>
      <c r="C15" s="26" t="str">
        <f>IFERROR(INDEX('Date Key'!$G$57:$G$62, MATCH(B15,'Date Key'!$A$57:$A$62, 0)), "")</f>
        <v>Medium HLR, Lower Outlet Height, No Plants</v>
      </c>
      <c r="D15" s="4" t="str">
        <f>IFERROR(INDEX('Date Key'!$G$2:$G$19, MATCH(F15, 'Date Key'!$A$2:$A$19, 0)), "")</f>
        <v>No</v>
      </c>
      <c r="E15" s="4" t="str">
        <f t="shared" si="1"/>
        <v>tank 1</v>
      </c>
      <c r="F15" s="4">
        <f t="shared" si="2"/>
        <v>4</v>
      </c>
      <c r="G15" s="4">
        <f t="shared" si="3"/>
        <v>1</v>
      </c>
      <c r="H15" s="11" cm="1">
        <f t="array" ref="H15">IFERROR(INDEX('Master Data Sheet'!$1:$1048576, MATCH(1, ('Master Data Sheet'!$H:$H=H$2) * (INDEX('Master Data Sheet'!$1:$1, , MATCH($F$1, 'Master Data Sheet'!$1:$1, 0)) = $F$1) * ('Master Data Sheet'!$G:$G=$B15) * ('Master Data Sheet'!$F:$F=$E15) * ('Master Data Sheet'!$A:$A=$F15), 0), MATCH($F$1, 'Master Data Sheet'!$1:$1, 0)), "")</f>
        <v>0</v>
      </c>
      <c r="I15" s="11" cm="1">
        <f t="array" ref="I15">IFERROR(INDEX('Master Data Sheet'!$1:$1048576, MATCH(1, ('Master Data Sheet'!$H:$H=I$2) * (INDEX('Master Data Sheet'!$1:$1, , MATCH($F$1, 'Master Data Sheet'!$1:$1, 0)) = $F$1) * ('Master Data Sheet'!$G:$G=$B15) * ('Master Data Sheet'!$F:$F=$E15) * ('Master Data Sheet'!$A:$A=$F15), 0), MATCH($F$1, 'Master Data Sheet'!$1:$1, 0)), "")</f>
        <v>0.14249363867684478</v>
      </c>
      <c r="J15" s="11" cm="1">
        <f t="array" ref="J15">IFERROR(INDEX('Master Data Sheet'!$1:$1048576, MATCH(1, ('Master Data Sheet'!$H:$H=J$2) * (INDEX('Master Data Sheet'!$1:$1, , MATCH($F$1, 'Master Data Sheet'!$1:$1, 0)) = $F$1) * ('Master Data Sheet'!$G:$G=$B15) * ('Master Data Sheet'!$F:$F=$E15) * ('Master Data Sheet'!$A:$A=$F15), 0), MATCH($F$1, 'Master Data Sheet'!$1:$1, 0)), "")</f>
        <v>0.40966921119592875</v>
      </c>
      <c r="K15" s="11" cm="1">
        <f t="array" ref="K15">IFERROR(INDEX('Master Data Sheet'!$1:$1048576, MATCH(1, ('Master Data Sheet'!$H:$H=K$2) * (INDEX('Master Data Sheet'!$1:$1, , MATCH($F$1, 'Master Data Sheet'!$1:$1, 0)) = $F$1) * ('Master Data Sheet'!$G:$G=$B15) * ('Master Data Sheet'!$F:$F=$E15) * ('Master Data Sheet'!$A:$A=$F15), 0), MATCH($F$1, 'Master Data Sheet'!$1:$1, 0)), "")</f>
        <v>0.60559796437659041</v>
      </c>
      <c r="L15" s="11" cm="1">
        <f t="array" ref="L15">IFERROR(INDEX('Master Data Sheet'!$1:$1048576, MATCH(1, ('Master Data Sheet'!$H:$H=L$2) * (INDEX('Master Data Sheet'!$1:$1, , MATCH($F$1, 'Master Data Sheet'!$1:$1, 0)) = $F$1) * ('Master Data Sheet'!$G:$G=$B15) * ('Master Data Sheet'!$F:$F=$E15) * ('Master Data Sheet'!$A:$A=$F15), 0), MATCH($F$1, 'Master Data Sheet'!$1:$1, 0)), "")</f>
        <v>0.56997455470737912</v>
      </c>
      <c r="M15" s="11" cm="1">
        <f t="array" ref="M15">IFERROR(INDEX('Master Data Sheet'!$1:$1048576, MATCH(1, ('Master Data Sheet'!$H:$H=M$2) * (INDEX('Master Data Sheet'!$1:$1, , MATCH($F$1, 'Master Data Sheet'!$1:$1, 0)) = $F$1) * ('Master Data Sheet'!$G:$G=$B15) * ('Master Data Sheet'!$F:$F=$E15) * ('Master Data Sheet'!$A:$A=$F15), 0), MATCH($F$1, 'Master Data Sheet'!$1:$1, 0)), "")</f>
        <v>0.24936386768447841</v>
      </c>
      <c r="N15" s="11" cm="1">
        <f t="array" ref="N15">IFERROR(INDEX('Master Data Sheet'!$1:$1048576, MATCH(1, ('Master Data Sheet'!$H:$H=N$2) * (INDEX('Master Data Sheet'!$1:$1, , MATCH($F$1, 'Master Data Sheet'!$1:$1, 0)) = $F$1) * ('Master Data Sheet'!$G:$G=$B15) * ('Master Data Sheet'!$F:$F=$E15) * ('Master Data Sheet'!$A:$A=$F15), 0), MATCH($F$1, 'Master Data Sheet'!$1:$1, 0)), "")</f>
        <v>0.55216284987277353</v>
      </c>
      <c r="O15" s="11">
        <f t="shared" si="8"/>
        <v>0.36132315521628505</v>
      </c>
      <c r="P15" s="11">
        <f t="shared" si="4"/>
        <v>0.23556258225583804</v>
      </c>
      <c r="Q15" s="46">
        <f>(1-(O15/O12))*100</f>
        <v>-330.30303030303037</v>
      </c>
      <c r="R15" s="46">
        <f>AVERAGE(Q15:Q17)</f>
        <v>-80.53470484663147</v>
      </c>
      <c r="S15" s="46">
        <f>STDEV(Q15:Q17)</f>
        <v>216.6683991281308</v>
      </c>
      <c r="T15" s="47">
        <f>(1-(AVERAGE(H15:N17)/AVERAGE(H12:N14)))*100</f>
        <v>-23.116256677993373</v>
      </c>
      <c r="V15" s="47"/>
      <c r="Y15" s="2"/>
      <c r="Z15" s="2"/>
      <c r="AA15" s="2"/>
      <c r="AB15" s="2"/>
      <c r="AC15" s="2"/>
      <c r="AD15" s="2"/>
      <c r="AE15" s="2"/>
      <c r="AF15" s="2"/>
      <c r="AG15" s="2"/>
    </row>
    <row r="16" spans="1:45" x14ac:dyDescent="0.35">
      <c r="A16" s="41">
        <f>IFERROR(INDEX('Date Key'!$B$2:$B$19, MATCH(F16,'Date Key'!$A$2:$A$19, 0)), "")</f>
        <v>45224</v>
      </c>
      <c r="B16" s="4">
        <f t="shared" si="0"/>
        <v>2</v>
      </c>
      <c r="C16" s="26" t="str">
        <f>IFERROR(INDEX('Date Key'!$G$57:$G$62, MATCH(B16,'Date Key'!$A$57:$A$62, 0)), "")</f>
        <v>Medium HLR, Lower Outlet Height, No Plants</v>
      </c>
      <c r="D16" s="4" t="str">
        <f>IFERROR(INDEX('Date Key'!$G$2:$G$19, MATCH(F16, 'Date Key'!$A$2:$A$19, 0)), "")</f>
        <v>No</v>
      </c>
      <c r="E16" s="4" t="str">
        <f t="shared" si="1"/>
        <v>tank 1</v>
      </c>
      <c r="F16" s="4">
        <f t="shared" si="2"/>
        <v>5</v>
      </c>
      <c r="G16" s="4">
        <f>MOD(ROW(G16)-ROW($G$3), 3) + 1</f>
        <v>2</v>
      </c>
      <c r="H16" s="11" cm="1">
        <f t="array" ref="H16">IFERROR(INDEX('Master Data Sheet'!$1:$1048576, MATCH(1, ('Master Data Sheet'!$H:$H=H$2) * (INDEX('Master Data Sheet'!$1:$1, , MATCH($F$1, 'Master Data Sheet'!$1:$1, 0)) = $F$1) * ('Master Data Sheet'!$G:$G=$B16) * ('Master Data Sheet'!$F:$F=$E16) * ('Master Data Sheet'!$A:$A=$F16), 0), MATCH($F$1, 'Master Data Sheet'!$1:$1, 0)), "")</f>
        <v>0</v>
      </c>
      <c r="I16" s="11" cm="1">
        <f t="array" ref="I16">IFERROR(INDEX('Master Data Sheet'!$1:$1048576, MATCH(1, ('Master Data Sheet'!$H:$H=I$2) * (INDEX('Master Data Sheet'!$1:$1, , MATCH($F$1, 'Master Data Sheet'!$1:$1, 0)) = $F$1) * ('Master Data Sheet'!$G:$G=$B16) * ('Master Data Sheet'!$F:$F=$E16) * ('Master Data Sheet'!$A:$A=$F16), 0), MATCH($F$1, 'Master Data Sheet'!$1:$1, 0)), "")</f>
        <v>0</v>
      </c>
      <c r="J16" s="11" cm="1">
        <f t="array" ref="J16">IFERROR(INDEX('Master Data Sheet'!$1:$1048576, MATCH(1, ('Master Data Sheet'!$H:$H=J$2) * (INDEX('Master Data Sheet'!$1:$1, , MATCH($F$1, 'Master Data Sheet'!$1:$1, 0)) = $F$1) * ('Master Data Sheet'!$G:$G=$B16) * ('Master Data Sheet'!$F:$F=$E16) * ('Master Data Sheet'!$A:$A=$F16), 0), MATCH($F$1, 'Master Data Sheet'!$1:$1, 0)), "")</f>
        <v>7.2746167835801512E-2</v>
      </c>
      <c r="K16" s="11" cm="1">
        <f t="array" ref="K16">IFERROR(INDEX('Master Data Sheet'!$1:$1048576, MATCH(1, ('Master Data Sheet'!$H:$H=K$2) * (INDEX('Master Data Sheet'!$1:$1, , MATCH($F$1, 'Master Data Sheet'!$1:$1, 0)) = $F$1) * ('Master Data Sheet'!$G:$G=$B16) * ('Master Data Sheet'!$F:$F=$E16) * ('Master Data Sheet'!$A:$A=$F16), 0), MATCH($F$1, 'Master Data Sheet'!$1:$1, 0)), "")</f>
        <v>0</v>
      </c>
      <c r="L16" s="11" cm="1">
        <f t="array" ref="L16">IFERROR(INDEX('Master Data Sheet'!$1:$1048576, MATCH(1, ('Master Data Sheet'!$H:$H=L$2) * (INDEX('Master Data Sheet'!$1:$1, , MATCH($F$1, 'Master Data Sheet'!$1:$1, 0)) = $F$1) * ('Master Data Sheet'!$G:$G=$B16) * ('Master Data Sheet'!$F:$F=$E16) * ('Master Data Sheet'!$A:$A=$F16), 0), MATCH($F$1, 'Master Data Sheet'!$1:$1, 0)), "")</f>
        <v>0</v>
      </c>
      <c r="M16" s="11" cm="1">
        <f t="array" ref="M16">IFERROR(INDEX('Master Data Sheet'!$1:$1048576, MATCH(1, ('Master Data Sheet'!$H:$H=M$2) * (INDEX('Master Data Sheet'!$1:$1, , MATCH($F$1, 'Master Data Sheet'!$1:$1, 0)) = $F$1) * ('Master Data Sheet'!$G:$G=$B16) * ('Master Data Sheet'!$F:$F=$E16) * ('Master Data Sheet'!$A:$A=$F16), 0), MATCH($F$1, 'Master Data Sheet'!$1:$1, 0)), "")</f>
        <v>0.10911925175370227</v>
      </c>
      <c r="N16" s="11" cm="1">
        <f t="array" ref="N16">IFERROR(INDEX('Master Data Sheet'!$1:$1048576, MATCH(1, ('Master Data Sheet'!$H:$H=N$2) * (INDEX('Master Data Sheet'!$1:$1, , MATCH($F$1, 'Master Data Sheet'!$1:$1, 0)) = $F$1) * ('Master Data Sheet'!$G:$G=$B16) * ('Master Data Sheet'!$F:$F=$E16) * ('Master Data Sheet'!$A:$A=$F16), 0), MATCH($F$1, 'Master Data Sheet'!$1:$1, 0)), "")</f>
        <v>9.0932709794751876E-2</v>
      </c>
      <c r="O16" s="11">
        <f t="shared" si="8"/>
        <v>3.8971161340607949E-2</v>
      </c>
      <c r="P16" s="11">
        <f t="shared" si="4"/>
        <v>4.97267765478673E-2</v>
      </c>
      <c r="Q16" s="46">
        <f>(1-(O16/O13))*100</f>
        <v>31.818181818181824</v>
      </c>
      <c r="X16" t="str">
        <f>IFERROR(INDEX('Date Key'!$G$57:$G$62, MATCH(B15,'Date Key'!$A$57:$A$62, 0)), "")</f>
        <v>Medium HLR, Lower Outlet Height, No Plants</v>
      </c>
      <c r="Y16" s="1">
        <f t="shared" ref="Y16:AE16" si="18">H15</f>
        <v>0</v>
      </c>
      <c r="Z16" s="1">
        <f t="shared" si="18"/>
        <v>0.14249363867684478</v>
      </c>
      <c r="AA16" s="1">
        <f t="shared" si="18"/>
        <v>0.40966921119592875</v>
      </c>
      <c r="AB16" s="1">
        <f t="shared" si="18"/>
        <v>0.60559796437659041</v>
      </c>
      <c r="AC16" s="1">
        <f t="shared" si="18"/>
        <v>0.56997455470737912</v>
      </c>
      <c r="AD16" s="1">
        <f t="shared" si="18"/>
        <v>0.24936386768447841</v>
      </c>
      <c r="AE16" s="1">
        <f t="shared" si="18"/>
        <v>0.55216284987277353</v>
      </c>
      <c r="AF16" s="1">
        <f t="shared" ref="AF16:AL16" si="19">H16</f>
        <v>0</v>
      </c>
      <c r="AG16" s="1">
        <f t="shared" si="19"/>
        <v>0</v>
      </c>
      <c r="AH16" s="1">
        <f t="shared" si="19"/>
        <v>7.2746167835801512E-2</v>
      </c>
      <c r="AI16" s="1">
        <f t="shared" si="19"/>
        <v>0</v>
      </c>
      <c r="AJ16" s="1">
        <f t="shared" si="19"/>
        <v>0</v>
      </c>
      <c r="AK16" s="1">
        <f t="shared" si="19"/>
        <v>0.10911925175370227</v>
      </c>
      <c r="AL16" s="1">
        <f t="shared" si="19"/>
        <v>9.0932709794751876E-2</v>
      </c>
      <c r="AM16" s="1">
        <f t="shared" ref="AM16:AS16" si="20">H17</f>
        <v>3.6373083917900756E-2</v>
      </c>
      <c r="AN16" s="1">
        <f t="shared" si="20"/>
        <v>0.25461158742530532</v>
      </c>
      <c r="AO16" s="1">
        <f t="shared" si="20"/>
        <v>0.2364250454663549</v>
      </c>
      <c r="AP16" s="1">
        <f t="shared" si="20"/>
        <v>0</v>
      </c>
      <c r="AQ16" s="1">
        <f t="shared" si="20"/>
        <v>0</v>
      </c>
      <c r="AR16" s="1">
        <f t="shared" si="20"/>
        <v>0.16367887763055339</v>
      </c>
      <c r="AS16" s="1">
        <f t="shared" si="20"/>
        <v>0.16367887763055339</v>
      </c>
    </row>
    <row r="17" spans="1:45" x14ac:dyDescent="0.35">
      <c r="A17" s="41">
        <f>IFERROR(INDEX('Date Key'!$B$2:$B$19, MATCH(F17,'Date Key'!$A$2:$A$19, 0)), "")</f>
        <v>45230</v>
      </c>
      <c r="B17" s="4">
        <f t="shared" si="0"/>
        <v>2</v>
      </c>
      <c r="C17" s="26" t="str">
        <f>IFERROR(INDEX('Date Key'!$G$57:$G$62, MATCH(B17,'Date Key'!$A$57:$A$62, 0)), "")</f>
        <v>Medium HLR, Lower Outlet Height, No Plants</v>
      </c>
      <c r="D17" s="4" t="str">
        <f>IFERROR(INDEX('Date Key'!$G$2:$G$19, MATCH(F17, 'Date Key'!$A$2:$A$19, 0)), "")</f>
        <v>Yes</v>
      </c>
      <c r="E17" s="4" t="str">
        <f t="shared" si="1"/>
        <v>tank 1</v>
      </c>
      <c r="F17" s="4">
        <f t="shared" si="2"/>
        <v>6</v>
      </c>
      <c r="G17" s="4">
        <f t="shared" si="3"/>
        <v>3</v>
      </c>
      <c r="H17" s="11" cm="1">
        <f t="array" ref="H17">IFERROR(INDEX('Master Data Sheet'!$1:$1048576, MATCH(1, ('Master Data Sheet'!$H:$H=H$2) * (INDEX('Master Data Sheet'!$1:$1, , MATCH($F$1, 'Master Data Sheet'!$1:$1, 0)) = $F$1) * ('Master Data Sheet'!$G:$G=$B17) * ('Master Data Sheet'!$F:$F=$E17) * ('Master Data Sheet'!$A:$A=$F17), 0), MATCH($F$1, 'Master Data Sheet'!$1:$1, 0)), "")</f>
        <v>3.6373083917900756E-2</v>
      </c>
      <c r="I17" s="11" cm="1">
        <f t="array" ref="I17">IFERROR(INDEX('Master Data Sheet'!$1:$1048576, MATCH(1, ('Master Data Sheet'!$H:$H=I$2) * (INDEX('Master Data Sheet'!$1:$1, , MATCH($F$1, 'Master Data Sheet'!$1:$1, 0)) = $F$1) * ('Master Data Sheet'!$G:$G=$B17) * ('Master Data Sheet'!$F:$F=$E17) * ('Master Data Sheet'!$A:$A=$F17), 0), MATCH($F$1, 'Master Data Sheet'!$1:$1, 0)), "")</f>
        <v>0.25461158742530532</v>
      </c>
      <c r="J17" s="11" cm="1">
        <f t="array" ref="J17">IFERROR(INDEX('Master Data Sheet'!$1:$1048576, MATCH(1, ('Master Data Sheet'!$H:$H=J$2) * (INDEX('Master Data Sheet'!$1:$1, , MATCH($F$1, 'Master Data Sheet'!$1:$1, 0)) = $F$1) * ('Master Data Sheet'!$G:$G=$B17) * ('Master Data Sheet'!$F:$F=$E17) * ('Master Data Sheet'!$A:$A=$F17), 0), MATCH($F$1, 'Master Data Sheet'!$1:$1, 0)), "")</f>
        <v>0.2364250454663549</v>
      </c>
      <c r="K17" s="11" cm="1">
        <f t="array" ref="K17">IFERROR(INDEX('Master Data Sheet'!$1:$1048576, MATCH(1, ('Master Data Sheet'!$H:$H=K$2) * (INDEX('Master Data Sheet'!$1:$1, , MATCH($F$1, 'Master Data Sheet'!$1:$1, 0)) = $F$1) * ('Master Data Sheet'!$G:$G=$B17) * ('Master Data Sheet'!$F:$F=$E17) * ('Master Data Sheet'!$A:$A=$F17), 0), MATCH($F$1, 'Master Data Sheet'!$1:$1, 0)), "")</f>
        <v>0</v>
      </c>
      <c r="L17" s="11" cm="1">
        <f t="array" ref="L17">IFERROR(INDEX('Master Data Sheet'!$1:$1048576, MATCH(1, ('Master Data Sheet'!$H:$H=L$2) * (INDEX('Master Data Sheet'!$1:$1, , MATCH($F$1, 'Master Data Sheet'!$1:$1, 0)) = $F$1) * ('Master Data Sheet'!$G:$G=$B17) * ('Master Data Sheet'!$F:$F=$E17) * ('Master Data Sheet'!$A:$A=$F17), 0), MATCH($F$1, 'Master Data Sheet'!$1:$1, 0)), "")</f>
        <v>0</v>
      </c>
      <c r="M17" s="11" cm="1">
        <f t="array" ref="M17">IFERROR(INDEX('Master Data Sheet'!$1:$1048576, MATCH(1, ('Master Data Sheet'!$H:$H=M$2) * (INDEX('Master Data Sheet'!$1:$1, , MATCH($F$1, 'Master Data Sheet'!$1:$1, 0)) = $F$1) * ('Master Data Sheet'!$G:$G=$B17) * ('Master Data Sheet'!$F:$F=$E17) * ('Master Data Sheet'!$A:$A=$F17), 0), MATCH($F$1, 'Master Data Sheet'!$1:$1, 0)), "")</f>
        <v>0.16367887763055339</v>
      </c>
      <c r="N17" s="11" cm="1">
        <f t="array" ref="N17">IFERROR(INDEX('Master Data Sheet'!$1:$1048576, MATCH(1, ('Master Data Sheet'!$H:$H=N$2) * (INDEX('Master Data Sheet'!$1:$1, , MATCH($F$1, 'Master Data Sheet'!$1:$1, 0)) = $F$1) * ('Master Data Sheet'!$G:$G=$B17) * ('Master Data Sheet'!$F:$F=$E17) * ('Master Data Sheet'!$A:$A=$F17), 0), MATCH($F$1, 'Master Data Sheet'!$1:$1, 0)), "")</f>
        <v>0.16367887763055339</v>
      </c>
      <c r="O17" s="11">
        <f t="shared" si="8"/>
        <v>0.12210963886723825</v>
      </c>
      <c r="P17" s="11">
        <f t="shared" si="4"/>
        <v>0.10897481853122805</v>
      </c>
      <c r="Q17" s="46">
        <f>(1-(O17/O14))*100</f>
        <v>56.88073394495413</v>
      </c>
      <c r="Y17" s="2"/>
      <c r="Z17" s="2"/>
      <c r="AA17" s="2"/>
      <c r="AB17" s="2"/>
      <c r="AC17" s="2"/>
      <c r="AD17" s="2"/>
      <c r="AE17" s="2"/>
      <c r="AF17" s="2"/>
      <c r="AG17" s="2"/>
    </row>
    <row r="18" spans="1:45" x14ac:dyDescent="0.35">
      <c r="A18" s="41">
        <f>IFERROR(INDEX('Date Key'!$B$2:$B$19, MATCH(F18,'Date Key'!$A$2:$A$19, 0)), "")</f>
        <v>45217</v>
      </c>
      <c r="B18" s="4">
        <f t="shared" si="0"/>
        <v>2</v>
      </c>
      <c r="C18" s="26" t="str">
        <f>IFERROR(INDEX('Date Key'!$G$57:$G$62, MATCH(B18,'Date Key'!$A$57:$A$62, 0)), "")</f>
        <v>Medium HLR, Lower Outlet Height, No Plants</v>
      </c>
      <c r="D18" s="4" t="str">
        <f>IFERROR(INDEX('Date Key'!$G$2:$G$19, MATCH(F18, 'Date Key'!$A$2:$A$19, 0)), "")</f>
        <v>No</v>
      </c>
      <c r="E18" s="4" t="str">
        <f t="shared" si="1"/>
        <v>tank 2</v>
      </c>
      <c r="F18" s="4">
        <f t="shared" si="2"/>
        <v>4</v>
      </c>
      <c r="G18" s="4">
        <f t="shared" si="3"/>
        <v>1</v>
      </c>
      <c r="H18" s="11" cm="1">
        <f t="array" ref="H18">IFERROR(INDEX('Master Data Sheet'!$1:$1048576, MATCH(1, ('Master Data Sheet'!$H:$H=H$2) * (INDEX('Master Data Sheet'!$1:$1, , MATCH($F$1, 'Master Data Sheet'!$1:$1, 0)) = $F$1) * ('Master Data Sheet'!$G:$G=$B18) * ('Master Data Sheet'!$F:$F=$E18) * ('Master Data Sheet'!$A:$A=$F18), 0), MATCH($F$1, 'Master Data Sheet'!$1:$1, 0)), "")</f>
        <v>3.5623409669211195E-2</v>
      </c>
      <c r="I18" s="11" cm="1">
        <f t="array" ref="I18">IFERROR(INDEX('Master Data Sheet'!$1:$1048576, MATCH(1, ('Master Data Sheet'!$H:$H=I$2) * (INDEX('Master Data Sheet'!$1:$1, , MATCH($F$1, 'Master Data Sheet'!$1:$1, 0)) = $F$1) * ('Master Data Sheet'!$G:$G=$B18) * ('Master Data Sheet'!$F:$F=$E18) * ('Master Data Sheet'!$A:$A=$F18), 0), MATCH($F$1, 'Master Data Sheet'!$1:$1, 0)), "")</f>
        <v>0</v>
      </c>
      <c r="J18" s="11" cm="1">
        <f t="array" ref="J18">IFERROR(INDEX('Master Data Sheet'!$1:$1048576, MATCH(1, ('Master Data Sheet'!$H:$H=J$2) * (INDEX('Master Data Sheet'!$1:$1, , MATCH($F$1, 'Master Data Sheet'!$1:$1, 0)) = $F$1) * ('Master Data Sheet'!$G:$G=$B18) * ('Master Data Sheet'!$F:$F=$E18) * ('Master Data Sheet'!$A:$A=$F18), 0), MATCH($F$1, 'Master Data Sheet'!$1:$1, 0)), "")</f>
        <v>1.7811704834605598E-2</v>
      </c>
      <c r="K18" s="11" cm="1">
        <f t="array" ref="K18">IFERROR(INDEX('Master Data Sheet'!$1:$1048576, MATCH(1, ('Master Data Sheet'!$H:$H=K$2) * (INDEX('Master Data Sheet'!$1:$1, , MATCH($F$1, 'Master Data Sheet'!$1:$1, 0)) = $F$1) * ('Master Data Sheet'!$G:$G=$B18) * ('Master Data Sheet'!$F:$F=$E18) * ('Master Data Sheet'!$A:$A=$F18), 0), MATCH($F$1, 'Master Data Sheet'!$1:$1, 0)), "")</f>
        <v>0</v>
      </c>
      <c r="L18" s="11" cm="1">
        <f t="array" ref="L18">IFERROR(INDEX('Master Data Sheet'!$1:$1048576, MATCH(1, ('Master Data Sheet'!$H:$H=L$2) * (INDEX('Master Data Sheet'!$1:$1, , MATCH($F$1, 'Master Data Sheet'!$1:$1, 0)) = $F$1) * ('Master Data Sheet'!$G:$G=$B18) * ('Master Data Sheet'!$F:$F=$E18) * ('Master Data Sheet'!$A:$A=$F18), 0), MATCH($F$1, 'Master Data Sheet'!$1:$1, 0)), "")</f>
        <v>0</v>
      </c>
      <c r="M18" s="11" cm="1">
        <f t="array" ref="M18">IFERROR(INDEX('Master Data Sheet'!$1:$1048576, MATCH(1, ('Master Data Sheet'!$H:$H=M$2) * (INDEX('Master Data Sheet'!$1:$1, , MATCH($F$1, 'Master Data Sheet'!$1:$1, 0)) = $F$1) * ('Master Data Sheet'!$G:$G=$B18) * ('Master Data Sheet'!$F:$F=$E18) * ('Master Data Sheet'!$A:$A=$F18), 0), MATCH($F$1, 'Master Data Sheet'!$1:$1, 0)), "")</f>
        <v>0</v>
      </c>
      <c r="N18" s="11" cm="1">
        <f t="array" ref="N18">IFERROR(INDEX('Master Data Sheet'!$1:$1048576, MATCH(1, ('Master Data Sheet'!$H:$H=N$2) * (INDEX('Master Data Sheet'!$1:$1, , MATCH($F$1, 'Master Data Sheet'!$1:$1, 0)) = $F$1) * ('Master Data Sheet'!$G:$G=$B18) * ('Master Data Sheet'!$F:$F=$E18) * ('Master Data Sheet'!$A:$A=$F18), 0), MATCH($F$1, 'Master Data Sheet'!$1:$1, 0)), "")</f>
        <v>0</v>
      </c>
      <c r="O18" s="11">
        <f t="shared" si="8"/>
        <v>7.6335877862595417E-3</v>
      </c>
      <c r="P18" s="11">
        <f t="shared" si="4"/>
        <v>1.4014174420575324E-2</v>
      </c>
      <c r="Q18" s="46">
        <f>(1-(O18/O12))*100</f>
        <v>90.909090909090907</v>
      </c>
      <c r="R18" s="46">
        <f>AVERAGE(Q18:Q20)</f>
        <v>53.753127606338616</v>
      </c>
      <c r="S18" s="46">
        <f>STDEV(Q18:Q20)</f>
        <v>32.352641544891462</v>
      </c>
      <c r="T18" s="47">
        <f>(1-(AVERAGE(H18:N20)/AVERAGE(H12:N14)))*100</f>
        <v>47.99274593477886</v>
      </c>
      <c r="U18" s="47"/>
      <c r="V18" s="47"/>
      <c r="Y18" s="2"/>
      <c r="Z18" s="2"/>
      <c r="AA18" s="2"/>
      <c r="AB18" s="2"/>
      <c r="AC18" s="2"/>
      <c r="AD18" s="2"/>
      <c r="AE18" s="2"/>
      <c r="AF18" s="2"/>
      <c r="AG18" s="2"/>
    </row>
    <row r="19" spans="1:45" x14ac:dyDescent="0.35">
      <c r="A19" s="41">
        <f>IFERROR(INDEX('Date Key'!$B$2:$B$19, MATCH(F19,'Date Key'!$A$2:$A$19, 0)), "")</f>
        <v>45224</v>
      </c>
      <c r="B19" s="4">
        <f t="shared" si="0"/>
        <v>2</v>
      </c>
      <c r="C19" s="26" t="str">
        <f>IFERROR(INDEX('Date Key'!$G$57:$G$62, MATCH(B19,'Date Key'!$A$57:$A$62, 0)), "")</f>
        <v>Medium HLR, Lower Outlet Height, No Plants</v>
      </c>
      <c r="D19" s="4" t="str">
        <f>IFERROR(INDEX('Date Key'!$G$2:$G$19, MATCH(F19, 'Date Key'!$A$2:$A$19, 0)), "")</f>
        <v>No</v>
      </c>
      <c r="E19" s="4" t="str">
        <f t="shared" si="1"/>
        <v>tank 2</v>
      </c>
      <c r="F19" s="4">
        <f t="shared" si="2"/>
        <v>5</v>
      </c>
      <c r="G19" s="4">
        <f t="shared" si="3"/>
        <v>2</v>
      </c>
      <c r="H19" s="11" cm="1">
        <f t="array" ref="H19">IFERROR(INDEX('Master Data Sheet'!$1:$1048576, MATCH(1, ('Master Data Sheet'!$H:$H=H$2) * (INDEX('Master Data Sheet'!$1:$1, , MATCH($F$1, 'Master Data Sheet'!$1:$1, 0)) = $F$1) * ('Master Data Sheet'!$G:$G=$B19) * ('Master Data Sheet'!$F:$F=$E19) * ('Master Data Sheet'!$A:$A=$F19), 0), MATCH($F$1, 'Master Data Sheet'!$1:$1, 0)), "")</f>
        <v>0</v>
      </c>
      <c r="I19" s="11" cm="1">
        <f t="array" ref="I19">IFERROR(INDEX('Master Data Sheet'!$1:$1048576, MATCH(1, ('Master Data Sheet'!$H:$H=I$2) * (INDEX('Master Data Sheet'!$1:$1, , MATCH($F$1, 'Master Data Sheet'!$1:$1, 0)) = $F$1) * ('Master Data Sheet'!$G:$G=$B19) * ('Master Data Sheet'!$F:$F=$E19) * ('Master Data Sheet'!$A:$A=$F19), 0), MATCH($F$1, 'Master Data Sheet'!$1:$1, 0)), "")</f>
        <v>0</v>
      </c>
      <c r="J19" s="11" cm="1">
        <f t="array" ref="J19">IFERROR(INDEX('Master Data Sheet'!$1:$1048576, MATCH(1, ('Master Data Sheet'!$H:$H=J$2) * (INDEX('Master Data Sheet'!$1:$1, , MATCH($F$1, 'Master Data Sheet'!$1:$1, 0)) = $F$1) * ('Master Data Sheet'!$G:$G=$B19) * ('Master Data Sheet'!$F:$F=$E19) * ('Master Data Sheet'!$A:$A=$F19), 0), MATCH($F$1, 'Master Data Sheet'!$1:$1, 0)), "")</f>
        <v>7.2746167835801512E-2</v>
      </c>
      <c r="K19" s="11" cm="1">
        <f t="array" ref="K19">IFERROR(INDEX('Master Data Sheet'!$1:$1048576, MATCH(1, ('Master Data Sheet'!$H:$H=K$2) * (INDEX('Master Data Sheet'!$1:$1, , MATCH($F$1, 'Master Data Sheet'!$1:$1, 0)) = $F$1) * ('Master Data Sheet'!$G:$G=$B19) * ('Master Data Sheet'!$F:$F=$E19) * ('Master Data Sheet'!$A:$A=$F19), 0), MATCH($F$1, 'Master Data Sheet'!$1:$1, 0)), "")</f>
        <v>5.4559625876851134E-2</v>
      </c>
      <c r="L19" s="11" cm="1">
        <f t="array" ref="L19">IFERROR(INDEX('Master Data Sheet'!$1:$1048576, MATCH(1, ('Master Data Sheet'!$H:$H=L$2) * (INDEX('Master Data Sheet'!$1:$1, , MATCH($F$1, 'Master Data Sheet'!$1:$1, 0)) = $F$1) * ('Master Data Sheet'!$G:$G=$B19) * ('Master Data Sheet'!$F:$F=$E19) * ('Master Data Sheet'!$A:$A=$F19), 0), MATCH($F$1, 'Master Data Sheet'!$1:$1, 0)), "")</f>
        <v>5.4559625876851134E-2</v>
      </c>
      <c r="M19" s="11" cm="1">
        <f t="array" ref="M19">IFERROR(INDEX('Master Data Sheet'!$1:$1048576, MATCH(1, ('Master Data Sheet'!$H:$H=M$2) * (INDEX('Master Data Sheet'!$1:$1, , MATCH($F$1, 'Master Data Sheet'!$1:$1, 0)) = $F$1) * ('Master Data Sheet'!$G:$G=$B19) * ('Master Data Sheet'!$F:$F=$E19) * ('Master Data Sheet'!$A:$A=$F19), 0), MATCH($F$1, 'Master Data Sheet'!$1:$1, 0)), "")</f>
        <v>9.0932709794751876E-2</v>
      </c>
      <c r="N19" s="11" cm="1">
        <f t="array" ref="N19">IFERROR(INDEX('Master Data Sheet'!$1:$1048576, MATCH(1, ('Master Data Sheet'!$H:$H=N$2) * (INDEX('Master Data Sheet'!$1:$1, , MATCH($F$1, 'Master Data Sheet'!$1:$1, 0)) = $F$1) * ('Master Data Sheet'!$G:$G=$B19) * ('Master Data Sheet'!$F:$F=$E19) * ('Master Data Sheet'!$A:$A=$F19), 0), MATCH($F$1, 'Master Data Sheet'!$1:$1, 0)), "")</f>
        <v>0</v>
      </c>
      <c r="O19" s="11">
        <f t="shared" si="8"/>
        <v>3.8971161340607956E-2</v>
      </c>
      <c r="P19" s="11">
        <f t="shared" si="4"/>
        <v>3.8477283955179804E-2</v>
      </c>
      <c r="Q19" s="46">
        <f>(1-(O19/O13))*100</f>
        <v>31.818181818181813</v>
      </c>
      <c r="X19" t="str">
        <f>IFERROR(INDEX('Date Key'!$G$57:$G$62, MATCH(B18,'Date Key'!$A$57:$A$62, 0)), "")</f>
        <v>Medium HLR, Lower Outlet Height, No Plants</v>
      </c>
      <c r="Y19" s="1">
        <f t="shared" ref="Y19:AE19" si="21">H18</f>
        <v>3.5623409669211195E-2</v>
      </c>
      <c r="Z19" s="1">
        <f t="shared" si="21"/>
        <v>0</v>
      </c>
      <c r="AA19" s="1">
        <f t="shared" si="21"/>
        <v>1.7811704834605598E-2</v>
      </c>
      <c r="AB19" s="1">
        <f t="shared" si="21"/>
        <v>0</v>
      </c>
      <c r="AC19" s="1">
        <f t="shared" si="21"/>
        <v>0</v>
      </c>
      <c r="AD19" s="1">
        <f t="shared" si="21"/>
        <v>0</v>
      </c>
      <c r="AE19" s="1">
        <f t="shared" si="21"/>
        <v>0</v>
      </c>
      <c r="AF19" s="1">
        <f t="shared" ref="AF19:AL19" si="22">H19</f>
        <v>0</v>
      </c>
      <c r="AG19" s="1">
        <f t="shared" si="22"/>
        <v>0</v>
      </c>
      <c r="AH19" s="1">
        <f t="shared" si="22"/>
        <v>7.2746167835801512E-2</v>
      </c>
      <c r="AI19" s="1">
        <f t="shared" si="22"/>
        <v>5.4559625876851134E-2</v>
      </c>
      <c r="AJ19" s="1">
        <f t="shared" si="22"/>
        <v>5.4559625876851134E-2</v>
      </c>
      <c r="AK19" s="1">
        <f t="shared" si="22"/>
        <v>9.0932709794751876E-2</v>
      </c>
      <c r="AL19" s="1">
        <f t="shared" si="22"/>
        <v>0</v>
      </c>
      <c r="AM19" s="1">
        <f t="shared" ref="AM19:AS19" si="23">H20</f>
        <v>0.18186541958950375</v>
      </c>
      <c r="AN19" s="1">
        <f t="shared" si="23"/>
        <v>0</v>
      </c>
      <c r="AO19" s="1">
        <f t="shared" si="23"/>
        <v>0.12730579371265266</v>
      </c>
      <c r="AP19" s="1">
        <f t="shared" si="23"/>
        <v>0.43647700701480907</v>
      </c>
      <c r="AQ19" s="1">
        <f t="shared" si="23"/>
        <v>0.18186541958950375</v>
      </c>
      <c r="AR19" s="1">
        <f t="shared" si="23"/>
        <v>0.29098467134320605</v>
      </c>
      <c r="AS19" s="1">
        <f t="shared" si="23"/>
        <v>0</v>
      </c>
    </row>
    <row r="20" spans="1:45" x14ac:dyDescent="0.35">
      <c r="A20" s="42">
        <f>IFERROR(INDEX('Date Key'!$B$2:$B$19, MATCH(F20,'Date Key'!$A$2:$A$19, 0)), "")</f>
        <v>45230</v>
      </c>
      <c r="B20" s="27">
        <f t="shared" si="0"/>
        <v>2</v>
      </c>
      <c r="C20" s="51" t="str">
        <f>IFERROR(INDEX('Date Key'!$G$57:$G$62, MATCH(B20,'Date Key'!$A$57:$A$62, 0)), "")</f>
        <v>Medium HLR, Lower Outlet Height, No Plants</v>
      </c>
      <c r="D20" s="27" t="str">
        <f>IFERROR(INDEX('Date Key'!$G$2:$G$19, MATCH(F20, 'Date Key'!$A$2:$A$19, 0)), "")</f>
        <v>Yes</v>
      </c>
      <c r="E20" s="27" t="str">
        <f t="shared" si="1"/>
        <v>tank 2</v>
      </c>
      <c r="F20" s="27">
        <f t="shared" si="2"/>
        <v>6</v>
      </c>
      <c r="G20" s="27">
        <f t="shared" si="3"/>
        <v>3</v>
      </c>
      <c r="H20" s="28" cm="1">
        <f t="array" ref="H20">IFERROR(INDEX('Master Data Sheet'!$1:$1048576, MATCH(1, ('Master Data Sheet'!$H:$H=H$2) * (INDEX('Master Data Sheet'!$1:$1, , MATCH($F$1, 'Master Data Sheet'!$1:$1, 0)) = $F$1) * ('Master Data Sheet'!$G:$G=$B20) * ('Master Data Sheet'!$F:$F=$E20) * ('Master Data Sheet'!$A:$A=$F20), 0), MATCH($F$1, 'Master Data Sheet'!$1:$1, 0)), "")</f>
        <v>0.18186541958950375</v>
      </c>
      <c r="I20" s="28" cm="1">
        <f t="array" ref="I20">IFERROR(INDEX('Master Data Sheet'!$1:$1048576, MATCH(1, ('Master Data Sheet'!$H:$H=I$2) * (INDEX('Master Data Sheet'!$1:$1, , MATCH($F$1, 'Master Data Sheet'!$1:$1, 0)) = $F$1) * ('Master Data Sheet'!$G:$G=$B20) * ('Master Data Sheet'!$F:$F=$E20) * ('Master Data Sheet'!$A:$A=$F20), 0), MATCH($F$1, 'Master Data Sheet'!$1:$1, 0)), "")</f>
        <v>0</v>
      </c>
      <c r="J20" s="28" cm="1">
        <f t="array" ref="J20">IFERROR(INDEX('Master Data Sheet'!$1:$1048576, MATCH(1, ('Master Data Sheet'!$H:$H=J$2) * (INDEX('Master Data Sheet'!$1:$1, , MATCH($F$1, 'Master Data Sheet'!$1:$1, 0)) = $F$1) * ('Master Data Sheet'!$G:$G=$B20) * ('Master Data Sheet'!$F:$F=$E20) * ('Master Data Sheet'!$A:$A=$F20), 0), MATCH($F$1, 'Master Data Sheet'!$1:$1, 0)), "")</f>
        <v>0.12730579371265266</v>
      </c>
      <c r="K20" s="28" cm="1">
        <f t="array" ref="K20">IFERROR(INDEX('Master Data Sheet'!$1:$1048576, MATCH(1, ('Master Data Sheet'!$H:$H=K$2) * (INDEX('Master Data Sheet'!$1:$1, , MATCH($F$1, 'Master Data Sheet'!$1:$1, 0)) = $F$1) * ('Master Data Sheet'!$G:$G=$B20) * ('Master Data Sheet'!$F:$F=$E20) * ('Master Data Sheet'!$A:$A=$F20), 0), MATCH($F$1, 'Master Data Sheet'!$1:$1, 0)), "")</f>
        <v>0.43647700701480907</v>
      </c>
      <c r="L20" s="28" cm="1">
        <f t="array" ref="L20">IFERROR(INDEX('Master Data Sheet'!$1:$1048576, MATCH(1, ('Master Data Sheet'!$H:$H=L$2) * (INDEX('Master Data Sheet'!$1:$1, , MATCH($F$1, 'Master Data Sheet'!$1:$1, 0)) = $F$1) * ('Master Data Sheet'!$G:$G=$B20) * ('Master Data Sheet'!$F:$F=$E20) * ('Master Data Sheet'!$A:$A=$F20), 0), MATCH($F$1, 'Master Data Sheet'!$1:$1, 0)), "")</f>
        <v>0.18186541958950375</v>
      </c>
      <c r="M20" s="28" cm="1">
        <f t="array" ref="M20">IFERROR(INDEX('Master Data Sheet'!$1:$1048576, MATCH(1, ('Master Data Sheet'!$H:$H=M$2) * (INDEX('Master Data Sheet'!$1:$1, , MATCH($F$1, 'Master Data Sheet'!$1:$1, 0)) = $F$1) * ('Master Data Sheet'!$G:$G=$B20) * ('Master Data Sheet'!$F:$F=$E20) * ('Master Data Sheet'!$A:$A=$F20), 0), MATCH($F$1, 'Master Data Sheet'!$1:$1, 0)), "")</f>
        <v>0.29098467134320605</v>
      </c>
      <c r="N20" s="28" cm="1">
        <f t="array" ref="N20">IFERROR(INDEX('Master Data Sheet'!$1:$1048576, MATCH(1, ('Master Data Sheet'!$H:$H=N$2) * (INDEX('Master Data Sheet'!$1:$1, , MATCH($F$1, 'Master Data Sheet'!$1:$1, 0)) = $F$1) * ('Master Data Sheet'!$G:$G=$B20) * ('Master Data Sheet'!$F:$F=$E20) * ('Master Data Sheet'!$A:$A=$F20), 0), MATCH($F$1, 'Master Data Sheet'!$1:$1, 0)), "")</f>
        <v>0</v>
      </c>
      <c r="O20" s="28">
        <f t="shared" si="8"/>
        <v>0.17407118732138219</v>
      </c>
      <c r="P20" s="28">
        <f t="shared" si="4"/>
        <v>0.15568966761838021</v>
      </c>
      <c r="Q20" s="48">
        <f>(1-(O20/O14))*100</f>
        <v>38.532110091743121</v>
      </c>
      <c r="R20" s="27"/>
      <c r="S20" s="27"/>
      <c r="T20" s="27"/>
      <c r="U20" s="27"/>
      <c r="V20" s="27"/>
    </row>
    <row r="21" spans="1:45" x14ac:dyDescent="0.35">
      <c r="A21" s="41">
        <f>IFERROR(INDEX('Date Key'!$B$2:$B$19, MATCH(F21,'Date Key'!$A$2:$A$19, 0)), "")</f>
        <v>45233</v>
      </c>
      <c r="B21" s="4">
        <f t="shared" si="0"/>
        <v>3</v>
      </c>
      <c r="C21" s="26" t="str">
        <f>IFERROR(INDEX('Date Key'!$G$57:$G$62, MATCH(B21,'Date Key'!$A$57:$A$62, 0)), "")</f>
        <v>High HLR, Lower Outlet Height, No Plants</v>
      </c>
      <c r="D21" s="4" t="str">
        <f>IFERROR(INDEX('Date Key'!$G$2:$G$19, MATCH(F21, 'Date Key'!$A$2:$A$19, 0)), "")</f>
        <v>No</v>
      </c>
      <c r="E21" s="4" t="str">
        <f t="shared" si="1"/>
        <v>in</v>
      </c>
      <c r="F21" s="4">
        <f t="shared" si="2"/>
        <v>7</v>
      </c>
      <c r="G21" s="4">
        <f t="shared" si="3"/>
        <v>1</v>
      </c>
      <c r="H21" s="11" cm="1">
        <f t="array" ref="H21">IFERROR(INDEX('Master Data Sheet'!$1:$1048576, MATCH(1, ('Master Data Sheet'!$H:$H=H$2) * (INDEX('Master Data Sheet'!$1:$1, , MATCH($F$1, 'Master Data Sheet'!$1:$1, 0)) = $F$1) * ('Master Data Sheet'!$G:$G=$B21) * ('Master Data Sheet'!$F:$F=$E21) * ('Master Data Sheet'!$A:$A=$F21), 0), MATCH($F$1, 'Master Data Sheet'!$1:$1, 0)), "")</f>
        <v>0.3637308391790075</v>
      </c>
      <c r="I21" s="11" cm="1">
        <f t="array" ref="I21">IFERROR(INDEX('Master Data Sheet'!$1:$1048576, MATCH(1, ('Master Data Sheet'!$H:$H=I$2) * (INDEX('Master Data Sheet'!$1:$1, , MATCH($F$1, 'Master Data Sheet'!$1:$1, 0)) = $F$1) * ('Master Data Sheet'!$G:$G=$B21) * ('Master Data Sheet'!$F:$F=$E21) * ('Master Data Sheet'!$A:$A=$F21), 0), MATCH($F$1, 'Master Data Sheet'!$1:$1, 0)), "")</f>
        <v>0.18186541958950375</v>
      </c>
      <c r="J21" s="11" cm="1">
        <f t="array" ref="J21">IFERROR(INDEX('Master Data Sheet'!$1:$1048576, MATCH(1, ('Master Data Sheet'!$H:$H=J$2) * (INDEX('Master Data Sheet'!$1:$1, , MATCH($F$1, 'Master Data Sheet'!$1:$1, 0)) = $F$1) * ('Master Data Sheet'!$G:$G=$B21) * ('Master Data Sheet'!$F:$F=$E21) * ('Master Data Sheet'!$A:$A=$F21), 0), MATCH($F$1, 'Master Data Sheet'!$1:$1, 0)), "")</f>
        <v>0.10911925175370227</v>
      </c>
      <c r="K21" s="11" cm="1">
        <f t="array" ref="K21">IFERROR(INDEX('Master Data Sheet'!$1:$1048576, MATCH(1, ('Master Data Sheet'!$H:$H=K$2) * (INDEX('Master Data Sheet'!$1:$1, , MATCH($F$1, 'Master Data Sheet'!$1:$1, 0)) = $F$1) * ('Master Data Sheet'!$G:$G=$B21) * ('Master Data Sheet'!$F:$F=$E21) * ('Master Data Sheet'!$A:$A=$F21), 0), MATCH($F$1, 'Master Data Sheet'!$1:$1, 0)), "")</f>
        <v>0</v>
      </c>
      <c r="L21" s="11" cm="1">
        <f t="array" ref="L21">IFERROR(INDEX('Master Data Sheet'!$1:$1048576, MATCH(1, ('Master Data Sheet'!$H:$H=L$2) * (INDEX('Master Data Sheet'!$1:$1, , MATCH($F$1, 'Master Data Sheet'!$1:$1, 0)) = $F$1) * ('Master Data Sheet'!$G:$G=$B21) * ('Master Data Sheet'!$F:$F=$E21) * ('Master Data Sheet'!$A:$A=$F21), 0), MATCH($F$1, 'Master Data Sheet'!$1:$1, 0)), "")</f>
        <v>0</v>
      </c>
      <c r="M21" s="11" cm="1">
        <f t="array" ref="M21">IFERROR(INDEX('Master Data Sheet'!$1:$1048576, MATCH(1, ('Master Data Sheet'!$H:$H=M$2) * (INDEX('Master Data Sheet'!$1:$1, , MATCH($F$1, 'Master Data Sheet'!$1:$1, 0)) = $F$1) * ('Master Data Sheet'!$G:$G=$B21) * ('Master Data Sheet'!$F:$F=$E21) * ('Master Data Sheet'!$A:$A=$F21), 0), MATCH($F$1, 'Master Data Sheet'!$1:$1, 0)), "")</f>
        <v>0</v>
      </c>
      <c r="N21" s="11" cm="1">
        <f t="array" ref="N21">IFERROR(INDEX('Master Data Sheet'!$1:$1048576, MATCH(1, ('Master Data Sheet'!$H:$H=N$2) * (INDEX('Master Data Sheet'!$1:$1, , MATCH($F$1, 'Master Data Sheet'!$1:$1, 0)) = $F$1) * ('Master Data Sheet'!$G:$G=$B21) * ('Master Data Sheet'!$F:$F=$E21) * ('Master Data Sheet'!$A:$A=$F21), 0), MATCH($F$1, 'Master Data Sheet'!$1:$1, 0)), "")</f>
        <v>0.29098467134320605</v>
      </c>
      <c r="O21" s="11">
        <f t="shared" si="8"/>
        <v>0.13510002598077422</v>
      </c>
      <c r="P21" s="11">
        <f t="shared" si="4"/>
        <v>0.14954939269479481</v>
      </c>
      <c r="R21" s="11">
        <f>AVERAGE(O21:O23)</f>
        <v>0.158482722785139</v>
      </c>
      <c r="S21" s="11">
        <f>AVERAGE(P21:P23)</f>
        <v>0.13271709068248083</v>
      </c>
      <c r="U21" s="47">
        <f>AVERAGE(T24, T27)</f>
        <v>0.54644808743169992</v>
      </c>
      <c r="V21" s="47">
        <f>STDEV(T24,T27)</f>
        <v>7.72794296378739</v>
      </c>
      <c r="X21" t="s">
        <v>343</v>
      </c>
    </row>
    <row r="22" spans="1:45" x14ac:dyDescent="0.35">
      <c r="A22" s="41">
        <f>IFERROR(INDEX('Date Key'!$B$2:$B$19, MATCH(F22,'Date Key'!$A$2:$A$19, 0)), "")</f>
        <v>45238</v>
      </c>
      <c r="B22" s="4">
        <f t="shared" si="0"/>
        <v>3</v>
      </c>
      <c r="C22" s="26" t="str">
        <f>IFERROR(INDEX('Date Key'!$G$57:$G$62, MATCH(B22,'Date Key'!$A$57:$A$62, 0)), "")</f>
        <v>High HLR, Lower Outlet Height, No Plants</v>
      </c>
      <c r="D22" s="4" t="str">
        <f>IFERROR(INDEX('Date Key'!$G$2:$G$19, MATCH(F22, 'Date Key'!$A$2:$A$19, 0)), "")</f>
        <v>No</v>
      </c>
      <c r="E22" s="4" t="str">
        <f t="shared" si="1"/>
        <v>in</v>
      </c>
      <c r="F22" s="4">
        <f t="shared" si="2"/>
        <v>8</v>
      </c>
      <c r="G22" s="4">
        <f t="shared" si="3"/>
        <v>2</v>
      </c>
      <c r="H22" s="11" cm="1">
        <f t="array" ref="H22">IFERROR(INDEX('Master Data Sheet'!$1:$1048576, MATCH(1, ('Master Data Sheet'!$H:$H=H$2) * (INDEX('Master Data Sheet'!$1:$1, , MATCH($F$1, 'Master Data Sheet'!$1:$1, 0)) = $F$1) * ('Master Data Sheet'!$G:$G=$B22) * ('Master Data Sheet'!$F:$F=$E22) * ('Master Data Sheet'!$A:$A=$F22), 0), MATCH($F$1, 'Master Data Sheet'!$1:$1, 0)), "")</f>
        <v>0</v>
      </c>
      <c r="I22" s="11" cm="1">
        <f t="array" ref="I22">IFERROR(INDEX('Master Data Sheet'!$1:$1048576, MATCH(1, ('Master Data Sheet'!$H:$H=I$2) * (INDEX('Master Data Sheet'!$1:$1, , MATCH($F$1, 'Master Data Sheet'!$1:$1, 0)) = $F$1) * ('Master Data Sheet'!$G:$G=$B22) * ('Master Data Sheet'!$F:$F=$E22) * ('Master Data Sheet'!$A:$A=$F22), 0), MATCH($F$1, 'Master Data Sheet'!$1:$1, 0)), "")</f>
        <v>0</v>
      </c>
      <c r="J22" s="11" cm="1">
        <f t="array" ref="J22">IFERROR(INDEX('Master Data Sheet'!$1:$1048576, MATCH(1, ('Master Data Sheet'!$H:$H=J$2) * (INDEX('Master Data Sheet'!$1:$1, , MATCH($F$1, 'Master Data Sheet'!$1:$1, 0)) = $F$1) * ('Master Data Sheet'!$G:$G=$B22) * ('Master Data Sheet'!$F:$F=$E22) * ('Master Data Sheet'!$A:$A=$F22), 0), MATCH($F$1, 'Master Data Sheet'!$1:$1, 0)), "")</f>
        <v>0</v>
      </c>
      <c r="K22" s="11" cm="1">
        <f t="array" ref="K22">IFERROR(INDEX('Master Data Sheet'!$1:$1048576, MATCH(1, ('Master Data Sheet'!$H:$H=K$2) * (INDEX('Master Data Sheet'!$1:$1, , MATCH($F$1, 'Master Data Sheet'!$1:$1, 0)) = $F$1) * ('Master Data Sheet'!$G:$G=$B22) * ('Master Data Sheet'!$F:$F=$E22) * ('Master Data Sheet'!$A:$A=$F22), 0), MATCH($F$1, 'Master Data Sheet'!$1:$1, 0)), "")</f>
        <v>0</v>
      </c>
      <c r="L22" s="11" cm="1">
        <f t="array" ref="L22">IFERROR(INDEX('Master Data Sheet'!$1:$1048576, MATCH(1, ('Master Data Sheet'!$H:$H=L$2) * (INDEX('Master Data Sheet'!$1:$1, , MATCH($F$1, 'Master Data Sheet'!$1:$1, 0)) = $F$1) * ('Master Data Sheet'!$G:$G=$B22) * ('Master Data Sheet'!$F:$F=$E22) * ('Master Data Sheet'!$A:$A=$F22), 0), MATCH($F$1, 'Master Data Sheet'!$1:$1, 0)), "")</f>
        <v>7.2746167835801512E-2</v>
      </c>
      <c r="M22" s="11" cm="1">
        <f t="array" ref="M22">IFERROR(INDEX('Master Data Sheet'!$1:$1048576, MATCH(1, ('Master Data Sheet'!$H:$H=M$2) * (INDEX('Master Data Sheet'!$1:$1, , MATCH($F$1, 'Master Data Sheet'!$1:$1, 0)) = $F$1) * ('Master Data Sheet'!$G:$G=$B22) * ('Master Data Sheet'!$F:$F=$E22) * ('Master Data Sheet'!$A:$A=$F22), 0), MATCH($F$1, 'Master Data Sheet'!$1:$1, 0)), "")</f>
        <v>0</v>
      </c>
      <c r="N22" s="11" cm="1">
        <f t="array" ref="N22">IFERROR(INDEX('Master Data Sheet'!$1:$1048576, MATCH(1, ('Master Data Sheet'!$H:$H=N$2) * (INDEX('Master Data Sheet'!$1:$1, , MATCH($F$1, 'Master Data Sheet'!$1:$1, 0)) = $F$1) * ('Master Data Sheet'!$G:$G=$B22) * ('Master Data Sheet'!$F:$F=$E22) * ('Master Data Sheet'!$A:$A=$F22), 0), MATCH($F$1, 'Master Data Sheet'!$1:$1, 0)), "")</f>
        <v>0</v>
      </c>
      <c r="O22" s="11">
        <f t="shared" si="8"/>
        <v>1.0392309690828787E-2</v>
      </c>
      <c r="P22" s="11">
        <f t="shared" si="4"/>
        <v>2.7495466989499517E-2</v>
      </c>
      <c r="X22" t="str">
        <f>IFERROR(INDEX('Date Key'!$G$57:$G$62, MATCH(B21,'Date Key'!$A$57:$A$62, 0)), "")</f>
        <v>High HLR, Lower Outlet Height, No Plants</v>
      </c>
      <c r="Y22" s="1">
        <f t="shared" ref="Y22:AE22" si="24">H21</f>
        <v>0.3637308391790075</v>
      </c>
      <c r="Z22" s="1">
        <f t="shared" si="24"/>
        <v>0.18186541958950375</v>
      </c>
      <c r="AA22" s="1">
        <f t="shared" si="24"/>
        <v>0.10911925175370227</v>
      </c>
      <c r="AB22" s="1">
        <f t="shared" si="24"/>
        <v>0</v>
      </c>
      <c r="AC22" s="1">
        <f t="shared" si="24"/>
        <v>0</v>
      </c>
      <c r="AD22" s="1">
        <f t="shared" si="24"/>
        <v>0</v>
      </c>
      <c r="AE22" s="1">
        <f t="shared" si="24"/>
        <v>0.29098467134320605</v>
      </c>
      <c r="AF22" s="1">
        <f t="shared" ref="AF22:AL22" si="25">H22</f>
        <v>0</v>
      </c>
      <c r="AG22" s="1">
        <f t="shared" si="25"/>
        <v>0</v>
      </c>
      <c r="AH22" s="1">
        <f t="shared" si="25"/>
        <v>0</v>
      </c>
      <c r="AI22" s="1">
        <f t="shared" si="25"/>
        <v>0</v>
      </c>
      <c r="AJ22" s="1">
        <f t="shared" si="25"/>
        <v>7.2746167835801512E-2</v>
      </c>
      <c r="AK22" s="1">
        <f t="shared" si="25"/>
        <v>0</v>
      </c>
      <c r="AL22" s="1">
        <f t="shared" si="25"/>
        <v>0</v>
      </c>
      <c r="AM22" s="1">
        <f t="shared" ref="AM22:AS22" si="26">H23</f>
        <v>0.2364250454663549</v>
      </c>
      <c r="AN22" s="1">
        <f t="shared" si="26"/>
        <v>0.74564822031696543</v>
      </c>
      <c r="AO22" s="1">
        <f t="shared" si="26"/>
        <v>0.21823850350740454</v>
      </c>
      <c r="AP22" s="1">
        <f t="shared" si="26"/>
        <v>0.34554429722005714</v>
      </c>
      <c r="AQ22" s="1">
        <f t="shared" si="26"/>
        <v>0.29098467134320605</v>
      </c>
      <c r="AR22" s="1">
        <f t="shared" si="26"/>
        <v>0.43647700701480907</v>
      </c>
      <c r="AS22" s="1">
        <f t="shared" si="26"/>
        <v>3.6373083917900756E-2</v>
      </c>
    </row>
    <row r="23" spans="1:45" x14ac:dyDescent="0.35">
      <c r="A23" s="41">
        <f>IFERROR(INDEX('Date Key'!$B$2:$B$19, MATCH(F23,'Date Key'!$A$2:$A$19, 0)), "")</f>
        <v>45246</v>
      </c>
      <c r="B23" s="4">
        <f t="shared" si="0"/>
        <v>3</v>
      </c>
      <c r="C23" s="26" t="str">
        <f>IFERROR(INDEX('Date Key'!$G$57:$G$62, MATCH(B23,'Date Key'!$A$57:$A$62, 0)), "")</f>
        <v>High HLR, Lower Outlet Height, No Plants</v>
      </c>
      <c r="D23" s="4" t="str">
        <f>IFERROR(INDEX('Date Key'!$G$2:$G$19, MATCH(F23, 'Date Key'!$A$2:$A$19, 0)), "")</f>
        <v>Yes</v>
      </c>
      <c r="E23" s="4" t="str">
        <f t="shared" si="1"/>
        <v>in</v>
      </c>
      <c r="F23" s="4">
        <f t="shared" si="2"/>
        <v>9</v>
      </c>
      <c r="G23" s="4">
        <f t="shared" si="3"/>
        <v>3</v>
      </c>
      <c r="H23" s="11" cm="1">
        <f t="array" ref="H23">IFERROR(INDEX('Master Data Sheet'!$1:$1048576, MATCH(1, ('Master Data Sheet'!$H:$H=H$2) * (INDEX('Master Data Sheet'!$1:$1, , MATCH($F$1, 'Master Data Sheet'!$1:$1, 0)) = $F$1) * ('Master Data Sheet'!$G:$G=$B23) * ('Master Data Sheet'!$F:$F=$E23) * ('Master Data Sheet'!$A:$A=$F23), 0), MATCH($F$1, 'Master Data Sheet'!$1:$1, 0)), "")</f>
        <v>0.2364250454663549</v>
      </c>
      <c r="I23" s="11" cm="1">
        <f t="array" ref="I23">IFERROR(INDEX('Master Data Sheet'!$1:$1048576, MATCH(1, ('Master Data Sheet'!$H:$H=I$2) * (INDEX('Master Data Sheet'!$1:$1, , MATCH($F$1, 'Master Data Sheet'!$1:$1, 0)) = $F$1) * ('Master Data Sheet'!$G:$G=$B23) * ('Master Data Sheet'!$F:$F=$E23) * ('Master Data Sheet'!$A:$A=$F23), 0), MATCH($F$1, 'Master Data Sheet'!$1:$1, 0)), "")</f>
        <v>0.74564822031696543</v>
      </c>
      <c r="J23" s="11" cm="1">
        <f t="array" ref="J23">IFERROR(INDEX('Master Data Sheet'!$1:$1048576, MATCH(1, ('Master Data Sheet'!$H:$H=J$2) * (INDEX('Master Data Sheet'!$1:$1, , MATCH($F$1, 'Master Data Sheet'!$1:$1, 0)) = $F$1) * ('Master Data Sheet'!$G:$G=$B23) * ('Master Data Sheet'!$F:$F=$E23) * ('Master Data Sheet'!$A:$A=$F23), 0), MATCH($F$1, 'Master Data Sheet'!$1:$1, 0)), "")</f>
        <v>0.21823850350740454</v>
      </c>
      <c r="K23" s="11" cm="1">
        <f t="array" ref="K23">IFERROR(INDEX('Master Data Sheet'!$1:$1048576, MATCH(1, ('Master Data Sheet'!$H:$H=K$2) * (INDEX('Master Data Sheet'!$1:$1, , MATCH($F$1, 'Master Data Sheet'!$1:$1, 0)) = $F$1) * ('Master Data Sheet'!$G:$G=$B23) * ('Master Data Sheet'!$F:$F=$E23) * ('Master Data Sheet'!$A:$A=$F23), 0), MATCH($F$1, 'Master Data Sheet'!$1:$1, 0)), "")</f>
        <v>0.34554429722005714</v>
      </c>
      <c r="L23" s="11" cm="1">
        <f t="array" ref="L23">IFERROR(INDEX('Master Data Sheet'!$1:$1048576, MATCH(1, ('Master Data Sheet'!$H:$H=L$2) * (INDEX('Master Data Sheet'!$1:$1, , MATCH($F$1, 'Master Data Sheet'!$1:$1, 0)) = $F$1) * ('Master Data Sheet'!$G:$G=$B23) * ('Master Data Sheet'!$F:$F=$E23) * ('Master Data Sheet'!$A:$A=$F23), 0), MATCH($F$1, 'Master Data Sheet'!$1:$1, 0)), "")</f>
        <v>0.29098467134320605</v>
      </c>
      <c r="M23" s="11" cm="1">
        <f t="array" ref="M23">IFERROR(INDEX('Master Data Sheet'!$1:$1048576, MATCH(1, ('Master Data Sheet'!$H:$H=M$2) * (INDEX('Master Data Sheet'!$1:$1, , MATCH($F$1, 'Master Data Sheet'!$1:$1, 0)) = $F$1) * ('Master Data Sheet'!$G:$G=$B23) * ('Master Data Sheet'!$F:$F=$E23) * ('Master Data Sheet'!$A:$A=$F23), 0), MATCH($F$1, 'Master Data Sheet'!$1:$1, 0)), "")</f>
        <v>0.43647700701480907</v>
      </c>
      <c r="N23" s="11" cm="1">
        <f t="array" ref="N23">IFERROR(INDEX('Master Data Sheet'!$1:$1048576, MATCH(1, ('Master Data Sheet'!$H:$H=N$2) * (INDEX('Master Data Sheet'!$1:$1, , MATCH($F$1, 'Master Data Sheet'!$1:$1, 0)) = $F$1) * ('Master Data Sheet'!$G:$G=$B23) * ('Master Data Sheet'!$F:$F=$E23) * ('Master Data Sheet'!$A:$A=$F23), 0), MATCH($F$1, 'Master Data Sheet'!$1:$1, 0)), "")</f>
        <v>3.6373083917900756E-2</v>
      </c>
      <c r="O23" s="11">
        <f t="shared" si="8"/>
        <v>0.32995583268381395</v>
      </c>
      <c r="P23" s="11">
        <f t="shared" si="4"/>
        <v>0.22110641236314818</v>
      </c>
      <c r="Y23" s="1"/>
      <c r="Z23" s="1"/>
      <c r="AA23" s="1"/>
      <c r="AB23" s="1"/>
      <c r="AC23" s="1"/>
      <c r="AD23" s="1"/>
      <c r="AE23" s="1"/>
      <c r="AF23" s="1"/>
      <c r="AG23" s="1"/>
      <c r="AH23" s="1"/>
      <c r="AI23" s="1"/>
      <c r="AJ23" s="1"/>
      <c r="AK23" s="1"/>
      <c r="AL23" s="1"/>
      <c r="AM23" s="1"/>
      <c r="AN23" s="1"/>
      <c r="AO23" s="1"/>
      <c r="AP23" s="1"/>
      <c r="AQ23" s="1"/>
      <c r="AR23" s="1"/>
      <c r="AS23" s="1"/>
    </row>
    <row r="24" spans="1:45" x14ac:dyDescent="0.35">
      <c r="A24" s="41">
        <f>IFERROR(INDEX('Date Key'!$B$2:$B$19, MATCH(F24,'Date Key'!$A$2:$A$19, 0)), "")</f>
        <v>45233</v>
      </c>
      <c r="B24" s="4">
        <f t="shared" si="0"/>
        <v>3</v>
      </c>
      <c r="C24" s="26" t="str">
        <f>IFERROR(INDEX('Date Key'!$G$57:$G$62, MATCH(B24,'Date Key'!$A$57:$A$62, 0)), "")</f>
        <v>High HLR, Lower Outlet Height, No Plants</v>
      </c>
      <c r="D24" s="4" t="str">
        <f>IFERROR(INDEX('Date Key'!$G$2:$G$19, MATCH(F24, 'Date Key'!$A$2:$A$19, 0)), "")</f>
        <v>No</v>
      </c>
      <c r="E24" s="4" t="str">
        <f t="shared" si="1"/>
        <v>tank 1</v>
      </c>
      <c r="F24" s="4">
        <f t="shared" si="2"/>
        <v>7</v>
      </c>
      <c r="G24" s="4">
        <f t="shared" si="3"/>
        <v>1</v>
      </c>
      <c r="H24" s="11" cm="1">
        <f t="array" ref="H24">IFERROR(INDEX('Master Data Sheet'!$1:$1048576, MATCH(1, ('Master Data Sheet'!$H:$H=H$2) * (INDEX('Master Data Sheet'!$1:$1, , MATCH($F$1, 'Master Data Sheet'!$1:$1, 0)) = $F$1) * ('Master Data Sheet'!$G:$G=$B24) * ('Master Data Sheet'!$F:$F=$E24) * ('Master Data Sheet'!$A:$A=$F24), 0), MATCH($F$1, 'Master Data Sheet'!$1:$1, 0)), "")</f>
        <v>0.30917121330215641</v>
      </c>
      <c r="I24" s="11" cm="1">
        <f t="array" ref="I24">IFERROR(INDEX('Master Data Sheet'!$1:$1048576, MATCH(1, ('Master Data Sheet'!$H:$H=I$2) * (INDEX('Master Data Sheet'!$1:$1, , MATCH($F$1, 'Master Data Sheet'!$1:$1, 0)) = $F$1) * ('Master Data Sheet'!$G:$G=$B24) * ('Master Data Sheet'!$F:$F=$E24) * ('Master Data Sheet'!$A:$A=$F24), 0), MATCH($F$1, 'Master Data Sheet'!$1:$1, 0)), "")</f>
        <v>9.0932709794751876E-2</v>
      </c>
      <c r="J24" s="11" cm="1">
        <f t="array" ref="J24">IFERROR(INDEX('Master Data Sheet'!$1:$1048576, MATCH(1, ('Master Data Sheet'!$H:$H=J$2) * (INDEX('Master Data Sheet'!$1:$1, , MATCH($F$1, 'Master Data Sheet'!$1:$1, 0)) = $F$1) * ('Master Data Sheet'!$G:$G=$B24) * ('Master Data Sheet'!$F:$F=$E24) * ('Master Data Sheet'!$A:$A=$F24), 0), MATCH($F$1, 'Master Data Sheet'!$1:$1, 0)), "")</f>
        <v>0.12730579371265266</v>
      </c>
      <c r="K24" s="11" cm="1">
        <f t="array" ref="K24">IFERROR(INDEX('Master Data Sheet'!$1:$1048576, MATCH(1, ('Master Data Sheet'!$H:$H=K$2) * (INDEX('Master Data Sheet'!$1:$1, , MATCH($F$1, 'Master Data Sheet'!$1:$1, 0)) = $F$1) * ('Master Data Sheet'!$G:$G=$B24) * ('Master Data Sheet'!$F:$F=$E24) * ('Master Data Sheet'!$A:$A=$F24), 0), MATCH($F$1, 'Master Data Sheet'!$1:$1, 0)), "")</f>
        <v>0.10911925175370227</v>
      </c>
      <c r="L24" s="11" cm="1">
        <f t="array" ref="L24">IFERROR(INDEX('Master Data Sheet'!$1:$1048576, MATCH(1, ('Master Data Sheet'!$H:$H=L$2) * (INDEX('Master Data Sheet'!$1:$1, , MATCH($F$1, 'Master Data Sheet'!$1:$1, 0)) = $F$1) * ('Master Data Sheet'!$G:$G=$B24) * ('Master Data Sheet'!$F:$F=$E24) * ('Master Data Sheet'!$A:$A=$F24), 0), MATCH($F$1, 'Master Data Sheet'!$1:$1, 0)), "")</f>
        <v>0</v>
      </c>
      <c r="M24" s="11" cm="1">
        <f t="array" ref="M24">IFERROR(INDEX('Master Data Sheet'!$1:$1048576, MATCH(1, ('Master Data Sheet'!$H:$H=M$2) * (INDEX('Master Data Sheet'!$1:$1, , MATCH($F$1, 'Master Data Sheet'!$1:$1, 0)) = $F$1) * ('Master Data Sheet'!$G:$G=$B24) * ('Master Data Sheet'!$F:$F=$E24) * ('Master Data Sheet'!$A:$A=$F24), 0), MATCH($F$1, 'Master Data Sheet'!$1:$1, 0)), "")</f>
        <v>0</v>
      </c>
      <c r="N24" s="11" cm="1">
        <f t="array" ref="N24">IFERROR(INDEX('Master Data Sheet'!$1:$1048576, MATCH(1, ('Master Data Sheet'!$H:$H=N$2) * (INDEX('Master Data Sheet'!$1:$1, , MATCH($F$1, 'Master Data Sheet'!$1:$1, 0)) = $F$1) * ('Master Data Sheet'!$G:$G=$B24) * ('Master Data Sheet'!$F:$F=$E24) * ('Master Data Sheet'!$A:$A=$F24), 0), MATCH($F$1, 'Master Data Sheet'!$1:$1, 0)), "")</f>
        <v>0.30917121330215641</v>
      </c>
      <c r="O24" s="11">
        <f t="shared" si="8"/>
        <v>0.13510002598077422</v>
      </c>
      <c r="P24" s="11">
        <f t="shared" si="4"/>
        <v>0.12896517169125338</v>
      </c>
      <c r="Q24" s="46">
        <f>(1-(O24/O21))*100</f>
        <v>0</v>
      </c>
      <c r="R24" s="46">
        <f>AVERAGE(Q24:Q26)</f>
        <v>-166.60104986876635</v>
      </c>
      <c r="S24" s="46">
        <f>STDEV(Q24:Q26)</f>
        <v>310.63817522773724</v>
      </c>
      <c r="T24" s="47">
        <f>(1-(AVERAGE(H24:N26)/AVERAGE(H21:N23)))*100</f>
        <v>6.010928961748629</v>
      </c>
      <c r="U24" s="47"/>
      <c r="V24" s="47"/>
      <c r="Y24" s="2"/>
      <c r="Z24" s="2"/>
      <c r="AA24" s="2"/>
      <c r="AB24" s="2"/>
      <c r="AC24" s="2"/>
      <c r="AD24" s="2"/>
      <c r="AE24" s="2"/>
      <c r="AF24" s="2"/>
      <c r="AG24" s="2"/>
    </row>
    <row r="25" spans="1:45" x14ac:dyDescent="0.35">
      <c r="A25" s="41">
        <f>IFERROR(INDEX('Date Key'!$B$2:$B$19, MATCH(F25,'Date Key'!$A$2:$A$19, 0)), "")</f>
        <v>45238</v>
      </c>
      <c r="B25" s="4">
        <f t="shared" si="0"/>
        <v>3</v>
      </c>
      <c r="C25" s="26" t="str">
        <f>IFERROR(INDEX('Date Key'!$G$57:$G$62, MATCH(B25,'Date Key'!$A$57:$A$62, 0)), "")</f>
        <v>High HLR, Lower Outlet Height, No Plants</v>
      </c>
      <c r="D25" s="4" t="str">
        <f>IFERROR(INDEX('Date Key'!$G$2:$G$19, MATCH(F25, 'Date Key'!$A$2:$A$19, 0)), "")</f>
        <v>No</v>
      </c>
      <c r="E25" s="4" t="str">
        <f t="shared" si="1"/>
        <v>tank 1</v>
      </c>
      <c r="F25" s="4">
        <f t="shared" si="2"/>
        <v>8</v>
      </c>
      <c r="G25" s="4">
        <f t="shared" si="3"/>
        <v>2</v>
      </c>
      <c r="H25" s="11" cm="1">
        <f t="array" ref="H25">IFERROR(INDEX('Master Data Sheet'!$1:$1048576, MATCH(1, ('Master Data Sheet'!$H:$H=H$2) * (INDEX('Master Data Sheet'!$1:$1, , MATCH($F$1, 'Master Data Sheet'!$1:$1, 0)) = $F$1) * ('Master Data Sheet'!$G:$G=$B25) * ('Master Data Sheet'!$F:$F=$E25) * ('Master Data Sheet'!$A:$A=$F25), 0), MATCH($F$1, 'Master Data Sheet'!$1:$1, 0)), "")</f>
        <v>0</v>
      </c>
      <c r="I25" s="11" cm="1">
        <f t="array" ref="I25">IFERROR(INDEX('Master Data Sheet'!$1:$1048576, MATCH(1, ('Master Data Sheet'!$H:$H=I$2) * (INDEX('Master Data Sheet'!$1:$1, , MATCH($F$1, 'Master Data Sheet'!$1:$1, 0)) = $F$1) * ('Master Data Sheet'!$G:$G=$B25) * ('Master Data Sheet'!$F:$F=$E25) * ('Master Data Sheet'!$A:$A=$F25), 0), MATCH($F$1, 'Master Data Sheet'!$1:$1, 0)), "")</f>
        <v>0.3637308391790075</v>
      </c>
      <c r="J25" s="11" cm="1">
        <f t="array" ref="J25">IFERROR(INDEX('Master Data Sheet'!$1:$1048576, MATCH(1, ('Master Data Sheet'!$H:$H=J$2) * (INDEX('Master Data Sheet'!$1:$1, , MATCH($F$1, 'Master Data Sheet'!$1:$1, 0)) = $F$1) * ('Master Data Sheet'!$G:$G=$B25) * ('Master Data Sheet'!$F:$F=$E25) * ('Master Data Sheet'!$A:$A=$F25), 0), MATCH($F$1, 'Master Data Sheet'!$1:$1, 0)), "")</f>
        <v>3.6373083917900756E-2</v>
      </c>
      <c r="K25" s="11" cm="1">
        <f t="array" ref="K25">IFERROR(INDEX('Master Data Sheet'!$1:$1048576, MATCH(1, ('Master Data Sheet'!$H:$H=K$2) * (INDEX('Master Data Sheet'!$1:$1, , MATCH($F$1, 'Master Data Sheet'!$1:$1, 0)) = $F$1) * ('Master Data Sheet'!$G:$G=$B25) * ('Master Data Sheet'!$F:$F=$E25) * ('Master Data Sheet'!$A:$A=$F25), 0), MATCH($F$1, 'Master Data Sheet'!$1:$1, 0)), "")</f>
        <v>0</v>
      </c>
      <c r="L25" s="11" cm="1">
        <f t="array" ref="L25">IFERROR(INDEX('Master Data Sheet'!$1:$1048576, MATCH(1, ('Master Data Sheet'!$H:$H=L$2) * (INDEX('Master Data Sheet'!$1:$1, , MATCH($F$1, 'Master Data Sheet'!$1:$1, 0)) = $F$1) * ('Master Data Sheet'!$G:$G=$B25) * ('Master Data Sheet'!$F:$F=$E25) * ('Master Data Sheet'!$A:$A=$F25), 0), MATCH($F$1, 'Master Data Sheet'!$1:$1, 0)), "")</f>
        <v>5.4559625876851134E-2</v>
      </c>
      <c r="M25" s="11" cm="1">
        <f t="array" ref="M25">IFERROR(INDEX('Master Data Sheet'!$1:$1048576, MATCH(1, ('Master Data Sheet'!$H:$H=M$2) * (INDEX('Master Data Sheet'!$1:$1, , MATCH($F$1, 'Master Data Sheet'!$1:$1, 0)) = $F$1) * ('Master Data Sheet'!$G:$G=$B25) * ('Master Data Sheet'!$F:$F=$E25) * ('Master Data Sheet'!$A:$A=$F25), 0), MATCH($F$1, 'Master Data Sheet'!$1:$1, 0)), "")</f>
        <v>0</v>
      </c>
      <c r="N25" s="11" cm="1">
        <f t="array" ref="N25">IFERROR(INDEX('Master Data Sheet'!$1:$1048576, MATCH(1, ('Master Data Sheet'!$H:$H=N$2) * (INDEX('Master Data Sheet'!$1:$1, , MATCH($F$1, 'Master Data Sheet'!$1:$1, 0)) = $F$1) * ('Master Data Sheet'!$G:$G=$B25) * ('Master Data Sheet'!$F:$F=$E25) * ('Master Data Sheet'!$A:$A=$F25), 0), MATCH($F$1, 'Master Data Sheet'!$1:$1, 0)), "")</f>
        <v>0</v>
      </c>
      <c r="O25" s="11">
        <f t="shared" si="8"/>
        <v>6.4951935567679905E-2</v>
      </c>
      <c r="P25" s="11">
        <f t="shared" si="4"/>
        <v>0.13358430536647969</v>
      </c>
      <c r="Q25" s="46">
        <f>(1-(O25/O22))*100</f>
        <v>-524.99999999999977</v>
      </c>
      <c r="X25" t="str">
        <f>IFERROR(INDEX('Date Key'!$G$57:$G$62, MATCH(B24,'Date Key'!$A$57:$A$62, 0)), "")</f>
        <v>High HLR, Lower Outlet Height, No Plants</v>
      </c>
      <c r="Y25" s="1">
        <f t="shared" ref="Y25:AE25" si="27">H24</f>
        <v>0.30917121330215641</v>
      </c>
      <c r="Z25" s="1">
        <f t="shared" si="27"/>
        <v>9.0932709794751876E-2</v>
      </c>
      <c r="AA25" s="1">
        <f t="shared" si="27"/>
        <v>0.12730579371265266</v>
      </c>
      <c r="AB25" s="1">
        <f t="shared" si="27"/>
        <v>0.10911925175370227</v>
      </c>
      <c r="AC25" s="1">
        <f t="shared" si="27"/>
        <v>0</v>
      </c>
      <c r="AD25" s="1">
        <f t="shared" si="27"/>
        <v>0</v>
      </c>
      <c r="AE25" s="1">
        <f t="shared" si="27"/>
        <v>0.30917121330215641</v>
      </c>
      <c r="AF25" s="1">
        <f t="shared" ref="AF25:AL25" si="28">H25</f>
        <v>0</v>
      </c>
      <c r="AG25" s="1">
        <f t="shared" si="28"/>
        <v>0.3637308391790075</v>
      </c>
      <c r="AH25" s="1">
        <f t="shared" si="28"/>
        <v>3.6373083917900756E-2</v>
      </c>
      <c r="AI25" s="1">
        <f t="shared" si="28"/>
        <v>0</v>
      </c>
      <c r="AJ25" s="1">
        <f t="shared" si="28"/>
        <v>5.4559625876851134E-2</v>
      </c>
      <c r="AK25" s="1">
        <f t="shared" si="28"/>
        <v>0</v>
      </c>
      <c r="AL25" s="1">
        <f t="shared" si="28"/>
        <v>0</v>
      </c>
      <c r="AM25" s="1">
        <f t="shared" ref="AM25:AS25" si="29">H26</f>
        <v>0.18186541958950375</v>
      </c>
      <c r="AN25" s="1">
        <f t="shared" si="29"/>
        <v>0</v>
      </c>
      <c r="AO25" s="1">
        <f t="shared" si="29"/>
        <v>0.3637308391790075</v>
      </c>
      <c r="AP25" s="1">
        <f t="shared" si="29"/>
        <v>0.45466354897375955</v>
      </c>
      <c r="AQ25" s="1">
        <f t="shared" si="29"/>
        <v>0.41829046505585876</v>
      </c>
      <c r="AR25" s="1">
        <f t="shared" si="29"/>
        <v>0.25461158742530532</v>
      </c>
      <c r="AS25" s="1">
        <f t="shared" si="29"/>
        <v>5.4559625876851134E-2</v>
      </c>
    </row>
    <row r="26" spans="1:45" x14ac:dyDescent="0.35">
      <c r="A26" s="41">
        <f>IFERROR(INDEX('Date Key'!$B$2:$B$19, MATCH(F26,'Date Key'!$A$2:$A$19, 0)), "")</f>
        <v>45246</v>
      </c>
      <c r="B26" s="4">
        <f t="shared" si="0"/>
        <v>3</v>
      </c>
      <c r="C26" s="26" t="str">
        <f>IFERROR(INDEX('Date Key'!$G$57:$G$62, MATCH(B26,'Date Key'!$A$57:$A$62, 0)), "")</f>
        <v>High HLR, Lower Outlet Height, No Plants</v>
      </c>
      <c r="D26" s="4" t="str">
        <f>IFERROR(INDEX('Date Key'!$G$2:$G$19, MATCH(F26, 'Date Key'!$A$2:$A$19, 0)), "")</f>
        <v>Yes</v>
      </c>
      <c r="E26" s="4" t="str">
        <f t="shared" si="1"/>
        <v>tank 1</v>
      </c>
      <c r="F26" s="4">
        <f t="shared" si="2"/>
        <v>9</v>
      </c>
      <c r="G26" s="4">
        <f t="shared" si="3"/>
        <v>3</v>
      </c>
      <c r="H26" s="11" cm="1">
        <f t="array" ref="H26">IFERROR(INDEX('Master Data Sheet'!$1:$1048576, MATCH(1, ('Master Data Sheet'!$H:$H=H$2) * (INDEX('Master Data Sheet'!$1:$1, , MATCH($F$1, 'Master Data Sheet'!$1:$1, 0)) = $F$1) * ('Master Data Sheet'!$G:$G=$B26) * ('Master Data Sheet'!$F:$F=$E26) * ('Master Data Sheet'!$A:$A=$F26), 0), MATCH($F$1, 'Master Data Sheet'!$1:$1, 0)), "")</f>
        <v>0.18186541958950375</v>
      </c>
      <c r="I26" s="11" cm="1">
        <f t="array" ref="I26">IFERROR(INDEX('Master Data Sheet'!$1:$1048576, MATCH(1, ('Master Data Sheet'!$H:$H=I$2) * (INDEX('Master Data Sheet'!$1:$1, , MATCH($F$1, 'Master Data Sheet'!$1:$1, 0)) = $F$1) * ('Master Data Sheet'!$G:$G=$B26) * ('Master Data Sheet'!$F:$F=$E26) * ('Master Data Sheet'!$A:$A=$F26), 0), MATCH($F$1, 'Master Data Sheet'!$1:$1, 0)), "")</f>
        <v>0</v>
      </c>
      <c r="J26" s="11" cm="1">
        <f t="array" ref="J26">IFERROR(INDEX('Master Data Sheet'!$1:$1048576, MATCH(1, ('Master Data Sheet'!$H:$H=J$2) * (INDEX('Master Data Sheet'!$1:$1, , MATCH($F$1, 'Master Data Sheet'!$1:$1, 0)) = $F$1) * ('Master Data Sheet'!$G:$G=$B26) * ('Master Data Sheet'!$F:$F=$E26) * ('Master Data Sheet'!$A:$A=$F26), 0), MATCH($F$1, 'Master Data Sheet'!$1:$1, 0)), "")</f>
        <v>0.3637308391790075</v>
      </c>
      <c r="K26" s="11" cm="1">
        <f t="array" ref="K26">IFERROR(INDEX('Master Data Sheet'!$1:$1048576, MATCH(1, ('Master Data Sheet'!$H:$H=K$2) * (INDEX('Master Data Sheet'!$1:$1, , MATCH($F$1, 'Master Data Sheet'!$1:$1, 0)) = $F$1) * ('Master Data Sheet'!$G:$G=$B26) * ('Master Data Sheet'!$F:$F=$E26) * ('Master Data Sheet'!$A:$A=$F26), 0), MATCH($F$1, 'Master Data Sheet'!$1:$1, 0)), "")</f>
        <v>0.45466354897375955</v>
      </c>
      <c r="L26" s="11" cm="1">
        <f t="array" ref="L26">IFERROR(INDEX('Master Data Sheet'!$1:$1048576, MATCH(1, ('Master Data Sheet'!$H:$H=L$2) * (INDEX('Master Data Sheet'!$1:$1, , MATCH($F$1, 'Master Data Sheet'!$1:$1, 0)) = $F$1) * ('Master Data Sheet'!$G:$G=$B26) * ('Master Data Sheet'!$F:$F=$E26) * ('Master Data Sheet'!$A:$A=$F26), 0), MATCH($F$1, 'Master Data Sheet'!$1:$1, 0)), "")</f>
        <v>0.41829046505585876</v>
      </c>
      <c r="M26" s="11" cm="1">
        <f t="array" ref="M26">IFERROR(INDEX('Master Data Sheet'!$1:$1048576, MATCH(1, ('Master Data Sheet'!$H:$H=M$2) * (INDEX('Master Data Sheet'!$1:$1, , MATCH($F$1, 'Master Data Sheet'!$1:$1, 0)) = $F$1) * ('Master Data Sheet'!$G:$G=$B26) * ('Master Data Sheet'!$F:$F=$E26) * ('Master Data Sheet'!$A:$A=$F26), 0), MATCH($F$1, 'Master Data Sheet'!$1:$1, 0)), "")</f>
        <v>0.25461158742530532</v>
      </c>
      <c r="N26" s="11" cm="1">
        <f t="array" ref="N26">IFERROR(INDEX('Master Data Sheet'!$1:$1048576, MATCH(1, ('Master Data Sheet'!$H:$H=N$2) * (INDEX('Master Data Sheet'!$1:$1, , MATCH($F$1, 'Master Data Sheet'!$1:$1, 0)) = $F$1) * ('Master Data Sheet'!$G:$G=$B26) * ('Master Data Sheet'!$F:$F=$E26) * ('Master Data Sheet'!$A:$A=$F26), 0), MATCH($F$1, 'Master Data Sheet'!$1:$1, 0)), "")</f>
        <v>5.4559625876851134E-2</v>
      </c>
      <c r="O26" s="11">
        <f t="shared" si="8"/>
        <v>0.24681735515718373</v>
      </c>
      <c r="P26" s="11">
        <f t="shared" si="4"/>
        <v>0.17721605256199582</v>
      </c>
      <c r="Q26" s="46">
        <f>(1-(O26/O23))*100</f>
        <v>25.196850393700764</v>
      </c>
      <c r="Y26" s="2"/>
      <c r="Z26" s="2"/>
      <c r="AA26" s="2"/>
      <c r="AB26" s="2"/>
      <c r="AC26" s="2"/>
      <c r="AD26" s="2"/>
      <c r="AE26" s="2"/>
      <c r="AF26" s="2"/>
      <c r="AG26" s="2"/>
    </row>
    <row r="27" spans="1:45" x14ac:dyDescent="0.35">
      <c r="A27" s="41">
        <f>IFERROR(INDEX('Date Key'!$B$2:$B$19, MATCH(F27,'Date Key'!$A$2:$A$19, 0)), "")</f>
        <v>45233</v>
      </c>
      <c r="B27" s="4">
        <f t="shared" si="0"/>
        <v>3</v>
      </c>
      <c r="C27" s="26" t="str">
        <f>IFERROR(INDEX('Date Key'!$G$57:$G$62, MATCH(B27,'Date Key'!$A$57:$A$62, 0)), "")</f>
        <v>High HLR, Lower Outlet Height, No Plants</v>
      </c>
      <c r="D27" s="4" t="str">
        <f>IFERROR(INDEX('Date Key'!$G$2:$G$19, MATCH(F27, 'Date Key'!$A$2:$A$19, 0)), "")</f>
        <v>No</v>
      </c>
      <c r="E27" s="4" t="str">
        <f t="shared" si="1"/>
        <v>tank 2</v>
      </c>
      <c r="F27" s="4">
        <f t="shared" si="2"/>
        <v>7</v>
      </c>
      <c r="G27" s="4">
        <f t="shared" si="3"/>
        <v>1</v>
      </c>
      <c r="H27" s="11" cm="1">
        <f t="array" ref="H27">IFERROR(INDEX('Master Data Sheet'!$1:$1048576, MATCH(1, ('Master Data Sheet'!$H:$H=H$2) * (INDEX('Master Data Sheet'!$1:$1, , MATCH($F$1, 'Master Data Sheet'!$1:$1, 0)) = $F$1) * ('Master Data Sheet'!$G:$G=$B27) * ('Master Data Sheet'!$F:$F=$E27) * ('Master Data Sheet'!$A:$A=$F27), 0), MATCH($F$1, 'Master Data Sheet'!$1:$1, 0)), "")</f>
        <v>0.10911925175370227</v>
      </c>
      <c r="I27" s="11" cm="1">
        <f t="array" ref="I27">IFERROR(INDEX('Master Data Sheet'!$1:$1048576, MATCH(1, ('Master Data Sheet'!$H:$H=I$2) * (INDEX('Master Data Sheet'!$1:$1, , MATCH($F$1, 'Master Data Sheet'!$1:$1, 0)) = $F$1) * ('Master Data Sheet'!$G:$G=$B27) * ('Master Data Sheet'!$F:$F=$E27) * ('Master Data Sheet'!$A:$A=$F27), 0), MATCH($F$1, 'Master Data Sheet'!$1:$1, 0)), "")</f>
        <v>0</v>
      </c>
      <c r="J27" s="11" cm="1">
        <f t="array" ref="J27">IFERROR(INDEX('Master Data Sheet'!$1:$1048576, MATCH(1, ('Master Data Sheet'!$H:$H=J$2) * (INDEX('Master Data Sheet'!$1:$1, , MATCH($F$1, 'Master Data Sheet'!$1:$1, 0)) = $F$1) * ('Master Data Sheet'!$G:$G=$B27) * ('Master Data Sheet'!$F:$F=$E27) * ('Master Data Sheet'!$A:$A=$F27), 0), MATCH($F$1, 'Master Data Sheet'!$1:$1, 0)), "")</f>
        <v>0</v>
      </c>
      <c r="K27" s="11" cm="1">
        <f t="array" ref="K27">IFERROR(INDEX('Master Data Sheet'!$1:$1048576, MATCH(1, ('Master Data Sheet'!$H:$H=K$2) * (INDEX('Master Data Sheet'!$1:$1, , MATCH($F$1, 'Master Data Sheet'!$1:$1, 0)) = $F$1) * ('Master Data Sheet'!$G:$G=$B27) * ('Master Data Sheet'!$F:$F=$E27) * ('Master Data Sheet'!$A:$A=$F27), 0), MATCH($F$1, 'Master Data Sheet'!$1:$1, 0)), "")</f>
        <v>0.10911925175370227</v>
      </c>
      <c r="L27" s="11" cm="1">
        <f t="array" ref="L27">IFERROR(INDEX('Master Data Sheet'!$1:$1048576, MATCH(1, ('Master Data Sheet'!$H:$H=L$2) * (INDEX('Master Data Sheet'!$1:$1, , MATCH($F$1, 'Master Data Sheet'!$1:$1, 0)) = $F$1) * ('Master Data Sheet'!$G:$G=$B27) * ('Master Data Sheet'!$F:$F=$E27) * ('Master Data Sheet'!$A:$A=$F27), 0), MATCH($F$1, 'Master Data Sheet'!$1:$1, 0)), "")</f>
        <v>0</v>
      </c>
      <c r="M27" s="11" cm="1">
        <f t="array" ref="M27">IFERROR(INDEX('Master Data Sheet'!$1:$1048576, MATCH(1, ('Master Data Sheet'!$H:$H=M$2) * (INDEX('Master Data Sheet'!$1:$1, , MATCH($F$1, 'Master Data Sheet'!$1:$1, 0)) = $F$1) * ('Master Data Sheet'!$G:$G=$B27) * ('Master Data Sheet'!$F:$F=$E27) * ('Master Data Sheet'!$A:$A=$F27), 0), MATCH($F$1, 'Master Data Sheet'!$1:$1, 0)), "")</f>
        <v>0</v>
      </c>
      <c r="N27" s="11" cm="1">
        <f t="array" ref="N27">IFERROR(INDEX('Master Data Sheet'!$1:$1048576, MATCH(1, ('Master Data Sheet'!$H:$H=N$2) * (INDEX('Master Data Sheet'!$1:$1, , MATCH($F$1, 'Master Data Sheet'!$1:$1, 0)) = $F$1) * ('Master Data Sheet'!$G:$G=$B27) * ('Master Data Sheet'!$F:$F=$E27) * ('Master Data Sheet'!$A:$A=$F27), 0), MATCH($F$1, 'Master Data Sheet'!$1:$1, 0)), "")</f>
        <v>0.30917121330215641</v>
      </c>
      <c r="O27" s="11">
        <f t="shared" si="8"/>
        <v>7.5344245258508705E-2</v>
      </c>
      <c r="P27" s="11">
        <f t="shared" si="4"/>
        <v>0.1152270036972548</v>
      </c>
      <c r="Q27" s="46">
        <f>(1-(O27/O21))*100</f>
        <v>44.230769230769226</v>
      </c>
      <c r="R27" s="46">
        <f>AVERAGE(Q27:Q29)</f>
        <v>-179.28528164748636</v>
      </c>
      <c r="S27" s="46">
        <f>STDEV(Q27:Q29)</f>
        <v>343.65822003913286</v>
      </c>
      <c r="T27" s="47">
        <f>(1-(AVERAGE(H27:N29)/AVERAGE(H21:N23)))*100</f>
        <v>-4.9180327868852292</v>
      </c>
      <c r="U27" s="47"/>
      <c r="V27" s="47"/>
      <c r="Y27" s="2"/>
      <c r="Z27" s="2"/>
      <c r="AA27" s="2"/>
      <c r="AB27" s="2"/>
      <c r="AC27" s="2"/>
      <c r="AD27" s="2"/>
      <c r="AE27" s="2"/>
      <c r="AF27" s="2"/>
      <c r="AG27" s="2"/>
    </row>
    <row r="28" spans="1:45" x14ac:dyDescent="0.35">
      <c r="A28" s="41">
        <f>IFERROR(INDEX('Date Key'!$B$2:$B$19, MATCH(F28,'Date Key'!$A$2:$A$19, 0)), "")</f>
        <v>45238</v>
      </c>
      <c r="B28" s="4">
        <f t="shared" si="0"/>
        <v>3</v>
      </c>
      <c r="C28" s="26" t="str">
        <f>IFERROR(INDEX('Date Key'!$G$57:$G$62, MATCH(B28,'Date Key'!$A$57:$A$62, 0)), "")</f>
        <v>High HLR, Lower Outlet Height, No Plants</v>
      </c>
      <c r="D28" s="4" t="str">
        <f>IFERROR(INDEX('Date Key'!$G$2:$G$19, MATCH(F28, 'Date Key'!$A$2:$A$19, 0)), "")</f>
        <v>No</v>
      </c>
      <c r="E28" s="4" t="str">
        <f t="shared" si="1"/>
        <v>tank 2</v>
      </c>
      <c r="F28" s="4">
        <f t="shared" si="2"/>
        <v>8</v>
      </c>
      <c r="G28" s="4">
        <f t="shared" si="3"/>
        <v>2</v>
      </c>
      <c r="H28" s="11" cm="1">
        <f t="array" ref="H28">IFERROR(INDEX('Master Data Sheet'!$1:$1048576, MATCH(1, ('Master Data Sheet'!$H:$H=H$2) * (INDEX('Master Data Sheet'!$1:$1, , MATCH($F$1, 'Master Data Sheet'!$1:$1, 0)) = $F$1) * ('Master Data Sheet'!$G:$G=$B28) * ('Master Data Sheet'!$F:$F=$E28) * ('Master Data Sheet'!$A:$A=$F28), 0), MATCH($F$1, 'Master Data Sheet'!$1:$1, 0)), "")</f>
        <v>0</v>
      </c>
      <c r="I28" s="11" cm="1">
        <f t="array" ref="I28">IFERROR(INDEX('Master Data Sheet'!$1:$1048576, MATCH(1, ('Master Data Sheet'!$H:$H=I$2) * (INDEX('Master Data Sheet'!$1:$1, , MATCH($F$1, 'Master Data Sheet'!$1:$1, 0)) = $F$1) * ('Master Data Sheet'!$G:$G=$B28) * ('Master Data Sheet'!$F:$F=$E28) * ('Master Data Sheet'!$A:$A=$F28), 0), MATCH($F$1, 'Master Data Sheet'!$1:$1, 0)), "")</f>
        <v>0.10911925175370227</v>
      </c>
      <c r="J28" s="11" cm="1">
        <f t="array" ref="J28">IFERROR(INDEX('Master Data Sheet'!$1:$1048576, MATCH(1, ('Master Data Sheet'!$H:$H=J$2) * (INDEX('Master Data Sheet'!$1:$1, , MATCH($F$1, 'Master Data Sheet'!$1:$1, 0)) = $F$1) * ('Master Data Sheet'!$G:$G=$B28) * ('Master Data Sheet'!$F:$F=$E28) * ('Master Data Sheet'!$A:$A=$F28), 0), MATCH($F$1, 'Master Data Sheet'!$1:$1, 0)), "")</f>
        <v>0</v>
      </c>
      <c r="K28" s="11" cm="1">
        <f t="array" ref="K28">IFERROR(INDEX('Master Data Sheet'!$1:$1048576, MATCH(1, ('Master Data Sheet'!$H:$H=K$2) * (INDEX('Master Data Sheet'!$1:$1, , MATCH($F$1, 'Master Data Sheet'!$1:$1, 0)) = $F$1) * ('Master Data Sheet'!$G:$G=$B28) * ('Master Data Sheet'!$F:$F=$E28) * ('Master Data Sheet'!$A:$A=$F28), 0), MATCH($F$1, 'Master Data Sheet'!$1:$1, 0)), "")</f>
        <v>1.8186541958950378E-2</v>
      </c>
      <c r="L28" s="11" cm="1">
        <f t="array" ref="L28">IFERROR(INDEX('Master Data Sheet'!$1:$1048576, MATCH(1, ('Master Data Sheet'!$H:$H=L$2) * (INDEX('Master Data Sheet'!$1:$1, , MATCH($F$1, 'Master Data Sheet'!$1:$1, 0)) = $F$1) * ('Master Data Sheet'!$G:$G=$B28) * ('Master Data Sheet'!$F:$F=$E28) * ('Master Data Sheet'!$A:$A=$F28), 0), MATCH($F$1, 'Master Data Sheet'!$1:$1, 0)), "")</f>
        <v>0.3637308391790075</v>
      </c>
      <c r="M28" s="11" cm="1">
        <f t="array" ref="M28">IFERROR(INDEX('Master Data Sheet'!$1:$1048576, MATCH(1, ('Master Data Sheet'!$H:$H=M$2) * (INDEX('Master Data Sheet'!$1:$1, , MATCH($F$1, 'Master Data Sheet'!$1:$1, 0)) = $F$1) * ('Master Data Sheet'!$G:$G=$B28) * ('Master Data Sheet'!$F:$F=$E28) * ('Master Data Sheet'!$A:$A=$F28), 0), MATCH($F$1, 'Master Data Sheet'!$1:$1, 0)), "")</f>
        <v>0</v>
      </c>
      <c r="N28" s="11" cm="1">
        <f t="array" ref="N28">IFERROR(INDEX('Master Data Sheet'!$1:$1048576, MATCH(1, ('Master Data Sheet'!$H:$H=N$2) * (INDEX('Master Data Sheet'!$1:$1, , MATCH($F$1, 'Master Data Sheet'!$1:$1, 0)) = $F$1) * ('Master Data Sheet'!$G:$G=$B28) * ('Master Data Sheet'!$F:$F=$E28) * ('Master Data Sheet'!$A:$A=$F28), 0), MATCH($F$1, 'Master Data Sheet'!$1:$1, 0)), "")</f>
        <v>0</v>
      </c>
      <c r="O28" s="11">
        <f t="shared" si="8"/>
        <v>7.0148090413094305E-2</v>
      </c>
      <c r="P28" s="11">
        <f t="shared" si="4"/>
        <v>0.13545762108580428</v>
      </c>
      <c r="Q28" s="46">
        <f>(1-(O28/O22))*100</f>
        <v>-574.99999999999989</v>
      </c>
      <c r="X28" t="str">
        <f>IFERROR(INDEX('Date Key'!$G$57:$G$62, MATCH(B27,'Date Key'!$A$57:$A$62, 0)), "")</f>
        <v>High HLR, Lower Outlet Height, No Plants</v>
      </c>
      <c r="Y28" s="1">
        <f t="shared" ref="Y28:AE28" si="30">H27</f>
        <v>0.10911925175370227</v>
      </c>
      <c r="Z28" s="1">
        <f t="shared" si="30"/>
        <v>0</v>
      </c>
      <c r="AA28" s="1">
        <f t="shared" si="30"/>
        <v>0</v>
      </c>
      <c r="AB28" s="1">
        <f t="shared" si="30"/>
        <v>0.10911925175370227</v>
      </c>
      <c r="AC28" s="1">
        <f t="shared" si="30"/>
        <v>0</v>
      </c>
      <c r="AD28" s="1">
        <f t="shared" si="30"/>
        <v>0</v>
      </c>
      <c r="AE28" s="1">
        <f t="shared" si="30"/>
        <v>0.30917121330215641</v>
      </c>
      <c r="AF28" s="1">
        <f t="shared" ref="AF28:AL28" si="31">H28</f>
        <v>0</v>
      </c>
      <c r="AG28" s="1">
        <f t="shared" si="31"/>
        <v>0.10911925175370227</v>
      </c>
      <c r="AH28" s="1">
        <f t="shared" si="31"/>
        <v>0</v>
      </c>
      <c r="AI28" s="1">
        <f t="shared" si="31"/>
        <v>1.8186541958950378E-2</v>
      </c>
      <c r="AJ28" s="1">
        <f t="shared" si="31"/>
        <v>0.3637308391790075</v>
      </c>
      <c r="AK28" s="1">
        <f t="shared" si="31"/>
        <v>0</v>
      </c>
      <c r="AL28" s="1">
        <f t="shared" si="31"/>
        <v>0</v>
      </c>
      <c r="AM28" s="1">
        <f t="shared" ref="AM28:AS28" si="32">H29</f>
        <v>0.2364250454663549</v>
      </c>
      <c r="AN28" s="1">
        <f t="shared" si="32"/>
        <v>0.3637308391790075</v>
      </c>
      <c r="AO28" s="1">
        <f t="shared" si="32"/>
        <v>5.4559625876851134E-2</v>
      </c>
      <c r="AP28" s="1">
        <f t="shared" si="32"/>
        <v>0.38191738113795792</v>
      </c>
      <c r="AQ28" s="1">
        <f t="shared" si="32"/>
        <v>0.45466354897375955</v>
      </c>
      <c r="AR28" s="1">
        <f t="shared" si="32"/>
        <v>0.21823850350740454</v>
      </c>
      <c r="AS28" s="1">
        <f t="shared" si="32"/>
        <v>0.76383476227591585</v>
      </c>
    </row>
    <row r="29" spans="1:45" x14ac:dyDescent="0.35">
      <c r="A29" s="42">
        <f>IFERROR(INDEX('Date Key'!$B$2:$B$19, MATCH(F29,'Date Key'!$A$2:$A$19, 0)), "")</f>
        <v>45246</v>
      </c>
      <c r="B29" s="27">
        <f t="shared" si="0"/>
        <v>3</v>
      </c>
      <c r="C29" s="51" t="str">
        <f>IFERROR(INDEX('Date Key'!$G$57:$G$62, MATCH(B29,'Date Key'!$A$57:$A$62, 0)), "")</f>
        <v>High HLR, Lower Outlet Height, No Plants</v>
      </c>
      <c r="D29" s="27" t="str">
        <f>IFERROR(INDEX('Date Key'!$G$2:$G$19, MATCH(F29, 'Date Key'!$A$2:$A$19, 0)), "")</f>
        <v>Yes</v>
      </c>
      <c r="E29" s="27" t="str">
        <f t="shared" si="1"/>
        <v>tank 2</v>
      </c>
      <c r="F29" s="27">
        <f t="shared" si="2"/>
        <v>9</v>
      </c>
      <c r="G29" s="27">
        <f t="shared" si="3"/>
        <v>3</v>
      </c>
      <c r="H29" s="28" cm="1">
        <f t="array" ref="H29">IFERROR(INDEX('Master Data Sheet'!$1:$1048576, MATCH(1, ('Master Data Sheet'!$H:$H=H$2) * (INDEX('Master Data Sheet'!$1:$1, , MATCH($F$1, 'Master Data Sheet'!$1:$1, 0)) = $F$1) * ('Master Data Sheet'!$G:$G=$B29) * ('Master Data Sheet'!$F:$F=$E29) * ('Master Data Sheet'!$A:$A=$F29), 0), MATCH($F$1, 'Master Data Sheet'!$1:$1, 0)), "")</f>
        <v>0.2364250454663549</v>
      </c>
      <c r="I29" s="28" cm="1">
        <f t="array" ref="I29">IFERROR(INDEX('Master Data Sheet'!$1:$1048576, MATCH(1, ('Master Data Sheet'!$H:$H=I$2) * (INDEX('Master Data Sheet'!$1:$1, , MATCH($F$1, 'Master Data Sheet'!$1:$1, 0)) = $F$1) * ('Master Data Sheet'!$G:$G=$B29) * ('Master Data Sheet'!$F:$F=$E29) * ('Master Data Sheet'!$A:$A=$F29), 0), MATCH($F$1, 'Master Data Sheet'!$1:$1, 0)), "")</f>
        <v>0.3637308391790075</v>
      </c>
      <c r="J29" s="28" cm="1">
        <f t="array" ref="J29">IFERROR(INDEX('Master Data Sheet'!$1:$1048576, MATCH(1, ('Master Data Sheet'!$H:$H=J$2) * (INDEX('Master Data Sheet'!$1:$1, , MATCH($F$1, 'Master Data Sheet'!$1:$1, 0)) = $F$1) * ('Master Data Sheet'!$G:$G=$B29) * ('Master Data Sheet'!$F:$F=$E29) * ('Master Data Sheet'!$A:$A=$F29), 0), MATCH($F$1, 'Master Data Sheet'!$1:$1, 0)), "")</f>
        <v>5.4559625876851134E-2</v>
      </c>
      <c r="K29" s="28" cm="1">
        <f t="array" ref="K29">IFERROR(INDEX('Master Data Sheet'!$1:$1048576, MATCH(1, ('Master Data Sheet'!$H:$H=K$2) * (INDEX('Master Data Sheet'!$1:$1, , MATCH($F$1, 'Master Data Sheet'!$1:$1, 0)) = $F$1) * ('Master Data Sheet'!$G:$G=$B29) * ('Master Data Sheet'!$F:$F=$E29) * ('Master Data Sheet'!$A:$A=$F29), 0), MATCH($F$1, 'Master Data Sheet'!$1:$1, 0)), "")</f>
        <v>0.38191738113795792</v>
      </c>
      <c r="L29" s="28" cm="1">
        <f t="array" ref="L29">IFERROR(INDEX('Master Data Sheet'!$1:$1048576, MATCH(1, ('Master Data Sheet'!$H:$H=L$2) * (INDEX('Master Data Sheet'!$1:$1, , MATCH($F$1, 'Master Data Sheet'!$1:$1, 0)) = $F$1) * ('Master Data Sheet'!$G:$G=$B29) * ('Master Data Sheet'!$F:$F=$E29) * ('Master Data Sheet'!$A:$A=$F29), 0), MATCH($F$1, 'Master Data Sheet'!$1:$1, 0)), "")</f>
        <v>0.45466354897375955</v>
      </c>
      <c r="M29" s="28" cm="1">
        <f t="array" ref="M29">IFERROR(INDEX('Master Data Sheet'!$1:$1048576, MATCH(1, ('Master Data Sheet'!$H:$H=M$2) * (INDEX('Master Data Sheet'!$1:$1, , MATCH($F$1, 'Master Data Sheet'!$1:$1, 0)) = $F$1) * ('Master Data Sheet'!$G:$G=$B29) * ('Master Data Sheet'!$F:$F=$E29) * ('Master Data Sheet'!$A:$A=$F29), 0), MATCH($F$1, 'Master Data Sheet'!$1:$1, 0)), "")</f>
        <v>0.21823850350740454</v>
      </c>
      <c r="N29" s="28" cm="1">
        <f t="array" ref="N29">IFERROR(INDEX('Master Data Sheet'!$1:$1048576, MATCH(1, ('Master Data Sheet'!$H:$H=N$2) * (INDEX('Master Data Sheet'!$1:$1, , MATCH($F$1, 'Master Data Sheet'!$1:$1, 0)) = $F$1) * ('Master Data Sheet'!$G:$G=$B29) * ('Master Data Sheet'!$F:$F=$E29) * ('Master Data Sheet'!$A:$A=$F29), 0), MATCH($F$1, 'Master Data Sheet'!$1:$1, 0)), "")</f>
        <v>0.76383476227591585</v>
      </c>
      <c r="O29" s="28">
        <f t="shared" si="8"/>
        <v>0.35333852948817884</v>
      </c>
      <c r="P29" s="28">
        <f t="shared" si="4"/>
        <v>0.22393759568918656</v>
      </c>
      <c r="Q29" s="48">
        <f>(1-(O29/O23))*100</f>
        <v>-7.0866141732283783</v>
      </c>
      <c r="R29" s="27"/>
      <c r="S29" s="27"/>
      <c r="T29" s="27"/>
      <c r="U29" s="27"/>
      <c r="V29" s="27"/>
    </row>
    <row r="30" spans="1:45" x14ac:dyDescent="0.35">
      <c r="A30" s="41">
        <f>IFERROR(INDEX('Date Key'!$B$2:$B$19, MATCH(F30,'Date Key'!$A$2:$A$19, 0)), "")</f>
        <v>45250</v>
      </c>
      <c r="B30" s="4">
        <f t="shared" si="0"/>
        <v>4</v>
      </c>
      <c r="C30" s="26" t="str">
        <f>IFERROR(INDEX('Date Key'!$G$57:$G$62, MATCH(B30,'Date Key'!$A$57:$A$62, 0)), "")</f>
        <v>High HLR, Upper Outlet Height, No Plants</v>
      </c>
      <c r="D30" s="4" t="str">
        <f>IFERROR(INDEX('Date Key'!$G$2:$G$19, MATCH(F30, 'Date Key'!$A$2:$A$19, 0)), "")</f>
        <v>Yes</v>
      </c>
      <c r="E30" s="4" t="str">
        <f t="shared" si="1"/>
        <v>in</v>
      </c>
      <c r="F30" s="4">
        <f t="shared" si="2"/>
        <v>10</v>
      </c>
      <c r="G30" s="4">
        <f t="shared" si="3"/>
        <v>1</v>
      </c>
      <c r="H30" s="11" cm="1">
        <f t="array" ref="H30">IFERROR(INDEX('Master Data Sheet'!$1:$1048576, MATCH(1, ('Master Data Sheet'!$H:$H=H$2) * (INDEX('Master Data Sheet'!$1:$1, , MATCH($F$1, 'Master Data Sheet'!$1:$1, 0)) = $F$1) * ('Master Data Sheet'!$G:$G=$B30) * ('Master Data Sheet'!$F:$F=$E30) * ('Master Data Sheet'!$A:$A=$F30), 0), MATCH($F$1, 'Master Data Sheet'!$1:$1, 0)), "")</f>
        <v>0.10911925175370227</v>
      </c>
      <c r="I30" s="11" cm="1">
        <f t="array" ref="I30">IFERROR(INDEX('Master Data Sheet'!$1:$1048576, MATCH(1, ('Master Data Sheet'!$H:$H=I$2) * (INDEX('Master Data Sheet'!$1:$1, , MATCH($F$1, 'Master Data Sheet'!$1:$1, 0)) = $F$1) * ('Master Data Sheet'!$G:$G=$B30) * ('Master Data Sheet'!$F:$F=$E30) * ('Master Data Sheet'!$A:$A=$F30), 0), MATCH($F$1, 'Master Data Sheet'!$1:$1, 0)), "")</f>
        <v>0</v>
      </c>
      <c r="J30" s="11" cm="1">
        <f t="array" ref="J30">IFERROR(INDEX('Master Data Sheet'!$1:$1048576, MATCH(1, ('Master Data Sheet'!$H:$H=J$2) * (INDEX('Master Data Sheet'!$1:$1, , MATCH($F$1, 'Master Data Sheet'!$1:$1, 0)) = $F$1) * ('Master Data Sheet'!$G:$G=$B30) * ('Master Data Sheet'!$F:$F=$E30) * ('Master Data Sheet'!$A:$A=$F30), 0), MATCH($F$1, 'Master Data Sheet'!$1:$1, 0)), "")</f>
        <v>7.2746167835801512E-2</v>
      </c>
      <c r="K30" s="11" cm="1">
        <f t="array" ref="K30">IFERROR(INDEX('Master Data Sheet'!$1:$1048576, MATCH(1, ('Master Data Sheet'!$H:$H=K$2) * (INDEX('Master Data Sheet'!$1:$1, , MATCH($F$1, 'Master Data Sheet'!$1:$1, 0)) = $F$1) * ('Master Data Sheet'!$G:$G=$B30) * ('Master Data Sheet'!$F:$F=$E30) * ('Master Data Sheet'!$A:$A=$F30), 0), MATCH($F$1, 'Master Data Sheet'!$1:$1, 0)), "")</f>
        <v>1.8186541958950382</v>
      </c>
      <c r="L30" s="11" cm="1">
        <f t="array" ref="L30">IFERROR(INDEX('Master Data Sheet'!$1:$1048576, MATCH(1, ('Master Data Sheet'!$H:$H=L$2) * (INDEX('Master Data Sheet'!$1:$1, , MATCH($F$1, 'Master Data Sheet'!$1:$1, 0)) = $F$1) * ('Master Data Sheet'!$G:$G=$B30) * ('Master Data Sheet'!$F:$F=$E30) * ('Master Data Sheet'!$A:$A=$F30), 0), MATCH($F$1, 'Master Data Sheet'!$1:$1, 0)), "")</f>
        <v>0</v>
      </c>
      <c r="M30" s="11" cm="1">
        <f t="array" ref="M30">IFERROR(INDEX('Master Data Sheet'!$1:$1048576, MATCH(1, ('Master Data Sheet'!$H:$H=M$2) * (INDEX('Master Data Sheet'!$1:$1, , MATCH($F$1, 'Master Data Sheet'!$1:$1, 0)) = $F$1) * ('Master Data Sheet'!$G:$G=$B30) * ('Master Data Sheet'!$F:$F=$E30) * ('Master Data Sheet'!$A:$A=$F30), 0), MATCH($F$1, 'Master Data Sheet'!$1:$1, 0)), "")</f>
        <v>0</v>
      </c>
      <c r="N30" s="11" cm="1">
        <f t="array" ref="N30">IFERROR(INDEX('Master Data Sheet'!$1:$1048576, MATCH(1, ('Master Data Sheet'!$H:$H=N$2) * (INDEX('Master Data Sheet'!$1:$1, , MATCH($F$1, 'Master Data Sheet'!$1:$1, 0)) = $F$1) * ('Master Data Sheet'!$G:$G=$B30) * ('Master Data Sheet'!$F:$F=$E30) * ('Master Data Sheet'!$A:$A=$F30), 0), MATCH($F$1, 'Master Data Sheet'!$1:$1, 0)), "")</f>
        <v>0</v>
      </c>
      <c r="O30" s="11">
        <f t="shared" ref="O30:O53" si="33">AVERAGE(H30:N30)</f>
        <v>0.28578851649779174</v>
      </c>
      <c r="P30" s="11">
        <f t="shared" si="4"/>
        <v>0.67736949138445979</v>
      </c>
      <c r="R30" s="11">
        <f>AVERAGE(O30:O32)</f>
        <v>0.42176013502686316</v>
      </c>
      <c r="S30" s="11">
        <f>AVERAGE(P30:P32)</f>
        <v>0.62614950749335985</v>
      </c>
      <c r="U30" s="47">
        <f>AVERAGE(T33, T36)</f>
        <v>49.025266333553326</v>
      </c>
      <c r="V30" s="47">
        <f>STDEV(T33,T36)</f>
        <v>19.717792922201813</v>
      </c>
      <c r="X30" t="s">
        <v>343</v>
      </c>
    </row>
    <row r="31" spans="1:45" x14ac:dyDescent="0.35">
      <c r="A31" s="41">
        <f>IFERROR(INDEX('Date Key'!$B$2:$B$19, MATCH(F31,'Date Key'!$A$2:$A$19, 0)), "")</f>
        <v>45259</v>
      </c>
      <c r="B31" s="4">
        <f t="shared" si="0"/>
        <v>4</v>
      </c>
      <c r="C31" s="26" t="str">
        <f>IFERROR(INDEX('Date Key'!$G$57:$G$62, MATCH(B31,'Date Key'!$A$57:$A$62, 0)), "")</f>
        <v>High HLR, Upper Outlet Height, No Plants</v>
      </c>
      <c r="D31" s="4" t="str">
        <f>IFERROR(INDEX('Date Key'!$G$2:$G$19, MATCH(F31, 'Date Key'!$A$2:$A$19, 0)), "")</f>
        <v>No</v>
      </c>
      <c r="E31" s="4" t="str">
        <f t="shared" si="1"/>
        <v>in</v>
      </c>
      <c r="F31" s="4">
        <f t="shared" si="2"/>
        <v>11</v>
      </c>
      <c r="G31" s="4">
        <f t="shared" si="3"/>
        <v>2</v>
      </c>
      <c r="H31" s="11" cm="1">
        <f t="array" ref="H31">IFERROR(INDEX('Master Data Sheet'!$1:$1048576, MATCH(1, ('Master Data Sheet'!$H:$H=H$2) * (INDEX('Master Data Sheet'!$1:$1, , MATCH($F$1, 'Master Data Sheet'!$1:$1, 0)) = $F$1) * ('Master Data Sheet'!$G:$G=$B31) * ('Master Data Sheet'!$F:$F=$E31) * ('Master Data Sheet'!$A:$A=$F31), 0), MATCH($F$1, 'Master Data Sheet'!$1:$1, 0)), "")</f>
        <v>0.32139577594123048</v>
      </c>
      <c r="I31" s="11" cm="1">
        <f t="array" ref="I31">IFERROR(INDEX('Master Data Sheet'!$1:$1048576, MATCH(1, ('Master Data Sheet'!$H:$H=I$2) * (INDEX('Master Data Sheet'!$1:$1, , MATCH($F$1, 'Master Data Sheet'!$1:$1, 0)) = $F$1) * ('Master Data Sheet'!$G:$G=$B31) * ('Master Data Sheet'!$F:$F=$E31) * ('Master Data Sheet'!$A:$A=$F31), 0), MATCH($F$1, 'Master Data Sheet'!$1:$1, 0)), "")</f>
        <v>0</v>
      </c>
      <c r="J31" s="11" cm="1">
        <f t="array" ref="J31">IFERROR(INDEX('Master Data Sheet'!$1:$1048576, MATCH(1, ('Master Data Sheet'!$H:$H=J$2) * (INDEX('Master Data Sheet'!$1:$1, , MATCH($F$1, 'Master Data Sheet'!$1:$1, 0)) = $F$1) * ('Master Data Sheet'!$G:$G=$B31) * ('Master Data Sheet'!$F:$F=$E31) * ('Master Data Sheet'!$A:$A=$F31), 0), MATCH($F$1, 'Master Data Sheet'!$1:$1, 0)), "")</f>
        <v>0</v>
      </c>
      <c r="K31" s="11" cm="1">
        <f t="array" ref="K31">IFERROR(INDEX('Master Data Sheet'!$1:$1048576, MATCH(1, ('Master Data Sheet'!$H:$H=K$2) * (INDEX('Master Data Sheet'!$1:$1, , MATCH($F$1, 'Master Data Sheet'!$1:$1, 0)) = $F$1) * ('Master Data Sheet'!$G:$G=$B31) * ('Master Data Sheet'!$F:$F=$E31) * ('Master Data Sheet'!$A:$A=$F31), 0), MATCH($F$1, 'Master Data Sheet'!$1:$1, 0)), "")</f>
        <v>0.59993878175696358</v>
      </c>
      <c r="L31" s="11" cm="1">
        <f t="array" ref="L31">IFERROR(INDEX('Master Data Sheet'!$1:$1048576, MATCH(1, ('Master Data Sheet'!$H:$H=L$2) * (INDEX('Master Data Sheet'!$1:$1, , MATCH($F$1, 'Master Data Sheet'!$1:$1, 0)) = $F$1) * ('Master Data Sheet'!$G:$G=$B31) * ('Master Data Sheet'!$F:$F=$E31) * ('Master Data Sheet'!$A:$A=$F31), 0), MATCH($F$1, 'Master Data Sheet'!$1:$1, 0)), "")</f>
        <v>0</v>
      </c>
      <c r="M31" s="11" cm="1">
        <f t="array" ref="M31">IFERROR(INDEX('Master Data Sheet'!$1:$1048576, MATCH(1, ('Master Data Sheet'!$H:$H=M$2) * (INDEX('Master Data Sheet'!$1:$1, , MATCH($F$1, 'Master Data Sheet'!$1:$1, 0)) = $F$1) * ('Master Data Sheet'!$G:$G=$B31) * ('Master Data Sheet'!$F:$F=$E31) * ('Master Data Sheet'!$A:$A=$F31), 0), MATCH($F$1, 'Master Data Sheet'!$1:$1, 0)), "")</f>
        <v>0.32139577594123048</v>
      </c>
      <c r="N31" s="11" cm="1">
        <f t="array" ref="N31">IFERROR(INDEX('Master Data Sheet'!$1:$1048576, MATCH(1, ('Master Data Sheet'!$H:$H=N$2) * (INDEX('Master Data Sheet'!$1:$1, , MATCH($F$1, 'Master Data Sheet'!$1:$1, 0)) = $F$1) * ('Master Data Sheet'!$G:$G=$B31) * ('Master Data Sheet'!$F:$F=$E31) * ('Master Data Sheet'!$A:$A=$F31), 0), MATCH($F$1, 'Master Data Sheet'!$1:$1, 0)), "")</f>
        <v>2.2711968166513623</v>
      </c>
      <c r="O31" s="11">
        <f t="shared" si="33"/>
        <v>0.50198959289868383</v>
      </c>
      <c r="P31" s="11">
        <f t="shared" si="4"/>
        <v>0.81249586170832666</v>
      </c>
      <c r="X31" t="str">
        <f>IFERROR(INDEX('Date Key'!$G$57:$G$62, MATCH(B30,'Date Key'!$A$57:$A$62, 0)), "")</f>
        <v>High HLR, Upper Outlet Height, No Plants</v>
      </c>
      <c r="Y31" s="1">
        <f t="shared" ref="Y31:AE31" si="34">H30</f>
        <v>0.10911925175370227</v>
      </c>
      <c r="Z31" s="1">
        <f t="shared" si="34"/>
        <v>0</v>
      </c>
      <c r="AA31" s="1">
        <f t="shared" si="34"/>
        <v>7.2746167835801512E-2</v>
      </c>
      <c r="AB31" s="1">
        <f t="shared" si="34"/>
        <v>1.8186541958950382</v>
      </c>
      <c r="AC31" s="1">
        <f t="shared" si="34"/>
        <v>0</v>
      </c>
      <c r="AD31" s="1">
        <f t="shared" si="34"/>
        <v>0</v>
      </c>
      <c r="AE31" s="1">
        <f t="shared" si="34"/>
        <v>0</v>
      </c>
      <c r="AF31" s="1">
        <f t="shared" ref="AF31:AL31" si="35">H31</f>
        <v>0.32139577594123048</v>
      </c>
      <c r="AG31" s="1">
        <f t="shared" si="35"/>
        <v>0</v>
      </c>
      <c r="AH31" s="1">
        <f t="shared" si="35"/>
        <v>0</v>
      </c>
      <c r="AI31" s="1">
        <f t="shared" si="35"/>
        <v>0.59993878175696358</v>
      </c>
      <c r="AJ31" s="1">
        <f t="shared" si="35"/>
        <v>0</v>
      </c>
      <c r="AK31" s="1">
        <f t="shared" si="35"/>
        <v>0.32139577594123048</v>
      </c>
      <c r="AL31" s="1">
        <f t="shared" si="35"/>
        <v>2.2711968166513623</v>
      </c>
      <c r="AM31" s="1">
        <f t="shared" ref="AM31:AS31" si="36">H32</f>
        <v>0.57851239669421495</v>
      </c>
      <c r="AN31" s="1">
        <f t="shared" si="36"/>
        <v>1.1998775635139272</v>
      </c>
      <c r="AO31" s="1">
        <f t="shared" si="36"/>
        <v>0.64279155188246095</v>
      </c>
      <c r="AP31" s="1">
        <f t="shared" si="36"/>
        <v>0.44995408631772271</v>
      </c>
      <c r="AQ31" s="1">
        <f t="shared" si="36"/>
        <v>0.21426385062748698</v>
      </c>
      <c r="AR31" s="1">
        <f t="shared" si="36"/>
        <v>0</v>
      </c>
      <c r="AS31" s="1">
        <f t="shared" si="36"/>
        <v>0.25711662075298441</v>
      </c>
    </row>
    <row r="32" spans="1:45" x14ac:dyDescent="0.35">
      <c r="A32" s="41">
        <f>IFERROR(INDEX('Date Key'!$B$2:$B$19, MATCH(F32,'Date Key'!$A$2:$A$19, 0)), "")</f>
        <v>45266</v>
      </c>
      <c r="B32" s="4">
        <f t="shared" si="0"/>
        <v>4</v>
      </c>
      <c r="C32" s="26" t="str">
        <f>IFERROR(INDEX('Date Key'!$G$57:$G$62, MATCH(B32,'Date Key'!$A$57:$A$62, 0)), "")</f>
        <v>High HLR, Upper Outlet Height, No Plants</v>
      </c>
      <c r="D32" s="4" t="str">
        <f>IFERROR(INDEX('Date Key'!$G$2:$G$19, MATCH(F32, 'Date Key'!$A$2:$A$19, 0)), "")</f>
        <v>No</v>
      </c>
      <c r="E32" s="4" t="str">
        <f t="shared" si="1"/>
        <v>in</v>
      </c>
      <c r="F32" s="4">
        <f t="shared" si="2"/>
        <v>12</v>
      </c>
      <c r="G32" s="4">
        <f t="shared" si="3"/>
        <v>3</v>
      </c>
      <c r="H32" s="11" cm="1">
        <f t="array" ref="H32">IFERROR(INDEX('Master Data Sheet'!$1:$1048576, MATCH(1, ('Master Data Sheet'!$H:$H=H$2) * (INDEX('Master Data Sheet'!$1:$1, , MATCH($F$1, 'Master Data Sheet'!$1:$1, 0)) = $F$1) * ('Master Data Sheet'!$G:$G=$B32) * ('Master Data Sheet'!$F:$F=$E32) * ('Master Data Sheet'!$A:$A=$F32), 0), MATCH($F$1, 'Master Data Sheet'!$1:$1, 0)), "")</f>
        <v>0.57851239669421495</v>
      </c>
      <c r="I32" s="11" cm="1">
        <f t="array" ref="I32">IFERROR(INDEX('Master Data Sheet'!$1:$1048576, MATCH(1, ('Master Data Sheet'!$H:$H=I$2) * (INDEX('Master Data Sheet'!$1:$1, , MATCH($F$1, 'Master Data Sheet'!$1:$1, 0)) = $F$1) * ('Master Data Sheet'!$G:$G=$B32) * ('Master Data Sheet'!$F:$F=$E32) * ('Master Data Sheet'!$A:$A=$F32), 0), MATCH($F$1, 'Master Data Sheet'!$1:$1, 0)), "")</f>
        <v>1.1998775635139272</v>
      </c>
      <c r="J32" s="11" cm="1">
        <f t="array" ref="J32">IFERROR(INDEX('Master Data Sheet'!$1:$1048576, MATCH(1, ('Master Data Sheet'!$H:$H=J$2) * (INDEX('Master Data Sheet'!$1:$1, , MATCH($F$1, 'Master Data Sheet'!$1:$1, 0)) = $F$1) * ('Master Data Sheet'!$G:$G=$B32) * ('Master Data Sheet'!$F:$F=$E32) * ('Master Data Sheet'!$A:$A=$F32), 0), MATCH($F$1, 'Master Data Sheet'!$1:$1, 0)), "")</f>
        <v>0.64279155188246095</v>
      </c>
      <c r="K32" s="11" cm="1">
        <f t="array" ref="K32">IFERROR(INDEX('Master Data Sheet'!$1:$1048576, MATCH(1, ('Master Data Sheet'!$H:$H=K$2) * (INDEX('Master Data Sheet'!$1:$1, , MATCH($F$1, 'Master Data Sheet'!$1:$1, 0)) = $F$1) * ('Master Data Sheet'!$G:$G=$B32) * ('Master Data Sheet'!$F:$F=$E32) * ('Master Data Sheet'!$A:$A=$F32), 0), MATCH($F$1, 'Master Data Sheet'!$1:$1, 0)), "")</f>
        <v>0.44995408631772271</v>
      </c>
      <c r="L32" s="11" cm="1">
        <f t="array" ref="L32">IFERROR(INDEX('Master Data Sheet'!$1:$1048576, MATCH(1, ('Master Data Sheet'!$H:$H=L$2) * (INDEX('Master Data Sheet'!$1:$1, , MATCH($F$1, 'Master Data Sheet'!$1:$1, 0)) = $F$1) * ('Master Data Sheet'!$G:$G=$B32) * ('Master Data Sheet'!$F:$F=$E32) * ('Master Data Sheet'!$A:$A=$F32), 0), MATCH($F$1, 'Master Data Sheet'!$1:$1, 0)), "")</f>
        <v>0.21426385062748698</v>
      </c>
      <c r="M32" s="11" cm="1">
        <f t="array" ref="M32">IFERROR(INDEX('Master Data Sheet'!$1:$1048576, MATCH(1, ('Master Data Sheet'!$H:$H=M$2) * (INDEX('Master Data Sheet'!$1:$1, , MATCH($F$1, 'Master Data Sheet'!$1:$1, 0)) = $F$1) * ('Master Data Sheet'!$G:$G=$B32) * ('Master Data Sheet'!$F:$F=$E32) * ('Master Data Sheet'!$A:$A=$F32), 0), MATCH($F$1, 'Master Data Sheet'!$1:$1, 0)), "")</f>
        <v>0</v>
      </c>
      <c r="N32" s="11" cm="1">
        <f t="array" ref="N32">IFERROR(INDEX('Master Data Sheet'!$1:$1048576, MATCH(1, ('Master Data Sheet'!$H:$H=N$2) * (INDEX('Master Data Sheet'!$1:$1, , MATCH($F$1, 'Master Data Sheet'!$1:$1, 0)) = $F$1) * ('Master Data Sheet'!$G:$G=$B32) * ('Master Data Sheet'!$F:$F=$E32) * ('Master Data Sheet'!$A:$A=$F32), 0), MATCH($F$1, 'Master Data Sheet'!$1:$1, 0)), "")</f>
        <v>0.25711662075298441</v>
      </c>
      <c r="O32" s="11">
        <f t="shared" si="33"/>
        <v>0.4775022956841139</v>
      </c>
      <c r="P32" s="11">
        <f t="shared" si="4"/>
        <v>0.38858316938729298</v>
      </c>
      <c r="Y32" s="1"/>
      <c r="Z32" s="1"/>
      <c r="AA32" s="1"/>
      <c r="AB32" s="1"/>
      <c r="AC32" s="1"/>
      <c r="AD32" s="1"/>
      <c r="AE32" s="1"/>
      <c r="AF32" s="1"/>
      <c r="AG32" s="1"/>
      <c r="AH32" s="1"/>
      <c r="AI32" s="1"/>
      <c r="AJ32" s="1"/>
      <c r="AK32" s="1"/>
      <c r="AL32" s="1"/>
      <c r="AM32" s="1"/>
      <c r="AN32" s="1"/>
      <c r="AO32" s="1"/>
      <c r="AP32" s="1"/>
      <c r="AQ32" s="1"/>
      <c r="AR32" s="1"/>
      <c r="AS32" s="1"/>
    </row>
    <row r="33" spans="1:45" x14ac:dyDescent="0.35">
      <c r="A33" s="41">
        <f>IFERROR(INDEX('Date Key'!$B$2:$B$19, MATCH(F33,'Date Key'!$A$2:$A$19, 0)), "")</f>
        <v>45250</v>
      </c>
      <c r="B33" s="4">
        <f t="shared" si="0"/>
        <v>4</v>
      </c>
      <c r="C33" s="26" t="str">
        <f>IFERROR(INDEX('Date Key'!$G$57:$G$62, MATCH(B33,'Date Key'!$A$57:$A$62, 0)), "")</f>
        <v>High HLR, Upper Outlet Height, No Plants</v>
      </c>
      <c r="D33" s="4" t="str">
        <f>IFERROR(INDEX('Date Key'!$G$2:$G$19, MATCH(F33, 'Date Key'!$A$2:$A$19, 0)), "")</f>
        <v>Yes</v>
      </c>
      <c r="E33" s="4" t="str">
        <f t="shared" si="1"/>
        <v>tank 1</v>
      </c>
      <c r="F33" s="4">
        <f t="shared" si="2"/>
        <v>10</v>
      </c>
      <c r="G33" s="4">
        <f t="shared" si="3"/>
        <v>1</v>
      </c>
      <c r="H33" s="11" cm="1">
        <f t="array" ref="H33">IFERROR(INDEX('Master Data Sheet'!$1:$1048576, MATCH(1, ('Master Data Sheet'!$H:$H=H$2) * (INDEX('Master Data Sheet'!$1:$1, , MATCH($F$1, 'Master Data Sheet'!$1:$1, 0)) = $F$1) * ('Master Data Sheet'!$G:$G=$B33) * ('Master Data Sheet'!$F:$F=$E33) * ('Master Data Sheet'!$A:$A=$F33), 0), MATCH($F$1, 'Master Data Sheet'!$1:$1, 0)), "")</f>
        <v>0.18186541958950375</v>
      </c>
      <c r="I33" s="11" cm="1">
        <f t="array" ref="I33">IFERROR(INDEX('Master Data Sheet'!$1:$1048576, MATCH(1, ('Master Data Sheet'!$H:$H=I$2) * (INDEX('Master Data Sheet'!$1:$1, , MATCH($F$1, 'Master Data Sheet'!$1:$1, 0)) = $F$1) * ('Master Data Sheet'!$G:$G=$B33) * ('Master Data Sheet'!$F:$F=$E33) * ('Master Data Sheet'!$A:$A=$F33), 0), MATCH($F$1, 'Master Data Sheet'!$1:$1, 0)), "")</f>
        <v>0.12730579371265266</v>
      </c>
      <c r="J33" s="11" cm="1">
        <f t="array" ref="J33">IFERROR(INDEX('Master Data Sheet'!$1:$1048576, MATCH(1, ('Master Data Sheet'!$H:$H=J$2) * (INDEX('Master Data Sheet'!$1:$1, , MATCH($F$1, 'Master Data Sheet'!$1:$1, 0)) = $F$1) * ('Master Data Sheet'!$G:$G=$B33) * ('Master Data Sheet'!$F:$F=$E33) * ('Master Data Sheet'!$A:$A=$F33), 0), MATCH($F$1, 'Master Data Sheet'!$1:$1, 0)), "")</f>
        <v>0</v>
      </c>
      <c r="K33" s="11" cm="1">
        <f t="array" ref="K33">IFERROR(INDEX('Master Data Sheet'!$1:$1048576, MATCH(1, ('Master Data Sheet'!$H:$H=K$2) * (INDEX('Master Data Sheet'!$1:$1, , MATCH($F$1, 'Master Data Sheet'!$1:$1, 0)) = $F$1) * ('Master Data Sheet'!$G:$G=$B33) * ('Master Data Sheet'!$F:$F=$E33) * ('Master Data Sheet'!$A:$A=$F33), 0), MATCH($F$1, 'Master Data Sheet'!$1:$1, 0)), "")</f>
        <v>0</v>
      </c>
      <c r="L33" s="11" cm="1">
        <f t="array" ref="L33">IFERROR(INDEX('Master Data Sheet'!$1:$1048576, MATCH(1, ('Master Data Sheet'!$H:$H=L$2) * (INDEX('Master Data Sheet'!$1:$1, , MATCH($F$1, 'Master Data Sheet'!$1:$1, 0)) = $F$1) * ('Master Data Sheet'!$G:$G=$B33) * ('Master Data Sheet'!$F:$F=$E33) * ('Master Data Sheet'!$A:$A=$F33), 0), MATCH($F$1, 'Master Data Sheet'!$1:$1, 0)), "")</f>
        <v>0</v>
      </c>
      <c r="M33" s="11" cm="1">
        <f t="array" ref="M33">IFERROR(INDEX('Master Data Sheet'!$1:$1048576, MATCH(1, ('Master Data Sheet'!$H:$H=M$2) * (INDEX('Master Data Sheet'!$1:$1, , MATCH($F$1, 'Master Data Sheet'!$1:$1, 0)) = $F$1) * ('Master Data Sheet'!$G:$G=$B33) * ('Master Data Sheet'!$F:$F=$E33) * ('Master Data Sheet'!$A:$A=$F33), 0), MATCH($F$1, 'Master Data Sheet'!$1:$1, 0)), "")</f>
        <v>0</v>
      </c>
      <c r="N33" s="11" cm="1">
        <f t="array" ref="N33">IFERROR(INDEX('Master Data Sheet'!$1:$1048576, MATCH(1, ('Master Data Sheet'!$H:$H=N$2) * (INDEX('Master Data Sheet'!$1:$1, , MATCH($F$1, 'Master Data Sheet'!$1:$1, 0)) = $F$1) * ('Master Data Sheet'!$G:$G=$B33) * ('Master Data Sheet'!$F:$F=$E33) * ('Master Data Sheet'!$A:$A=$F33), 0), MATCH($F$1, 'Master Data Sheet'!$1:$1, 0)), "")</f>
        <v>0.76383476227591585</v>
      </c>
      <c r="O33" s="11">
        <f t="shared" si="33"/>
        <v>0.15328656793972462</v>
      </c>
      <c r="P33" s="11">
        <f t="shared" si="4"/>
        <v>0.27935877071166654</v>
      </c>
      <c r="Q33" s="46">
        <f>(1-(O33/O30))*100</f>
        <v>46.363636363636388</v>
      </c>
      <c r="R33" s="46">
        <f>AVERAGE(Q33:Q35)</f>
        <v>60.738055981958439</v>
      </c>
      <c r="S33" s="46">
        <f>STDEV(Q33:Q35)</f>
        <v>13.24060996924138</v>
      </c>
      <c r="T33" s="47">
        <f>(1-(AVERAGE(H33:N35)/AVERAGE(H30:N32)))*100</f>
        <v>62.967851418874332</v>
      </c>
      <c r="U33" s="47"/>
      <c r="V33" s="47"/>
      <c r="Y33" s="2"/>
      <c r="Z33" s="2"/>
      <c r="AA33" s="2"/>
      <c r="AB33" s="2"/>
      <c r="AC33" s="2"/>
      <c r="AD33" s="2"/>
      <c r="AE33" s="2"/>
      <c r="AF33" s="2"/>
      <c r="AG33" s="2"/>
    </row>
    <row r="34" spans="1:45" x14ac:dyDescent="0.35">
      <c r="A34" s="41">
        <f>IFERROR(INDEX('Date Key'!$B$2:$B$19, MATCH(F34,'Date Key'!$A$2:$A$19, 0)), "")</f>
        <v>45259</v>
      </c>
      <c r="B34" s="4">
        <f t="shared" si="0"/>
        <v>4</v>
      </c>
      <c r="C34" s="26" t="str">
        <f>IFERROR(INDEX('Date Key'!$G$57:$G$62, MATCH(B34,'Date Key'!$A$57:$A$62, 0)), "")</f>
        <v>High HLR, Upper Outlet Height, No Plants</v>
      </c>
      <c r="D34" s="4" t="str">
        <f>IFERROR(INDEX('Date Key'!$G$2:$G$19, MATCH(F34, 'Date Key'!$A$2:$A$19, 0)), "")</f>
        <v>No</v>
      </c>
      <c r="E34" s="4" t="str">
        <f t="shared" si="1"/>
        <v>tank 1</v>
      </c>
      <c r="F34" s="4">
        <f t="shared" si="2"/>
        <v>11</v>
      </c>
      <c r="G34" s="4">
        <f t="shared" si="3"/>
        <v>2</v>
      </c>
      <c r="H34" s="11" cm="1">
        <f t="array" ref="H34">IFERROR(INDEX('Master Data Sheet'!$1:$1048576, MATCH(1, ('Master Data Sheet'!$H:$H=H$2) * (INDEX('Master Data Sheet'!$1:$1, , MATCH($F$1, 'Master Data Sheet'!$1:$1, 0)) = $F$1) * ('Master Data Sheet'!$G:$G=$B34) * ('Master Data Sheet'!$F:$F=$E34) * ('Master Data Sheet'!$A:$A=$F34), 0), MATCH($F$1, 'Master Data Sheet'!$1:$1, 0)), "")</f>
        <v>0.14998469543924089</v>
      </c>
      <c r="I34" s="11" cm="1">
        <f t="array" ref="I34">IFERROR(INDEX('Master Data Sheet'!$1:$1048576, MATCH(1, ('Master Data Sheet'!$H:$H=I$2) * (INDEX('Master Data Sheet'!$1:$1, , MATCH($F$1, 'Master Data Sheet'!$1:$1, 0)) = $F$1) * ('Master Data Sheet'!$G:$G=$B34) * ('Master Data Sheet'!$F:$F=$E34) * ('Master Data Sheet'!$A:$A=$F34), 0), MATCH($F$1, 'Master Data Sheet'!$1:$1, 0)), "")</f>
        <v>0.29996939087848179</v>
      </c>
      <c r="J34" s="11" cm="1">
        <f t="array" ref="J34">IFERROR(INDEX('Master Data Sheet'!$1:$1048576, MATCH(1, ('Master Data Sheet'!$H:$H=J$2) * (INDEX('Master Data Sheet'!$1:$1, , MATCH($F$1, 'Master Data Sheet'!$1:$1, 0)) = $F$1) * ('Master Data Sheet'!$G:$G=$B34) * ('Master Data Sheet'!$F:$F=$E34) * ('Master Data Sheet'!$A:$A=$F34), 0), MATCH($F$1, 'Master Data Sheet'!$1:$1, 0)), "")</f>
        <v>0.25711662075298441</v>
      </c>
      <c r="K34" s="11" cm="1">
        <f t="array" ref="K34">IFERROR(INDEX('Master Data Sheet'!$1:$1048576, MATCH(1, ('Master Data Sheet'!$H:$H=K$2) * (INDEX('Master Data Sheet'!$1:$1, , MATCH($F$1, 'Master Data Sheet'!$1:$1, 0)) = $F$1) * ('Master Data Sheet'!$G:$G=$B34) * ('Master Data Sheet'!$F:$F=$E34) * ('Master Data Sheet'!$A:$A=$F34), 0), MATCH($F$1, 'Master Data Sheet'!$1:$1, 0)), "")</f>
        <v>0.14998469543924089</v>
      </c>
      <c r="L34" s="11" cm="1">
        <f t="array" ref="L34">IFERROR(INDEX('Master Data Sheet'!$1:$1048576, MATCH(1, ('Master Data Sheet'!$H:$H=L$2) * (INDEX('Master Data Sheet'!$1:$1, , MATCH($F$1, 'Master Data Sheet'!$1:$1, 0)) = $F$1) * ('Master Data Sheet'!$G:$G=$B34) * ('Master Data Sheet'!$F:$F=$E34) * ('Master Data Sheet'!$A:$A=$F34), 0), MATCH($F$1, 'Master Data Sheet'!$1:$1, 0)), "")</f>
        <v>0.14998469543924089</v>
      </c>
      <c r="M34" s="11" cm="1">
        <f t="array" ref="M34">IFERROR(INDEX('Master Data Sheet'!$1:$1048576, MATCH(1, ('Master Data Sheet'!$H:$H=M$2) * (INDEX('Master Data Sheet'!$1:$1, , MATCH($F$1, 'Master Data Sheet'!$1:$1, 0)) = $F$1) * ('Master Data Sheet'!$G:$G=$B34) * ('Master Data Sheet'!$F:$F=$E34) * ('Master Data Sheet'!$A:$A=$F34), 0), MATCH($F$1, 'Master Data Sheet'!$1:$1, 0)), "")</f>
        <v>0.2785430058157331</v>
      </c>
      <c r="N34" s="11" cm="1">
        <f t="array" ref="N34">IFERROR(INDEX('Master Data Sheet'!$1:$1048576, MATCH(1, ('Master Data Sheet'!$H:$H=N$2) * (INDEX('Master Data Sheet'!$1:$1, , MATCH($F$1, 'Master Data Sheet'!$1:$1, 0)) = $F$1) * ('Master Data Sheet'!$G:$G=$B34) * ('Master Data Sheet'!$F:$F=$E34) * ('Master Data Sheet'!$A:$A=$F34), 0), MATCH($F$1, 'Master Data Sheet'!$1:$1, 0)), "")</f>
        <v>0</v>
      </c>
      <c r="O34" s="11">
        <f t="shared" si="33"/>
        <v>0.18365472910927455</v>
      </c>
      <c r="P34" s="11">
        <f t="shared" si="4"/>
        <v>0.10413101375103011</v>
      </c>
      <c r="Q34" s="46">
        <f>(1-(O34/O31))*100</f>
        <v>63.414634146341477</v>
      </c>
      <c r="X34" t="str">
        <f>IFERROR(INDEX('Date Key'!$G$57:$G$62, MATCH(B33,'Date Key'!$A$57:$A$62, 0)), "")</f>
        <v>High HLR, Upper Outlet Height, No Plants</v>
      </c>
      <c r="Y34" s="1">
        <f t="shared" ref="Y34:AE34" si="37">H33</f>
        <v>0.18186541958950375</v>
      </c>
      <c r="Z34" s="1">
        <f t="shared" si="37"/>
        <v>0.12730579371265266</v>
      </c>
      <c r="AA34" s="1">
        <f t="shared" si="37"/>
        <v>0</v>
      </c>
      <c r="AB34" s="1">
        <f t="shared" si="37"/>
        <v>0</v>
      </c>
      <c r="AC34" s="1">
        <f t="shared" si="37"/>
        <v>0</v>
      </c>
      <c r="AD34" s="1">
        <f t="shared" si="37"/>
        <v>0</v>
      </c>
      <c r="AE34" s="1">
        <f t="shared" si="37"/>
        <v>0.76383476227591585</v>
      </c>
      <c r="AF34" s="1">
        <f t="shared" ref="AF34:AL34" si="38">H34</f>
        <v>0.14998469543924089</v>
      </c>
      <c r="AG34" s="1">
        <f t="shared" si="38"/>
        <v>0.29996939087848179</v>
      </c>
      <c r="AH34" s="1">
        <f t="shared" si="38"/>
        <v>0.25711662075298441</v>
      </c>
      <c r="AI34" s="1">
        <f t="shared" si="38"/>
        <v>0.14998469543924089</v>
      </c>
      <c r="AJ34" s="1">
        <f t="shared" si="38"/>
        <v>0.14998469543924089</v>
      </c>
      <c r="AK34" s="1">
        <f t="shared" si="38"/>
        <v>0.2785430058157331</v>
      </c>
      <c r="AL34" s="1">
        <f t="shared" si="38"/>
        <v>0</v>
      </c>
      <c r="AM34" s="1">
        <f t="shared" ref="AM34:AS34" si="39">H35</f>
        <v>0.44995408631772271</v>
      </c>
      <c r="AN34" s="1">
        <f t="shared" si="39"/>
        <v>0</v>
      </c>
      <c r="AO34" s="1">
        <f t="shared" si="39"/>
        <v>4.2852770125497402E-2</v>
      </c>
      <c r="AP34" s="1">
        <f t="shared" si="39"/>
        <v>0.19283746556473827</v>
      </c>
      <c r="AQ34" s="1">
        <f t="shared" si="39"/>
        <v>0</v>
      </c>
      <c r="AR34" s="1">
        <f t="shared" si="39"/>
        <v>0.23569023569023567</v>
      </c>
      <c r="AS34" s="1">
        <f t="shared" si="39"/>
        <v>0</v>
      </c>
    </row>
    <row r="35" spans="1:45" x14ac:dyDescent="0.35">
      <c r="A35" s="41">
        <f>IFERROR(INDEX('Date Key'!$B$2:$B$19, MATCH(F35,'Date Key'!$A$2:$A$19, 0)), "")</f>
        <v>45266</v>
      </c>
      <c r="B35" s="4">
        <f t="shared" si="0"/>
        <v>4</v>
      </c>
      <c r="C35" s="26" t="str">
        <f>IFERROR(INDEX('Date Key'!$G$57:$G$62, MATCH(B35,'Date Key'!$A$57:$A$62, 0)), "")</f>
        <v>High HLR, Upper Outlet Height, No Plants</v>
      </c>
      <c r="D35" s="4" t="str">
        <f>IFERROR(INDEX('Date Key'!$G$2:$G$19, MATCH(F35, 'Date Key'!$A$2:$A$19, 0)), "")</f>
        <v>No</v>
      </c>
      <c r="E35" s="4" t="str">
        <f t="shared" si="1"/>
        <v>tank 1</v>
      </c>
      <c r="F35" s="4">
        <f t="shared" si="2"/>
        <v>12</v>
      </c>
      <c r="G35" s="4">
        <f t="shared" si="3"/>
        <v>3</v>
      </c>
      <c r="H35" s="11" cm="1">
        <f t="array" ref="H35">IFERROR(INDEX('Master Data Sheet'!$1:$1048576, MATCH(1, ('Master Data Sheet'!$H:$H=H$2) * (INDEX('Master Data Sheet'!$1:$1, , MATCH($F$1, 'Master Data Sheet'!$1:$1, 0)) = $F$1) * ('Master Data Sheet'!$G:$G=$B35) * ('Master Data Sheet'!$F:$F=$E35) * ('Master Data Sheet'!$A:$A=$F35), 0), MATCH($F$1, 'Master Data Sheet'!$1:$1, 0)), "")</f>
        <v>0.44995408631772271</v>
      </c>
      <c r="I35" s="11" cm="1">
        <f t="array" ref="I35">IFERROR(INDEX('Master Data Sheet'!$1:$1048576, MATCH(1, ('Master Data Sheet'!$H:$H=I$2) * (INDEX('Master Data Sheet'!$1:$1, , MATCH($F$1, 'Master Data Sheet'!$1:$1, 0)) = $F$1) * ('Master Data Sheet'!$G:$G=$B35) * ('Master Data Sheet'!$F:$F=$E35) * ('Master Data Sheet'!$A:$A=$F35), 0), MATCH($F$1, 'Master Data Sheet'!$1:$1, 0)), "")</f>
        <v>0</v>
      </c>
      <c r="J35" s="11" cm="1">
        <f t="array" ref="J35">IFERROR(INDEX('Master Data Sheet'!$1:$1048576, MATCH(1, ('Master Data Sheet'!$H:$H=J$2) * (INDEX('Master Data Sheet'!$1:$1, , MATCH($F$1, 'Master Data Sheet'!$1:$1, 0)) = $F$1) * ('Master Data Sheet'!$G:$G=$B35) * ('Master Data Sheet'!$F:$F=$E35) * ('Master Data Sheet'!$A:$A=$F35), 0), MATCH($F$1, 'Master Data Sheet'!$1:$1, 0)), "")</f>
        <v>4.2852770125497402E-2</v>
      </c>
      <c r="K35" s="11" cm="1">
        <f t="array" ref="K35">IFERROR(INDEX('Master Data Sheet'!$1:$1048576, MATCH(1, ('Master Data Sheet'!$H:$H=K$2) * (INDEX('Master Data Sheet'!$1:$1, , MATCH($F$1, 'Master Data Sheet'!$1:$1, 0)) = $F$1) * ('Master Data Sheet'!$G:$G=$B35) * ('Master Data Sheet'!$F:$F=$E35) * ('Master Data Sheet'!$A:$A=$F35), 0), MATCH($F$1, 'Master Data Sheet'!$1:$1, 0)), "")</f>
        <v>0.19283746556473827</v>
      </c>
      <c r="L35" s="11" cm="1">
        <f t="array" ref="L35">IFERROR(INDEX('Master Data Sheet'!$1:$1048576, MATCH(1, ('Master Data Sheet'!$H:$H=L$2) * (INDEX('Master Data Sheet'!$1:$1, , MATCH($F$1, 'Master Data Sheet'!$1:$1, 0)) = $F$1) * ('Master Data Sheet'!$G:$G=$B35) * ('Master Data Sheet'!$F:$F=$E35) * ('Master Data Sheet'!$A:$A=$F35), 0), MATCH($F$1, 'Master Data Sheet'!$1:$1, 0)), "")</f>
        <v>0</v>
      </c>
      <c r="M35" s="11" cm="1">
        <f t="array" ref="M35">IFERROR(INDEX('Master Data Sheet'!$1:$1048576, MATCH(1, ('Master Data Sheet'!$H:$H=M$2) * (INDEX('Master Data Sheet'!$1:$1, , MATCH($F$1, 'Master Data Sheet'!$1:$1, 0)) = $F$1) * ('Master Data Sheet'!$G:$G=$B35) * ('Master Data Sheet'!$F:$F=$E35) * ('Master Data Sheet'!$A:$A=$F35), 0), MATCH($F$1, 'Master Data Sheet'!$1:$1, 0)), "")</f>
        <v>0.23569023569023567</v>
      </c>
      <c r="N35" s="11" cm="1">
        <f t="array" ref="N35">IFERROR(INDEX('Master Data Sheet'!$1:$1048576, MATCH(1, ('Master Data Sheet'!$H:$H=N$2) * (INDEX('Master Data Sheet'!$1:$1, , MATCH($F$1, 'Master Data Sheet'!$1:$1, 0)) = $F$1) * ('Master Data Sheet'!$G:$G=$B35) * ('Master Data Sheet'!$F:$F=$E35) * ('Master Data Sheet'!$A:$A=$F35), 0), MATCH($F$1, 'Master Data Sheet'!$1:$1, 0)), "")</f>
        <v>0</v>
      </c>
      <c r="O35" s="11">
        <f t="shared" si="33"/>
        <v>0.13161922252831343</v>
      </c>
      <c r="P35" s="11">
        <f t="shared" si="4"/>
        <v>0.17115581441768787</v>
      </c>
      <c r="Q35" s="46">
        <f>(1-(O35/O32))*100</f>
        <v>72.435897435897445</v>
      </c>
      <c r="Y35" s="2"/>
      <c r="Z35" s="2"/>
      <c r="AA35" s="2"/>
      <c r="AB35" s="2"/>
      <c r="AC35" s="2"/>
      <c r="AD35" s="2"/>
      <c r="AE35" s="2"/>
      <c r="AF35" s="2"/>
      <c r="AG35" s="2"/>
    </row>
    <row r="36" spans="1:45" x14ac:dyDescent="0.35">
      <c r="A36" s="41">
        <f>IFERROR(INDEX('Date Key'!$B$2:$B$19, MATCH(F36,'Date Key'!$A$2:$A$19, 0)), "")</f>
        <v>45250</v>
      </c>
      <c r="B36" s="4">
        <f t="shared" ref="B36:B56" si="40">INT((ROW(B34)-1)/9)+1</f>
        <v>4</v>
      </c>
      <c r="C36" s="26" t="str">
        <f>IFERROR(INDEX('Date Key'!$G$57:$G$62, MATCH(B36,'Date Key'!$A$57:$A$62, 0)), "")</f>
        <v>High HLR, Upper Outlet Height, No Plants</v>
      </c>
      <c r="D36" s="4" t="str">
        <f>IFERROR(INDEX('Date Key'!$G$2:$G$19, MATCH(F36, 'Date Key'!$A$2:$A$19, 0)), "")</f>
        <v>Yes</v>
      </c>
      <c r="E36" s="4" t="str">
        <f t="shared" si="1"/>
        <v>tank 2</v>
      </c>
      <c r="F36" s="4">
        <f t="shared" si="2"/>
        <v>10</v>
      </c>
      <c r="G36" s="4">
        <f t="shared" si="3"/>
        <v>1</v>
      </c>
      <c r="H36" s="11" cm="1">
        <f t="array" ref="H36">IFERROR(INDEX('Master Data Sheet'!$1:$1048576, MATCH(1, ('Master Data Sheet'!$H:$H=H$2) * (INDEX('Master Data Sheet'!$1:$1, , MATCH($F$1, 'Master Data Sheet'!$1:$1, 0)) = $F$1) * ('Master Data Sheet'!$G:$G=$B36) * ('Master Data Sheet'!$F:$F=$E36) * ('Master Data Sheet'!$A:$A=$F36), 0), MATCH($F$1, 'Master Data Sheet'!$1:$1, 0)), "")</f>
        <v>0.32735775526110678</v>
      </c>
      <c r="I36" s="11" cm="1">
        <f t="array" ref="I36">IFERROR(INDEX('Master Data Sheet'!$1:$1048576, MATCH(1, ('Master Data Sheet'!$H:$H=I$2) * (INDEX('Master Data Sheet'!$1:$1, , MATCH($F$1, 'Master Data Sheet'!$1:$1, 0)) = $F$1) * ('Master Data Sheet'!$G:$G=$B36) * ('Master Data Sheet'!$F:$F=$E36) * ('Master Data Sheet'!$A:$A=$F36), 0), MATCH($F$1, 'Master Data Sheet'!$1:$1, 0)), "")</f>
        <v>0.32735775526110678</v>
      </c>
      <c r="J36" s="11" cm="1">
        <f t="array" ref="J36">IFERROR(INDEX('Master Data Sheet'!$1:$1048576, MATCH(1, ('Master Data Sheet'!$H:$H=J$2) * (INDEX('Master Data Sheet'!$1:$1, , MATCH($F$1, 'Master Data Sheet'!$1:$1, 0)) = $F$1) * ('Master Data Sheet'!$G:$G=$B36) * ('Master Data Sheet'!$F:$F=$E36) * ('Master Data Sheet'!$A:$A=$F36), 0), MATCH($F$1, 'Master Data Sheet'!$1:$1, 0)), "")</f>
        <v>0</v>
      </c>
      <c r="K36" s="11" cm="1">
        <f t="array" ref="K36">IFERROR(INDEX('Master Data Sheet'!$1:$1048576, MATCH(1, ('Master Data Sheet'!$H:$H=K$2) * (INDEX('Master Data Sheet'!$1:$1, , MATCH($F$1, 'Master Data Sheet'!$1:$1, 0)) = $F$1) * ('Master Data Sheet'!$G:$G=$B36) * ('Master Data Sheet'!$F:$F=$E36) * ('Master Data Sheet'!$A:$A=$F36), 0), MATCH($F$1, 'Master Data Sheet'!$1:$1, 0)), "")</f>
        <v>0</v>
      </c>
      <c r="L36" s="11" cm="1">
        <f t="array" ref="L36">IFERROR(INDEX('Master Data Sheet'!$1:$1048576, MATCH(1, ('Master Data Sheet'!$H:$H=L$2) * (INDEX('Master Data Sheet'!$1:$1, , MATCH($F$1, 'Master Data Sheet'!$1:$1, 0)) = $F$1) * ('Master Data Sheet'!$G:$G=$B36) * ('Master Data Sheet'!$F:$F=$E36) * ('Master Data Sheet'!$A:$A=$F36), 0), MATCH($F$1, 'Master Data Sheet'!$1:$1, 0)), "")</f>
        <v>0.14549233567160302</v>
      </c>
      <c r="M36" s="11" cm="1">
        <f t="array" ref="M36">IFERROR(INDEX('Master Data Sheet'!$1:$1048576, MATCH(1, ('Master Data Sheet'!$H:$H=M$2) * (INDEX('Master Data Sheet'!$1:$1, , MATCH($F$1, 'Master Data Sheet'!$1:$1, 0)) = $F$1) * ('Master Data Sheet'!$G:$G=$B36) * ('Master Data Sheet'!$F:$F=$E36) * ('Master Data Sheet'!$A:$A=$F36), 0), MATCH($F$1, 'Master Data Sheet'!$1:$1, 0)), "")</f>
        <v>0</v>
      </c>
      <c r="N36" s="11" cm="1">
        <f t="array" ref="N36">IFERROR(INDEX('Master Data Sheet'!$1:$1048576, MATCH(1, ('Master Data Sheet'!$H:$H=N$2) * (INDEX('Master Data Sheet'!$1:$1, , MATCH($F$1, 'Master Data Sheet'!$1:$1, 0)) = $F$1) * ('Master Data Sheet'!$G:$G=$B36) * ('Master Data Sheet'!$F:$F=$E36) * ('Master Data Sheet'!$A:$A=$F36), 0), MATCH($F$1, 'Master Data Sheet'!$1:$1, 0)), "")</f>
        <v>0</v>
      </c>
      <c r="O36" s="11">
        <f t="shared" si="33"/>
        <v>0.11431540659911665</v>
      </c>
      <c r="P36" s="11">
        <f t="shared" si="4"/>
        <v>0.1549290882398085</v>
      </c>
      <c r="Q36" s="46">
        <f>(1-(O36/O30))*100</f>
        <v>60.000000000000007</v>
      </c>
      <c r="R36" s="46">
        <f>AVERAGE(Q36:Q38)</f>
        <v>39.215134459036896</v>
      </c>
      <c r="S36" s="46">
        <f>STDEV(Q36:Q38)</f>
        <v>44.235957084288977</v>
      </c>
      <c r="T36" s="47">
        <f>(1-(AVERAGE(H36:N38)/AVERAGE(H30:N32)))*100</f>
        <v>35.082681248232319</v>
      </c>
      <c r="U36" s="47"/>
      <c r="V36" s="47"/>
      <c r="Y36" s="2"/>
      <c r="Z36" s="2"/>
      <c r="AA36" s="2"/>
      <c r="AB36" s="2"/>
      <c r="AC36" s="2"/>
      <c r="AD36" s="2"/>
      <c r="AE36" s="2"/>
      <c r="AF36" s="2"/>
      <c r="AG36" s="2"/>
    </row>
    <row r="37" spans="1:45" x14ac:dyDescent="0.35">
      <c r="A37" s="41">
        <f>IFERROR(INDEX('Date Key'!$B$2:$B$19, MATCH(F37,'Date Key'!$A$2:$A$19, 0)), "")</f>
        <v>45259</v>
      </c>
      <c r="B37" s="4">
        <f t="shared" si="40"/>
        <v>4</v>
      </c>
      <c r="C37" s="26" t="str">
        <f>IFERROR(INDEX('Date Key'!$G$57:$G$62, MATCH(B37,'Date Key'!$A$57:$A$62, 0)), "")</f>
        <v>High HLR, Upper Outlet Height, No Plants</v>
      </c>
      <c r="D37" s="4" t="str">
        <f>IFERROR(INDEX('Date Key'!$G$2:$G$19, MATCH(F37, 'Date Key'!$A$2:$A$19, 0)), "")</f>
        <v>No</v>
      </c>
      <c r="E37" s="4" t="str">
        <f t="shared" si="1"/>
        <v>tank 2</v>
      </c>
      <c r="F37" s="4">
        <f t="shared" si="2"/>
        <v>11</v>
      </c>
      <c r="G37" s="4">
        <f t="shared" si="3"/>
        <v>2</v>
      </c>
      <c r="H37" s="11" cm="1">
        <f t="array" ref="H37">IFERROR(INDEX('Master Data Sheet'!$1:$1048576, MATCH(1, ('Master Data Sheet'!$H:$H=H$2) * (INDEX('Master Data Sheet'!$1:$1, , MATCH($F$1, 'Master Data Sheet'!$1:$1, 0)) = $F$1) * ('Master Data Sheet'!$G:$G=$B37) * ('Master Data Sheet'!$F:$F=$E37) * ('Master Data Sheet'!$A:$A=$F37), 0), MATCH($F$1, 'Master Data Sheet'!$1:$1, 0)), "")</f>
        <v>0.34282216100397922</v>
      </c>
      <c r="I37" s="11" cm="1">
        <f t="array" ref="I37">IFERROR(INDEX('Master Data Sheet'!$1:$1048576, MATCH(1, ('Master Data Sheet'!$H:$H=I$2) * (INDEX('Master Data Sheet'!$1:$1, , MATCH($F$1, 'Master Data Sheet'!$1:$1, 0)) = $F$1) * ('Master Data Sheet'!$G:$G=$B37) * ('Master Data Sheet'!$F:$F=$E37) * ('Master Data Sheet'!$A:$A=$F37), 0), MATCH($F$1, 'Master Data Sheet'!$1:$1, 0)), "")</f>
        <v>1.6284052647689009</v>
      </c>
      <c r="J37" s="11" cm="1">
        <f t="array" ref="J37">IFERROR(INDEX('Master Data Sheet'!$1:$1048576, MATCH(1, ('Master Data Sheet'!$H:$H=J$2) * (INDEX('Master Data Sheet'!$1:$1, , MATCH($F$1, 'Master Data Sheet'!$1:$1, 0)) = $F$1) * ('Master Data Sheet'!$G:$G=$B37) * ('Master Data Sheet'!$F:$F=$E37) * ('Master Data Sheet'!$A:$A=$F37), 0), MATCH($F$1, 'Master Data Sheet'!$1:$1, 0)), "")</f>
        <v>0.32139577594123048</v>
      </c>
      <c r="K37" s="11" cm="1">
        <f t="array" ref="K37">IFERROR(INDEX('Master Data Sheet'!$1:$1048576, MATCH(1, ('Master Data Sheet'!$H:$H=K$2) * (INDEX('Master Data Sheet'!$1:$1, , MATCH($F$1, 'Master Data Sheet'!$1:$1, 0)) = $F$1) * ('Master Data Sheet'!$G:$G=$B37) * ('Master Data Sheet'!$F:$F=$E37) * ('Master Data Sheet'!$A:$A=$F37), 0), MATCH($F$1, 'Master Data Sheet'!$1:$1, 0)), "")</f>
        <v>0.68564432200795844</v>
      </c>
      <c r="L37" s="11" cm="1">
        <f t="array" ref="L37">IFERROR(INDEX('Master Data Sheet'!$1:$1048576, MATCH(1, ('Master Data Sheet'!$H:$H=L$2) * (INDEX('Master Data Sheet'!$1:$1, , MATCH($F$1, 'Master Data Sheet'!$1:$1, 0)) = $F$1) * ('Master Data Sheet'!$G:$G=$B37) * ('Master Data Sheet'!$F:$F=$E37) * ('Master Data Sheet'!$A:$A=$F37), 0), MATCH($F$1, 'Master Data Sheet'!$1:$1, 0)), "")</f>
        <v>0</v>
      </c>
      <c r="M37" s="11" cm="1">
        <f t="array" ref="M37">IFERROR(INDEX('Master Data Sheet'!$1:$1048576, MATCH(1, ('Master Data Sheet'!$H:$H=M$2) * (INDEX('Master Data Sheet'!$1:$1, , MATCH($F$1, 'Master Data Sheet'!$1:$1, 0)) = $F$1) * ('Master Data Sheet'!$G:$G=$B37) * ('Master Data Sheet'!$F:$F=$E37) * ('Master Data Sheet'!$A:$A=$F37), 0), MATCH($F$1, 'Master Data Sheet'!$1:$1, 0)), "")</f>
        <v>0.64279155188246095</v>
      </c>
      <c r="N37" s="11" cm="1">
        <f t="array" ref="N37">IFERROR(INDEX('Master Data Sheet'!$1:$1048576, MATCH(1, ('Master Data Sheet'!$H:$H=N$2) * (INDEX('Master Data Sheet'!$1:$1, , MATCH($F$1, 'Master Data Sheet'!$1:$1, 0)) = $F$1) * ('Master Data Sheet'!$G:$G=$B37) * ('Master Data Sheet'!$F:$F=$E37) * ('Master Data Sheet'!$A:$A=$F37), 0), MATCH($F$1, 'Master Data Sheet'!$1:$1, 0)), "")</f>
        <v>0.29996939087848179</v>
      </c>
      <c r="O37" s="11">
        <f t="shared" si="33"/>
        <v>0.56014692378328745</v>
      </c>
      <c r="P37" s="11">
        <f t="shared" si="4"/>
        <v>0.52431617410449349</v>
      </c>
      <c r="Q37" s="46">
        <f>(1-(O37/O31))*100</f>
        <v>-11.585365853658548</v>
      </c>
      <c r="X37" t="str">
        <f>IFERROR(INDEX('Date Key'!$G$57:$G$62, MATCH(B36,'Date Key'!$A$57:$A$62, 0)), "")</f>
        <v>High HLR, Upper Outlet Height, No Plants</v>
      </c>
      <c r="Y37" s="1">
        <f t="shared" ref="Y37:AE37" si="41">H36</f>
        <v>0.32735775526110678</v>
      </c>
      <c r="Z37" s="1">
        <f t="shared" si="41"/>
        <v>0.32735775526110678</v>
      </c>
      <c r="AA37" s="1">
        <f t="shared" si="41"/>
        <v>0</v>
      </c>
      <c r="AB37" s="1">
        <f t="shared" si="41"/>
        <v>0</v>
      </c>
      <c r="AC37" s="1">
        <f t="shared" si="41"/>
        <v>0.14549233567160302</v>
      </c>
      <c r="AD37" s="1">
        <f t="shared" si="41"/>
        <v>0</v>
      </c>
      <c r="AE37" s="1">
        <f t="shared" si="41"/>
        <v>0</v>
      </c>
      <c r="AF37" s="1">
        <f t="shared" ref="AF37:AL37" si="42">H37</f>
        <v>0.34282216100397922</v>
      </c>
      <c r="AG37" s="1">
        <f t="shared" si="42"/>
        <v>1.6284052647689009</v>
      </c>
      <c r="AH37" s="1">
        <f t="shared" si="42"/>
        <v>0.32139577594123048</v>
      </c>
      <c r="AI37" s="1">
        <f t="shared" si="42"/>
        <v>0.68564432200795844</v>
      </c>
      <c r="AJ37" s="1">
        <f t="shared" si="42"/>
        <v>0</v>
      </c>
      <c r="AK37" s="1">
        <f t="shared" si="42"/>
        <v>0.64279155188246095</v>
      </c>
      <c r="AL37" s="1">
        <f t="shared" si="42"/>
        <v>0.29996939087848179</v>
      </c>
      <c r="AM37" s="1">
        <f t="shared" ref="AM37:AS37" si="43">H38</f>
        <v>0.6642179369452097</v>
      </c>
      <c r="AN37" s="1">
        <f t="shared" si="43"/>
        <v>0.36424854606672796</v>
      </c>
      <c r="AO37" s="1">
        <f t="shared" si="43"/>
        <v>0</v>
      </c>
      <c r="AP37" s="1">
        <f t="shared" si="43"/>
        <v>0</v>
      </c>
      <c r="AQ37" s="1">
        <f t="shared" si="43"/>
        <v>0</v>
      </c>
      <c r="AR37" s="1">
        <f t="shared" si="43"/>
        <v>0</v>
      </c>
      <c r="AS37" s="1">
        <f t="shared" si="43"/>
        <v>0</v>
      </c>
    </row>
    <row r="38" spans="1:45" x14ac:dyDescent="0.35">
      <c r="A38" s="42">
        <f>IFERROR(INDEX('Date Key'!$B$2:$B$19, MATCH(F38,'Date Key'!$A$2:$A$19, 0)), "")</f>
        <v>45266</v>
      </c>
      <c r="B38" s="27">
        <f t="shared" si="40"/>
        <v>4</v>
      </c>
      <c r="C38" s="51" t="str">
        <f>IFERROR(INDEX('Date Key'!$G$57:$G$62, MATCH(B38,'Date Key'!$A$57:$A$62, 0)), "")</f>
        <v>High HLR, Upper Outlet Height, No Plants</v>
      </c>
      <c r="D38" s="27" t="str">
        <f>IFERROR(INDEX('Date Key'!$G$2:$G$19, MATCH(F38, 'Date Key'!$A$2:$A$19, 0)), "")</f>
        <v>No</v>
      </c>
      <c r="E38" s="27" t="str">
        <f t="shared" si="1"/>
        <v>tank 2</v>
      </c>
      <c r="F38" s="27">
        <f t="shared" si="2"/>
        <v>12</v>
      </c>
      <c r="G38" s="27">
        <f t="shared" si="3"/>
        <v>3</v>
      </c>
      <c r="H38" s="28" cm="1">
        <f t="array" ref="H38">IFERROR(INDEX('Master Data Sheet'!$1:$1048576, MATCH(1, ('Master Data Sheet'!$H:$H=H$2) * (INDEX('Master Data Sheet'!$1:$1, , MATCH($F$1, 'Master Data Sheet'!$1:$1, 0)) = $F$1) * ('Master Data Sheet'!$G:$G=$B38) * ('Master Data Sheet'!$F:$F=$E38) * ('Master Data Sheet'!$A:$A=$F38), 0), MATCH($F$1, 'Master Data Sheet'!$1:$1, 0)), "")</f>
        <v>0.6642179369452097</v>
      </c>
      <c r="I38" s="28" cm="1">
        <f t="array" ref="I38">IFERROR(INDEX('Master Data Sheet'!$1:$1048576, MATCH(1, ('Master Data Sheet'!$H:$H=I$2) * (INDEX('Master Data Sheet'!$1:$1, , MATCH($F$1, 'Master Data Sheet'!$1:$1, 0)) = $F$1) * ('Master Data Sheet'!$G:$G=$B38) * ('Master Data Sheet'!$F:$F=$E38) * ('Master Data Sheet'!$A:$A=$F38), 0), MATCH($F$1, 'Master Data Sheet'!$1:$1, 0)), "")</f>
        <v>0.36424854606672796</v>
      </c>
      <c r="J38" s="28" cm="1">
        <f t="array" ref="J38">IFERROR(INDEX('Master Data Sheet'!$1:$1048576, MATCH(1, ('Master Data Sheet'!$H:$H=J$2) * (INDEX('Master Data Sheet'!$1:$1, , MATCH($F$1, 'Master Data Sheet'!$1:$1, 0)) = $F$1) * ('Master Data Sheet'!$G:$G=$B38) * ('Master Data Sheet'!$F:$F=$E38) * ('Master Data Sheet'!$A:$A=$F38), 0), MATCH($F$1, 'Master Data Sheet'!$1:$1, 0)), "")</f>
        <v>0</v>
      </c>
      <c r="K38" s="28" cm="1">
        <f t="array" ref="K38">IFERROR(INDEX('Master Data Sheet'!$1:$1048576, MATCH(1, ('Master Data Sheet'!$H:$H=K$2) * (INDEX('Master Data Sheet'!$1:$1, , MATCH($F$1, 'Master Data Sheet'!$1:$1, 0)) = $F$1) * ('Master Data Sheet'!$G:$G=$B38) * ('Master Data Sheet'!$F:$F=$E38) * ('Master Data Sheet'!$A:$A=$F38), 0), MATCH($F$1, 'Master Data Sheet'!$1:$1, 0)), "")</f>
        <v>0</v>
      </c>
      <c r="L38" s="28" cm="1">
        <f t="array" ref="L38">IFERROR(INDEX('Master Data Sheet'!$1:$1048576, MATCH(1, ('Master Data Sheet'!$H:$H=L$2) * (INDEX('Master Data Sheet'!$1:$1, , MATCH($F$1, 'Master Data Sheet'!$1:$1, 0)) = $F$1) * ('Master Data Sheet'!$G:$G=$B38) * ('Master Data Sheet'!$F:$F=$E38) * ('Master Data Sheet'!$A:$A=$F38), 0), MATCH($F$1, 'Master Data Sheet'!$1:$1, 0)), "")</f>
        <v>0</v>
      </c>
      <c r="M38" s="28" cm="1">
        <f t="array" ref="M38">IFERROR(INDEX('Master Data Sheet'!$1:$1048576, MATCH(1, ('Master Data Sheet'!$H:$H=M$2) * (INDEX('Master Data Sheet'!$1:$1, , MATCH($F$1, 'Master Data Sheet'!$1:$1, 0)) = $F$1) * ('Master Data Sheet'!$G:$G=$B38) * ('Master Data Sheet'!$F:$F=$E38) * ('Master Data Sheet'!$A:$A=$F38), 0), MATCH($F$1, 'Master Data Sheet'!$1:$1, 0)), "")</f>
        <v>0</v>
      </c>
      <c r="N38" s="28" cm="1">
        <f t="array" ref="N38">IFERROR(INDEX('Master Data Sheet'!$1:$1048576, MATCH(1, ('Master Data Sheet'!$H:$H=N$2) * (INDEX('Master Data Sheet'!$1:$1, , MATCH($F$1, 'Master Data Sheet'!$1:$1, 0)) = $F$1) * ('Master Data Sheet'!$G:$G=$B38) * ('Master Data Sheet'!$F:$F=$E38) * ('Master Data Sheet'!$A:$A=$F38), 0), MATCH($F$1, 'Master Data Sheet'!$1:$1, 0)), "")</f>
        <v>0</v>
      </c>
      <c r="O38" s="28">
        <f t="shared" si="33"/>
        <v>0.14692378328741967</v>
      </c>
      <c r="P38" s="28">
        <f t="shared" si="4"/>
        <v>0.26544185942281695</v>
      </c>
      <c r="Q38" s="48">
        <f>(1-(O38/O32))*100</f>
        <v>69.230769230769226</v>
      </c>
      <c r="R38" s="27"/>
      <c r="S38" s="27"/>
      <c r="T38" s="27"/>
      <c r="U38" s="27"/>
      <c r="V38" s="27"/>
    </row>
    <row r="39" spans="1:45" x14ac:dyDescent="0.35">
      <c r="A39" s="41">
        <f>IFERROR(INDEX('Date Key'!$B$2:$B$19, MATCH(F39,'Date Key'!$A$2:$A$19, 0)), "")</f>
        <v>45313</v>
      </c>
      <c r="B39" s="4">
        <f t="shared" si="40"/>
        <v>5</v>
      </c>
      <c r="C39" s="26" t="str">
        <f>IFERROR(INDEX('Date Key'!$G$57:$G$62, MATCH(B39,'Date Key'!$A$57:$A$62, 0)), "")</f>
        <v>High HLR, Lower Outlet Height, Yes Plants</v>
      </c>
      <c r="D39" s="4" t="str">
        <f>IFERROR(INDEX('Date Key'!$G$2:$G$19, MATCH(F39, 'Date Key'!$A$2:$A$19, 0)), "")</f>
        <v>Yes</v>
      </c>
      <c r="E39" s="4" t="str">
        <f t="shared" si="1"/>
        <v>in</v>
      </c>
      <c r="F39" s="4">
        <f t="shared" si="2"/>
        <v>13</v>
      </c>
      <c r="G39" s="4">
        <f t="shared" si="3"/>
        <v>1</v>
      </c>
      <c r="H39" s="11" cm="1">
        <f t="array" ref="H39">IFERROR(INDEX('Master Data Sheet'!$1:$1048576, MATCH(1, ('Master Data Sheet'!$H:$H=H$2) * (INDEX('Master Data Sheet'!$1:$1, , MATCH($F$1, 'Master Data Sheet'!$1:$1, 0)) = $F$1) * ('Master Data Sheet'!$G:$G=$B39) * ('Master Data Sheet'!$F:$F=$E39) * ('Master Data Sheet'!$A:$A=$F39), 0), MATCH($F$1, 'Master Data Sheet'!$1:$1, 0)), "")</f>
        <v>0.87726467783680695</v>
      </c>
      <c r="I39" s="11" cm="1">
        <f t="array" ref="I39">IFERROR(INDEX('Master Data Sheet'!$1:$1048576, MATCH(1, ('Master Data Sheet'!$H:$H=I$2) * (INDEX('Master Data Sheet'!$1:$1, , MATCH($F$1, 'Master Data Sheet'!$1:$1, 0)) = $F$1) * ('Master Data Sheet'!$G:$G=$B39) * ('Master Data Sheet'!$F:$F=$E39) * ('Master Data Sheet'!$A:$A=$F39), 0), MATCH($F$1, 'Master Data Sheet'!$1:$1, 0)), "")</f>
        <v>0.68655496526358795</v>
      </c>
      <c r="J39" s="11" cm="1">
        <f t="array" ref="J39">IFERROR(INDEX('Master Data Sheet'!$1:$1048576, MATCH(1, ('Master Data Sheet'!$H:$H=J$2) * (INDEX('Master Data Sheet'!$1:$1, , MATCH($F$1, 'Master Data Sheet'!$1:$1, 0)) = $F$1) * ('Master Data Sheet'!$G:$G=$B39) * ('Master Data Sheet'!$F:$F=$E39) * ('Master Data Sheet'!$A:$A=$F39), 0), MATCH($F$1, 'Master Data Sheet'!$1:$1, 0)), "")</f>
        <v>0.65794850837760532</v>
      </c>
      <c r="K39" s="11" cm="1">
        <f t="array" ref="K39">IFERROR(INDEX('Master Data Sheet'!$1:$1048576, MATCH(1, ('Master Data Sheet'!$H:$H=K$2) * (INDEX('Master Data Sheet'!$1:$1, , MATCH($F$1, 'Master Data Sheet'!$1:$1, 0)) = $F$1) * ('Master Data Sheet'!$G:$G=$B39) * ('Master Data Sheet'!$F:$F=$E39) * ('Master Data Sheet'!$A:$A=$F39), 0), MATCH($F$1, 'Master Data Sheet'!$1:$1, 0)), "")</f>
        <v>0.61027108023430054</v>
      </c>
      <c r="L39" s="11" cm="1">
        <f t="array" ref="L39">IFERROR(INDEX('Master Data Sheet'!$1:$1048576, MATCH(1, ('Master Data Sheet'!$H:$H=L$2) * (INDEX('Master Data Sheet'!$1:$1, , MATCH($F$1, 'Master Data Sheet'!$1:$1, 0)) = $F$1) * ('Master Data Sheet'!$G:$G=$B39) * ('Master Data Sheet'!$F:$F=$E39) * ('Master Data Sheet'!$A:$A=$F39), 0), MATCH($F$1, 'Master Data Sheet'!$1:$1, 0)), "")</f>
        <v>0.54352268083367394</v>
      </c>
      <c r="M39" s="11" cm="1">
        <f t="array" ref="M39">IFERROR(INDEX('Master Data Sheet'!$1:$1048576, MATCH(1, ('Master Data Sheet'!$H:$H=M$2) * (INDEX('Master Data Sheet'!$1:$1, , MATCH($F$1, 'Master Data Sheet'!$1:$1, 0)) = $F$1) * ('Master Data Sheet'!$G:$G=$B39) * ('Master Data Sheet'!$F:$F=$E39) * ('Master Data Sheet'!$A:$A=$F39), 0), MATCH($F$1, 'Master Data Sheet'!$1:$1, 0)), "")</f>
        <v>0.44816782454706444</v>
      </c>
      <c r="N39" s="11" cm="1">
        <f t="array" ref="N39">IFERROR(INDEX('Master Data Sheet'!$1:$1048576, MATCH(1, ('Master Data Sheet'!$H:$H=N$2) * (INDEX('Master Data Sheet'!$1:$1, , MATCH($F$1, 'Master Data Sheet'!$1:$1, 0)) = $F$1) * ('Master Data Sheet'!$G:$G=$B39) * ('Master Data Sheet'!$F:$F=$E39) * ('Master Data Sheet'!$A:$A=$F39), 0), MATCH($F$1, 'Master Data Sheet'!$1:$1, 0)), "")</f>
        <v>0.40049039640375977</v>
      </c>
      <c r="O39" s="11">
        <f t="shared" si="33"/>
        <v>0.60346001907097124</v>
      </c>
      <c r="P39" s="11">
        <f t="shared" si="4"/>
        <v>0.16010099166172881</v>
      </c>
      <c r="R39" s="11">
        <f>AVERAGE(O39:O41)</f>
        <v>0.24656041411251869</v>
      </c>
      <c r="S39" s="11">
        <f>AVERAGE(P39:P41)</f>
        <v>6.5135300401692575E-2</v>
      </c>
      <c r="U39" s="47">
        <f>AVERAGE(T42, T45)</f>
        <v>-9.4843462246776813</v>
      </c>
      <c r="V39" s="47">
        <f>STDEV(T42,T45)</f>
        <v>36.332005884170677</v>
      </c>
      <c r="X39" t="s">
        <v>343</v>
      </c>
    </row>
    <row r="40" spans="1:45" x14ac:dyDescent="0.35">
      <c r="A40" s="41">
        <f>IFERROR(INDEX('Date Key'!$B$2:$B$19, MATCH(F40,'Date Key'!$A$2:$A$19, 0)), "")</f>
        <v>45322</v>
      </c>
      <c r="B40" s="4">
        <f t="shared" si="40"/>
        <v>5</v>
      </c>
      <c r="C40" s="26" t="str">
        <f>IFERROR(INDEX('Date Key'!$G$57:$G$62, MATCH(B40,'Date Key'!$A$57:$A$62, 0)), "")</f>
        <v>High HLR, Lower Outlet Height, Yes Plants</v>
      </c>
      <c r="D40" s="4" t="str">
        <f>IFERROR(INDEX('Date Key'!$G$2:$G$19, MATCH(F40, 'Date Key'!$A$2:$A$19, 0)), "")</f>
        <v>No</v>
      </c>
      <c r="E40" s="4" t="str">
        <f t="shared" si="1"/>
        <v>in</v>
      </c>
      <c r="F40" s="4">
        <f t="shared" si="2"/>
        <v>14</v>
      </c>
      <c r="G40" s="4">
        <f t="shared" si="3"/>
        <v>2</v>
      </c>
      <c r="H40" s="11" cm="1">
        <f t="array" ref="H40">IFERROR(INDEX('Master Data Sheet'!$1:$1048576, MATCH(1, ('Master Data Sheet'!$H:$H=H$2) * (INDEX('Master Data Sheet'!$1:$1, , MATCH($F$1, 'Master Data Sheet'!$1:$1, 0)) = $F$1) * ('Master Data Sheet'!$G:$G=$B40) * ('Master Data Sheet'!$F:$F=$E40) * ('Master Data Sheet'!$A:$A=$F40), 0), MATCH($F$1, 'Master Data Sheet'!$1:$1, 0)), "")</f>
        <v>0.13349679880125323</v>
      </c>
      <c r="I40" s="11" cm="1">
        <f t="array" ref="I40">IFERROR(INDEX('Master Data Sheet'!$1:$1048576, MATCH(1, ('Master Data Sheet'!$H:$H=I$2) * (INDEX('Master Data Sheet'!$1:$1, , MATCH($F$1, 'Master Data Sheet'!$1:$1, 0)) = $F$1) * ('Master Data Sheet'!$G:$G=$B40) * ('Master Data Sheet'!$F:$F=$E40) * ('Master Data Sheet'!$A:$A=$F40), 0), MATCH($F$1, 'Master Data Sheet'!$1:$1, 0)), "")</f>
        <v>9.5354856286609446E-2</v>
      </c>
      <c r="J40" s="11" cm="1">
        <f t="array" ref="J40">IFERROR(INDEX('Master Data Sheet'!$1:$1048576, MATCH(1, ('Master Data Sheet'!$H:$H=J$2) * (INDEX('Master Data Sheet'!$1:$1, , MATCH($F$1, 'Master Data Sheet'!$1:$1, 0)) = $F$1) * ('Master Data Sheet'!$G:$G=$B40) * ('Master Data Sheet'!$F:$F=$E40) * ('Master Data Sheet'!$A:$A=$F40), 0), MATCH($F$1, 'Master Data Sheet'!$1:$1, 0)), "")</f>
        <v>0.13349679880125323</v>
      </c>
      <c r="K40" s="11" cm="1">
        <f t="array" ref="K40">IFERROR(INDEX('Master Data Sheet'!$1:$1048576, MATCH(1, ('Master Data Sheet'!$H:$H=K$2) * (INDEX('Master Data Sheet'!$1:$1, , MATCH($F$1, 'Master Data Sheet'!$1:$1, 0)) = $F$1) * ('Master Data Sheet'!$G:$G=$B40) * ('Master Data Sheet'!$F:$F=$E40) * ('Master Data Sheet'!$A:$A=$F40), 0), MATCH($F$1, 'Master Data Sheet'!$1:$1, 0)), "")</f>
        <v>0.12396131317259229</v>
      </c>
      <c r="L40" s="11" cm="1">
        <f t="array" ref="L40">IFERROR(INDEX('Master Data Sheet'!$1:$1048576, MATCH(1, ('Master Data Sheet'!$H:$H=L$2) * (INDEX('Master Data Sheet'!$1:$1, , MATCH($F$1, 'Master Data Sheet'!$1:$1, 0)) = $F$1) * ('Master Data Sheet'!$G:$G=$B40) * ('Master Data Sheet'!$F:$F=$E40) * ('Master Data Sheet'!$A:$A=$F40), 0), MATCH($F$1, 'Master Data Sheet'!$1:$1, 0)), "")</f>
        <v>0.13349679880125323</v>
      </c>
      <c r="M40" s="11" cm="1">
        <f t="array" ref="M40">IFERROR(INDEX('Master Data Sheet'!$1:$1048576, MATCH(1, ('Master Data Sheet'!$H:$H=M$2) * (INDEX('Master Data Sheet'!$1:$1, , MATCH($F$1, 'Master Data Sheet'!$1:$1, 0)) = $F$1) * ('Master Data Sheet'!$G:$G=$B40) * ('Master Data Sheet'!$F:$F=$E40) * ('Master Data Sheet'!$A:$A=$F40), 0), MATCH($F$1, 'Master Data Sheet'!$1:$1, 0)), "")</f>
        <v>0.13349679880125323</v>
      </c>
      <c r="N40" s="11" cm="1">
        <f t="array" ref="N40">IFERROR(INDEX('Master Data Sheet'!$1:$1048576, MATCH(1, ('Master Data Sheet'!$H:$H=N$2) * (INDEX('Master Data Sheet'!$1:$1, , MATCH($F$1, 'Master Data Sheet'!$1:$1, 0)) = $F$1) * ('Master Data Sheet'!$G:$G=$B40) * ('Master Data Sheet'!$F:$F=$E40) * ('Master Data Sheet'!$A:$A=$F40), 0), MATCH($F$1, 'Master Data Sheet'!$1:$1, 0)), "")</f>
        <v>0.15256777005857514</v>
      </c>
      <c r="O40" s="11">
        <f t="shared" si="33"/>
        <v>0.12941016210325568</v>
      </c>
      <c r="P40" s="11">
        <f t="shared" si="4"/>
        <v>1.7284535540729454E-2</v>
      </c>
      <c r="X40" t="str">
        <f>IFERROR(INDEX('Date Key'!$G$57:$G$62, MATCH(B39,'Date Key'!$A$57:$A$62, 0)), "")</f>
        <v>High HLR, Lower Outlet Height, Yes Plants</v>
      </c>
      <c r="Y40" s="1">
        <f t="shared" ref="Y40:AE40" si="44">H39</f>
        <v>0.87726467783680695</v>
      </c>
      <c r="Z40" s="1">
        <f t="shared" si="44"/>
        <v>0.68655496526358795</v>
      </c>
      <c r="AA40" s="1">
        <f t="shared" si="44"/>
        <v>0.65794850837760532</v>
      </c>
      <c r="AB40" s="1">
        <f t="shared" si="44"/>
        <v>0.61027108023430054</v>
      </c>
      <c r="AC40" s="1">
        <f t="shared" si="44"/>
        <v>0.54352268083367394</v>
      </c>
      <c r="AD40" s="1">
        <f t="shared" si="44"/>
        <v>0.44816782454706444</v>
      </c>
      <c r="AE40" s="1">
        <f t="shared" si="44"/>
        <v>0.40049039640375977</v>
      </c>
      <c r="AF40" s="1">
        <f t="shared" ref="AF40:AL40" si="45">H40</f>
        <v>0.13349679880125323</v>
      </c>
      <c r="AG40" s="1">
        <f t="shared" si="45"/>
        <v>9.5354856286609446E-2</v>
      </c>
      <c r="AH40" s="1">
        <f t="shared" si="45"/>
        <v>0.13349679880125323</v>
      </c>
      <c r="AI40" s="1">
        <f t="shared" si="45"/>
        <v>0.12396131317259229</v>
      </c>
      <c r="AJ40" s="1">
        <f t="shared" si="45"/>
        <v>0.13349679880125323</v>
      </c>
      <c r="AK40" s="1">
        <f t="shared" si="45"/>
        <v>0.13349679880125323</v>
      </c>
      <c r="AL40" s="1">
        <f t="shared" si="45"/>
        <v>0.15256777005857514</v>
      </c>
      <c r="AM40" s="1">
        <f t="shared" ref="AM40:AS40" si="46">H41</f>
        <v>0</v>
      </c>
      <c r="AN40" s="1">
        <f t="shared" si="46"/>
        <v>4.7677428143304723E-2</v>
      </c>
      <c r="AO40" s="1">
        <f t="shared" si="46"/>
        <v>0</v>
      </c>
      <c r="AP40" s="1">
        <f t="shared" si="46"/>
        <v>0</v>
      </c>
      <c r="AQ40" s="1">
        <f t="shared" si="46"/>
        <v>0</v>
      </c>
      <c r="AR40" s="1">
        <f t="shared" si="46"/>
        <v>0</v>
      </c>
      <c r="AS40" s="1">
        <f t="shared" si="46"/>
        <v>0</v>
      </c>
    </row>
    <row r="41" spans="1:45" x14ac:dyDescent="0.35">
      <c r="A41" s="41">
        <f>IFERROR(INDEX('Date Key'!$B$2:$B$19, MATCH(F41,'Date Key'!$A$2:$A$19, 0)), "")</f>
        <v>45330</v>
      </c>
      <c r="B41" s="4">
        <f t="shared" si="40"/>
        <v>5</v>
      </c>
      <c r="C41" s="26" t="str">
        <f>IFERROR(INDEX('Date Key'!$G$57:$G$62, MATCH(B41,'Date Key'!$A$57:$A$62, 0)), "")</f>
        <v>High HLR, Lower Outlet Height, Yes Plants</v>
      </c>
      <c r="D41" s="4" t="str">
        <f>IFERROR(INDEX('Date Key'!$G$2:$G$19, MATCH(F41, 'Date Key'!$A$2:$A$19, 0)), "")</f>
        <v>No</v>
      </c>
      <c r="E41" s="4" t="str">
        <f t="shared" si="1"/>
        <v>in</v>
      </c>
      <c r="F41" s="4">
        <f t="shared" si="2"/>
        <v>15</v>
      </c>
      <c r="G41" s="4">
        <f t="shared" si="3"/>
        <v>3</v>
      </c>
      <c r="H41" s="11" cm="1">
        <f t="array" ref="H41">IFERROR(INDEX('Master Data Sheet'!$1:$1048576, MATCH(1, ('Master Data Sheet'!$H:$H=H$2) * (INDEX('Master Data Sheet'!$1:$1, , MATCH($F$1, 'Master Data Sheet'!$1:$1, 0)) = $F$1) * ('Master Data Sheet'!$G:$G=$B41) * ('Master Data Sheet'!$F:$F=$E41) * ('Master Data Sheet'!$A:$A=$F41), 0), MATCH($F$1, 'Master Data Sheet'!$1:$1, 0)), "")</f>
        <v>0</v>
      </c>
      <c r="I41" s="11" cm="1">
        <f t="array" ref="I41">IFERROR(INDEX('Master Data Sheet'!$1:$1048576, MATCH(1, ('Master Data Sheet'!$H:$H=I$2) * (INDEX('Master Data Sheet'!$1:$1, , MATCH($F$1, 'Master Data Sheet'!$1:$1, 0)) = $F$1) * ('Master Data Sheet'!$G:$G=$B41) * ('Master Data Sheet'!$F:$F=$E41) * ('Master Data Sheet'!$A:$A=$F41), 0), MATCH($F$1, 'Master Data Sheet'!$1:$1, 0)), "")</f>
        <v>4.7677428143304723E-2</v>
      </c>
      <c r="J41" s="11" cm="1">
        <f t="array" ref="J41">IFERROR(INDEX('Master Data Sheet'!$1:$1048576, MATCH(1, ('Master Data Sheet'!$H:$H=J$2) * (INDEX('Master Data Sheet'!$1:$1, , MATCH($F$1, 'Master Data Sheet'!$1:$1, 0)) = $F$1) * ('Master Data Sheet'!$G:$G=$B41) * ('Master Data Sheet'!$F:$F=$E41) * ('Master Data Sheet'!$A:$A=$F41), 0), MATCH($F$1, 'Master Data Sheet'!$1:$1, 0)), "")</f>
        <v>0</v>
      </c>
      <c r="K41" s="11" cm="1">
        <f t="array" ref="K41">IFERROR(INDEX('Master Data Sheet'!$1:$1048576, MATCH(1, ('Master Data Sheet'!$H:$H=K$2) * (INDEX('Master Data Sheet'!$1:$1, , MATCH($F$1, 'Master Data Sheet'!$1:$1, 0)) = $F$1) * ('Master Data Sheet'!$G:$G=$B41) * ('Master Data Sheet'!$F:$F=$E41) * ('Master Data Sheet'!$A:$A=$F41), 0), MATCH($F$1, 'Master Data Sheet'!$1:$1, 0)), "")</f>
        <v>0</v>
      </c>
      <c r="L41" s="11" cm="1">
        <f t="array" ref="L41">IFERROR(INDEX('Master Data Sheet'!$1:$1048576, MATCH(1, ('Master Data Sheet'!$H:$H=L$2) * (INDEX('Master Data Sheet'!$1:$1, , MATCH($F$1, 'Master Data Sheet'!$1:$1, 0)) = $F$1) * ('Master Data Sheet'!$G:$G=$B41) * ('Master Data Sheet'!$F:$F=$E41) * ('Master Data Sheet'!$A:$A=$F41), 0), MATCH($F$1, 'Master Data Sheet'!$1:$1, 0)), "")</f>
        <v>0</v>
      </c>
      <c r="M41" s="11" cm="1">
        <f t="array" ref="M41">IFERROR(INDEX('Master Data Sheet'!$1:$1048576, MATCH(1, ('Master Data Sheet'!$H:$H=M$2) * (INDEX('Master Data Sheet'!$1:$1, , MATCH($F$1, 'Master Data Sheet'!$1:$1, 0)) = $F$1) * ('Master Data Sheet'!$G:$G=$B41) * ('Master Data Sheet'!$F:$F=$E41) * ('Master Data Sheet'!$A:$A=$F41), 0), MATCH($F$1, 'Master Data Sheet'!$1:$1, 0)), "")</f>
        <v>0</v>
      </c>
      <c r="N41" s="11" cm="1">
        <f t="array" ref="N41">IFERROR(INDEX('Master Data Sheet'!$1:$1048576, MATCH(1, ('Master Data Sheet'!$H:$H=N$2) * (INDEX('Master Data Sheet'!$1:$1, , MATCH($F$1, 'Master Data Sheet'!$1:$1, 0)) = $F$1) * ('Master Data Sheet'!$G:$G=$B41) * ('Master Data Sheet'!$F:$F=$E41) * ('Master Data Sheet'!$A:$A=$F41), 0), MATCH($F$1, 'Master Data Sheet'!$1:$1, 0)), "")</f>
        <v>0</v>
      </c>
      <c r="O41" s="11">
        <f t="shared" si="33"/>
        <v>6.8110611633292462E-3</v>
      </c>
      <c r="P41" s="11">
        <f t="shared" si="4"/>
        <v>1.8020374002619469E-2</v>
      </c>
      <c r="Y41" s="1"/>
      <c r="Z41" s="1"/>
      <c r="AA41" s="1"/>
      <c r="AB41" s="1"/>
      <c r="AC41" s="1"/>
      <c r="AD41" s="1"/>
      <c r="AE41" s="1"/>
      <c r="AF41" s="1"/>
      <c r="AG41" s="1"/>
      <c r="AH41" s="1"/>
      <c r="AI41" s="1"/>
      <c r="AJ41" s="1"/>
      <c r="AK41" s="1"/>
      <c r="AL41" s="1"/>
      <c r="AM41" s="1"/>
      <c r="AN41" s="1"/>
      <c r="AO41" s="1"/>
      <c r="AP41" s="1"/>
      <c r="AQ41" s="1"/>
      <c r="AR41" s="1"/>
      <c r="AS41" s="1"/>
    </row>
    <row r="42" spans="1:45" x14ac:dyDescent="0.35">
      <c r="A42" s="41">
        <f>IFERROR(INDEX('Date Key'!$B$2:$B$19, MATCH(F42,'Date Key'!$A$2:$A$19, 0)), "")</f>
        <v>45313</v>
      </c>
      <c r="B42" s="4">
        <f t="shared" si="40"/>
        <v>5</v>
      </c>
      <c r="C42" s="26" t="str">
        <f>IFERROR(INDEX('Date Key'!$G$57:$G$62, MATCH(B42,'Date Key'!$A$57:$A$62, 0)), "")</f>
        <v>High HLR, Lower Outlet Height, Yes Plants</v>
      </c>
      <c r="D42" s="4" t="str">
        <f>IFERROR(INDEX('Date Key'!$G$2:$G$19, MATCH(F42, 'Date Key'!$A$2:$A$19, 0)), "")</f>
        <v>Yes</v>
      </c>
      <c r="E42" s="4" t="str">
        <f t="shared" si="1"/>
        <v>tank 1</v>
      </c>
      <c r="F42" s="4">
        <f t="shared" si="2"/>
        <v>13</v>
      </c>
      <c r="G42" s="4">
        <f t="shared" si="3"/>
        <v>1</v>
      </c>
      <c r="H42" s="11" cm="1">
        <f t="array" ref="H42">IFERROR(INDEX('Master Data Sheet'!$1:$1048576, MATCH(1, ('Master Data Sheet'!$H:$H=H$2) * (INDEX('Master Data Sheet'!$1:$1, , MATCH($F$1, 'Master Data Sheet'!$1:$1, 0)) = $F$1) * ('Master Data Sheet'!$G:$G=$B42) * ('Master Data Sheet'!$F:$F=$E42) * ('Master Data Sheet'!$A:$A=$F42), 0), MATCH($F$1, 'Master Data Sheet'!$1:$1, 0)), "")</f>
        <v>0.19070971257321889</v>
      </c>
      <c r="I42" s="11" cm="1">
        <f t="array" ref="I42">IFERROR(INDEX('Master Data Sheet'!$1:$1048576, MATCH(1, ('Master Data Sheet'!$H:$H=I$2) * (INDEX('Master Data Sheet'!$1:$1, , MATCH($F$1, 'Master Data Sheet'!$1:$1, 0)) = $F$1) * ('Master Data Sheet'!$G:$G=$B42) * ('Master Data Sheet'!$F:$F=$E42) * ('Master Data Sheet'!$A:$A=$F42), 0), MATCH($F$1, 'Master Data Sheet'!$1:$1, 0)), "")</f>
        <v>0.45770331017572541</v>
      </c>
      <c r="J42" s="11" cm="1">
        <f t="array" ref="J42">IFERROR(INDEX('Master Data Sheet'!$1:$1048576, MATCH(1, ('Master Data Sheet'!$H:$H=J$2) * (INDEX('Master Data Sheet'!$1:$1, , MATCH($F$1, 'Master Data Sheet'!$1:$1, 0)) = $F$1) * ('Master Data Sheet'!$G:$G=$B42) * ('Master Data Sheet'!$F:$F=$E42) * ('Master Data Sheet'!$A:$A=$F42), 0), MATCH($F$1, 'Master Data Sheet'!$1:$1, 0)), "")</f>
        <v>0.62934205149162237</v>
      </c>
      <c r="K42" s="11" cm="1">
        <f t="array" ref="K42">IFERROR(INDEX('Master Data Sheet'!$1:$1048576, MATCH(1, ('Master Data Sheet'!$H:$H=K$2) * (INDEX('Master Data Sheet'!$1:$1, , MATCH($F$1, 'Master Data Sheet'!$1:$1, 0)) = $F$1) * ('Master Data Sheet'!$G:$G=$B42) * ('Master Data Sheet'!$F:$F=$E42) * ('Master Data Sheet'!$A:$A=$F42), 0), MATCH($F$1, 'Master Data Sheet'!$1:$1, 0)), "")</f>
        <v>0.67701947963492692</v>
      </c>
      <c r="L42" s="11" cm="1">
        <f t="array" ref="L42">IFERROR(INDEX('Master Data Sheet'!$1:$1048576, MATCH(1, ('Master Data Sheet'!$H:$H=L$2) * (INDEX('Master Data Sheet'!$1:$1, , MATCH($F$1, 'Master Data Sheet'!$1:$1, 0)) = $F$1) * ('Master Data Sheet'!$G:$G=$B42) * ('Master Data Sheet'!$F:$F=$E42) * ('Master Data Sheet'!$A:$A=$F42), 0), MATCH($F$1, 'Master Data Sheet'!$1:$1, 0)), "")</f>
        <v>0.76283885029287557</v>
      </c>
      <c r="M42" s="11" cm="1">
        <f t="array" ref="M42">IFERROR(INDEX('Master Data Sheet'!$1:$1048576, MATCH(1, ('Master Data Sheet'!$H:$H=M$2) * (INDEX('Master Data Sheet'!$1:$1, , MATCH($F$1, 'Master Data Sheet'!$1:$1, 0)) = $F$1) * ('Master Data Sheet'!$G:$G=$B42) * ('Master Data Sheet'!$F:$F=$E42) * ('Master Data Sheet'!$A:$A=$F42), 0), MATCH($F$1, 'Master Data Sheet'!$1:$1, 0)), "")</f>
        <v>0.58166462334831759</v>
      </c>
      <c r="N42" s="11" cm="1">
        <f t="array" ref="N42">IFERROR(INDEX('Master Data Sheet'!$1:$1048576, MATCH(1, ('Master Data Sheet'!$H:$H=N$2) * (INDEX('Master Data Sheet'!$1:$1, , MATCH($F$1, 'Master Data Sheet'!$1:$1, 0)) = $F$1) * ('Master Data Sheet'!$G:$G=$B42) * ('Master Data Sheet'!$F:$F=$E42) * ('Master Data Sheet'!$A:$A=$F42), 0), MATCH($F$1, 'Master Data Sheet'!$1:$1, 0)), "")</f>
        <v>0.50538073831903008</v>
      </c>
      <c r="O42" s="11">
        <f t="shared" si="33"/>
        <v>0.54352268083367383</v>
      </c>
      <c r="P42" s="11">
        <f t="shared" si="4"/>
        <v>0.1862066559708262</v>
      </c>
      <c r="Q42" s="46">
        <f>(1-(O42/O39))*100</f>
        <v>9.9322799097065548</v>
      </c>
      <c r="R42" s="46">
        <f>AVERAGE(Q42:Q44)</f>
        <v>-641.25064353886978</v>
      </c>
      <c r="S42" s="46">
        <f>STDEV(Q42:Q44)</f>
        <v>989.57322195789482</v>
      </c>
      <c r="T42" s="47">
        <f>(1-(AVERAGE(H42:N44)/AVERAGE(H39:N41)))*100</f>
        <v>-35.174953959484313</v>
      </c>
      <c r="U42" s="47"/>
      <c r="V42" s="47"/>
      <c r="Y42" s="2"/>
      <c r="Z42" s="2"/>
      <c r="AA42" s="2"/>
      <c r="AB42" s="2"/>
      <c r="AC42" s="2"/>
      <c r="AD42" s="2"/>
      <c r="AE42" s="2"/>
      <c r="AF42" s="2"/>
      <c r="AG42" s="2"/>
    </row>
    <row r="43" spans="1:45" x14ac:dyDescent="0.35">
      <c r="A43" s="41">
        <f>IFERROR(INDEX('Date Key'!$B$2:$B$19, MATCH(F43,'Date Key'!$A$2:$A$19, 0)), "")</f>
        <v>45322</v>
      </c>
      <c r="B43" s="4">
        <f t="shared" si="40"/>
        <v>5</v>
      </c>
      <c r="C43" s="26" t="str">
        <f>IFERROR(INDEX('Date Key'!$G$57:$G$62, MATCH(B43,'Date Key'!$A$57:$A$62, 0)), "")</f>
        <v>High HLR, Lower Outlet Height, Yes Plants</v>
      </c>
      <c r="D43" s="4" t="str">
        <f>IFERROR(INDEX('Date Key'!$G$2:$G$19, MATCH(F43, 'Date Key'!$A$2:$A$19, 0)), "")</f>
        <v>No</v>
      </c>
      <c r="E43" s="4" t="str">
        <f t="shared" si="1"/>
        <v>tank 1</v>
      </c>
      <c r="F43" s="4">
        <f t="shared" si="2"/>
        <v>14</v>
      </c>
      <c r="G43" s="4">
        <f t="shared" si="3"/>
        <v>2</v>
      </c>
      <c r="H43" s="11" cm="1">
        <f t="array" ref="H43">IFERROR(INDEX('Master Data Sheet'!$1:$1048576, MATCH(1, ('Master Data Sheet'!$H:$H=H$2) * (INDEX('Master Data Sheet'!$1:$1, , MATCH($F$1, 'Master Data Sheet'!$1:$1, 0)) = $F$1) * ('Master Data Sheet'!$G:$G=$B43) * ('Master Data Sheet'!$F:$F=$E43) * ('Master Data Sheet'!$A:$A=$F43), 0), MATCH($F$1, 'Master Data Sheet'!$1:$1, 0)), "")</f>
        <v>0.26699359760250646</v>
      </c>
      <c r="I43" s="11" cm="1">
        <f t="array" ref="I43">IFERROR(INDEX('Master Data Sheet'!$1:$1048576, MATCH(1, ('Master Data Sheet'!$H:$H=I$2) * (INDEX('Master Data Sheet'!$1:$1, , MATCH($F$1, 'Master Data Sheet'!$1:$1, 0)) = $F$1) * ('Master Data Sheet'!$G:$G=$B43) * ('Master Data Sheet'!$F:$F=$E43) * ('Master Data Sheet'!$A:$A=$F43), 0), MATCH($F$1, 'Master Data Sheet'!$1:$1, 0)), "")</f>
        <v>0.38141942514643778</v>
      </c>
      <c r="J43" s="11" cm="1">
        <f t="array" ref="J43">IFERROR(INDEX('Master Data Sheet'!$1:$1048576, MATCH(1, ('Master Data Sheet'!$H:$H=J$2) * (INDEX('Master Data Sheet'!$1:$1, , MATCH($F$1, 'Master Data Sheet'!$1:$1, 0)) = $F$1) * ('Master Data Sheet'!$G:$G=$B43) * ('Master Data Sheet'!$F:$F=$E43) * ('Master Data Sheet'!$A:$A=$F43), 0), MATCH($F$1, 'Master Data Sheet'!$1:$1, 0)), "")</f>
        <v>0.37188393951777687</v>
      </c>
      <c r="K43" s="11" cm="1">
        <f t="array" ref="K43">IFERROR(INDEX('Master Data Sheet'!$1:$1048576, MATCH(1, ('Master Data Sheet'!$H:$H=K$2) * (INDEX('Master Data Sheet'!$1:$1, , MATCH($F$1, 'Master Data Sheet'!$1:$1, 0)) = $F$1) * ('Master Data Sheet'!$G:$G=$B43) * ('Master Data Sheet'!$F:$F=$E43) * ('Master Data Sheet'!$A:$A=$F43), 0), MATCH($F$1, 'Master Data Sheet'!$1:$1, 0)), "")</f>
        <v>0.33374199700313312</v>
      </c>
      <c r="L43" s="11" cm="1">
        <f t="array" ref="L43">IFERROR(INDEX('Master Data Sheet'!$1:$1048576, MATCH(1, ('Master Data Sheet'!$H:$H=L$2) * (INDEX('Master Data Sheet'!$1:$1, , MATCH($F$1, 'Master Data Sheet'!$1:$1, 0)) = $F$1) * ('Master Data Sheet'!$G:$G=$B43) * ('Master Data Sheet'!$F:$F=$E43) * ('Master Data Sheet'!$A:$A=$F43), 0), MATCH($F$1, 'Master Data Sheet'!$1:$1, 0)), "")</f>
        <v>0.35281296826045494</v>
      </c>
      <c r="M43" s="11" cm="1">
        <f t="array" ref="M43">IFERROR(INDEX('Master Data Sheet'!$1:$1048576, MATCH(1, ('Master Data Sheet'!$H:$H=M$2) * (INDEX('Master Data Sheet'!$1:$1, , MATCH($F$1, 'Master Data Sheet'!$1:$1, 0)) = $F$1) * ('Master Data Sheet'!$G:$G=$B43) * ('Master Data Sheet'!$F:$F=$E43) * ('Master Data Sheet'!$A:$A=$F43), 0), MATCH($F$1, 'Master Data Sheet'!$1:$1, 0)), "")</f>
        <v>0.30513554011715027</v>
      </c>
      <c r="N43" s="11" cm="1">
        <f t="array" ref="N43">IFERROR(INDEX('Master Data Sheet'!$1:$1048576, MATCH(1, ('Master Data Sheet'!$H:$H=N$2) * (INDEX('Master Data Sheet'!$1:$1, , MATCH($F$1, 'Master Data Sheet'!$1:$1, 0)) = $F$1) * ('Master Data Sheet'!$G:$G=$B43) * ('Master Data Sheet'!$F:$F=$E43) * ('Master Data Sheet'!$A:$A=$F43), 0), MATCH($F$1, 'Master Data Sheet'!$1:$1, 0)), "")</f>
        <v>0.28606456885982834</v>
      </c>
      <c r="O43" s="11">
        <f t="shared" si="33"/>
        <v>0.32829314807246973</v>
      </c>
      <c r="P43" s="11">
        <f t="shared" si="4"/>
        <v>4.364751338399938E-2</v>
      </c>
      <c r="Q43" s="46">
        <f>(1-(O43/O40))*100</f>
        <v>-153.68421052631584</v>
      </c>
      <c r="X43" t="str">
        <f>IFERROR(INDEX('Date Key'!$G$57:$G$62, MATCH(B42,'Date Key'!$A$57:$A$62, 0)), "")</f>
        <v>High HLR, Lower Outlet Height, Yes Plants</v>
      </c>
      <c r="Y43" s="1">
        <f t="shared" ref="Y43:AE43" si="47">H42</f>
        <v>0.19070971257321889</v>
      </c>
      <c r="Z43" s="1">
        <f t="shared" si="47"/>
        <v>0.45770331017572541</v>
      </c>
      <c r="AA43" s="1">
        <f t="shared" si="47"/>
        <v>0.62934205149162237</v>
      </c>
      <c r="AB43" s="1">
        <f t="shared" si="47"/>
        <v>0.67701947963492692</v>
      </c>
      <c r="AC43" s="1">
        <f t="shared" si="47"/>
        <v>0.76283885029287557</v>
      </c>
      <c r="AD43" s="1">
        <f t="shared" si="47"/>
        <v>0.58166462334831759</v>
      </c>
      <c r="AE43" s="1">
        <f t="shared" si="47"/>
        <v>0.50538073831903008</v>
      </c>
      <c r="AF43" s="1">
        <f t="shared" ref="AF43:AL43" si="48">H43</f>
        <v>0.26699359760250646</v>
      </c>
      <c r="AG43" s="1">
        <f t="shared" si="48"/>
        <v>0.38141942514643778</v>
      </c>
      <c r="AH43" s="1">
        <f t="shared" si="48"/>
        <v>0.37188393951777687</v>
      </c>
      <c r="AI43" s="1">
        <f t="shared" si="48"/>
        <v>0.33374199700313312</v>
      </c>
      <c r="AJ43" s="1">
        <f t="shared" si="48"/>
        <v>0.35281296826045494</v>
      </c>
      <c r="AK43" s="1">
        <f t="shared" si="48"/>
        <v>0.30513554011715027</v>
      </c>
      <c r="AL43" s="1">
        <f t="shared" si="48"/>
        <v>0.28606456885982834</v>
      </c>
      <c r="AM43" s="1">
        <f t="shared" ref="AM43:AS43" si="49">H44</f>
        <v>4.7677428143304723E-2</v>
      </c>
      <c r="AN43" s="1">
        <f t="shared" si="49"/>
        <v>0.13349679880125323</v>
      </c>
      <c r="AO43" s="1">
        <f t="shared" si="49"/>
        <v>0.11442582754393135</v>
      </c>
      <c r="AP43" s="1">
        <f t="shared" si="49"/>
        <v>0.31467102574581118</v>
      </c>
      <c r="AQ43" s="1">
        <f t="shared" si="49"/>
        <v>0.12396131317259229</v>
      </c>
      <c r="AR43" s="1">
        <f t="shared" si="49"/>
        <v>8.5819370657948493E-2</v>
      </c>
      <c r="AS43" s="1">
        <f t="shared" si="49"/>
        <v>7.6283885029287568E-2</v>
      </c>
    </row>
    <row r="44" spans="1:45" x14ac:dyDescent="0.35">
      <c r="A44" s="41">
        <f>IFERROR(INDEX('Date Key'!$B$2:$B$19, MATCH(F44,'Date Key'!$A$2:$A$19, 0)), "")</f>
        <v>45330</v>
      </c>
      <c r="B44" s="4">
        <f t="shared" si="40"/>
        <v>5</v>
      </c>
      <c r="C44" s="26" t="str">
        <f>IFERROR(INDEX('Date Key'!$G$57:$G$62, MATCH(B44,'Date Key'!$A$57:$A$62, 0)), "")</f>
        <v>High HLR, Lower Outlet Height, Yes Plants</v>
      </c>
      <c r="D44" s="4" t="str">
        <f>IFERROR(INDEX('Date Key'!$G$2:$G$19, MATCH(F44, 'Date Key'!$A$2:$A$19, 0)), "")</f>
        <v>No</v>
      </c>
      <c r="E44" s="4" t="str">
        <f t="shared" si="1"/>
        <v>tank 1</v>
      </c>
      <c r="F44" s="4">
        <f t="shared" si="2"/>
        <v>15</v>
      </c>
      <c r="G44" s="4">
        <f t="shared" si="3"/>
        <v>3</v>
      </c>
      <c r="H44" s="11" cm="1">
        <f t="array" ref="H44">IFERROR(INDEX('Master Data Sheet'!$1:$1048576, MATCH(1, ('Master Data Sheet'!$H:$H=H$2) * (INDEX('Master Data Sheet'!$1:$1, , MATCH($F$1, 'Master Data Sheet'!$1:$1, 0)) = $F$1) * ('Master Data Sheet'!$G:$G=$B44) * ('Master Data Sheet'!$F:$F=$E44) * ('Master Data Sheet'!$A:$A=$F44), 0), MATCH($F$1, 'Master Data Sheet'!$1:$1, 0)), "")</f>
        <v>4.7677428143304723E-2</v>
      </c>
      <c r="I44" s="11" cm="1">
        <f t="array" ref="I44">IFERROR(INDEX('Master Data Sheet'!$1:$1048576, MATCH(1, ('Master Data Sheet'!$H:$H=I$2) * (INDEX('Master Data Sheet'!$1:$1, , MATCH($F$1, 'Master Data Sheet'!$1:$1, 0)) = $F$1) * ('Master Data Sheet'!$G:$G=$B44) * ('Master Data Sheet'!$F:$F=$E44) * ('Master Data Sheet'!$A:$A=$F44), 0), MATCH($F$1, 'Master Data Sheet'!$1:$1, 0)), "")</f>
        <v>0.13349679880125323</v>
      </c>
      <c r="J44" s="11" cm="1">
        <f t="array" ref="J44">IFERROR(INDEX('Master Data Sheet'!$1:$1048576, MATCH(1, ('Master Data Sheet'!$H:$H=J$2) * (INDEX('Master Data Sheet'!$1:$1, , MATCH($F$1, 'Master Data Sheet'!$1:$1, 0)) = $F$1) * ('Master Data Sheet'!$G:$G=$B44) * ('Master Data Sheet'!$F:$F=$E44) * ('Master Data Sheet'!$A:$A=$F44), 0), MATCH($F$1, 'Master Data Sheet'!$1:$1, 0)), "")</f>
        <v>0.11442582754393135</v>
      </c>
      <c r="K44" s="11" cm="1">
        <f t="array" ref="K44">IFERROR(INDEX('Master Data Sheet'!$1:$1048576, MATCH(1, ('Master Data Sheet'!$H:$H=K$2) * (INDEX('Master Data Sheet'!$1:$1, , MATCH($F$1, 'Master Data Sheet'!$1:$1, 0)) = $F$1) * ('Master Data Sheet'!$G:$G=$B44) * ('Master Data Sheet'!$F:$F=$E44) * ('Master Data Sheet'!$A:$A=$F44), 0), MATCH($F$1, 'Master Data Sheet'!$1:$1, 0)), "")</f>
        <v>0.31467102574581118</v>
      </c>
      <c r="L44" s="11" cm="1">
        <f t="array" ref="L44">IFERROR(INDEX('Master Data Sheet'!$1:$1048576, MATCH(1, ('Master Data Sheet'!$H:$H=L$2) * (INDEX('Master Data Sheet'!$1:$1, , MATCH($F$1, 'Master Data Sheet'!$1:$1, 0)) = $F$1) * ('Master Data Sheet'!$G:$G=$B44) * ('Master Data Sheet'!$F:$F=$E44) * ('Master Data Sheet'!$A:$A=$F44), 0), MATCH($F$1, 'Master Data Sheet'!$1:$1, 0)), "")</f>
        <v>0.12396131317259229</v>
      </c>
      <c r="M44" s="11" cm="1">
        <f t="array" ref="M44">IFERROR(INDEX('Master Data Sheet'!$1:$1048576, MATCH(1, ('Master Data Sheet'!$H:$H=M$2) * (INDEX('Master Data Sheet'!$1:$1, , MATCH($F$1, 'Master Data Sheet'!$1:$1, 0)) = $F$1) * ('Master Data Sheet'!$G:$G=$B44) * ('Master Data Sheet'!$F:$F=$E44) * ('Master Data Sheet'!$A:$A=$F44), 0), MATCH($F$1, 'Master Data Sheet'!$1:$1, 0)), "")</f>
        <v>8.5819370657948493E-2</v>
      </c>
      <c r="N44" s="11" cm="1">
        <f t="array" ref="N44">IFERROR(INDEX('Master Data Sheet'!$1:$1048576, MATCH(1, ('Master Data Sheet'!$H:$H=N$2) * (INDEX('Master Data Sheet'!$1:$1, , MATCH($F$1, 'Master Data Sheet'!$1:$1, 0)) = $F$1) * ('Master Data Sheet'!$G:$G=$B44) * ('Master Data Sheet'!$F:$F=$E44) * ('Master Data Sheet'!$A:$A=$F44), 0), MATCH($F$1, 'Master Data Sheet'!$1:$1, 0)), "")</f>
        <v>7.6283885029287568E-2</v>
      </c>
      <c r="O44" s="11">
        <f t="shared" si="33"/>
        <v>0.12804794987058984</v>
      </c>
      <c r="P44" s="11">
        <f t="shared" si="4"/>
        <v>8.754267273156037E-2</v>
      </c>
      <c r="Q44" s="46">
        <f>(1-(O44/O41))*100</f>
        <v>-1780</v>
      </c>
      <c r="Y44" s="2"/>
      <c r="Z44" s="2"/>
      <c r="AA44" s="2"/>
      <c r="AB44" s="2"/>
      <c r="AC44" s="2"/>
      <c r="AD44" s="2"/>
      <c r="AE44" s="2"/>
      <c r="AF44" s="2"/>
      <c r="AG44" s="2"/>
    </row>
    <row r="45" spans="1:45" x14ac:dyDescent="0.35">
      <c r="A45" s="41">
        <f>IFERROR(INDEX('Date Key'!$B$2:$B$19, MATCH(F45,'Date Key'!$A$2:$A$19, 0)), "")</f>
        <v>45313</v>
      </c>
      <c r="B45" s="4">
        <f t="shared" si="40"/>
        <v>5</v>
      </c>
      <c r="C45" s="26" t="str">
        <f>IFERROR(INDEX('Date Key'!$G$57:$G$62, MATCH(B45,'Date Key'!$A$57:$A$62, 0)), "")</f>
        <v>High HLR, Lower Outlet Height, Yes Plants</v>
      </c>
      <c r="D45" s="4" t="str">
        <f>IFERROR(INDEX('Date Key'!$G$2:$G$19, MATCH(F45, 'Date Key'!$A$2:$A$19, 0)), "")</f>
        <v>Yes</v>
      </c>
      <c r="E45" s="4" t="str">
        <f t="shared" si="1"/>
        <v>tank 2</v>
      </c>
      <c r="F45" s="4">
        <f t="shared" si="2"/>
        <v>13</v>
      </c>
      <c r="G45" s="4">
        <f t="shared" si="3"/>
        <v>1</v>
      </c>
      <c r="H45" s="11" cm="1">
        <f t="array" ref="H45">IFERROR(INDEX('Master Data Sheet'!$1:$1048576, MATCH(1, ('Master Data Sheet'!$H:$H=H$2) * (INDEX('Master Data Sheet'!$1:$1, , MATCH($F$1, 'Master Data Sheet'!$1:$1, 0)) = $F$1) * ('Master Data Sheet'!$G:$G=$B45) * ('Master Data Sheet'!$F:$F=$E45) * ('Master Data Sheet'!$A:$A=$F45), 0), MATCH($F$1, 'Master Data Sheet'!$1:$1, 0)), "")</f>
        <v>0.18117422694455795</v>
      </c>
      <c r="I45" s="11" cm="1">
        <f t="array" ref="I45">IFERROR(INDEX('Master Data Sheet'!$1:$1048576, MATCH(1, ('Master Data Sheet'!$H:$H=I$2) * (INDEX('Master Data Sheet'!$1:$1, , MATCH($F$1, 'Master Data Sheet'!$1:$1, 0)) = $F$1) * ('Master Data Sheet'!$G:$G=$B45) * ('Master Data Sheet'!$F:$F=$E45) * ('Master Data Sheet'!$A:$A=$F45), 0), MATCH($F$1, 'Master Data Sheet'!$1:$1, 0)), "")</f>
        <v>0.38141942514643778</v>
      </c>
      <c r="J45" s="11" cm="1">
        <f t="array" ref="J45">IFERROR(INDEX('Master Data Sheet'!$1:$1048576, MATCH(1, ('Master Data Sheet'!$H:$H=J$2) * (INDEX('Master Data Sheet'!$1:$1, , MATCH($F$1, 'Master Data Sheet'!$1:$1, 0)) = $F$1) * ('Master Data Sheet'!$G:$G=$B45) * ('Master Data Sheet'!$F:$F=$E45) * ('Master Data Sheet'!$A:$A=$F45), 0), MATCH($F$1, 'Master Data Sheet'!$1:$1, 0)), "")</f>
        <v>0.43863233891840347</v>
      </c>
      <c r="K45" s="11" cm="1">
        <f t="array" ref="K45">IFERROR(INDEX('Master Data Sheet'!$1:$1048576, MATCH(1, ('Master Data Sheet'!$H:$H=K$2) * (INDEX('Master Data Sheet'!$1:$1, , MATCH($F$1, 'Master Data Sheet'!$1:$1, 0)) = $F$1) * ('Master Data Sheet'!$G:$G=$B45) * ('Master Data Sheet'!$F:$F=$E45) * ('Master Data Sheet'!$A:$A=$F45), 0), MATCH($F$1, 'Master Data Sheet'!$1:$1, 0)), "")</f>
        <v>0.6484130227489443</v>
      </c>
      <c r="L45" s="11" cm="1">
        <f t="array" ref="L45">IFERROR(INDEX('Master Data Sheet'!$1:$1048576, MATCH(1, ('Master Data Sheet'!$H:$H=L$2) * (INDEX('Master Data Sheet'!$1:$1, , MATCH($F$1, 'Master Data Sheet'!$1:$1, 0)) = $F$1) * ('Master Data Sheet'!$G:$G=$B45) * ('Master Data Sheet'!$F:$F=$E45) * ('Master Data Sheet'!$A:$A=$F45), 0), MATCH($F$1, 'Master Data Sheet'!$1:$1, 0)), "")</f>
        <v>0.43863233891840347</v>
      </c>
      <c r="M45" s="11" cm="1">
        <f t="array" ref="M45">IFERROR(INDEX('Master Data Sheet'!$1:$1048576, MATCH(1, ('Master Data Sheet'!$H:$H=M$2) * (INDEX('Master Data Sheet'!$1:$1, , MATCH($F$1, 'Master Data Sheet'!$1:$1, 0)) = $F$1) * ('Master Data Sheet'!$G:$G=$B45) * ('Master Data Sheet'!$F:$F=$E45) * ('Master Data Sheet'!$A:$A=$F45), 0), MATCH($F$1, 'Master Data Sheet'!$1:$1, 0)), "")</f>
        <v>0.3909549107750987</v>
      </c>
      <c r="N45" s="11" cm="1">
        <f t="array" ref="N45">IFERROR(INDEX('Master Data Sheet'!$1:$1048576, MATCH(1, ('Master Data Sheet'!$H:$H=N$2) * (INDEX('Master Data Sheet'!$1:$1, , MATCH($F$1, 'Master Data Sheet'!$1:$1, 0)) = $F$1) * ('Master Data Sheet'!$G:$G=$B45) * ('Master Data Sheet'!$F:$F=$E45) * ('Master Data Sheet'!$A:$A=$F45), 0), MATCH($F$1, 'Master Data Sheet'!$1:$1, 0)), "")</f>
        <v>0.5244517095763519</v>
      </c>
      <c r="O45" s="11">
        <f t="shared" si="33"/>
        <v>0.42909685328974251</v>
      </c>
      <c r="P45" s="11">
        <f t="shared" si="4"/>
        <v>0.14292629531981993</v>
      </c>
      <c r="Q45" s="46">
        <f>(1-(O45/O39))*100</f>
        <v>28.893905191873593</v>
      </c>
      <c r="R45" s="46">
        <f>AVERAGE(Q45:Q47)</f>
        <v>-288.61431230446323</v>
      </c>
      <c r="S45" s="46">
        <f>STDEV(Q45:Q47)</f>
        <v>529.60735209555355</v>
      </c>
      <c r="T45" s="47">
        <f>(1-(AVERAGE(H45:N47)/AVERAGE(H39:N41)))*100</f>
        <v>16.20626151012895</v>
      </c>
      <c r="U45" s="47"/>
      <c r="V45" s="47"/>
      <c r="Y45" s="2"/>
      <c r="Z45" s="2"/>
      <c r="AA45" s="2"/>
      <c r="AB45" s="2"/>
      <c r="AC45" s="2"/>
      <c r="AD45" s="2"/>
      <c r="AE45" s="2"/>
      <c r="AF45" s="2"/>
      <c r="AG45" s="2"/>
    </row>
    <row r="46" spans="1:45" x14ac:dyDescent="0.35">
      <c r="A46" s="41">
        <f>IFERROR(INDEX('Date Key'!$B$2:$B$19, MATCH(F46,'Date Key'!$A$2:$A$19, 0)), "")</f>
        <v>45322</v>
      </c>
      <c r="B46" s="4">
        <f t="shared" si="40"/>
        <v>5</v>
      </c>
      <c r="C46" s="26" t="str">
        <f>IFERROR(INDEX('Date Key'!$G$57:$G$62, MATCH(B46,'Date Key'!$A$57:$A$62, 0)), "")</f>
        <v>High HLR, Lower Outlet Height, Yes Plants</v>
      </c>
      <c r="D46" s="4" t="str">
        <f>IFERROR(INDEX('Date Key'!$G$2:$G$19, MATCH(F46, 'Date Key'!$A$2:$A$19, 0)), "")</f>
        <v>No</v>
      </c>
      <c r="E46" s="4" t="str">
        <f t="shared" si="1"/>
        <v>tank 2</v>
      </c>
      <c r="F46" s="4">
        <f t="shared" si="2"/>
        <v>14</v>
      </c>
      <c r="G46" s="4">
        <f t="shared" si="3"/>
        <v>2</v>
      </c>
      <c r="H46" s="11" cm="1">
        <f t="array" ref="H46">IFERROR(INDEX('Master Data Sheet'!$1:$1048576, MATCH(1, ('Master Data Sheet'!$H:$H=H$2) * (INDEX('Master Data Sheet'!$1:$1, , MATCH($F$1, 'Master Data Sheet'!$1:$1, 0)) = $F$1) * ('Master Data Sheet'!$G:$G=$B46) * ('Master Data Sheet'!$F:$F=$E46) * ('Master Data Sheet'!$A:$A=$F46), 0), MATCH($F$1, 'Master Data Sheet'!$1:$1, 0)), "")</f>
        <v>0.23838714071652367</v>
      </c>
      <c r="I46" s="11" cm="1">
        <f t="array" ref="I46">IFERROR(INDEX('Master Data Sheet'!$1:$1048576, MATCH(1, ('Master Data Sheet'!$H:$H=I$2) * (INDEX('Master Data Sheet'!$1:$1, , MATCH($F$1, 'Master Data Sheet'!$1:$1, 0)) = $F$1) * ('Master Data Sheet'!$G:$G=$B46) * ('Master Data Sheet'!$F:$F=$E46) * ('Master Data Sheet'!$A:$A=$F46), 0), MATCH($F$1, 'Master Data Sheet'!$1:$1, 0)), "")</f>
        <v>0.26699359760250646</v>
      </c>
      <c r="J46" s="11" cm="1">
        <f t="array" ref="J46">IFERROR(INDEX('Master Data Sheet'!$1:$1048576, MATCH(1, ('Master Data Sheet'!$H:$H=J$2) * (INDEX('Master Data Sheet'!$1:$1, , MATCH($F$1, 'Master Data Sheet'!$1:$1, 0)) = $F$1) * ('Master Data Sheet'!$G:$G=$B46) * ('Master Data Sheet'!$F:$F=$E46) * ('Master Data Sheet'!$A:$A=$F46), 0), MATCH($F$1, 'Master Data Sheet'!$1:$1, 0)), "")</f>
        <v>0.12396131317259229</v>
      </c>
      <c r="K46" s="11" cm="1">
        <f t="array" ref="K46">IFERROR(INDEX('Master Data Sheet'!$1:$1048576, MATCH(1, ('Master Data Sheet'!$H:$H=K$2) * (INDEX('Master Data Sheet'!$1:$1, , MATCH($F$1, 'Master Data Sheet'!$1:$1, 0)) = $F$1) * ('Master Data Sheet'!$G:$G=$B46) * ('Master Data Sheet'!$F:$F=$E46) * ('Master Data Sheet'!$A:$A=$F46), 0), MATCH($F$1, 'Master Data Sheet'!$1:$1, 0)), "")</f>
        <v>7.6283885029287568E-2</v>
      </c>
      <c r="L46" s="11" cm="1">
        <f t="array" ref="L46">IFERROR(INDEX('Master Data Sheet'!$1:$1048576, MATCH(1, ('Master Data Sheet'!$H:$H=L$2) * (INDEX('Master Data Sheet'!$1:$1, , MATCH($F$1, 'Master Data Sheet'!$1:$1, 0)) = $F$1) * ('Master Data Sheet'!$G:$G=$B46) * ('Master Data Sheet'!$F:$F=$E46) * ('Master Data Sheet'!$A:$A=$F46), 0), MATCH($F$1, 'Master Data Sheet'!$1:$1, 0)), "")</f>
        <v>4.7677428143304723E-2</v>
      </c>
      <c r="M46" s="11" cm="1">
        <f t="array" ref="M46">IFERROR(INDEX('Master Data Sheet'!$1:$1048576, MATCH(1, ('Master Data Sheet'!$H:$H=M$2) * (INDEX('Master Data Sheet'!$1:$1, , MATCH($F$1, 'Master Data Sheet'!$1:$1, 0)) = $F$1) * ('Master Data Sheet'!$G:$G=$B46) * ('Master Data Sheet'!$F:$F=$E46) * ('Master Data Sheet'!$A:$A=$F46), 0), MATCH($F$1, 'Master Data Sheet'!$1:$1, 0)), "")</f>
        <v>5.7212913771965676E-2</v>
      </c>
      <c r="N46" s="11" cm="1">
        <f t="array" ref="N46">IFERROR(INDEX('Master Data Sheet'!$1:$1048576, MATCH(1, ('Master Data Sheet'!$H:$H=N$2) * (INDEX('Master Data Sheet'!$1:$1, , MATCH($F$1, 'Master Data Sheet'!$1:$1, 0)) = $F$1) * ('Master Data Sheet'!$G:$G=$B46) * ('Master Data Sheet'!$F:$F=$E46) * ('Master Data Sheet'!$A:$A=$F46), 0), MATCH($F$1, 'Master Data Sheet'!$1:$1, 0)), "")</f>
        <v>4.7677428143304723E-2</v>
      </c>
      <c r="O46" s="11">
        <f t="shared" si="33"/>
        <v>0.12259910093992644</v>
      </c>
      <c r="P46" s="11">
        <f t="shared" si="4"/>
        <v>9.3010271162574917E-2</v>
      </c>
      <c r="Q46" s="46">
        <f>(1-(O46/O40))*100</f>
        <v>5.2631578947368363</v>
      </c>
      <c r="X46" t="str">
        <f>IFERROR(INDEX('Date Key'!$G$57:$G$62, MATCH(B45,'Date Key'!$A$57:$A$62, 0)), "")</f>
        <v>High HLR, Lower Outlet Height, Yes Plants</v>
      </c>
      <c r="Y46" s="1">
        <f t="shared" ref="Y46:AE46" si="50">H45</f>
        <v>0.18117422694455795</v>
      </c>
      <c r="Z46" s="1">
        <f t="shared" si="50"/>
        <v>0.38141942514643778</v>
      </c>
      <c r="AA46" s="1">
        <f t="shared" si="50"/>
        <v>0.43863233891840347</v>
      </c>
      <c r="AB46" s="1">
        <f t="shared" si="50"/>
        <v>0.6484130227489443</v>
      </c>
      <c r="AC46" s="1">
        <f t="shared" si="50"/>
        <v>0.43863233891840347</v>
      </c>
      <c r="AD46" s="1">
        <f t="shared" si="50"/>
        <v>0.3909549107750987</v>
      </c>
      <c r="AE46" s="1">
        <f t="shared" si="50"/>
        <v>0.5244517095763519</v>
      </c>
      <c r="AF46" s="1">
        <f t="shared" ref="AF46:AL46" si="51">H46</f>
        <v>0.23838714071652367</v>
      </c>
      <c r="AG46" s="1">
        <f t="shared" si="51"/>
        <v>0.26699359760250646</v>
      </c>
      <c r="AH46" s="1">
        <f t="shared" si="51"/>
        <v>0.12396131317259229</v>
      </c>
      <c r="AI46" s="1">
        <f t="shared" si="51"/>
        <v>7.6283885029287568E-2</v>
      </c>
      <c r="AJ46" s="1">
        <f t="shared" si="51"/>
        <v>4.7677428143304723E-2</v>
      </c>
      <c r="AK46" s="1">
        <f t="shared" si="51"/>
        <v>5.7212913771965676E-2</v>
      </c>
      <c r="AL46" s="1">
        <f t="shared" si="51"/>
        <v>4.7677428143304723E-2</v>
      </c>
      <c r="AM46" s="1">
        <f t="shared" ref="AM46:AS46" si="52">H47</f>
        <v>0.17163874131589699</v>
      </c>
      <c r="AN46" s="1">
        <f t="shared" si="52"/>
        <v>7.6283885029287568E-2</v>
      </c>
      <c r="AO46" s="1">
        <f t="shared" si="52"/>
        <v>4.7677428143304723E-2</v>
      </c>
      <c r="AP46" s="1">
        <f t="shared" si="52"/>
        <v>5.7212913771965676E-2</v>
      </c>
      <c r="AQ46" s="1">
        <f t="shared" si="52"/>
        <v>3.8141942514643784E-2</v>
      </c>
      <c r="AR46" s="1">
        <f t="shared" si="52"/>
        <v>5.7212913771965676E-2</v>
      </c>
      <c r="AS46" s="1">
        <f t="shared" si="52"/>
        <v>2.8606456885982838E-2</v>
      </c>
    </row>
    <row r="47" spans="1:45" x14ac:dyDescent="0.35">
      <c r="A47" s="42">
        <f>IFERROR(INDEX('Date Key'!$B$2:$B$19, MATCH(F47,'Date Key'!$A$2:$A$19, 0)), "")</f>
        <v>45330</v>
      </c>
      <c r="B47" s="27">
        <f t="shared" si="40"/>
        <v>5</v>
      </c>
      <c r="C47" s="51" t="str">
        <f>IFERROR(INDEX('Date Key'!$G$57:$G$62, MATCH(B47,'Date Key'!$A$57:$A$62, 0)), "")</f>
        <v>High HLR, Lower Outlet Height, Yes Plants</v>
      </c>
      <c r="D47" s="27" t="str">
        <f>IFERROR(INDEX('Date Key'!$G$2:$G$19, MATCH(F47, 'Date Key'!$A$2:$A$19, 0)), "")</f>
        <v>No</v>
      </c>
      <c r="E47" s="27" t="str">
        <f t="shared" si="1"/>
        <v>tank 2</v>
      </c>
      <c r="F47" s="27">
        <f t="shared" si="2"/>
        <v>15</v>
      </c>
      <c r="G47" s="27">
        <f t="shared" si="3"/>
        <v>3</v>
      </c>
      <c r="H47" s="28" cm="1">
        <f t="array" ref="H47">IFERROR(INDEX('Master Data Sheet'!$1:$1048576, MATCH(1, ('Master Data Sheet'!$H:$H=H$2) * (INDEX('Master Data Sheet'!$1:$1, , MATCH($F$1, 'Master Data Sheet'!$1:$1, 0)) = $F$1) * ('Master Data Sheet'!$G:$G=$B47) * ('Master Data Sheet'!$F:$F=$E47) * ('Master Data Sheet'!$A:$A=$F47), 0), MATCH($F$1, 'Master Data Sheet'!$1:$1, 0)), "")</f>
        <v>0.17163874131589699</v>
      </c>
      <c r="I47" s="28" cm="1">
        <f t="array" ref="I47">IFERROR(INDEX('Master Data Sheet'!$1:$1048576, MATCH(1, ('Master Data Sheet'!$H:$H=I$2) * (INDEX('Master Data Sheet'!$1:$1, , MATCH($F$1, 'Master Data Sheet'!$1:$1, 0)) = $F$1) * ('Master Data Sheet'!$G:$G=$B47) * ('Master Data Sheet'!$F:$F=$E47) * ('Master Data Sheet'!$A:$A=$F47), 0), MATCH($F$1, 'Master Data Sheet'!$1:$1, 0)), "")</f>
        <v>7.6283885029287568E-2</v>
      </c>
      <c r="J47" s="28" cm="1">
        <f t="array" ref="J47">IFERROR(INDEX('Master Data Sheet'!$1:$1048576, MATCH(1, ('Master Data Sheet'!$H:$H=J$2) * (INDEX('Master Data Sheet'!$1:$1, , MATCH($F$1, 'Master Data Sheet'!$1:$1, 0)) = $F$1) * ('Master Data Sheet'!$G:$G=$B47) * ('Master Data Sheet'!$F:$F=$E47) * ('Master Data Sheet'!$A:$A=$F47), 0), MATCH($F$1, 'Master Data Sheet'!$1:$1, 0)), "")</f>
        <v>4.7677428143304723E-2</v>
      </c>
      <c r="K47" s="28" cm="1">
        <f t="array" ref="K47">IFERROR(INDEX('Master Data Sheet'!$1:$1048576, MATCH(1, ('Master Data Sheet'!$H:$H=K$2) * (INDEX('Master Data Sheet'!$1:$1, , MATCH($F$1, 'Master Data Sheet'!$1:$1, 0)) = $F$1) * ('Master Data Sheet'!$G:$G=$B47) * ('Master Data Sheet'!$F:$F=$E47) * ('Master Data Sheet'!$A:$A=$F47), 0), MATCH($F$1, 'Master Data Sheet'!$1:$1, 0)), "")</f>
        <v>5.7212913771965676E-2</v>
      </c>
      <c r="L47" s="28" cm="1">
        <f t="array" ref="L47">IFERROR(INDEX('Master Data Sheet'!$1:$1048576, MATCH(1, ('Master Data Sheet'!$H:$H=L$2) * (INDEX('Master Data Sheet'!$1:$1, , MATCH($F$1, 'Master Data Sheet'!$1:$1, 0)) = $F$1) * ('Master Data Sheet'!$G:$G=$B47) * ('Master Data Sheet'!$F:$F=$E47) * ('Master Data Sheet'!$A:$A=$F47), 0), MATCH($F$1, 'Master Data Sheet'!$1:$1, 0)), "")</f>
        <v>3.8141942514643784E-2</v>
      </c>
      <c r="M47" s="28" cm="1">
        <f t="array" ref="M47">IFERROR(INDEX('Master Data Sheet'!$1:$1048576, MATCH(1, ('Master Data Sheet'!$H:$H=M$2) * (INDEX('Master Data Sheet'!$1:$1, , MATCH($F$1, 'Master Data Sheet'!$1:$1, 0)) = $F$1) * ('Master Data Sheet'!$G:$G=$B47) * ('Master Data Sheet'!$F:$F=$E47) * ('Master Data Sheet'!$A:$A=$F47), 0), MATCH($F$1, 'Master Data Sheet'!$1:$1, 0)), "")</f>
        <v>5.7212913771965676E-2</v>
      </c>
      <c r="N47" s="28" cm="1">
        <f t="array" ref="N47">IFERROR(INDEX('Master Data Sheet'!$1:$1048576, MATCH(1, ('Master Data Sheet'!$H:$H=N$2) * (INDEX('Master Data Sheet'!$1:$1, , MATCH($F$1, 'Master Data Sheet'!$1:$1, 0)) = $F$1) * ('Master Data Sheet'!$G:$G=$B47) * ('Master Data Sheet'!$F:$F=$E47) * ('Master Data Sheet'!$A:$A=$F47), 0), MATCH($F$1, 'Master Data Sheet'!$1:$1, 0)), "")</f>
        <v>2.8606456885982838E-2</v>
      </c>
      <c r="O47" s="28">
        <f t="shared" si="33"/>
        <v>6.8110611633292462E-2</v>
      </c>
      <c r="P47" s="28">
        <f t="shared" si="4"/>
        <v>4.8129356996735588E-2</v>
      </c>
      <c r="Q47" s="48">
        <f>(1-(O47/O41))*100</f>
        <v>-900</v>
      </c>
      <c r="R47" s="27"/>
      <c r="S47" s="27"/>
      <c r="T47" s="27"/>
      <c r="U47" s="27"/>
      <c r="V47" s="27"/>
    </row>
    <row r="48" spans="1:45" x14ac:dyDescent="0.35">
      <c r="A48" s="41">
        <f>IFERROR(INDEX('Date Key'!$B$2:$B$19, MATCH(F48,'Date Key'!$A$2:$A$19, 0)), "")</f>
        <v>45371</v>
      </c>
      <c r="B48" s="4">
        <f t="shared" si="40"/>
        <v>6</v>
      </c>
      <c r="C48" s="26" t="str">
        <f>IFERROR(INDEX('Date Key'!$G$57:$G$62, MATCH(B48,'Date Key'!$A$57:$A$62, 0)), "")</f>
        <v>Medium HLR, Upper Outlet Height, Yes Plants</v>
      </c>
      <c r="D48" s="4" t="str">
        <f>IFERROR(INDEX('Date Key'!$G$2:$G$19, MATCH(F48, 'Date Key'!$A$2:$A$19, 0)), "")</f>
        <v>No</v>
      </c>
      <c r="E48" s="4" t="str">
        <f t="shared" si="1"/>
        <v>in</v>
      </c>
      <c r="F48" s="4">
        <f t="shared" si="2"/>
        <v>16</v>
      </c>
      <c r="G48" s="4">
        <f t="shared" si="3"/>
        <v>1</v>
      </c>
      <c r="H48" s="11" cm="1">
        <f t="array" ref="H48">IFERROR(INDEX('Master Data Sheet'!$1:$1048576, MATCH(1, ('Master Data Sheet'!$H:$H=H$2) * (INDEX('Master Data Sheet'!$1:$1, , MATCH($F$1, 'Master Data Sheet'!$1:$1, 0)) = $F$1) * ('Master Data Sheet'!$G:$G=$B48) * ('Master Data Sheet'!$F:$F=$E48) * ('Master Data Sheet'!$A:$A=$F48), 0), MATCH($F$1, 'Master Data Sheet'!$1:$1, 0)), "")</f>
        <v>0</v>
      </c>
      <c r="I48" s="11" cm="1">
        <f t="array" ref="I48">IFERROR(INDEX('Master Data Sheet'!$1:$1048576, MATCH(1, ('Master Data Sheet'!$H:$H=I$2) * (INDEX('Master Data Sheet'!$1:$1, , MATCH($F$1, 'Master Data Sheet'!$1:$1, 0)) = $F$1) * ('Master Data Sheet'!$G:$G=$B48) * ('Master Data Sheet'!$F:$F=$E48) * ('Master Data Sheet'!$A:$A=$F48), 0), MATCH($F$1, 'Master Data Sheet'!$1:$1, 0)), "")</f>
        <v>1.9070971257321892E-2</v>
      </c>
      <c r="J48" s="11" cm="1">
        <f t="array" ref="J48">IFERROR(INDEX('Master Data Sheet'!$1:$1048576, MATCH(1, ('Master Data Sheet'!$H:$H=J$2) * (INDEX('Master Data Sheet'!$1:$1, , MATCH($F$1, 'Master Data Sheet'!$1:$1, 0)) = $F$1) * ('Master Data Sheet'!$G:$G=$B48) * ('Master Data Sheet'!$F:$F=$E48) * ('Master Data Sheet'!$A:$A=$F48), 0), MATCH($F$1, 'Master Data Sheet'!$1:$1, 0)), "")</f>
        <v>5.7212913771965676E-2</v>
      </c>
      <c r="K48" s="11" cm="1">
        <f t="array" ref="K48">IFERROR(INDEX('Master Data Sheet'!$1:$1048576, MATCH(1, ('Master Data Sheet'!$H:$H=K$2) * (INDEX('Master Data Sheet'!$1:$1, , MATCH($F$1, 'Master Data Sheet'!$1:$1, 0)) = $F$1) * ('Master Data Sheet'!$G:$G=$B48) * ('Master Data Sheet'!$F:$F=$E48) * ('Master Data Sheet'!$A:$A=$F48), 0), MATCH($F$1, 'Master Data Sheet'!$1:$1, 0)), "")</f>
        <v>2.8606456885982838E-2</v>
      </c>
      <c r="L48" s="11" cm="1">
        <f t="array" ref="L48">IFERROR(INDEX('Master Data Sheet'!$1:$1048576, MATCH(1, ('Master Data Sheet'!$H:$H=L$2) * (INDEX('Master Data Sheet'!$1:$1, , MATCH($F$1, 'Master Data Sheet'!$1:$1, 0)) = $F$1) * ('Master Data Sheet'!$G:$G=$B48) * ('Master Data Sheet'!$F:$F=$E48) * ('Master Data Sheet'!$A:$A=$F48), 0), MATCH($F$1, 'Master Data Sheet'!$1:$1, 0)), "")</f>
        <v>1.9070971257321892E-2</v>
      </c>
      <c r="M48" s="11" cm="1">
        <f t="array" ref="M48">IFERROR(INDEX('Master Data Sheet'!$1:$1048576, MATCH(1, ('Master Data Sheet'!$H:$H=M$2) * (INDEX('Master Data Sheet'!$1:$1, , MATCH($F$1, 'Master Data Sheet'!$1:$1, 0)) = $F$1) * ('Master Data Sheet'!$G:$G=$B48) * ('Master Data Sheet'!$F:$F=$E48) * ('Master Data Sheet'!$A:$A=$F48), 0), MATCH($F$1, 'Master Data Sheet'!$1:$1, 0)), "")</f>
        <v>3.8141942514643784E-2</v>
      </c>
      <c r="N48" s="11" cm="1">
        <f t="array" ref="N48">IFERROR(INDEX('Master Data Sheet'!$1:$1048576, MATCH(1, ('Master Data Sheet'!$H:$H=N$2) * (INDEX('Master Data Sheet'!$1:$1, , MATCH($F$1, 'Master Data Sheet'!$1:$1, 0)) = $F$1) * ('Master Data Sheet'!$G:$G=$B48) * ('Master Data Sheet'!$F:$F=$E48) * ('Master Data Sheet'!$A:$A=$F48), 0), MATCH($F$1, 'Master Data Sheet'!$1:$1, 0)), "")</f>
        <v>7.6283885029287568E-2</v>
      </c>
      <c r="O48" s="11">
        <f t="shared" si="33"/>
        <v>3.4055305816646238E-2</v>
      </c>
      <c r="P48" s="11">
        <f t="shared" si="4"/>
        <v>2.5738242239056242E-2</v>
      </c>
      <c r="R48" s="11">
        <f>AVERAGE(O48:O50)</f>
        <v>0.10367905290991042</v>
      </c>
      <c r="S48" s="11">
        <f>AVERAGE(P48:P50)</f>
        <v>3.5025207976272725E-2</v>
      </c>
      <c r="U48" s="47">
        <f>AVERAGE(T51, T54)</f>
        <v>-244.54936753338015</v>
      </c>
      <c r="V48" s="47">
        <f>STDEV(T51,T54)</f>
        <v>266.046175654671</v>
      </c>
      <c r="X48" t="s">
        <v>343</v>
      </c>
    </row>
    <row r="49" spans="1:46" x14ac:dyDescent="0.35">
      <c r="A49" s="41">
        <f>IFERROR(INDEX('Date Key'!$B$2:$B$19, MATCH(F49,'Date Key'!$A$2:$A$19, 0)), "")</f>
        <v>45392</v>
      </c>
      <c r="B49" s="4">
        <f t="shared" si="40"/>
        <v>6</v>
      </c>
      <c r="C49" s="26" t="str">
        <f>IFERROR(INDEX('Date Key'!$G$57:$G$62, MATCH(B49,'Date Key'!$A$57:$A$62, 0)), "")</f>
        <v>Medium HLR, Upper Outlet Height, Yes Plants</v>
      </c>
      <c r="D49" s="4" t="str">
        <f>IFERROR(INDEX('Date Key'!$G$2:$G$19, MATCH(F49, 'Date Key'!$A$2:$A$19, 0)), "")</f>
        <v>No</v>
      </c>
      <c r="E49" s="4" t="str">
        <f t="shared" si="1"/>
        <v>in</v>
      </c>
      <c r="F49" s="4">
        <f t="shared" si="2"/>
        <v>17</v>
      </c>
      <c r="G49" s="4">
        <f t="shared" si="3"/>
        <v>2</v>
      </c>
      <c r="H49" s="11" cm="1">
        <f t="array" ref="H49">IFERROR(INDEX('Master Data Sheet'!$1:$1048576, MATCH(1, ('Master Data Sheet'!$H:$H=H$2) * (INDEX('Master Data Sheet'!$1:$1, , MATCH($F$1, 'Master Data Sheet'!$1:$1, 0)) = $F$1) * ('Master Data Sheet'!$G:$G=$B49) * ('Master Data Sheet'!$F:$F=$E49) * ('Master Data Sheet'!$A:$A=$F49), 0), MATCH($F$1, 'Master Data Sheet'!$1:$1, 0)), "")</f>
        <v>0</v>
      </c>
      <c r="I49" s="11" cm="1">
        <f t="array" ref="I49">IFERROR(INDEX('Master Data Sheet'!$1:$1048576, MATCH(1, ('Master Data Sheet'!$H:$H=I$2) * (INDEX('Master Data Sheet'!$1:$1, , MATCH($F$1, 'Master Data Sheet'!$1:$1, 0)) = $F$1) * ('Master Data Sheet'!$G:$G=$B49) * ('Master Data Sheet'!$F:$F=$E49) * ('Master Data Sheet'!$A:$A=$F49), 0), MATCH($F$1, 'Master Data Sheet'!$1:$1, 0)), "")</f>
        <v>0</v>
      </c>
      <c r="J49" s="11" cm="1">
        <f t="array" ref="J49">IFERROR(INDEX('Master Data Sheet'!$1:$1048576, MATCH(1, ('Master Data Sheet'!$H:$H=J$2) * (INDEX('Master Data Sheet'!$1:$1, , MATCH($F$1, 'Master Data Sheet'!$1:$1, 0)) = $F$1) * ('Master Data Sheet'!$G:$G=$B49) * ('Master Data Sheet'!$F:$F=$E49) * ('Master Data Sheet'!$A:$A=$F49), 0), MATCH($F$1, 'Master Data Sheet'!$1:$1, 0)), "")</f>
        <v>0</v>
      </c>
      <c r="K49" s="11" cm="1">
        <f t="array" ref="K49">IFERROR(INDEX('Master Data Sheet'!$1:$1048576, MATCH(1, ('Master Data Sheet'!$H:$H=K$2) * (INDEX('Master Data Sheet'!$1:$1, , MATCH($F$1, 'Master Data Sheet'!$1:$1, 0)) = $F$1) * ('Master Data Sheet'!$G:$G=$B49) * ('Master Data Sheet'!$F:$F=$E49) * ('Master Data Sheet'!$A:$A=$F49), 0), MATCH($F$1, 'Master Data Sheet'!$1:$1, 0)), "")</f>
        <v>0</v>
      </c>
      <c r="L49" s="11" cm="1">
        <f t="array" ref="L49">IFERROR(INDEX('Master Data Sheet'!$1:$1048576, MATCH(1, ('Master Data Sheet'!$H:$H=L$2) * (INDEX('Master Data Sheet'!$1:$1, , MATCH($F$1, 'Master Data Sheet'!$1:$1, 0)) = $F$1) * ('Master Data Sheet'!$G:$G=$B49) * ('Master Data Sheet'!$F:$F=$E49) * ('Master Data Sheet'!$A:$A=$F49), 0), MATCH($F$1, 'Master Data Sheet'!$1:$1, 0)), "")</f>
        <v>0</v>
      </c>
      <c r="M49" s="11" cm="1">
        <f t="array" ref="M49">IFERROR(INDEX('Master Data Sheet'!$1:$1048576, MATCH(1, ('Master Data Sheet'!$H:$H=M$2) * (INDEX('Master Data Sheet'!$1:$1, , MATCH($F$1, 'Master Data Sheet'!$1:$1, 0)) = $F$1) * ('Master Data Sheet'!$G:$G=$B49) * ('Master Data Sheet'!$F:$F=$E49) * ('Master Data Sheet'!$A:$A=$F49), 0), MATCH($F$1, 'Master Data Sheet'!$1:$1, 0)), "")</f>
        <v>0</v>
      </c>
      <c r="N49" s="11" cm="1">
        <f t="array" ref="N49">IFERROR(INDEX('Master Data Sheet'!$1:$1048576, MATCH(1, ('Master Data Sheet'!$H:$H=N$2) * (INDEX('Master Data Sheet'!$1:$1, , MATCH($F$1, 'Master Data Sheet'!$1:$1, 0)) = $F$1) * ('Master Data Sheet'!$G:$G=$B49) * ('Master Data Sheet'!$F:$F=$E49) * ('Master Data Sheet'!$A:$A=$F49), 0), MATCH($F$1, 'Master Data Sheet'!$1:$1, 0)), "")</f>
        <v>0</v>
      </c>
      <c r="O49" s="11">
        <f t="shared" si="33"/>
        <v>0</v>
      </c>
      <c r="P49" s="11">
        <f t="shared" si="4"/>
        <v>0</v>
      </c>
      <c r="X49" t="str">
        <f>IFERROR(INDEX('Date Key'!$G$57:$G$62, MATCH(B48,'Date Key'!$A$57:$A$62, 0)), "")</f>
        <v>Medium HLR, Upper Outlet Height, Yes Plants</v>
      </c>
      <c r="Y49" s="1">
        <f t="shared" ref="Y49:AE49" si="53">H48</f>
        <v>0</v>
      </c>
      <c r="Z49" s="1">
        <f t="shared" si="53"/>
        <v>1.9070971257321892E-2</v>
      </c>
      <c r="AA49" s="1">
        <f t="shared" si="53"/>
        <v>5.7212913771965676E-2</v>
      </c>
      <c r="AB49" s="1">
        <f t="shared" si="53"/>
        <v>2.8606456885982838E-2</v>
      </c>
      <c r="AC49" s="1">
        <f t="shared" si="53"/>
        <v>1.9070971257321892E-2</v>
      </c>
      <c r="AD49" s="1">
        <f t="shared" si="53"/>
        <v>3.8141942514643784E-2</v>
      </c>
      <c r="AE49" s="1">
        <f t="shared" si="53"/>
        <v>7.6283885029287568E-2</v>
      </c>
      <c r="AF49" s="1">
        <f t="shared" ref="AF49:AL49" si="54">H49</f>
        <v>0</v>
      </c>
      <c r="AG49" s="1">
        <f t="shared" si="54"/>
        <v>0</v>
      </c>
      <c r="AH49" s="1">
        <f t="shared" si="54"/>
        <v>0</v>
      </c>
      <c r="AI49" s="1">
        <f t="shared" si="54"/>
        <v>0</v>
      </c>
      <c r="AJ49" s="1">
        <f t="shared" si="54"/>
        <v>0</v>
      </c>
      <c r="AK49" s="1">
        <f t="shared" si="54"/>
        <v>0</v>
      </c>
      <c r="AL49" s="1">
        <f t="shared" si="54"/>
        <v>0</v>
      </c>
      <c r="AM49" s="1">
        <f t="shared" ref="AM49:AS49" si="55">H50</f>
        <v>0.26743075453677173</v>
      </c>
      <c r="AN49" s="1">
        <f t="shared" si="55"/>
        <v>0.36294173829990445</v>
      </c>
      <c r="AO49" s="1">
        <f t="shared" si="55"/>
        <v>0.38204393505253109</v>
      </c>
      <c r="AP49" s="1">
        <f t="shared" si="55"/>
        <v>0.30563514804202485</v>
      </c>
      <c r="AQ49" s="1">
        <f t="shared" si="55"/>
        <v>0.24832855778414517</v>
      </c>
      <c r="AR49" s="1">
        <f t="shared" si="55"/>
        <v>0.21012416427889211</v>
      </c>
      <c r="AS49" s="1">
        <f t="shared" si="55"/>
        <v>0.16236867239732572</v>
      </c>
    </row>
    <row r="50" spans="1:46" x14ac:dyDescent="0.35">
      <c r="A50" s="41">
        <f>IFERROR(INDEX('Date Key'!$B$2:$B$19, MATCH(F50,'Date Key'!$A$2:$A$19, 0)), "")</f>
        <v>45400</v>
      </c>
      <c r="B50" s="4">
        <f t="shared" si="40"/>
        <v>6</v>
      </c>
      <c r="C50" s="26" t="str">
        <f>IFERROR(INDEX('Date Key'!$G$57:$G$62, MATCH(B50,'Date Key'!$A$57:$A$62, 0)), "")</f>
        <v>Medium HLR, Upper Outlet Height, Yes Plants</v>
      </c>
      <c r="D50" s="4" t="str">
        <f>IFERROR(INDEX('Date Key'!$G$2:$G$19, MATCH(F50, 'Date Key'!$A$2:$A$19, 0)), "")</f>
        <v>Yes</v>
      </c>
      <c r="E50" s="4" t="str">
        <f t="shared" si="1"/>
        <v>in</v>
      </c>
      <c r="F50" s="4">
        <f t="shared" si="2"/>
        <v>18</v>
      </c>
      <c r="G50" s="4">
        <f t="shared" si="3"/>
        <v>3</v>
      </c>
      <c r="H50" s="11" cm="1">
        <f t="array" ref="H50">IFERROR(INDEX('Master Data Sheet'!$1:$1048576, MATCH(1, ('Master Data Sheet'!$H:$H=H$2) * (INDEX('Master Data Sheet'!$1:$1, , MATCH($F$1, 'Master Data Sheet'!$1:$1, 0)) = $F$1) * ('Master Data Sheet'!$G:$G=$B50) * ('Master Data Sheet'!$F:$F=$E50) * ('Master Data Sheet'!$A:$A=$F50), 0), MATCH($F$1, 'Master Data Sheet'!$1:$1, 0)), "")</f>
        <v>0.26743075453677173</v>
      </c>
      <c r="I50" s="11" cm="1">
        <f t="array" ref="I50">IFERROR(INDEX('Master Data Sheet'!$1:$1048576, MATCH(1, ('Master Data Sheet'!$H:$H=I$2) * (INDEX('Master Data Sheet'!$1:$1, , MATCH($F$1, 'Master Data Sheet'!$1:$1, 0)) = $F$1) * ('Master Data Sheet'!$G:$G=$B50) * ('Master Data Sheet'!$F:$F=$E50) * ('Master Data Sheet'!$A:$A=$F50), 0), MATCH($F$1, 'Master Data Sheet'!$1:$1, 0)), "")</f>
        <v>0.36294173829990445</v>
      </c>
      <c r="J50" s="11" cm="1">
        <f t="array" ref="J50">IFERROR(INDEX('Master Data Sheet'!$1:$1048576, MATCH(1, ('Master Data Sheet'!$H:$H=J$2) * (INDEX('Master Data Sheet'!$1:$1, , MATCH($F$1, 'Master Data Sheet'!$1:$1, 0)) = $F$1) * ('Master Data Sheet'!$G:$G=$B50) * ('Master Data Sheet'!$F:$F=$E50) * ('Master Data Sheet'!$A:$A=$F50), 0), MATCH($F$1, 'Master Data Sheet'!$1:$1, 0)), "")</f>
        <v>0.38204393505253109</v>
      </c>
      <c r="K50" s="11" cm="1">
        <f t="array" ref="K50">IFERROR(INDEX('Master Data Sheet'!$1:$1048576, MATCH(1, ('Master Data Sheet'!$H:$H=K$2) * (INDEX('Master Data Sheet'!$1:$1, , MATCH($F$1, 'Master Data Sheet'!$1:$1, 0)) = $F$1) * ('Master Data Sheet'!$G:$G=$B50) * ('Master Data Sheet'!$F:$F=$E50) * ('Master Data Sheet'!$A:$A=$F50), 0), MATCH($F$1, 'Master Data Sheet'!$1:$1, 0)), "")</f>
        <v>0.30563514804202485</v>
      </c>
      <c r="L50" s="11" cm="1">
        <f t="array" ref="L50">IFERROR(INDEX('Master Data Sheet'!$1:$1048576, MATCH(1, ('Master Data Sheet'!$H:$H=L$2) * (INDEX('Master Data Sheet'!$1:$1, , MATCH($F$1, 'Master Data Sheet'!$1:$1, 0)) = $F$1) * ('Master Data Sheet'!$G:$G=$B50) * ('Master Data Sheet'!$F:$F=$E50) * ('Master Data Sheet'!$A:$A=$F50), 0), MATCH($F$1, 'Master Data Sheet'!$1:$1, 0)), "")</f>
        <v>0.24832855778414517</v>
      </c>
      <c r="M50" s="11" cm="1">
        <f t="array" ref="M50">IFERROR(INDEX('Master Data Sheet'!$1:$1048576, MATCH(1, ('Master Data Sheet'!$H:$H=M$2) * (INDEX('Master Data Sheet'!$1:$1, , MATCH($F$1, 'Master Data Sheet'!$1:$1, 0)) = $F$1) * ('Master Data Sheet'!$G:$G=$B50) * ('Master Data Sheet'!$F:$F=$E50) * ('Master Data Sheet'!$A:$A=$F50), 0), MATCH($F$1, 'Master Data Sheet'!$1:$1, 0)), "")</f>
        <v>0.21012416427889211</v>
      </c>
      <c r="N50" s="11" cm="1">
        <f t="array" ref="N50">IFERROR(INDEX('Master Data Sheet'!$1:$1048576, MATCH(1, ('Master Data Sheet'!$H:$H=N$2) * (INDEX('Master Data Sheet'!$1:$1, , MATCH($F$1, 'Master Data Sheet'!$1:$1, 0)) = $F$1) * ('Master Data Sheet'!$G:$G=$B50) * ('Master Data Sheet'!$F:$F=$E50) * ('Master Data Sheet'!$A:$A=$F50), 0), MATCH($F$1, 'Master Data Sheet'!$1:$1, 0)), "")</f>
        <v>0.16236867239732572</v>
      </c>
      <c r="O50" s="11">
        <f t="shared" si="33"/>
        <v>0.27698185291308502</v>
      </c>
      <c r="P50" s="11">
        <f t="shared" si="4"/>
        <v>7.933738168976194E-2</v>
      </c>
      <c r="Y50" s="1"/>
      <c r="Z50" s="1"/>
      <c r="AA50" s="1"/>
      <c r="AB50" s="1"/>
      <c r="AC50" s="1"/>
      <c r="AD50" s="1"/>
      <c r="AE50" s="1"/>
      <c r="AF50" s="1"/>
      <c r="AG50" s="1"/>
      <c r="AH50" s="1"/>
      <c r="AI50" s="1"/>
      <c r="AJ50" s="1"/>
      <c r="AK50" s="1"/>
      <c r="AL50" s="1"/>
      <c r="AM50" s="1"/>
      <c r="AN50" s="1"/>
      <c r="AO50" s="1"/>
      <c r="AP50" s="1"/>
      <c r="AQ50" s="1"/>
      <c r="AR50" s="1"/>
      <c r="AS50" s="1"/>
    </row>
    <row r="51" spans="1:46" x14ac:dyDescent="0.35">
      <c r="A51" s="41">
        <f>IFERROR(INDEX('Date Key'!$B$2:$B$19, MATCH(F51,'Date Key'!$A$2:$A$19, 0)), "")</f>
        <v>45371</v>
      </c>
      <c r="B51" s="4">
        <f t="shared" si="40"/>
        <v>6</v>
      </c>
      <c r="C51" s="26" t="str">
        <f>IFERROR(INDEX('Date Key'!$G$57:$G$62, MATCH(B51,'Date Key'!$A$57:$A$62, 0)), "")</f>
        <v>Medium HLR, Upper Outlet Height, Yes Plants</v>
      </c>
      <c r="D51" s="4" t="str">
        <f>IFERROR(INDEX('Date Key'!$G$2:$G$19, MATCH(F51, 'Date Key'!$A$2:$A$19, 0)), "")</f>
        <v>No</v>
      </c>
      <c r="E51" s="4" t="str">
        <f t="shared" si="1"/>
        <v>tank 1</v>
      </c>
      <c r="F51" s="4">
        <f t="shared" si="2"/>
        <v>16</v>
      </c>
      <c r="G51" s="4">
        <f t="shared" si="3"/>
        <v>1</v>
      </c>
      <c r="H51" s="11" cm="1">
        <f t="array" ref="H51">IFERROR(INDEX('Master Data Sheet'!$1:$1048576, MATCH(1, ('Master Data Sheet'!$H:$H=H$2) * (INDEX('Master Data Sheet'!$1:$1, , MATCH($F$1, 'Master Data Sheet'!$1:$1, 0)) = $F$1) * ('Master Data Sheet'!$G:$G=$B51) * ('Master Data Sheet'!$F:$F=$E51) * ('Master Data Sheet'!$A:$A=$F51), 0), MATCH($F$1, 'Master Data Sheet'!$1:$1, 0)), "")</f>
        <v>9.9073695681787211</v>
      </c>
      <c r="I51" s="11" cm="1">
        <f t="array" ref="I51">IFERROR(INDEX('Master Data Sheet'!$1:$1048576, MATCH(1, ('Master Data Sheet'!$H:$H=I$2) * (INDEX('Master Data Sheet'!$1:$1, , MATCH($F$1, 'Master Data Sheet'!$1:$1, 0)) = $F$1) * ('Master Data Sheet'!$G:$G=$B51) * ('Master Data Sheet'!$F:$F=$E51) * ('Master Data Sheet'!$A:$A=$F51), 0), MATCH($F$1, 'Master Data Sheet'!$1:$1, 0)), "")</f>
        <v>0</v>
      </c>
      <c r="J51" s="11" cm="1">
        <f t="array" ref="J51">IFERROR(INDEX('Master Data Sheet'!$1:$1048576, MATCH(1, ('Master Data Sheet'!$H:$H=J$2) * (INDEX('Master Data Sheet'!$1:$1, , MATCH($F$1, 'Master Data Sheet'!$1:$1, 0)) = $F$1) * ('Master Data Sheet'!$G:$G=$B51) * ('Master Data Sheet'!$F:$F=$E51) * ('Master Data Sheet'!$A:$A=$F51), 0), MATCH($F$1, 'Master Data Sheet'!$1:$1, 0)), "")</f>
        <v>0</v>
      </c>
      <c r="K51" s="11" cm="1">
        <f t="array" ref="K51">IFERROR(INDEX('Master Data Sheet'!$1:$1048576, MATCH(1, ('Master Data Sheet'!$H:$H=K$2) * (INDEX('Master Data Sheet'!$1:$1, , MATCH($F$1, 'Master Data Sheet'!$1:$1, 0)) = $F$1) * ('Master Data Sheet'!$G:$G=$B51) * ('Master Data Sheet'!$F:$F=$E51) * ('Master Data Sheet'!$A:$A=$F51), 0), MATCH($F$1, 'Master Data Sheet'!$1:$1, 0)), "")</f>
        <v>0</v>
      </c>
      <c r="L51" s="11" cm="1">
        <f t="array" ref="L51">IFERROR(INDEX('Master Data Sheet'!$1:$1048576, MATCH(1, ('Master Data Sheet'!$H:$H=L$2) * (INDEX('Master Data Sheet'!$1:$1, , MATCH($F$1, 'Master Data Sheet'!$1:$1, 0)) = $F$1) * ('Master Data Sheet'!$G:$G=$B51) * ('Master Data Sheet'!$F:$F=$E51) * ('Master Data Sheet'!$A:$A=$F51), 0), MATCH($F$1, 'Master Data Sheet'!$1:$1, 0)), "")</f>
        <v>0</v>
      </c>
      <c r="M51" s="11" cm="1">
        <f t="array" ref="M51">IFERROR(INDEX('Master Data Sheet'!$1:$1048576, MATCH(1, ('Master Data Sheet'!$H:$H=M$2) * (INDEX('Master Data Sheet'!$1:$1, , MATCH($F$1, 'Master Data Sheet'!$1:$1, 0)) = $F$1) * ('Master Data Sheet'!$G:$G=$B51) * ('Master Data Sheet'!$F:$F=$E51) * ('Master Data Sheet'!$A:$A=$F51), 0), MATCH($F$1, 'Master Data Sheet'!$1:$1, 0)), "")</f>
        <v>4.7677428143304723E-2</v>
      </c>
      <c r="N51" s="11" cm="1">
        <f t="array" ref="N51">IFERROR(INDEX('Master Data Sheet'!$1:$1048576, MATCH(1, ('Master Data Sheet'!$H:$H=N$2) * (INDEX('Master Data Sheet'!$1:$1, , MATCH($F$1, 'Master Data Sheet'!$1:$1, 0)) = $F$1) * ('Master Data Sheet'!$G:$G=$B51) * ('Master Data Sheet'!$F:$F=$E51) * ('Master Data Sheet'!$A:$A=$F51), 0), MATCH($F$1, 'Master Data Sheet'!$1:$1, 0)), "")</f>
        <v>0.10489034191527041</v>
      </c>
      <c r="O51" s="11">
        <f t="shared" si="33"/>
        <v>1.4371339054624708</v>
      </c>
      <c r="P51" s="11">
        <f t="shared" si="4"/>
        <v>3.7352324748232779</v>
      </c>
      <c r="Q51" s="46">
        <f>(1-(O51/O48))*100</f>
        <v>-4119.9999999999991</v>
      </c>
      <c r="R51" s="46" t="e">
        <f>AVERAGE(Q51:Q53)</f>
        <v>#DIV/0!</v>
      </c>
      <c r="S51" s="46" t="e">
        <f>STDEV(Q51:Q53)</f>
        <v>#DIV/0!</v>
      </c>
      <c r="T51" s="47">
        <f>(1-(AVERAGE(H51:N53)/AVERAGE(H48:N50)))*100</f>
        <v>-432.67242244754539</v>
      </c>
      <c r="U51" s="47"/>
      <c r="V51" s="47"/>
      <c r="Y51" s="2"/>
      <c r="Z51" s="2"/>
      <c r="AA51" s="2"/>
      <c r="AB51" s="2"/>
      <c r="AC51" s="2"/>
      <c r="AD51" s="2"/>
      <c r="AE51" s="2"/>
      <c r="AF51" s="2"/>
      <c r="AG51" s="2"/>
    </row>
    <row r="52" spans="1:46" x14ac:dyDescent="0.35">
      <c r="A52" s="41">
        <f>IFERROR(INDEX('Date Key'!$B$2:$B$19, MATCH(F52,'Date Key'!$A$2:$A$19, 0)), "")</f>
        <v>45392</v>
      </c>
      <c r="B52" s="4">
        <f t="shared" si="40"/>
        <v>6</v>
      </c>
      <c r="C52" s="26" t="str">
        <f>IFERROR(INDEX('Date Key'!$G$57:$G$62, MATCH(B52,'Date Key'!$A$57:$A$62, 0)), "")</f>
        <v>Medium HLR, Upper Outlet Height, Yes Plants</v>
      </c>
      <c r="D52" s="4" t="str">
        <f>IFERROR(INDEX('Date Key'!$G$2:$G$19, MATCH(F52, 'Date Key'!$A$2:$A$19, 0)), "")</f>
        <v>No</v>
      </c>
      <c r="E52" s="4" t="str">
        <f t="shared" si="1"/>
        <v>tank 1</v>
      </c>
      <c r="F52" s="4">
        <f t="shared" si="2"/>
        <v>17</v>
      </c>
      <c r="G52" s="4">
        <f t="shared" si="3"/>
        <v>2</v>
      </c>
      <c r="H52" s="11" cm="1">
        <f t="array" ref="H52">IFERROR(INDEX('Master Data Sheet'!$1:$1048576, MATCH(1, ('Master Data Sheet'!$H:$H=H$2) * (INDEX('Master Data Sheet'!$1:$1, , MATCH($F$1, 'Master Data Sheet'!$1:$1, 0)) = $F$1) * ('Master Data Sheet'!$G:$G=$B52) * ('Master Data Sheet'!$F:$F=$E52) * ('Master Data Sheet'!$A:$A=$F52), 0), MATCH($F$1, 'Master Data Sheet'!$1:$1, 0)), "")</f>
        <v>0</v>
      </c>
      <c r="I52" s="11" cm="1">
        <f t="array" ref="I52">IFERROR(INDEX('Master Data Sheet'!$1:$1048576, MATCH(1, ('Master Data Sheet'!$H:$H=I$2) * (INDEX('Master Data Sheet'!$1:$1, , MATCH($F$1, 'Master Data Sheet'!$1:$1, 0)) = $F$1) * ('Master Data Sheet'!$G:$G=$B52) * ('Master Data Sheet'!$F:$F=$E52) * ('Master Data Sheet'!$A:$A=$F52), 0), MATCH($F$1, 'Master Data Sheet'!$1:$1, 0)), "")</f>
        <v>0</v>
      </c>
      <c r="J52" s="11" cm="1">
        <f t="array" ref="J52">IFERROR(INDEX('Master Data Sheet'!$1:$1048576, MATCH(1, ('Master Data Sheet'!$H:$H=J$2) * (INDEX('Master Data Sheet'!$1:$1, , MATCH($F$1, 'Master Data Sheet'!$1:$1, 0)) = $F$1) * ('Master Data Sheet'!$G:$G=$B52) * ('Master Data Sheet'!$F:$F=$E52) * ('Master Data Sheet'!$A:$A=$F52), 0), MATCH($F$1, 'Master Data Sheet'!$1:$1, 0)), "")</f>
        <v>0</v>
      </c>
      <c r="K52" s="11" cm="1">
        <f t="array" ref="K52">IFERROR(INDEX('Master Data Sheet'!$1:$1048576, MATCH(1, ('Master Data Sheet'!$H:$H=K$2) * (INDEX('Master Data Sheet'!$1:$1, , MATCH($F$1, 'Master Data Sheet'!$1:$1, 0)) = $F$1) * ('Master Data Sheet'!$G:$G=$B52) * ('Master Data Sheet'!$F:$F=$E52) * ('Master Data Sheet'!$A:$A=$F52), 0), MATCH($F$1, 'Master Data Sheet'!$1:$1, 0)), "")</f>
        <v>0</v>
      </c>
      <c r="L52" s="11" cm="1">
        <f t="array" ref="L52">IFERROR(INDEX('Master Data Sheet'!$1:$1048576, MATCH(1, ('Master Data Sheet'!$H:$H=L$2) * (INDEX('Master Data Sheet'!$1:$1, , MATCH($F$1, 'Master Data Sheet'!$1:$1, 0)) = $F$1) * ('Master Data Sheet'!$G:$G=$B52) * ('Master Data Sheet'!$F:$F=$E52) * ('Master Data Sheet'!$A:$A=$F52), 0), MATCH($F$1, 'Master Data Sheet'!$1:$1, 0)), "")</f>
        <v>0</v>
      </c>
      <c r="M52" s="11" cm="1">
        <f t="array" ref="M52">IFERROR(INDEX('Master Data Sheet'!$1:$1048576, MATCH(1, ('Master Data Sheet'!$H:$H=M$2) * (INDEX('Master Data Sheet'!$1:$1, , MATCH($F$1, 'Master Data Sheet'!$1:$1, 0)) = $F$1) * ('Master Data Sheet'!$G:$G=$B52) * ('Master Data Sheet'!$F:$F=$E52) * ('Master Data Sheet'!$A:$A=$F52), 0), MATCH($F$1, 'Master Data Sheet'!$1:$1, 0)), "")</f>
        <v>0</v>
      </c>
      <c r="N52" s="11" cm="1">
        <f t="array" ref="N52">IFERROR(INDEX('Master Data Sheet'!$1:$1048576, MATCH(1, ('Master Data Sheet'!$H:$H=N$2) * (INDEX('Master Data Sheet'!$1:$1, , MATCH($F$1, 'Master Data Sheet'!$1:$1, 0)) = $F$1) * ('Master Data Sheet'!$G:$G=$B52) * ('Master Data Sheet'!$F:$F=$E52) * ('Master Data Sheet'!$A:$A=$F52), 0), MATCH($F$1, 'Master Data Sheet'!$1:$1, 0)), "")</f>
        <v>0</v>
      </c>
      <c r="O52" s="11">
        <f t="shared" si="33"/>
        <v>0</v>
      </c>
      <c r="P52" s="11">
        <f t="shared" si="4"/>
        <v>0</v>
      </c>
      <c r="Q52" s="46" t="e">
        <f>(1-(O52/O49))*100</f>
        <v>#DIV/0!</v>
      </c>
      <c r="X52" t="str">
        <f>IFERROR(INDEX('Date Key'!$G$57:$G$62, MATCH(B51,'Date Key'!$A$57:$A$62, 0)), "")</f>
        <v>Medium HLR, Upper Outlet Height, Yes Plants</v>
      </c>
      <c r="Y52" s="1">
        <f t="shared" ref="Y52:AE52" si="56">H51</f>
        <v>9.9073695681787211</v>
      </c>
      <c r="Z52" s="1">
        <f t="shared" si="56"/>
        <v>0</v>
      </c>
      <c r="AA52" s="1">
        <f t="shared" si="56"/>
        <v>0</v>
      </c>
      <c r="AB52" s="1">
        <f t="shared" si="56"/>
        <v>0</v>
      </c>
      <c r="AC52" s="1">
        <f t="shared" si="56"/>
        <v>0</v>
      </c>
      <c r="AD52" s="1">
        <f t="shared" si="56"/>
        <v>4.7677428143304723E-2</v>
      </c>
      <c r="AE52" s="1">
        <f t="shared" si="56"/>
        <v>0.10489034191527041</v>
      </c>
      <c r="AF52" s="1">
        <f t="shared" ref="AF52:AL52" si="57">H52</f>
        <v>0</v>
      </c>
      <c r="AG52" s="1">
        <f t="shared" si="57"/>
        <v>0</v>
      </c>
      <c r="AH52" s="1">
        <f t="shared" si="57"/>
        <v>0</v>
      </c>
      <c r="AI52" s="1">
        <f t="shared" si="57"/>
        <v>0</v>
      </c>
      <c r="AJ52" s="1">
        <f t="shared" si="57"/>
        <v>0</v>
      </c>
      <c r="AK52" s="1">
        <f t="shared" si="57"/>
        <v>0</v>
      </c>
      <c r="AL52" s="1">
        <f t="shared" si="57"/>
        <v>0</v>
      </c>
      <c r="AM52" s="1">
        <f t="shared" ref="AM52:AS52" si="58">H53</f>
        <v>1.9102196752626553E-2</v>
      </c>
      <c r="AN52" s="1">
        <f t="shared" si="58"/>
        <v>6.6857688634192933E-2</v>
      </c>
      <c r="AO52" s="1">
        <f t="shared" si="58"/>
        <v>0.10506208213944605</v>
      </c>
      <c r="AP52" s="1">
        <f t="shared" si="58"/>
        <v>0.18147086914995222</v>
      </c>
      <c r="AQ52" s="1">
        <f t="shared" si="58"/>
        <v>0.29608404966571156</v>
      </c>
      <c r="AR52" s="1">
        <f t="shared" si="58"/>
        <v>0.42024832855778421</v>
      </c>
      <c r="AS52" s="1">
        <f t="shared" si="58"/>
        <v>0.44890162368672404</v>
      </c>
    </row>
    <row r="53" spans="1:46" x14ac:dyDescent="0.35">
      <c r="A53" s="41">
        <f>IFERROR(INDEX('Date Key'!$B$2:$B$19, MATCH(F53,'Date Key'!$A$2:$A$19, 0)), "")</f>
        <v>45400</v>
      </c>
      <c r="B53" s="4">
        <f t="shared" si="40"/>
        <v>6</v>
      </c>
      <c r="C53" s="26" t="str">
        <f>IFERROR(INDEX('Date Key'!$G$57:$G$62, MATCH(B53,'Date Key'!$A$57:$A$62, 0)), "")</f>
        <v>Medium HLR, Upper Outlet Height, Yes Plants</v>
      </c>
      <c r="D53" s="4" t="str">
        <f>IFERROR(INDEX('Date Key'!$G$2:$G$19, MATCH(F53, 'Date Key'!$A$2:$A$19, 0)), "")</f>
        <v>Yes</v>
      </c>
      <c r="E53" s="4" t="str">
        <f t="shared" si="1"/>
        <v>tank 1</v>
      </c>
      <c r="F53" s="4">
        <f t="shared" si="2"/>
        <v>18</v>
      </c>
      <c r="G53" s="4">
        <f t="shared" si="3"/>
        <v>3</v>
      </c>
      <c r="H53" s="11" cm="1">
        <f t="array" ref="H53">IFERROR(INDEX('Master Data Sheet'!$1:$1048576, MATCH(1, ('Master Data Sheet'!$H:$H=H$2) * (INDEX('Master Data Sheet'!$1:$1, , MATCH($F$1, 'Master Data Sheet'!$1:$1, 0)) = $F$1) * ('Master Data Sheet'!$G:$G=$B53) * ('Master Data Sheet'!$F:$F=$E53) * ('Master Data Sheet'!$A:$A=$F53), 0), MATCH($F$1, 'Master Data Sheet'!$1:$1, 0)), "")</f>
        <v>1.9102196752626553E-2</v>
      </c>
      <c r="I53" s="11" cm="1">
        <f t="array" ref="I53">IFERROR(INDEX('Master Data Sheet'!$1:$1048576, MATCH(1, ('Master Data Sheet'!$H:$H=I$2) * (INDEX('Master Data Sheet'!$1:$1, , MATCH($F$1, 'Master Data Sheet'!$1:$1, 0)) = $F$1) * ('Master Data Sheet'!$G:$G=$B53) * ('Master Data Sheet'!$F:$F=$E53) * ('Master Data Sheet'!$A:$A=$F53), 0), MATCH($F$1, 'Master Data Sheet'!$1:$1, 0)), "")</f>
        <v>6.6857688634192933E-2</v>
      </c>
      <c r="J53" s="11" cm="1">
        <f t="array" ref="J53">IFERROR(INDEX('Master Data Sheet'!$1:$1048576, MATCH(1, ('Master Data Sheet'!$H:$H=J$2) * (INDEX('Master Data Sheet'!$1:$1, , MATCH($F$1, 'Master Data Sheet'!$1:$1, 0)) = $F$1) * ('Master Data Sheet'!$G:$G=$B53) * ('Master Data Sheet'!$F:$F=$E53) * ('Master Data Sheet'!$A:$A=$F53), 0), MATCH($F$1, 'Master Data Sheet'!$1:$1, 0)), "")</f>
        <v>0.10506208213944605</v>
      </c>
      <c r="K53" s="11" cm="1">
        <f t="array" ref="K53">IFERROR(INDEX('Master Data Sheet'!$1:$1048576, MATCH(1, ('Master Data Sheet'!$H:$H=K$2) * (INDEX('Master Data Sheet'!$1:$1, , MATCH($F$1, 'Master Data Sheet'!$1:$1, 0)) = $F$1) * ('Master Data Sheet'!$G:$G=$B53) * ('Master Data Sheet'!$F:$F=$E53) * ('Master Data Sheet'!$A:$A=$F53), 0), MATCH($F$1, 'Master Data Sheet'!$1:$1, 0)), "")</f>
        <v>0.18147086914995222</v>
      </c>
      <c r="L53" s="11" cm="1">
        <f t="array" ref="L53">IFERROR(INDEX('Master Data Sheet'!$1:$1048576, MATCH(1, ('Master Data Sheet'!$H:$H=L$2) * (INDEX('Master Data Sheet'!$1:$1, , MATCH($F$1, 'Master Data Sheet'!$1:$1, 0)) = $F$1) * ('Master Data Sheet'!$G:$G=$B53) * ('Master Data Sheet'!$F:$F=$E53) * ('Master Data Sheet'!$A:$A=$F53), 0), MATCH($F$1, 'Master Data Sheet'!$1:$1, 0)), "")</f>
        <v>0.29608404966571156</v>
      </c>
      <c r="M53" s="11" cm="1">
        <f t="array" ref="M53">IFERROR(INDEX('Master Data Sheet'!$1:$1048576, MATCH(1, ('Master Data Sheet'!$H:$H=M$2) * (INDEX('Master Data Sheet'!$1:$1, , MATCH($F$1, 'Master Data Sheet'!$1:$1, 0)) = $F$1) * ('Master Data Sheet'!$G:$G=$B53) * ('Master Data Sheet'!$F:$F=$E53) * ('Master Data Sheet'!$A:$A=$F53), 0), MATCH($F$1, 'Master Data Sheet'!$1:$1, 0)), "")</f>
        <v>0.42024832855778421</v>
      </c>
      <c r="N53" s="11" cm="1">
        <f t="array" ref="N53">IFERROR(INDEX('Master Data Sheet'!$1:$1048576, MATCH(1, ('Master Data Sheet'!$H:$H=N$2) * (INDEX('Master Data Sheet'!$1:$1, , MATCH($F$1, 'Master Data Sheet'!$1:$1, 0)) = $F$1) * ('Master Data Sheet'!$G:$G=$B53) * ('Master Data Sheet'!$F:$F=$E53) * ('Master Data Sheet'!$A:$A=$F53), 0), MATCH($F$1, 'Master Data Sheet'!$1:$1, 0)), "")</f>
        <v>0.44890162368672404</v>
      </c>
      <c r="O53" s="11">
        <f t="shared" si="33"/>
        <v>0.21967526265520537</v>
      </c>
      <c r="P53" s="11">
        <f t="shared" si="4"/>
        <v>0.17165425745569657</v>
      </c>
      <c r="Q53" s="46">
        <f>(1-(O53/O50))*100</f>
        <v>20.68965517241379</v>
      </c>
      <c r="Y53" s="2"/>
      <c r="Z53" s="2"/>
      <c r="AA53" s="2"/>
      <c r="AB53" s="2"/>
      <c r="AC53" s="2"/>
      <c r="AD53" s="2"/>
      <c r="AE53" s="2"/>
      <c r="AF53" s="2"/>
      <c r="AG53" s="2"/>
    </row>
    <row r="54" spans="1:46" x14ac:dyDescent="0.35">
      <c r="A54" s="41">
        <f>IFERROR(INDEX('Date Key'!$B$2:$B$19, MATCH(F54,'Date Key'!$A$2:$A$19, 0)), "")</f>
        <v>45371</v>
      </c>
      <c r="B54" s="4">
        <f t="shared" si="40"/>
        <v>6</v>
      </c>
      <c r="C54" s="26" t="str">
        <f>IFERROR(INDEX('Date Key'!$G$57:$G$62, MATCH(B54,'Date Key'!$A$57:$A$62, 0)), "")</f>
        <v>Medium HLR, Upper Outlet Height, Yes Plants</v>
      </c>
      <c r="D54" s="4" t="str">
        <f>IFERROR(INDEX('Date Key'!$G$2:$G$19, MATCH(F54, 'Date Key'!$A$2:$A$19, 0)), "")</f>
        <v>No</v>
      </c>
      <c r="E54" s="4" t="str">
        <f t="shared" si="1"/>
        <v>tank 2</v>
      </c>
      <c r="F54" s="4">
        <f t="shared" si="2"/>
        <v>16</v>
      </c>
      <c r="G54" s="4">
        <f t="shared" si="3"/>
        <v>1</v>
      </c>
      <c r="H54" s="11" cm="1">
        <f t="array" ref="H54">IFERROR(INDEX('Master Data Sheet'!$1:$1048576, MATCH(1, ('Master Data Sheet'!$H:$H=H$2) * (INDEX('Master Data Sheet'!$1:$1, , MATCH($F$1, 'Master Data Sheet'!$1:$1, 0)) = $F$1) * ('Master Data Sheet'!$G:$G=$B54) * ('Master Data Sheet'!$F:$F=$E54) * ('Master Data Sheet'!$A:$A=$F54), 0), MATCH($F$1, 'Master Data Sheet'!$1:$1, 0)), "")</f>
        <v>2.3361939790219317</v>
      </c>
      <c r="I54" s="11" cm="1">
        <f t="array" ref="I54">IFERROR(INDEX('Master Data Sheet'!$1:$1048576, MATCH(1, ('Master Data Sheet'!$H:$H=I$2) * (INDEX('Master Data Sheet'!$1:$1, , MATCH($F$1, 'Master Data Sheet'!$1:$1, 0)) = $F$1) * ('Master Data Sheet'!$G:$G=$B54) * ('Master Data Sheet'!$F:$F=$E54) * ('Master Data Sheet'!$A:$A=$F54), 0), MATCH($F$1, 'Master Data Sheet'!$1:$1, 0)), "")</f>
        <v>0</v>
      </c>
      <c r="J54" s="11" cm="1">
        <f t="array" ref="J54">IFERROR(INDEX('Master Data Sheet'!$1:$1048576, MATCH(1, ('Master Data Sheet'!$H:$H=J$2) * (INDEX('Master Data Sheet'!$1:$1, , MATCH($F$1, 'Master Data Sheet'!$1:$1, 0)) = $F$1) * ('Master Data Sheet'!$G:$G=$B54) * ('Master Data Sheet'!$F:$F=$E54) * ('Master Data Sheet'!$A:$A=$F54), 0), MATCH($F$1, 'Master Data Sheet'!$1:$1, 0)), "")</f>
        <v>0</v>
      </c>
      <c r="K54" s="11" cm="1">
        <f t="array" ref="K54">IFERROR(INDEX('Master Data Sheet'!$1:$1048576, MATCH(1, ('Master Data Sheet'!$H:$H=K$2) * (INDEX('Master Data Sheet'!$1:$1, , MATCH($F$1, 'Master Data Sheet'!$1:$1, 0)) = $F$1) * ('Master Data Sheet'!$G:$G=$B54) * ('Master Data Sheet'!$F:$F=$E54) * ('Master Data Sheet'!$A:$A=$F54), 0), MATCH($F$1, 'Master Data Sheet'!$1:$1, 0)), "")</f>
        <v>0</v>
      </c>
      <c r="L54" s="11" cm="1">
        <f t="array" ref="L54">IFERROR(INDEX('Master Data Sheet'!$1:$1048576, MATCH(1, ('Master Data Sheet'!$H:$H=L$2) * (INDEX('Master Data Sheet'!$1:$1, , MATCH($F$1, 'Master Data Sheet'!$1:$1, 0)) = $F$1) * ('Master Data Sheet'!$G:$G=$B54) * ('Master Data Sheet'!$F:$F=$E54) * ('Master Data Sheet'!$A:$A=$F54), 0), MATCH($F$1, 'Master Data Sheet'!$1:$1, 0)), "")</f>
        <v>0</v>
      </c>
      <c r="M54" s="11" cm="1">
        <f t="array" ref="M54">IFERROR(INDEX('Master Data Sheet'!$1:$1048576, MATCH(1, ('Master Data Sheet'!$H:$H=M$2) * (INDEX('Master Data Sheet'!$1:$1, , MATCH($F$1, 'Master Data Sheet'!$1:$1, 0)) = $F$1) * ('Master Data Sheet'!$G:$G=$B54) * ('Master Data Sheet'!$F:$F=$E54) * ('Master Data Sheet'!$A:$A=$F54), 0), MATCH($F$1, 'Master Data Sheet'!$1:$1, 0)), "")</f>
        <v>0</v>
      </c>
      <c r="N54" s="11" cm="1">
        <f t="array" ref="N54">IFERROR(INDEX('Master Data Sheet'!$1:$1048576, MATCH(1, ('Master Data Sheet'!$H:$H=N$2) * (INDEX('Master Data Sheet'!$1:$1, , MATCH($F$1, 'Master Data Sheet'!$1:$1, 0)) = $F$1) * ('Master Data Sheet'!$G:$G=$B54) * ('Master Data Sheet'!$F:$F=$E54) * ('Master Data Sheet'!$A:$A=$F54), 0), MATCH($F$1, 'Master Data Sheet'!$1:$1, 0)), "")</f>
        <v>6.6748399400626615E-2</v>
      </c>
      <c r="O54" s="11">
        <f>AVERAGE(H54:N54)</f>
        <v>0.34327748263179408</v>
      </c>
      <c r="P54" s="11">
        <f>STDEV(H54:N54)</f>
        <v>0.87914557439469976</v>
      </c>
      <c r="Q54" s="46">
        <f>(1-(O54/O48))*100</f>
        <v>-908</v>
      </c>
      <c r="R54" s="46" t="e">
        <f>AVERAGE(Q54:Q56)</f>
        <v>#DIV/0!</v>
      </c>
      <c r="S54" s="46" t="e">
        <f>STDEV(Q54:Q56)</f>
        <v>#DIV/0!</v>
      </c>
      <c r="T54" s="47">
        <f>(1-(AVERAGE(H54:N56)/AVERAGE(H48:N50)))*100</f>
        <v>-56.426312619214933</v>
      </c>
      <c r="V54" s="47"/>
      <c r="Y54" s="2"/>
      <c r="Z54" s="2"/>
      <c r="AA54" s="2"/>
      <c r="AB54" s="2"/>
      <c r="AC54" s="2"/>
      <c r="AD54" s="2"/>
      <c r="AE54" s="2"/>
      <c r="AF54" s="2"/>
      <c r="AG54" s="2"/>
    </row>
    <row r="55" spans="1:46" x14ac:dyDescent="0.35">
      <c r="A55" s="41">
        <f>IFERROR(INDEX('Date Key'!$B$2:$B$19, MATCH(F55,'Date Key'!$A$2:$A$19, 0)), "")</f>
        <v>45392</v>
      </c>
      <c r="B55" s="4">
        <f t="shared" si="40"/>
        <v>6</v>
      </c>
      <c r="C55" s="26" t="str">
        <f>IFERROR(INDEX('Date Key'!$G$57:$G$62, MATCH(B55,'Date Key'!$A$57:$A$62, 0)), "")</f>
        <v>Medium HLR, Upper Outlet Height, Yes Plants</v>
      </c>
      <c r="D55" s="4" t="str">
        <f>IFERROR(INDEX('Date Key'!$G$2:$G$19, MATCH(F55, 'Date Key'!$A$2:$A$19, 0)), "")</f>
        <v>No</v>
      </c>
      <c r="E55" s="4" t="str">
        <f t="shared" si="1"/>
        <v>tank 2</v>
      </c>
      <c r="F55" s="4">
        <f t="shared" si="2"/>
        <v>17</v>
      </c>
      <c r="G55" s="4">
        <f t="shared" si="3"/>
        <v>2</v>
      </c>
      <c r="H55" s="11" cm="1">
        <f t="array" ref="H55">IFERROR(INDEX('Master Data Sheet'!$1:$1048576, MATCH(1, ('Master Data Sheet'!$H:$H=H$2) * (INDEX('Master Data Sheet'!$1:$1, , MATCH($F$1, 'Master Data Sheet'!$1:$1, 0)) = $F$1) * ('Master Data Sheet'!$G:$G=$B55) * ('Master Data Sheet'!$F:$F=$E55) * ('Master Data Sheet'!$A:$A=$F55), 0), MATCH($F$1, 'Master Data Sheet'!$1:$1, 0)), "")</f>
        <v>0</v>
      </c>
      <c r="I55" s="11" cm="1">
        <f t="array" ref="I55">IFERROR(INDEX('Master Data Sheet'!$1:$1048576, MATCH(1, ('Master Data Sheet'!$H:$H=I$2) * (INDEX('Master Data Sheet'!$1:$1, , MATCH($F$1, 'Master Data Sheet'!$1:$1, 0)) = $F$1) * ('Master Data Sheet'!$G:$G=$B55) * ('Master Data Sheet'!$F:$F=$E55) * ('Master Data Sheet'!$A:$A=$F55), 0), MATCH($F$1, 'Master Data Sheet'!$1:$1, 0)), "")</f>
        <v>0</v>
      </c>
      <c r="J55" s="11" cm="1">
        <f t="array" ref="J55">IFERROR(INDEX('Master Data Sheet'!$1:$1048576, MATCH(1, ('Master Data Sheet'!$H:$H=J$2) * (INDEX('Master Data Sheet'!$1:$1, , MATCH($F$1, 'Master Data Sheet'!$1:$1, 0)) = $F$1) * ('Master Data Sheet'!$G:$G=$B55) * ('Master Data Sheet'!$F:$F=$E55) * ('Master Data Sheet'!$A:$A=$F55), 0), MATCH($F$1, 'Master Data Sheet'!$1:$1, 0)), "")</f>
        <v>0</v>
      </c>
      <c r="K55" s="11" cm="1">
        <f t="array" ref="K55">IFERROR(INDEX('Master Data Sheet'!$1:$1048576, MATCH(1, ('Master Data Sheet'!$H:$H=K$2) * (INDEX('Master Data Sheet'!$1:$1, , MATCH($F$1, 'Master Data Sheet'!$1:$1, 0)) = $F$1) * ('Master Data Sheet'!$G:$G=$B55) * ('Master Data Sheet'!$F:$F=$E55) * ('Master Data Sheet'!$A:$A=$F55), 0), MATCH($F$1, 'Master Data Sheet'!$1:$1, 0)), "")</f>
        <v>0</v>
      </c>
      <c r="L55" s="11" cm="1">
        <f t="array" ref="L55">IFERROR(INDEX('Master Data Sheet'!$1:$1048576, MATCH(1, ('Master Data Sheet'!$H:$H=L$2) * (INDEX('Master Data Sheet'!$1:$1, , MATCH($F$1, 'Master Data Sheet'!$1:$1, 0)) = $F$1) * ('Master Data Sheet'!$G:$G=$B55) * ('Master Data Sheet'!$F:$F=$E55) * ('Master Data Sheet'!$A:$A=$F55), 0), MATCH($F$1, 'Master Data Sheet'!$1:$1, 0)), "")</f>
        <v>0</v>
      </c>
      <c r="M55" s="11" cm="1">
        <f t="array" ref="M55">IFERROR(INDEX('Master Data Sheet'!$1:$1048576, MATCH(1, ('Master Data Sheet'!$H:$H=M$2) * (INDEX('Master Data Sheet'!$1:$1, , MATCH($F$1, 'Master Data Sheet'!$1:$1, 0)) = $F$1) * ('Master Data Sheet'!$G:$G=$B55) * ('Master Data Sheet'!$F:$F=$E55) * ('Master Data Sheet'!$A:$A=$F55), 0), MATCH($F$1, 'Master Data Sheet'!$1:$1, 0)), "")</f>
        <v>0</v>
      </c>
      <c r="N55" s="11" cm="1">
        <f t="array" ref="N55">IFERROR(INDEX('Master Data Sheet'!$1:$1048576, MATCH(1, ('Master Data Sheet'!$H:$H=N$2) * (INDEX('Master Data Sheet'!$1:$1, , MATCH($F$1, 'Master Data Sheet'!$1:$1, 0)) = $F$1) * ('Master Data Sheet'!$G:$G=$B55) * ('Master Data Sheet'!$F:$F=$E55) * ('Master Data Sheet'!$A:$A=$F55), 0), MATCH($F$1, 'Master Data Sheet'!$1:$1, 0)), "")</f>
        <v>0</v>
      </c>
      <c r="O55" s="11">
        <f>AVERAGE(H55:N55)</f>
        <v>0</v>
      </c>
      <c r="P55" s="11">
        <f t="shared" si="4"/>
        <v>0</v>
      </c>
      <c r="Q55" s="46" t="e">
        <f>(1-(O55/O49))*100</f>
        <v>#DIV/0!</v>
      </c>
      <c r="X55" t="str">
        <f>IFERROR(INDEX('Date Key'!$G$57:$G$62, MATCH(B54,'Date Key'!$A$57:$A$62, 0)), "")</f>
        <v>Medium HLR, Upper Outlet Height, Yes Plants</v>
      </c>
      <c r="Y55" s="1">
        <f t="shared" ref="Y55:AE55" si="59">H54</f>
        <v>2.3361939790219317</v>
      </c>
      <c r="Z55" s="1">
        <f t="shared" si="59"/>
        <v>0</v>
      </c>
      <c r="AA55" s="1">
        <f t="shared" si="59"/>
        <v>0</v>
      </c>
      <c r="AB55" s="1">
        <f t="shared" si="59"/>
        <v>0</v>
      </c>
      <c r="AC55" s="1">
        <f t="shared" si="59"/>
        <v>0</v>
      </c>
      <c r="AD55" s="1">
        <f t="shared" si="59"/>
        <v>0</v>
      </c>
      <c r="AE55" s="1">
        <f t="shared" si="59"/>
        <v>6.6748399400626615E-2</v>
      </c>
      <c r="AF55" s="1">
        <f t="shared" ref="AF55:AL55" si="60">H55</f>
        <v>0</v>
      </c>
      <c r="AG55" s="1">
        <f t="shared" si="60"/>
        <v>0</v>
      </c>
      <c r="AH55" s="1">
        <f t="shared" si="60"/>
        <v>0</v>
      </c>
      <c r="AI55" s="1">
        <f t="shared" si="60"/>
        <v>0</v>
      </c>
      <c r="AJ55" s="1">
        <f t="shared" si="60"/>
        <v>0</v>
      </c>
      <c r="AK55" s="1">
        <f t="shared" si="60"/>
        <v>0</v>
      </c>
      <c r="AL55" s="1">
        <f t="shared" si="60"/>
        <v>0</v>
      </c>
      <c r="AM55" s="1">
        <f t="shared" ref="AM55:AS55" si="61">H56</f>
        <v>6.6857688634192933E-2</v>
      </c>
      <c r="AN55" s="1">
        <f t="shared" si="61"/>
        <v>6.6857688634192933E-2</v>
      </c>
      <c r="AO55" s="1">
        <f t="shared" si="61"/>
        <v>7.6408787010506213E-2</v>
      </c>
      <c r="AP55" s="1">
        <f t="shared" si="61"/>
        <v>0.11461318051575933</v>
      </c>
      <c r="AQ55" s="1">
        <f t="shared" si="61"/>
        <v>0.19102196752626555</v>
      </c>
      <c r="AR55" s="1">
        <f t="shared" si="61"/>
        <v>0.25787965616045849</v>
      </c>
      <c r="AS55" s="1">
        <f t="shared" si="61"/>
        <v>0.22922636103151867</v>
      </c>
    </row>
    <row r="56" spans="1:46" x14ac:dyDescent="0.35">
      <c r="A56" s="42">
        <f>IFERROR(INDEX('Date Key'!$B$2:$B$19, MATCH(F56,'Date Key'!$A$2:$A$19, 0)), "")</f>
        <v>45400</v>
      </c>
      <c r="B56" s="27">
        <f t="shared" si="40"/>
        <v>6</v>
      </c>
      <c r="C56" s="51" t="str">
        <f>IFERROR(INDEX('Date Key'!$G$57:$G$62, MATCH(B56,'Date Key'!$A$57:$A$62, 0)), "")</f>
        <v>Medium HLR, Upper Outlet Height, Yes Plants</v>
      </c>
      <c r="D56" s="27" t="str">
        <f>IFERROR(INDEX('Date Key'!$G$2:$G$19, MATCH(F56, 'Date Key'!$A$2:$A$19, 0)), "")</f>
        <v>Yes</v>
      </c>
      <c r="E56" s="27" t="str">
        <f t="shared" si="1"/>
        <v>tank 2</v>
      </c>
      <c r="F56" s="27">
        <f t="shared" si="2"/>
        <v>18</v>
      </c>
      <c r="G56" s="27">
        <f t="shared" si="3"/>
        <v>3</v>
      </c>
      <c r="H56" s="28" cm="1">
        <f t="array" ref="H56">IFERROR(INDEX('Master Data Sheet'!$1:$1048576, MATCH(1, ('Master Data Sheet'!$H:$H=H$2) * (INDEX('Master Data Sheet'!$1:$1, , MATCH($F$1, 'Master Data Sheet'!$1:$1, 0)) = $F$1) * ('Master Data Sheet'!$G:$G=$B56) * ('Master Data Sheet'!$F:$F=$E56) * ('Master Data Sheet'!$A:$A=$F56), 0), MATCH($F$1, 'Master Data Sheet'!$1:$1, 0)), "")</f>
        <v>6.6857688634192933E-2</v>
      </c>
      <c r="I56" s="28" cm="1">
        <f t="array" ref="I56">IFERROR(INDEX('Master Data Sheet'!$1:$1048576, MATCH(1, ('Master Data Sheet'!$H:$H=I$2) * (INDEX('Master Data Sheet'!$1:$1, , MATCH($F$1, 'Master Data Sheet'!$1:$1, 0)) = $F$1) * ('Master Data Sheet'!$G:$G=$B56) * ('Master Data Sheet'!$F:$F=$E56) * ('Master Data Sheet'!$A:$A=$F56), 0), MATCH($F$1, 'Master Data Sheet'!$1:$1, 0)), "")</f>
        <v>6.6857688634192933E-2</v>
      </c>
      <c r="J56" s="28" cm="1">
        <f t="array" ref="J56">IFERROR(INDEX('Master Data Sheet'!$1:$1048576, MATCH(1, ('Master Data Sheet'!$H:$H=J$2) * (INDEX('Master Data Sheet'!$1:$1, , MATCH($F$1, 'Master Data Sheet'!$1:$1, 0)) = $F$1) * ('Master Data Sheet'!$G:$G=$B56) * ('Master Data Sheet'!$F:$F=$E56) * ('Master Data Sheet'!$A:$A=$F56), 0), MATCH($F$1, 'Master Data Sheet'!$1:$1, 0)), "")</f>
        <v>7.6408787010506213E-2</v>
      </c>
      <c r="K56" s="28" cm="1">
        <f t="array" ref="K56">IFERROR(INDEX('Master Data Sheet'!$1:$1048576, MATCH(1, ('Master Data Sheet'!$H:$H=K$2) * (INDEX('Master Data Sheet'!$1:$1, , MATCH($F$1, 'Master Data Sheet'!$1:$1, 0)) = $F$1) * ('Master Data Sheet'!$G:$G=$B56) * ('Master Data Sheet'!$F:$F=$E56) * ('Master Data Sheet'!$A:$A=$F56), 0), MATCH($F$1, 'Master Data Sheet'!$1:$1, 0)), "")</f>
        <v>0.11461318051575933</v>
      </c>
      <c r="L56" s="28" cm="1">
        <f t="array" ref="L56">IFERROR(INDEX('Master Data Sheet'!$1:$1048576, MATCH(1, ('Master Data Sheet'!$H:$H=L$2) * (INDEX('Master Data Sheet'!$1:$1, , MATCH($F$1, 'Master Data Sheet'!$1:$1, 0)) = $F$1) * ('Master Data Sheet'!$G:$G=$B56) * ('Master Data Sheet'!$F:$F=$E56) * ('Master Data Sheet'!$A:$A=$F56), 0), MATCH($F$1, 'Master Data Sheet'!$1:$1, 0)), "")</f>
        <v>0.19102196752626555</v>
      </c>
      <c r="M56" s="28" cm="1">
        <f t="array" ref="M56">IFERROR(INDEX('Master Data Sheet'!$1:$1048576, MATCH(1, ('Master Data Sheet'!$H:$H=M$2) * (INDEX('Master Data Sheet'!$1:$1, , MATCH($F$1, 'Master Data Sheet'!$1:$1, 0)) = $F$1) * ('Master Data Sheet'!$G:$G=$B56) * ('Master Data Sheet'!$F:$F=$E56) * ('Master Data Sheet'!$A:$A=$F56), 0), MATCH($F$1, 'Master Data Sheet'!$1:$1, 0)), "")</f>
        <v>0.25787965616045849</v>
      </c>
      <c r="N56" s="28" cm="1">
        <f t="array" ref="N56">IFERROR(INDEX('Master Data Sheet'!$1:$1048576, MATCH(1, ('Master Data Sheet'!$H:$H=N$2) * (INDEX('Master Data Sheet'!$1:$1, , MATCH($F$1, 'Master Data Sheet'!$1:$1, 0)) = $F$1) * ('Master Data Sheet'!$G:$G=$B56) * ('Master Data Sheet'!$F:$F=$E56) * ('Master Data Sheet'!$A:$A=$F56), 0), MATCH($F$1, 'Master Data Sheet'!$1:$1, 0)), "")</f>
        <v>0.22922636103151867</v>
      </c>
      <c r="O56" s="28">
        <f>AVERAGE(H56:N56)</f>
        <v>0.14326647564469916</v>
      </c>
      <c r="P56" s="28">
        <f t="shared" si="4"/>
        <v>8.1418095208815155E-2</v>
      </c>
      <c r="Q56" s="48">
        <f>(1-(O56/O50))*100</f>
        <v>48.275862068965516</v>
      </c>
      <c r="R56" s="27"/>
      <c r="S56" s="27"/>
      <c r="T56" s="27"/>
      <c r="U56" s="27"/>
      <c r="V56" s="27"/>
    </row>
    <row r="58" spans="1:46" x14ac:dyDescent="0.35">
      <c r="X58" t="s">
        <v>456</v>
      </c>
      <c r="Y58" t="s">
        <v>465</v>
      </c>
    </row>
    <row r="59" spans="1:46" x14ac:dyDescent="0.35">
      <c r="X59" t="s">
        <v>344</v>
      </c>
      <c r="Y59" s="30" t="s">
        <v>457</v>
      </c>
      <c r="Z59" s="1">
        <f t="shared" ref="Z59:AT59" si="62">Y4</f>
        <v>0.28166438042981246</v>
      </c>
      <c r="AA59" s="1">
        <f t="shared" si="62"/>
        <v>0.64014631915866493</v>
      </c>
      <c r="AB59" s="1">
        <f t="shared" si="62"/>
        <v>0.43529949702789206</v>
      </c>
      <c r="AC59" s="1">
        <f t="shared" si="62"/>
        <v>0.92181069958847728</v>
      </c>
      <c r="AD59" s="1">
        <f t="shared" si="62"/>
        <v>7.6817558299039787E-2</v>
      </c>
      <c r="AE59" s="1">
        <f t="shared" si="62"/>
        <v>0.28166438042981246</v>
      </c>
      <c r="AF59" s="1">
        <f t="shared" si="62"/>
        <v>0</v>
      </c>
      <c r="AG59" s="1">
        <f t="shared" si="62"/>
        <v>0.40969364426154553</v>
      </c>
      <c r="AH59" s="1">
        <f t="shared" si="62"/>
        <v>0.28166438042981246</v>
      </c>
      <c r="AI59" s="1">
        <f t="shared" si="62"/>
        <v>0.20484682213077277</v>
      </c>
      <c r="AJ59" s="1">
        <f t="shared" si="62"/>
        <v>0.12802926383173296</v>
      </c>
      <c r="AK59" s="1">
        <f t="shared" si="62"/>
        <v>0</v>
      </c>
      <c r="AL59" s="1">
        <f t="shared" si="62"/>
        <v>0.15363511659807957</v>
      </c>
      <c r="AM59" s="1">
        <f t="shared" si="62"/>
        <v>0.99862825788751708</v>
      </c>
      <c r="AN59" s="1">
        <f t="shared" si="62"/>
        <v>0.59372349448685335</v>
      </c>
      <c r="AO59" s="1">
        <f t="shared" si="62"/>
        <v>0.18999151823579305</v>
      </c>
      <c r="AP59" s="1">
        <f t="shared" si="62"/>
        <v>0.11874469889737066</v>
      </c>
      <c r="AQ59" s="1">
        <f t="shared" si="62"/>
        <v>0</v>
      </c>
      <c r="AR59" s="1">
        <f t="shared" si="62"/>
        <v>0.23748939779474132</v>
      </c>
      <c r="AS59" s="1">
        <f t="shared" si="62"/>
        <v>0</v>
      </c>
      <c r="AT59" s="1">
        <f t="shared" si="62"/>
        <v>0.14249363867684478</v>
      </c>
    </row>
    <row r="60" spans="1:46" x14ac:dyDescent="0.35">
      <c r="X60" t="s">
        <v>345</v>
      </c>
      <c r="Y60" s="30" t="s">
        <v>457</v>
      </c>
      <c r="Z60" s="1">
        <f t="shared" ref="Z60:AT60" si="63">Y7</f>
        <v>0.20484682213077277</v>
      </c>
      <c r="AA60" s="1">
        <f t="shared" si="63"/>
        <v>0.23045267489711932</v>
      </c>
      <c r="AB60" s="1">
        <f t="shared" si="63"/>
        <v>0.38408779149519889</v>
      </c>
      <c r="AC60" s="1">
        <f t="shared" si="63"/>
        <v>0.12802926383173296</v>
      </c>
      <c r="AD60" s="1">
        <f t="shared" si="63"/>
        <v>1.3571101966163694</v>
      </c>
      <c r="AE60" s="1">
        <f t="shared" si="63"/>
        <v>0.97302240512117066</v>
      </c>
      <c r="AF60" s="1">
        <f t="shared" si="63"/>
        <v>1.1010516689529035</v>
      </c>
      <c r="AG60" s="1">
        <f t="shared" si="63"/>
        <v>0.46090534979423864</v>
      </c>
      <c r="AH60" s="1">
        <f t="shared" si="63"/>
        <v>0.92181069958847728</v>
      </c>
      <c r="AI60" s="1">
        <f t="shared" si="63"/>
        <v>0.15363511659807957</v>
      </c>
      <c r="AJ60" s="1">
        <f t="shared" si="63"/>
        <v>0.79378143575674442</v>
      </c>
      <c r="AK60" s="1">
        <f t="shared" si="63"/>
        <v>0.8449931412894377</v>
      </c>
      <c r="AL60" s="1">
        <f t="shared" si="63"/>
        <v>0.43529949702789206</v>
      </c>
      <c r="AM60" s="1">
        <f t="shared" si="63"/>
        <v>1.2802926383173299</v>
      </c>
      <c r="AN60" s="1">
        <f t="shared" si="63"/>
        <v>0.26123833757421538</v>
      </c>
      <c r="AO60" s="1">
        <f t="shared" si="63"/>
        <v>0.28498727735368956</v>
      </c>
      <c r="AP60" s="1">
        <f t="shared" si="63"/>
        <v>0.14249363867684478</v>
      </c>
      <c r="AQ60" s="1">
        <f t="shared" si="63"/>
        <v>9.4995759117896525E-2</v>
      </c>
      <c r="AR60" s="1">
        <f t="shared" si="63"/>
        <v>0.3799830364715861</v>
      </c>
      <c r="AS60" s="1">
        <f t="shared" si="63"/>
        <v>0.28498727735368956</v>
      </c>
      <c r="AT60" s="1">
        <f t="shared" si="63"/>
        <v>0.33248515691263786</v>
      </c>
    </row>
    <row r="61" spans="1:46" x14ac:dyDescent="0.35">
      <c r="X61" t="s">
        <v>346</v>
      </c>
      <c r="Y61" s="30" t="s">
        <v>457</v>
      </c>
      <c r="Z61" s="1">
        <f t="shared" ref="Z61:AT61" si="64">Y10</f>
        <v>2.5605852766346596E-2</v>
      </c>
      <c r="AA61" s="1">
        <f t="shared" si="64"/>
        <v>0.12802926383173296</v>
      </c>
      <c r="AB61" s="1">
        <f t="shared" si="64"/>
        <v>0.23045267489711932</v>
      </c>
      <c r="AC61" s="1">
        <f t="shared" si="64"/>
        <v>0</v>
      </c>
      <c r="AD61" s="1">
        <f t="shared" si="64"/>
        <v>7.6817558299039787E-2</v>
      </c>
      <c r="AE61" s="1">
        <f t="shared" si="64"/>
        <v>0.79378143575674442</v>
      </c>
      <c r="AF61" s="1">
        <f t="shared" si="64"/>
        <v>0.28166438042981246</v>
      </c>
      <c r="AG61" s="1">
        <f t="shared" si="64"/>
        <v>0</v>
      </c>
      <c r="AH61" s="1">
        <f t="shared" si="64"/>
        <v>0.66575217192501146</v>
      </c>
      <c r="AI61" s="1">
        <f t="shared" si="64"/>
        <v>0.35848193872885231</v>
      </c>
      <c r="AJ61" s="1">
        <f t="shared" si="64"/>
        <v>0.28166438042981246</v>
      </c>
      <c r="AK61" s="1">
        <f t="shared" si="64"/>
        <v>2.5605852766346596E-2</v>
      </c>
      <c r="AL61" s="1">
        <f t="shared" si="64"/>
        <v>0.35848193872885231</v>
      </c>
      <c r="AM61" s="1">
        <f t="shared" si="64"/>
        <v>0.56332876085962491</v>
      </c>
      <c r="AN61" s="1">
        <f t="shared" si="64"/>
        <v>4.7497879558948262E-2</v>
      </c>
      <c r="AO61" s="1">
        <f t="shared" si="64"/>
        <v>0</v>
      </c>
      <c r="AP61" s="1">
        <f t="shared" si="64"/>
        <v>0.21374045801526714</v>
      </c>
      <c r="AQ61" s="1">
        <f t="shared" si="64"/>
        <v>0.11874469889737066</v>
      </c>
      <c r="AR61" s="1">
        <f t="shared" si="64"/>
        <v>0.26123833757421538</v>
      </c>
      <c r="AS61" s="1">
        <f t="shared" si="64"/>
        <v>4.7497879558948262E-2</v>
      </c>
      <c r="AT61" s="1">
        <f t="shared" si="64"/>
        <v>0.18999151823579305</v>
      </c>
    </row>
    <row r="62" spans="1:46" x14ac:dyDescent="0.35">
      <c r="X62" t="s">
        <v>344</v>
      </c>
      <c r="Y62" s="30" t="s">
        <v>458</v>
      </c>
      <c r="Z62" s="1">
        <f t="shared" ref="Z62:AT62" si="65">Y13</f>
        <v>7.124681933842239E-2</v>
      </c>
      <c r="AA62" s="1">
        <f t="shared" si="65"/>
        <v>0.44529262086513999</v>
      </c>
      <c r="AB62" s="1">
        <f t="shared" si="65"/>
        <v>0</v>
      </c>
      <c r="AC62" s="1">
        <f t="shared" si="65"/>
        <v>7.124681933842239E-2</v>
      </c>
      <c r="AD62" s="1">
        <f t="shared" si="65"/>
        <v>0</v>
      </c>
      <c r="AE62" s="1">
        <f t="shared" si="65"/>
        <v>0</v>
      </c>
      <c r="AF62" s="1">
        <f t="shared" si="65"/>
        <v>0</v>
      </c>
      <c r="AG62" s="1">
        <f t="shared" si="65"/>
        <v>0</v>
      </c>
      <c r="AH62" s="1">
        <f t="shared" si="65"/>
        <v>0</v>
      </c>
      <c r="AI62" s="1">
        <f t="shared" si="65"/>
        <v>0</v>
      </c>
      <c r="AJ62" s="1">
        <f t="shared" si="65"/>
        <v>0.25461158742530532</v>
      </c>
      <c r="AK62" s="1">
        <f t="shared" si="65"/>
        <v>0</v>
      </c>
      <c r="AL62" s="1">
        <f t="shared" si="65"/>
        <v>0.14549233567160302</v>
      </c>
      <c r="AM62" s="1">
        <f t="shared" si="65"/>
        <v>0</v>
      </c>
      <c r="AN62" s="1">
        <f t="shared" si="65"/>
        <v>7.2746167835801512E-2</v>
      </c>
      <c r="AO62" s="1">
        <f t="shared" si="65"/>
        <v>0.20005196154845417</v>
      </c>
      <c r="AP62" s="1">
        <f t="shared" si="65"/>
        <v>0.40010392309690834</v>
      </c>
      <c r="AQ62" s="1">
        <f t="shared" si="65"/>
        <v>0.18186541958950375</v>
      </c>
      <c r="AR62" s="1">
        <f t="shared" si="65"/>
        <v>0.3637308391790075</v>
      </c>
      <c r="AS62" s="1">
        <f t="shared" si="65"/>
        <v>0.45466354897375955</v>
      </c>
      <c r="AT62" s="1">
        <f t="shared" si="65"/>
        <v>0.30917121330215641</v>
      </c>
    </row>
    <row r="63" spans="1:46" x14ac:dyDescent="0.35">
      <c r="X63" t="s">
        <v>345</v>
      </c>
      <c r="Y63" s="30" t="s">
        <v>458</v>
      </c>
      <c r="Z63" s="1">
        <f t="shared" ref="Z63:AT63" si="66">Y16</f>
        <v>0</v>
      </c>
      <c r="AA63" s="1">
        <f t="shared" si="66"/>
        <v>0.14249363867684478</v>
      </c>
      <c r="AB63" s="1">
        <f t="shared" si="66"/>
        <v>0.40966921119592875</v>
      </c>
      <c r="AC63" s="1">
        <f t="shared" si="66"/>
        <v>0.60559796437659041</v>
      </c>
      <c r="AD63" s="1">
        <f t="shared" si="66"/>
        <v>0.56997455470737912</v>
      </c>
      <c r="AE63" s="1">
        <f t="shared" si="66"/>
        <v>0.24936386768447841</v>
      </c>
      <c r="AF63" s="1">
        <f t="shared" si="66"/>
        <v>0.55216284987277353</v>
      </c>
      <c r="AG63" s="1">
        <f t="shared" si="66"/>
        <v>0</v>
      </c>
      <c r="AH63" s="1">
        <f t="shared" si="66"/>
        <v>0</v>
      </c>
      <c r="AI63" s="1">
        <f t="shared" si="66"/>
        <v>7.2746167835801512E-2</v>
      </c>
      <c r="AJ63" s="1">
        <f t="shared" si="66"/>
        <v>0</v>
      </c>
      <c r="AK63" s="1">
        <f t="shared" si="66"/>
        <v>0</v>
      </c>
      <c r="AL63" s="1">
        <f t="shared" si="66"/>
        <v>0.10911925175370227</v>
      </c>
      <c r="AM63" s="1">
        <f t="shared" si="66"/>
        <v>9.0932709794751876E-2</v>
      </c>
      <c r="AN63" s="1">
        <f t="shared" si="66"/>
        <v>3.6373083917900756E-2</v>
      </c>
      <c r="AO63" s="1">
        <f t="shared" si="66"/>
        <v>0.25461158742530532</v>
      </c>
      <c r="AP63" s="1">
        <f t="shared" si="66"/>
        <v>0.2364250454663549</v>
      </c>
      <c r="AQ63" s="1">
        <f t="shared" si="66"/>
        <v>0</v>
      </c>
      <c r="AR63" s="1">
        <f t="shared" si="66"/>
        <v>0</v>
      </c>
      <c r="AS63" s="1">
        <f t="shared" si="66"/>
        <v>0.16367887763055339</v>
      </c>
      <c r="AT63" s="1">
        <f t="shared" si="66"/>
        <v>0.16367887763055339</v>
      </c>
    </row>
    <row r="64" spans="1:46" x14ac:dyDescent="0.35">
      <c r="X64" t="s">
        <v>346</v>
      </c>
      <c r="Y64" s="30" t="s">
        <v>458</v>
      </c>
      <c r="Z64" s="1">
        <f t="shared" ref="Z64:AT64" si="67">Y19</f>
        <v>3.5623409669211195E-2</v>
      </c>
      <c r="AA64" s="1">
        <f t="shared" si="67"/>
        <v>0</v>
      </c>
      <c r="AB64" s="1">
        <f t="shared" si="67"/>
        <v>1.7811704834605598E-2</v>
      </c>
      <c r="AC64" s="1">
        <f t="shared" si="67"/>
        <v>0</v>
      </c>
      <c r="AD64" s="1">
        <f t="shared" si="67"/>
        <v>0</v>
      </c>
      <c r="AE64" s="1">
        <f t="shared" si="67"/>
        <v>0</v>
      </c>
      <c r="AF64" s="1">
        <f t="shared" si="67"/>
        <v>0</v>
      </c>
      <c r="AG64" s="1">
        <f t="shared" si="67"/>
        <v>0</v>
      </c>
      <c r="AH64" s="1">
        <f t="shared" si="67"/>
        <v>0</v>
      </c>
      <c r="AI64" s="1">
        <f t="shared" si="67"/>
        <v>7.2746167835801512E-2</v>
      </c>
      <c r="AJ64" s="1">
        <f t="shared" si="67"/>
        <v>5.4559625876851134E-2</v>
      </c>
      <c r="AK64" s="1">
        <f t="shared" si="67"/>
        <v>5.4559625876851134E-2</v>
      </c>
      <c r="AL64" s="1">
        <f t="shared" si="67"/>
        <v>9.0932709794751876E-2</v>
      </c>
      <c r="AM64" s="1">
        <f t="shared" si="67"/>
        <v>0</v>
      </c>
      <c r="AN64" s="1">
        <f t="shared" si="67"/>
        <v>0.18186541958950375</v>
      </c>
      <c r="AO64" s="1">
        <f t="shared" si="67"/>
        <v>0</v>
      </c>
      <c r="AP64" s="1">
        <f t="shared" si="67"/>
        <v>0.12730579371265266</v>
      </c>
      <c r="AQ64" s="1">
        <f t="shared" si="67"/>
        <v>0.43647700701480907</v>
      </c>
      <c r="AR64" s="1">
        <f t="shared" si="67"/>
        <v>0.18186541958950375</v>
      </c>
      <c r="AS64" s="1">
        <f t="shared" si="67"/>
        <v>0.29098467134320605</v>
      </c>
      <c r="AT64" s="1">
        <f t="shared" si="67"/>
        <v>0</v>
      </c>
    </row>
    <row r="65" spans="24:46" x14ac:dyDescent="0.35">
      <c r="X65" t="s">
        <v>344</v>
      </c>
      <c r="Y65" s="30" t="s">
        <v>459</v>
      </c>
      <c r="Z65" s="1">
        <f t="shared" ref="Z65:AT65" si="68">Y22</f>
        <v>0.3637308391790075</v>
      </c>
      <c r="AA65" s="1">
        <f t="shared" si="68"/>
        <v>0.18186541958950375</v>
      </c>
      <c r="AB65" s="1">
        <f t="shared" si="68"/>
        <v>0.10911925175370227</v>
      </c>
      <c r="AC65" s="1">
        <f t="shared" si="68"/>
        <v>0</v>
      </c>
      <c r="AD65" s="1">
        <f t="shared" si="68"/>
        <v>0</v>
      </c>
      <c r="AE65" s="1">
        <f t="shared" si="68"/>
        <v>0</v>
      </c>
      <c r="AF65" s="1">
        <f t="shared" si="68"/>
        <v>0.29098467134320605</v>
      </c>
      <c r="AG65" s="1">
        <f t="shared" si="68"/>
        <v>0</v>
      </c>
      <c r="AH65" s="1">
        <f t="shared" si="68"/>
        <v>0</v>
      </c>
      <c r="AI65" s="1">
        <f t="shared" si="68"/>
        <v>0</v>
      </c>
      <c r="AJ65" s="1">
        <f t="shared" si="68"/>
        <v>0</v>
      </c>
      <c r="AK65" s="1">
        <f t="shared" si="68"/>
        <v>7.2746167835801512E-2</v>
      </c>
      <c r="AL65" s="1">
        <f t="shared" si="68"/>
        <v>0</v>
      </c>
      <c r="AM65" s="1">
        <f t="shared" si="68"/>
        <v>0</v>
      </c>
      <c r="AN65" s="1">
        <f t="shared" si="68"/>
        <v>0.2364250454663549</v>
      </c>
      <c r="AO65" s="1">
        <f t="shared" si="68"/>
        <v>0.74564822031696543</v>
      </c>
      <c r="AP65" s="1">
        <f t="shared" si="68"/>
        <v>0.21823850350740454</v>
      </c>
      <c r="AQ65" s="1">
        <f t="shared" si="68"/>
        <v>0.34554429722005714</v>
      </c>
      <c r="AR65" s="1">
        <f t="shared" si="68"/>
        <v>0.29098467134320605</v>
      </c>
      <c r="AS65" s="1">
        <f t="shared" si="68"/>
        <v>0.43647700701480907</v>
      </c>
      <c r="AT65" s="1">
        <f t="shared" si="68"/>
        <v>3.6373083917900756E-2</v>
      </c>
    </row>
    <row r="66" spans="24:46" x14ac:dyDescent="0.35">
      <c r="X66" t="s">
        <v>345</v>
      </c>
      <c r="Y66" s="30" t="s">
        <v>459</v>
      </c>
      <c r="Z66" s="1">
        <f t="shared" ref="Z66:AT66" si="69">Y25</f>
        <v>0.30917121330215641</v>
      </c>
      <c r="AA66" s="1">
        <f t="shared" si="69"/>
        <v>9.0932709794751876E-2</v>
      </c>
      <c r="AB66" s="1">
        <f t="shared" si="69"/>
        <v>0.12730579371265266</v>
      </c>
      <c r="AC66" s="1">
        <f t="shared" si="69"/>
        <v>0.10911925175370227</v>
      </c>
      <c r="AD66" s="1">
        <f t="shared" si="69"/>
        <v>0</v>
      </c>
      <c r="AE66" s="1">
        <f t="shared" si="69"/>
        <v>0</v>
      </c>
      <c r="AF66" s="1">
        <f t="shared" si="69"/>
        <v>0.30917121330215641</v>
      </c>
      <c r="AG66" s="1">
        <f t="shared" si="69"/>
        <v>0</v>
      </c>
      <c r="AH66" s="1">
        <f t="shared" si="69"/>
        <v>0.3637308391790075</v>
      </c>
      <c r="AI66" s="1">
        <f t="shared" si="69"/>
        <v>3.6373083917900756E-2</v>
      </c>
      <c r="AJ66" s="1">
        <f t="shared" si="69"/>
        <v>0</v>
      </c>
      <c r="AK66" s="1">
        <f t="shared" si="69"/>
        <v>5.4559625876851134E-2</v>
      </c>
      <c r="AL66" s="1">
        <f t="shared" si="69"/>
        <v>0</v>
      </c>
      <c r="AM66" s="1">
        <f t="shared" si="69"/>
        <v>0</v>
      </c>
      <c r="AN66" s="1">
        <f t="shared" si="69"/>
        <v>0.18186541958950375</v>
      </c>
      <c r="AO66" s="1">
        <f t="shared" si="69"/>
        <v>0</v>
      </c>
      <c r="AP66" s="1">
        <f t="shared" si="69"/>
        <v>0.3637308391790075</v>
      </c>
      <c r="AQ66" s="1">
        <f t="shared" si="69"/>
        <v>0.45466354897375955</v>
      </c>
      <c r="AR66" s="1">
        <f t="shared" si="69"/>
        <v>0.41829046505585876</v>
      </c>
      <c r="AS66" s="1">
        <f t="shared" si="69"/>
        <v>0.25461158742530532</v>
      </c>
      <c r="AT66" s="1">
        <f t="shared" si="69"/>
        <v>5.4559625876851134E-2</v>
      </c>
    </row>
    <row r="67" spans="24:46" x14ac:dyDescent="0.35">
      <c r="X67" t="s">
        <v>346</v>
      </c>
      <c r="Y67" s="30" t="s">
        <v>459</v>
      </c>
      <c r="Z67" s="1">
        <f t="shared" ref="Z67:AT67" si="70">Y28</f>
        <v>0.10911925175370227</v>
      </c>
      <c r="AA67" s="1">
        <f t="shared" si="70"/>
        <v>0</v>
      </c>
      <c r="AB67" s="1">
        <f t="shared" si="70"/>
        <v>0</v>
      </c>
      <c r="AC67" s="1">
        <f t="shared" si="70"/>
        <v>0.10911925175370227</v>
      </c>
      <c r="AD67" s="1">
        <f t="shared" si="70"/>
        <v>0</v>
      </c>
      <c r="AE67" s="1">
        <f t="shared" si="70"/>
        <v>0</v>
      </c>
      <c r="AF67" s="1">
        <f t="shared" si="70"/>
        <v>0.30917121330215641</v>
      </c>
      <c r="AG67" s="1">
        <f t="shared" si="70"/>
        <v>0</v>
      </c>
      <c r="AH67" s="1">
        <f t="shared" si="70"/>
        <v>0.10911925175370227</v>
      </c>
      <c r="AI67" s="1">
        <f t="shared" si="70"/>
        <v>0</v>
      </c>
      <c r="AJ67" s="1">
        <f t="shared" si="70"/>
        <v>1.8186541958950378E-2</v>
      </c>
      <c r="AK67" s="1">
        <f t="shared" si="70"/>
        <v>0.3637308391790075</v>
      </c>
      <c r="AL67" s="1">
        <f t="shared" si="70"/>
        <v>0</v>
      </c>
      <c r="AM67" s="1">
        <f t="shared" si="70"/>
        <v>0</v>
      </c>
      <c r="AN67" s="1">
        <f t="shared" si="70"/>
        <v>0.2364250454663549</v>
      </c>
      <c r="AO67" s="1">
        <f t="shared" si="70"/>
        <v>0.3637308391790075</v>
      </c>
      <c r="AP67" s="1">
        <f t="shared" si="70"/>
        <v>5.4559625876851134E-2</v>
      </c>
      <c r="AQ67" s="1">
        <f t="shared" si="70"/>
        <v>0.38191738113795792</v>
      </c>
      <c r="AR67" s="1">
        <f t="shared" si="70"/>
        <v>0.45466354897375955</v>
      </c>
      <c r="AS67" s="1">
        <f t="shared" si="70"/>
        <v>0.21823850350740454</v>
      </c>
      <c r="AT67" s="1">
        <f t="shared" si="70"/>
        <v>0.76383476227591585</v>
      </c>
    </row>
    <row r="68" spans="24:46" x14ac:dyDescent="0.35">
      <c r="X68" t="s">
        <v>344</v>
      </c>
      <c r="Y68" s="30" t="s">
        <v>460</v>
      </c>
      <c r="Z68" s="1">
        <f t="shared" ref="Z68:AT68" si="71">Y31</f>
        <v>0.10911925175370227</v>
      </c>
      <c r="AA68" s="1">
        <f t="shared" si="71"/>
        <v>0</v>
      </c>
      <c r="AB68" s="1">
        <f t="shared" si="71"/>
        <v>7.2746167835801512E-2</v>
      </c>
      <c r="AC68" s="1">
        <f t="shared" si="71"/>
        <v>1.8186541958950382</v>
      </c>
      <c r="AD68" s="1">
        <f t="shared" si="71"/>
        <v>0</v>
      </c>
      <c r="AE68" s="1">
        <f t="shared" si="71"/>
        <v>0</v>
      </c>
      <c r="AF68" s="1">
        <f t="shared" si="71"/>
        <v>0</v>
      </c>
      <c r="AG68" s="1">
        <f t="shared" si="71"/>
        <v>0.32139577594123048</v>
      </c>
      <c r="AH68" s="1">
        <f t="shared" si="71"/>
        <v>0</v>
      </c>
      <c r="AI68" s="1">
        <f t="shared" si="71"/>
        <v>0</v>
      </c>
      <c r="AJ68" s="1">
        <f t="shared" si="71"/>
        <v>0.59993878175696358</v>
      </c>
      <c r="AK68" s="1">
        <f t="shared" si="71"/>
        <v>0</v>
      </c>
      <c r="AL68" s="1">
        <f t="shared" si="71"/>
        <v>0.32139577594123048</v>
      </c>
      <c r="AM68" s="1">
        <f t="shared" si="71"/>
        <v>2.2711968166513623</v>
      </c>
      <c r="AN68" s="1">
        <f t="shared" si="71"/>
        <v>0.57851239669421495</v>
      </c>
      <c r="AO68" s="1">
        <f t="shared" si="71"/>
        <v>1.1998775635139272</v>
      </c>
      <c r="AP68" s="1">
        <f t="shared" si="71"/>
        <v>0.64279155188246095</v>
      </c>
      <c r="AQ68" s="1">
        <f t="shared" si="71"/>
        <v>0.44995408631772271</v>
      </c>
      <c r="AR68" s="1">
        <f t="shared" si="71"/>
        <v>0.21426385062748698</v>
      </c>
      <c r="AS68" s="1">
        <f t="shared" si="71"/>
        <v>0</v>
      </c>
      <c r="AT68" s="1">
        <f t="shared" si="71"/>
        <v>0.25711662075298441</v>
      </c>
    </row>
    <row r="69" spans="24:46" x14ac:dyDescent="0.35">
      <c r="X69" t="s">
        <v>345</v>
      </c>
      <c r="Y69" s="30" t="s">
        <v>460</v>
      </c>
      <c r="Z69" s="1">
        <f t="shared" ref="Z69:AT69" si="72">Y34</f>
        <v>0.18186541958950375</v>
      </c>
      <c r="AA69" s="1">
        <f t="shared" si="72"/>
        <v>0.12730579371265266</v>
      </c>
      <c r="AB69" s="1">
        <f t="shared" si="72"/>
        <v>0</v>
      </c>
      <c r="AC69" s="1">
        <f t="shared" si="72"/>
        <v>0</v>
      </c>
      <c r="AD69" s="1">
        <f t="shared" si="72"/>
        <v>0</v>
      </c>
      <c r="AE69" s="1">
        <f t="shared" si="72"/>
        <v>0</v>
      </c>
      <c r="AF69" s="1">
        <f t="shared" si="72"/>
        <v>0.76383476227591585</v>
      </c>
      <c r="AG69" s="1">
        <f t="shared" si="72"/>
        <v>0.14998469543924089</v>
      </c>
      <c r="AH69" s="1">
        <f t="shared" si="72"/>
        <v>0.29996939087848179</v>
      </c>
      <c r="AI69" s="1">
        <f t="shared" si="72"/>
        <v>0.25711662075298441</v>
      </c>
      <c r="AJ69" s="1">
        <f t="shared" si="72"/>
        <v>0.14998469543924089</v>
      </c>
      <c r="AK69" s="1">
        <f t="shared" si="72"/>
        <v>0.14998469543924089</v>
      </c>
      <c r="AL69" s="1">
        <f t="shared" si="72"/>
        <v>0.2785430058157331</v>
      </c>
      <c r="AM69" s="1">
        <f t="shared" si="72"/>
        <v>0</v>
      </c>
      <c r="AN69" s="1">
        <f t="shared" si="72"/>
        <v>0.44995408631772271</v>
      </c>
      <c r="AO69" s="1">
        <f t="shared" si="72"/>
        <v>0</v>
      </c>
      <c r="AP69" s="1">
        <f t="shared" si="72"/>
        <v>4.2852770125497402E-2</v>
      </c>
      <c r="AQ69" s="1">
        <f t="shared" si="72"/>
        <v>0.19283746556473827</v>
      </c>
      <c r="AR69" s="1">
        <f t="shared" si="72"/>
        <v>0</v>
      </c>
      <c r="AS69" s="1">
        <f t="shared" si="72"/>
        <v>0.23569023569023567</v>
      </c>
      <c r="AT69" s="1">
        <f t="shared" si="72"/>
        <v>0</v>
      </c>
    </row>
    <row r="70" spans="24:46" x14ac:dyDescent="0.35">
      <c r="X70" t="s">
        <v>346</v>
      </c>
      <c r="Y70" s="30" t="s">
        <v>460</v>
      </c>
      <c r="Z70" s="1">
        <f t="shared" ref="Z70:AT70" si="73">Y37</f>
        <v>0.32735775526110678</v>
      </c>
      <c r="AA70" s="1">
        <f t="shared" si="73"/>
        <v>0.32735775526110678</v>
      </c>
      <c r="AB70" s="1">
        <f t="shared" si="73"/>
        <v>0</v>
      </c>
      <c r="AC70" s="1">
        <f t="shared" si="73"/>
        <v>0</v>
      </c>
      <c r="AD70" s="1">
        <f t="shared" si="73"/>
        <v>0.14549233567160302</v>
      </c>
      <c r="AE70" s="1">
        <f t="shared" si="73"/>
        <v>0</v>
      </c>
      <c r="AF70" s="1">
        <f t="shared" si="73"/>
        <v>0</v>
      </c>
      <c r="AG70" s="1">
        <f t="shared" si="73"/>
        <v>0.34282216100397922</v>
      </c>
      <c r="AH70" s="1">
        <f t="shared" si="73"/>
        <v>1.6284052647689009</v>
      </c>
      <c r="AI70" s="1">
        <f t="shared" si="73"/>
        <v>0.32139577594123048</v>
      </c>
      <c r="AJ70" s="1">
        <f t="shared" si="73"/>
        <v>0.68564432200795844</v>
      </c>
      <c r="AK70" s="1">
        <f t="shared" si="73"/>
        <v>0</v>
      </c>
      <c r="AL70" s="1">
        <f t="shared" si="73"/>
        <v>0.64279155188246095</v>
      </c>
      <c r="AM70" s="1">
        <f t="shared" si="73"/>
        <v>0.29996939087848179</v>
      </c>
      <c r="AN70" s="1">
        <f t="shared" si="73"/>
        <v>0.6642179369452097</v>
      </c>
      <c r="AO70" s="1">
        <f t="shared" si="73"/>
        <v>0.36424854606672796</v>
      </c>
      <c r="AP70" s="1">
        <f t="shared" si="73"/>
        <v>0</v>
      </c>
      <c r="AQ70" s="1">
        <f t="shared" si="73"/>
        <v>0</v>
      </c>
      <c r="AR70" s="1">
        <f t="shared" si="73"/>
        <v>0</v>
      </c>
      <c r="AS70" s="1">
        <f t="shared" si="73"/>
        <v>0</v>
      </c>
      <c r="AT70" s="1">
        <f t="shared" si="73"/>
        <v>0</v>
      </c>
    </row>
    <row r="71" spans="24:46" x14ac:dyDescent="0.35">
      <c r="X71" t="s">
        <v>344</v>
      </c>
      <c r="Y71" s="30" t="s">
        <v>461</v>
      </c>
      <c r="Z71" s="1">
        <f t="shared" ref="Z71:AT71" si="74">Y40</f>
        <v>0.87726467783680695</v>
      </c>
      <c r="AA71" s="1">
        <f t="shared" si="74"/>
        <v>0.68655496526358795</v>
      </c>
      <c r="AB71" s="1">
        <f t="shared" si="74"/>
        <v>0.65794850837760532</v>
      </c>
      <c r="AC71" s="1">
        <f t="shared" si="74"/>
        <v>0.61027108023430054</v>
      </c>
      <c r="AD71" s="1">
        <f t="shared" si="74"/>
        <v>0.54352268083367394</v>
      </c>
      <c r="AE71" s="1">
        <f t="shared" si="74"/>
        <v>0.44816782454706444</v>
      </c>
      <c r="AF71" s="1">
        <f t="shared" si="74"/>
        <v>0.40049039640375977</v>
      </c>
      <c r="AG71" s="1">
        <f t="shared" si="74"/>
        <v>0.13349679880125323</v>
      </c>
      <c r="AH71" s="1">
        <f t="shared" si="74"/>
        <v>9.5354856286609446E-2</v>
      </c>
      <c r="AI71" s="1">
        <f t="shared" si="74"/>
        <v>0.13349679880125323</v>
      </c>
      <c r="AJ71" s="1">
        <f t="shared" si="74"/>
        <v>0.12396131317259229</v>
      </c>
      <c r="AK71" s="1">
        <f t="shared" si="74"/>
        <v>0.13349679880125323</v>
      </c>
      <c r="AL71" s="1">
        <f t="shared" si="74"/>
        <v>0.13349679880125323</v>
      </c>
      <c r="AM71" s="1">
        <f t="shared" si="74"/>
        <v>0.15256777005857514</v>
      </c>
      <c r="AN71" s="1">
        <f t="shared" si="74"/>
        <v>0</v>
      </c>
      <c r="AO71" s="1">
        <f t="shared" si="74"/>
        <v>4.7677428143304723E-2</v>
      </c>
      <c r="AP71" s="1">
        <f t="shared" si="74"/>
        <v>0</v>
      </c>
      <c r="AQ71" s="1">
        <f t="shared" si="74"/>
        <v>0</v>
      </c>
      <c r="AR71" s="1">
        <f t="shared" si="74"/>
        <v>0</v>
      </c>
      <c r="AS71" s="1">
        <f t="shared" si="74"/>
        <v>0</v>
      </c>
      <c r="AT71" s="1">
        <f t="shared" si="74"/>
        <v>0</v>
      </c>
    </row>
    <row r="72" spans="24:46" x14ac:dyDescent="0.35">
      <c r="X72" t="s">
        <v>345</v>
      </c>
      <c r="Y72" s="30" t="s">
        <v>461</v>
      </c>
      <c r="Z72" s="1">
        <f t="shared" ref="Z72:AT72" si="75">Y43</f>
        <v>0.19070971257321889</v>
      </c>
      <c r="AA72" s="1">
        <f t="shared" si="75"/>
        <v>0.45770331017572541</v>
      </c>
      <c r="AB72" s="1">
        <f t="shared" si="75"/>
        <v>0.62934205149162237</v>
      </c>
      <c r="AC72" s="1">
        <f t="shared" si="75"/>
        <v>0.67701947963492692</v>
      </c>
      <c r="AD72" s="1">
        <f t="shared" si="75"/>
        <v>0.76283885029287557</v>
      </c>
      <c r="AE72" s="1">
        <f t="shared" si="75"/>
        <v>0.58166462334831759</v>
      </c>
      <c r="AF72" s="1">
        <f t="shared" si="75"/>
        <v>0.50538073831903008</v>
      </c>
      <c r="AG72" s="1">
        <f t="shared" si="75"/>
        <v>0.26699359760250646</v>
      </c>
      <c r="AH72" s="1">
        <f t="shared" si="75"/>
        <v>0.38141942514643778</v>
      </c>
      <c r="AI72" s="1">
        <f t="shared" si="75"/>
        <v>0.37188393951777687</v>
      </c>
      <c r="AJ72" s="1">
        <f t="shared" si="75"/>
        <v>0.33374199700313312</v>
      </c>
      <c r="AK72" s="1">
        <f t="shared" si="75"/>
        <v>0.35281296826045494</v>
      </c>
      <c r="AL72" s="1">
        <f t="shared" si="75"/>
        <v>0.30513554011715027</v>
      </c>
      <c r="AM72" s="1">
        <f t="shared" si="75"/>
        <v>0.28606456885982834</v>
      </c>
      <c r="AN72" s="1">
        <f t="shared" si="75"/>
        <v>4.7677428143304723E-2</v>
      </c>
      <c r="AO72" s="1">
        <f t="shared" si="75"/>
        <v>0.13349679880125323</v>
      </c>
      <c r="AP72" s="1">
        <f t="shared" si="75"/>
        <v>0.11442582754393135</v>
      </c>
      <c r="AQ72" s="1">
        <f t="shared" si="75"/>
        <v>0.31467102574581118</v>
      </c>
      <c r="AR72" s="1">
        <f t="shared" si="75"/>
        <v>0.12396131317259229</v>
      </c>
      <c r="AS72" s="1">
        <f t="shared" si="75"/>
        <v>8.5819370657948493E-2</v>
      </c>
      <c r="AT72" s="1">
        <f t="shared" si="75"/>
        <v>7.6283885029287568E-2</v>
      </c>
    </row>
    <row r="73" spans="24:46" x14ac:dyDescent="0.35">
      <c r="X73" t="s">
        <v>346</v>
      </c>
      <c r="Y73" s="30" t="s">
        <v>461</v>
      </c>
      <c r="Z73" s="1">
        <f t="shared" ref="Z73:AT73" si="76">Y46</f>
        <v>0.18117422694455795</v>
      </c>
      <c r="AA73" s="1">
        <f t="shared" si="76"/>
        <v>0.38141942514643778</v>
      </c>
      <c r="AB73" s="1">
        <f t="shared" si="76"/>
        <v>0.43863233891840347</v>
      </c>
      <c r="AC73" s="1">
        <f t="shared" si="76"/>
        <v>0.6484130227489443</v>
      </c>
      <c r="AD73" s="1">
        <f t="shared" si="76"/>
        <v>0.43863233891840347</v>
      </c>
      <c r="AE73" s="1">
        <f t="shared" si="76"/>
        <v>0.3909549107750987</v>
      </c>
      <c r="AF73" s="1">
        <f t="shared" si="76"/>
        <v>0.5244517095763519</v>
      </c>
      <c r="AG73" s="1">
        <f t="shared" si="76"/>
        <v>0.23838714071652367</v>
      </c>
      <c r="AH73" s="1">
        <f t="shared" si="76"/>
        <v>0.26699359760250646</v>
      </c>
      <c r="AI73" s="1">
        <f t="shared" si="76"/>
        <v>0.12396131317259229</v>
      </c>
      <c r="AJ73" s="1">
        <f t="shared" si="76"/>
        <v>7.6283885029287568E-2</v>
      </c>
      <c r="AK73" s="1">
        <f t="shared" si="76"/>
        <v>4.7677428143304723E-2</v>
      </c>
      <c r="AL73" s="1">
        <f t="shared" si="76"/>
        <v>5.7212913771965676E-2</v>
      </c>
      <c r="AM73" s="1">
        <f t="shared" si="76"/>
        <v>4.7677428143304723E-2</v>
      </c>
      <c r="AN73" s="1">
        <f t="shared" si="76"/>
        <v>0.17163874131589699</v>
      </c>
      <c r="AO73" s="1">
        <f t="shared" si="76"/>
        <v>7.6283885029287568E-2</v>
      </c>
      <c r="AP73" s="1">
        <f t="shared" si="76"/>
        <v>4.7677428143304723E-2</v>
      </c>
      <c r="AQ73" s="1">
        <f t="shared" si="76"/>
        <v>5.7212913771965676E-2</v>
      </c>
      <c r="AR73" s="1">
        <f t="shared" si="76"/>
        <v>3.8141942514643784E-2</v>
      </c>
      <c r="AS73" s="1">
        <f t="shared" si="76"/>
        <v>5.7212913771965676E-2</v>
      </c>
      <c r="AT73" s="1">
        <f t="shared" si="76"/>
        <v>2.8606456885982838E-2</v>
      </c>
    </row>
    <row r="74" spans="24:46" x14ac:dyDescent="0.35">
      <c r="X74" t="s">
        <v>344</v>
      </c>
      <c r="Y74" s="30" t="s">
        <v>462</v>
      </c>
      <c r="Z74" s="1">
        <f t="shared" ref="Z74:AT74" si="77">Y49</f>
        <v>0</v>
      </c>
      <c r="AA74" s="1">
        <f t="shared" si="77"/>
        <v>1.9070971257321892E-2</v>
      </c>
      <c r="AB74" s="1">
        <f t="shared" si="77"/>
        <v>5.7212913771965676E-2</v>
      </c>
      <c r="AC74" s="1">
        <f t="shared" si="77"/>
        <v>2.8606456885982838E-2</v>
      </c>
      <c r="AD74" s="1">
        <f t="shared" si="77"/>
        <v>1.9070971257321892E-2</v>
      </c>
      <c r="AE74" s="1">
        <f t="shared" si="77"/>
        <v>3.8141942514643784E-2</v>
      </c>
      <c r="AF74" s="1">
        <f t="shared" si="77"/>
        <v>7.6283885029287568E-2</v>
      </c>
      <c r="AG74" s="1">
        <f t="shared" si="77"/>
        <v>0</v>
      </c>
      <c r="AH74" s="1">
        <f t="shared" si="77"/>
        <v>0</v>
      </c>
      <c r="AI74" s="1">
        <f t="shared" si="77"/>
        <v>0</v>
      </c>
      <c r="AJ74" s="1">
        <f t="shared" si="77"/>
        <v>0</v>
      </c>
      <c r="AK74" s="1">
        <f t="shared" si="77"/>
        <v>0</v>
      </c>
      <c r="AL74" s="1">
        <f t="shared" si="77"/>
        <v>0</v>
      </c>
      <c r="AM74" s="1">
        <f t="shared" si="77"/>
        <v>0</v>
      </c>
      <c r="AN74" s="1">
        <f t="shared" si="77"/>
        <v>0.26743075453677173</v>
      </c>
      <c r="AO74" s="1">
        <f t="shared" si="77"/>
        <v>0.36294173829990445</v>
      </c>
      <c r="AP74" s="1">
        <f t="shared" si="77"/>
        <v>0.38204393505253109</v>
      </c>
      <c r="AQ74" s="1">
        <f t="shared" si="77"/>
        <v>0.30563514804202485</v>
      </c>
      <c r="AR74" s="1">
        <f t="shared" si="77"/>
        <v>0.24832855778414517</v>
      </c>
      <c r="AS74" s="1">
        <f t="shared" si="77"/>
        <v>0.21012416427889211</v>
      </c>
      <c r="AT74" s="1">
        <f t="shared" si="77"/>
        <v>0.16236867239732572</v>
      </c>
    </row>
    <row r="75" spans="24:46" x14ac:dyDescent="0.35">
      <c r="X75" t="s">
        <v>345</v>
      </c>
      <c r="Y75" s="30" t="s">
        <v>462</v>
      </c>
      <c r="Z75" s="1">
        <f t="shared" ref="Z75:AT75" si="78">Y52</f>
        <v>9.9073695681787211</v>
      </c>
      <c r="AA75" s="1">
        <f t="shared" si="78"/>
        <v>0</v>
      </c>
      <c r="AB75" s="1">
        <f t="shared" si="78"/>
        <v>0</v>
      </c>
      <c r="AC75" s="1">
        <f t="shared" si="78"/>
        <v>0</v>
      </c>
      <c r="AD75" s="1">
        <f t="shared" si="78"/>
        <v>0</v>
      </c>
      <c r="AE75" s="1">
        <f t="shared" si="78"/>
        <v>4.7677428143304723E-2</v>
      </c>
      <c r="AF75" s="1">
        <f t="shared" si="78"/>
        <v>0.10489034191527041</v>
      </c>
      <c r="AG75" s="1">
        <f t="shared" si="78"/>
        <v>0</v>
      </c>
      <c r="AH75" s="1">
        <f t="shared" si="78"/>
        <v>0</v>
      </c>
      <c r="AI75" s="1">
        <f t="shared" si="78"/>
        <v>0</v>
      </c>
      <c r="AJ75" s="1">
        <f t="shared" si="78"/>
        <v>0</v>
      </c>
      <c r="AK75" s="1">
        <f t="shared" si="78"/>
        <v>0</v>
      </c>
      <c r="AL75" s="1">
        <f t="shared" si="78"/>
        <v>0</v>
      </c>
      <c r="AM75" s="1">
        <f t="shared" si="78"/>
        <v>0</v>
      </c>
      <c r="AN75" s="1">
        <f t="shared" si="78"/>
        <v>1.9102196752626553E-2</v>
      </c>
      <c r="AO75" s="1">
        <f t="shared" si="78"/>
        <v>6.6857688634192933E-2</v>
      </c>
      <c r="AP75" s="1">
        <f t="shared" si="78"/>
        <v>0.10506208213944605</v>
      </c>
      <c r="AQ75" s="1">
        <f t="shared" si="78"/>
        <v>0.18147086914995222</v>
      </c>
      <c r="AR75" s="1">
        <f t="shared" si="78"/>
        <v>0.29608404966571156</v>
      </c>
      <c r="AS75" s="1">
        <f t="shared" si="78"/>
        <v>0.42024832855778421</v>
      </c>
      <c r="AT75" s="1">
        <f t="shared" si="78"/>
        <v>0.44890162368672404</v>
      </c>
    </row>
    <row r="76" spans="24:46" x14ac:dyDescent="0.35">
      <c r="X76" t="s">
        <v>346</v>
      </c>
      <c r="Y76" s="30" t="s">
        <v>462</v>
      </c>
      <c r="Z76" s="1">
        <f t="shared" ref="Z76:AT76" si="79">Y55</f>
        <v>2.3361939790219317</v>
      </c>
      <c r="AA76" s="1">
        <f t="shared" si="79"/>
        <v>0</v>
      </c>
      <c r="AB76" s="1">
        <f t="shared" si="79"/>
        <v>0</v>
      </c>
      <c r="AC76" s="1">
        <f t="shared" si="79"/>
        <v>0</v>
      </c>
      <c r="AD76" s="1">
        <f t="shared" si="79"/>
        <v>0</v>
      </c>
      <c r="AE76" s="1">
        <f t="shared" si="79"/>
        <v>0</v>
      </c>
      <c r="AF76" s="1">
        <f t="shared" si="79"/>
        <v>6.6748399400626615E-2</v>
      </c>
      <c r="AG76" s="1">
        <f t="shared" si="79"/>
        <v>0</v>
      </c>
      <c r="AH76" s="1">
        <f t="shared" si="79"/>
        <v>0</v>
      </c>
      <c r="AI76" s="1">
        <f t="shared" si="79"/>
        <v>0</v>
      </c>
      <c r="AJ76" s="1">
        <f t="shared" si="79"/>
        <v>0</v>
      </c>
      <c r="AK76" s="1">
        <f t="shared" si="79"/>
        <v>0</v>
      </c>
      <c r="AL76" s="1">
        <f t="shared" si="79"/>
        <v>0</v>
      </c>
      <c r="AM76" s="1">
        <f t="shared" si="79"/>
        <v>0</v>
      </c>
      <c r="AN76" s="1">
        <f t="shared" si="79"/>
        <v>6.6857688634192933E-2</v>
      </c>
      <c r="AO76" s="1">
        <f t="shared" si="79"/>
        <v>6.6857688634192933E-2</v>
      </c>
      <c r="AP76" s="1">
        <f t="shared" si="79"/>
        <v>7.6408787010506213E-2</v>
      </c>
      <c r="AQ76" s="1">
        <f t="shared" si="79"/>
        <v>0.11461318051575933</v>
      </c>
      <c r="AR76" s="1">
        <f t="shared" si="79"/>
        <v>0.19102196752626555</v>
      </c>
      <c r="AS76" s="1">
        <f t="shared" si="79"/>
        <v>0.25787965616045849</v>
      </c>
      <c r="AT76" s="1">
        <f t="shared" si="79"/>
        <v>0.22922636103151867</v>
      </c>
    </row>
    <row r="79" spans="24:46" x14ac:dyDescent="0.35">
      <c r="X79" t="s">
        <v>530</v>
      </c>
    </row>
    <row r="80" spans="24:46" x14ac:dyDescent="0.35">
      <c r="X80" t="s">
        <v>529</v>
      </c>
      <c r="Y80" t="s">
        <v>528</v>
      </c>
    </row>
    <row r="81" spans="24:25" x14ac:dyDescent="0.35">
      <c r="X81">
        <v>0</v>
      </c>
      <c r="Y81" s="1">
        <f>AVERAGE(H52:H53)</f>
        <v>9.5510983763132766E-3</v>
      </c>
    </row>
    <row r="82" spans="24:25" x14ac:dyDescent="0.35">
      <c r="X82">
        <f t="shared" ref="X82:X87" si="80">X81+30</f>
        <v>30</v>
      </c>
      <c r="Y82" s="1">
        <f>AVERAGE(I51:I53)</f>
        <v>2.2285896211397645E-2</v>
      </c>
    </row>
    <row r="83" spans="24:25" x14ac:dyDescent="0.35">
      <c r="X83">
        <f t="shared" si="80"/>
        <v>60</v>
      </c>
      <c r="Y83" s="1">
        <f>AVERAGE(J51:J53)</f>
        <v>3.5020694046482018E-2</v>
      </c>
    </row>
    <row r="84" spans="24:25" x14ac:dyDescent="0.35">
      <c r="X84">
        <f t="shared" si="80"/>
        <v>90</v>
      </c>
      <c r="Y84" s="1">
        <f>AVERAGE(K51:K53)</f>
        <v>6.0490289716650741E-2</v>
      </c>
    </row>
    <row r="85" spans="24:25" x14ac:dyDescent="0.35">
      <c r="X85">
        <f t="shared" si="80"/>
        <v>120</v>
      </c>
      <c r="Y85" s="1">
        <f>AVERAGE(L51:L53)</f>
        <v>9.8694683221903848E-2</v>
      </c>
    </row>
    <row r="86" spans="24:25" x14ac:dyDescent="0.35">
      <c r="X86">
        <f t="shared" si="80"/>
        <v>150</v>
      </c>
      <c r="Y86" s="1">
        <f>AVERAGE(M51:M53)</f>
        <v>0.15597525223369632</v>
      </c>
    </row>
    <row r="87" spans="24:25" x14ac:dyDescent="0.35">
      <c r="X87">
        <f t="shared" si="80"/>
        <v>180</v>
      </c>
      <c r="Y87" s="1">
        <f>AVERAGE(N51:N53)</f>
        <v>0.18459732186733149</v>
      </c>
    </row>
  </sheetData>
  <phoneticPr fontId="10" type="noConversion"/>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r:uid="{A6E80A0C-F8EA-49FD-BE6E-6A0C431FFEEE}">
          <x14:formula1>
            <xm:f>'Master Data Sheet'!$I$1:$S$1</xm:f>
          </x14:formula1>
          <xm:sqref>F1</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215549-EE3D-414B-B10D-5FF1C483F3D0}">
  <sheetPr codeName="Sheet9">
    <tabColor theme="9" tint="-0.249977111117893"/>
  </sheetPr>
  <dimension ref="A1:AH610"/>
  <sheetViews>
    <sheetView zoomScale="75" workbookViewId="0">
      <pane xSplit="1" ySplit="1" topLeftCell="M2" activePane="bottomRight" state="frozen"/>
      <selection activeCell="G13" sqref="G13"/>
      <selection pane="topRight" activeCell="G13" sqref="G13"/>
      <selection pane="bottomLeft" activeCell="G13" sqref="G13"/>
      <selection pane="bottomRight" activeCell="U21" sqref="U21"/>
    </sheetView>
  </sheetViews>
  <sheetFormatPr defaultColWidth="11" defaultRowHeight="15.5" x14ac:dyDescent="0.35"/>
  <cols>
    <col min="1" max="1" width="11" style="4"/>
    <col min="2" max="2" width="11" style="41"/>
    <col min="3" max="3" width="7.75" style="4" customWidth="1"/>
    <col min="4" max="4" width="8" style="4" customWidth="1"/>
    <col min="5" max="5" width="12" style="4" customWidth="1"/>
    <col min="6" max="6" width="9" style="4" customWidth="1"/>
    <col min="7" max="7" width="8.6640625" style="4" customWidth="1"/>
    <col min="8" max="8" width="13.58203125" style="4" customWidth="1"/>
    <col min="9" max="9" width="8.25" style="4" customWidth="1"/>
    <col min="10" max="11" width="8.33203125" style="4" customWidth="1"/>
    <col min="12" max="12" width="7.9140625" style="4" customWidth="1"/>
    <col min="13" max="13" width="6.5" style="4" bestFit="1" customWidth="1"/>
    <col min="14" max="14" width="10.25" style="4" customWidth="1"/>
    <col min="15" max="15" width="6.58203125" style="4" customWidth="1"/>
    <col min="16" max="16" width="12" style="4" customWidth="1"/>
    <col min="17" max="17" width="16.33203125" style="4" customWidth="1"/>
    <col min="18" max="18" width="11.9140625" style="4" customWidth="1"/>
    <col min="19" max="19" width="11.6640625" style="4" customWidth="1"/>
    <col min="20" max="20" width="8" style="4" customWidth="1"/>
    <col min="21" max="21" width="7.9140625" style="4" customWidth="1"/>
    <col min="22" max="22" width="13.33203125" style="4" customWidth="1"/>
    <col min="23" max="23" width="8.6640625" style="4" customWidth="1"/>
    <col min="25" max="25" width="11.08203125" style="4" customWidth="1"/>
    <col min="26" max="26" width="14" style="4" customWidth="1"/>
    <col min="27" max="27" width="15.75" style="4" customWidth="1"/>
    <col min="28" max="28" width="12.33203125" style="4" customWidth="1"/>
    <col min="29" max="29" width="11" style="4"/>
    <col min="30" max="30" width="14.9140625" style="4" customWidth="1"/>
    <col min="31" max="16384" width="11" style="4"/>
  </cols>
  <sheetData>
    <row r="1" spans="1:34" ht="46.5" x14ac:dyDescent="0.35">
      <c r="A1" s="36" t="s">
        <v>404</v>
      </c>
      <c r="B1" s="40" t="s">
        <v>0</v>
      </c>
      <c r="C1" s="36" t="s">
        <v>1</v>
      </c>
      <c r="D1" s="36" t="s">
        <v>376</v>
      </c>
      <c r="E1" s="36" t="s">
        <v>16</v>
      </c>
      <c r="F1" s="36" t="s">
        <v>387</v>
      </c>
      <c r="G1" s="36" t="s">
        <v>433</v>
      </c>
      <c r="H1" s="36" t="s">
        <v>377</v>
      </c>
      <c r="I1" s="19" t="s">
        <v>17</v>
      </c>
      <c r="J1" s="19" t="s">
        <v>18</v>
      </c>
      <c r="K1" s="19" t="s">
        <v>19</v>
      </c>
      <c r="L1" s="19" t="s">
        <v>20</v>
      </c>
      <c r="M1" s="19" t="s">
        <v>21</v>
      </c>
      <c r="N1" s="19" t="s">
        <v>22</v>
      </c>
      <c r="O1" s="19" t="s">
        <v>23</v>
      </c>
      <c r="P1" s="19" t="s">
        <v>24</v>
      </c>
      <c r="Q1" s="19" t="s">
        <v>25</v>
      </c>
      <c r="R1" s="19" t="s">
        <v>26</v>
      </c>
      <c r="S1" s="19" t="s">
        <v>27</v>
      </c>
      <c r="T1" s="19" t="s">
        <v>402</v>
      </c>
      <c r="U1" s="19" t="s">
        <v>497</v>
      </c>
      <c r="V1" s="19" t="s">
        <v>2</v>
      </c>
      <c r="W1" s="19" t="s">
        <v>405</v>
      </c>
      <c r="X1" s="19" t="s">
        <v>406</v>
      </c>
      <c r="Y1" s="19" t="s">
        <v>12</v>
      </c>
      <c r="Z1" s="18"/>
      <c r="AA1" s="26" t="s">
        <v>483</v>
      </c>
    </row>
    <row r="2" spans="1:34" ht="31" x14ac:dyDescent="0.35">
      <c r="A2" s="4">
        <v>1</v>
      </c>
      <c r="B2" s="41">
        <v>45175</v>
      </c>
      <c r="C2" s="4" t="s">
        <v>4</v>
      </c>
      <c r="D2" s="4">
        <v>19</v>
      </c>
      <c r="E2" s="4" t="s">
        <v>46</v>
      </c>
      <c r="F2" s="4" t="str">
        <f t="shared" ref="F2:F33" si="0">MID(E2, SEARCH(" ", E2) + 1, LEN(E2))</f>
        <v>in</v>
      </c>
      <c r="G2" s="4">
        <f>IFERROR(INDEX('Date Key'!$I$2:$I$19, MATCH(B2,'Date Key'!$B$2:$B$19, 0)), "")</f>
        <v>1</v>
      </c>
      <c r="H2" s="4">
        <v>0</v>
      </c>
      <c r="I2" s="11">
        <v>0.28166438042981246</v>
      </c>
      <c r="J2" s="11">
        <v>4.5328399629972239E-2</v>
      </c>
      <c r="K2" s="11">
        <v>6.459433040078201</v>
      </c>
      <c r="L2" s="11">
        <v>5.5034274427791328</v>
      </c>
      <c r="M2" s="11">
        <v>143.01957129543337</v>
      </c>
      <c r="N2" s="11">
        <v>6.7864258201379855</v>
      </c>
      <c r="O2" s="11"/>
      <c r="P2" s="11">
        <v>6.82</v>
      </c>
      <c r="Q2" s="11">
        <v>133.92857142857144</v>
      </c>
      <c r="R2" s="11">
        <v>40.733333333333327</v>
      </c>
      <c r="S2" s="11">
        <v>0.38935286935286934</v>
      </c>
      <c r="T2" s="4">
        <f t="shared" ref="T2:T65" si="1">IFERROR(INDEX($AB$3:$AB$5, MATCH(F2, $AA$3:$AA$5, 0)), "")</f>
        <v>0</v>
      </c>
      <c r="U2" s="4" t="str">
        <f>IFERROR(INDEX('Date Key'!$G$2:$G$19, MATCH(B2,'Date Key'!$B$2:$B$19, 0)), "")</f>
        <v>No</v>
      </c>
      <c r="V2" s="4" t="str">
        <f>IFERROR(INDEX('Date Key'!$D$2:$D$19, MATCH(B2,'Date Key'!$B$2:$B$19, 0)), "")</f>
        <v>Lower</v>
      </c>
      <c r="W2" s="4" t="str">
        <f>IFERROR(INDEX('Date Key'!$H$2:$H$19, MATCH(B2,'Date Key'!$B$2:$B$19, 0)), "")</f>
        <v>No</v>
      </c>
      <c r="X2" s="4">
        <f t="shared" ref="X2:X33" si="2">IFERROR(INDEX($AB$8:$AB$10, MATCH(C2, $AA$8:$AA$10, 0)), "")</f>
        <v>0.109</v>
      </c>
      <c r="Y2" s="4">
        <f t="shared" ref="Y2:Y33" si="3">IFERROR(INDEX($AC$8:$AC$10, MATCH(C2, $AA$8:$AA$10, 0)), "")</f>
        <v>5</v>
      </c>
      <c r="AA2" s="19" t="s">
        <v>403</v>
      </c>
      <c r="AB2" s="19" t="s">
        <v>378</v>
      </c>
      <c r="AC2" s="19" t="s">
        <v>385</v>
      </c>
      <c r="AE2" s="19" t="s">
        <v>386</v>
      </c>
      <c r="AF2" s="19" t="s">
        <v>385</v>
      </c>
      <c r="AG2"/>
    </row>
    <row r="3" spans="1:34" x14ac:dyDescent="0.35">
      <c r="A3" s="4">
        <v>1</v>
      </c>
      <c r="B3" s="41">
        <v>45175</v>
      </c>
      <c r="C3" s="4" t="s">
        <v>4</v>
      </c>
      <c r="D3" s="4">
        <v>2</v>
      </c>
      <c r="E3" s="4" t="s">
        <v>29</v>
      </c>
      <c r="F3" s="4" t="str">
        <f t="shared" si="0"/>
        <v>tank 2</v>
      </c>
      <c r="G3" s="4">
        <f>IFERROR(INDEX('Date Key'!$I$2:$I$19, MATCH(B3,'Date Key'!$B$2:$B$19, 0)), "")</f>
        <v>1</v>
      </c>
      <c r="H3" s="4">
        <v>150</v>
      </c>
      <c r="I3" s="11">
        <v>0.79378143575674442</v>
      </c>
      <c r="J3" s="11">
        <v>0.28492136910268268</v>
      </c>
      <c r="K3" s="11">
        <v>1.9323558162267838</v>
      </c>
      <c r="L3" s="11">
        <v>1.6423841059602649</v>
      </c>
      <c r="M3" s="11">
        <v>102.36719478098787</v>
      </c>
      <c r="N3" s="11">
        <v>3.0110586210862111</v>
      </c>
      <c r="O3" s="11"/>
      <c r="P3" s="11">
        <v>6.82</v>
      </c>
      <c r="Q3" s="11">
        <v>133.92857142857144</v>
      </c>
      <c r="R3" s="11">
        <v>36.399999999999984</v>
      </c>
      <c r="S3" s="11">
        <v>0.6823931623931625</v>
      </c>
      <c r="T3" s="4">
        <f t="shared" si="1"/>
        <v>2</v>
      </c>
      <c r="U3" s="4" t="str">
        <f>IFERROR(INDEX('Date Key'!$G$2:$G$19, MATCH(B3,'Date Key'!$B$2:$B$19, 0)), "")</f>
        <v>No</v>
      </c>
      <c r="V3" s="4" t="str">
        <f>IFERROR(INDEX('Date Key'!$D$2:$D$19, MATCH(B3,'Date Key'!$B$2:$B$19, 0)), "")</f>
        <v>Lower</v>
      </c>
      <c r="W3" s="4" t="str">
        <f>IFERROR(INDEX('Date Key'!$H$2:$H$19, MATCH(B3,'Date Key'!$B$2:$B$19, 0)), "")</f>
        <v>No</v>
      </c>
      <c r="X3" s="4">
        <f t="shared" si="2"/>
        <v>0.109</v>
      </c>
      <c r="Y3" s="4">
        <f t="shared" si="3"/>
        <v>5</v>
      </c>
      <c r="AA3" s="4" t="s">
        <v>379</v>
      </c>
      <c r="AB3" s="24">
        <v>0</v>
      </c>
      <c r="AC3" s="25" t="s">
        <v>382</v>
      </c>
      <c r="AE3" t="s">
        <v>379</v>
      </c>
      <c r="AF3" t="s">
        <v>344</v>
      </c>
      <c r="AG3"/>
    </row>
    <row r="4" spans="1:34" x14ac:dyDescent="0.35">
      <c r="A4" s="4">
        <v>2</v>
      </c>
      <c r="B4" s="41">
        <v>45181</v>
      </c>
      <c r="C4" s="4" t="s">
        <v>4</v>
      </c>
      <c r="D4" s="4">
        <v>18</v>
      </c>
      <c r="E4" s="4" t="s">
        <v>66</v>
      </c>
      <c r="F4" s="4" t="str">
        <f t="shared" si="0"/>
        <v>in</v>
      </c>
      <c r="G4" s="4">
        <f>IFERROR(INDEX('Date Key'!$I$2:$I$19, MATCH(B4,'Date Key'!$B$2:$B$19, 0)), "")</f>
        <v>1</v>
      </c>
      <c r="H4" s="4">
        <v>0</v>
      </c>
      <c r="I4" s="11">
        <v>0.40969364426154553</v>
      </c>
      <c r="J4" s="11">
        <v>7.7705827937095281E-2</v>
      </c>
      <c r="K4" s="11">
        <v>5.5178885630498531</v>
      </c>
      <c r="L4" s="11">
        <v>0.95085395608225864</v>
      </c>
      <c r="M4" s="11">
        <v>124.56663560111835</v>
      </c>
      <c r="N4" s="11">
        <v>6.0052880352484941</v>
      </c>
      <c r="O4" s="11"/>
      <c r="P4" s="11">
        <v>6.72</v>
      </c>
      <c r="Q4" s="11">
        <v>70.754716981132077</v>
      </c>
      <c r="R4" s="11">
        <v>40.066666666666656</v>
      </c>
      <c r="S4" s="11">
        <v>0.27335775335775342</v>
      </c>
      <c r="T4" s="4">
        <f t="shared" si="1"/>
        <v>0</v>
      </c>
      <c r="U4" s="4" t="str">
        <f>IFERROR(INDEX('Date Key'!$G$2:$G$19, MATCH(B4,'Date Key'!$B$2:$B$19, 0)), "")</f>
        <v>No</v>
      </c>
      <c r="V4" s="4" t="str">
        <f>IFERROR(INDEX('Date Key'!$D$2:$D$19, MATCH(B4,'Date Key'!$B$2:$B$19, 0)), "")</f>
        <v>Lower</v>
      </c>
      <c r="W4" s="4" t="str">
        <f>IFERROR(INDEX('Date Key'!$H$2:$H$19, MATCH(B4,'Date Key'!$B$2:$B$19, 0)), "")</f>
        <v>No</v>
      </c>
      <c r="X4" s="4">
        <f t="shared" si="2"/>
        <v>0.109</v>
      </c>
      <c r="Y4" s="4">
        <f t="shared" si="3"/>
        <v>5</v>
      </c>
      <c r="AA4" s="4" t="s">
        <v>381</v>
      </c>
      <c r="AB4" s="4">
        <v>1</v>
      </c>
      <c r="AC4" s="25" t="s">
        <v>383</v>
      </c>
      <c r="AE4" t="s">
        <v>381</v>
      </c>
      <c r="AF4" t="s">
        <v>463</v>
      </c>
      <c r="AG4"/>
    </row>
    <row r="5" spans="1:34" x14ac:dyDescent="0.35">
      <c r="A5" s="4">
        <v>1</v>
      </c>
      <c r="B5" s="41">
        <v>45175</v>
      </c>
      <c r="C5" s="4" t="s">
        <v>4</v>
      </c>
      <c r="D5" s="4">
        <v>4</v>
      </c>
      <c r="E5" s="4" t="s">
        <v>31</v>
      </c>
      <c r="F5" s="4" t="str">
        <f t="shared" si="0"/>
        <v>tank 1</v>
      </c>
      <c r="G5" s="4">
        <f>IFERROR(INDEX('Date Key'!$I$2:$I$19, MATCH(B5,'Date Key'!$B$2:$B$19, 0)), "")</f>
        <v>1</v>
      </c>
      <c r="H5" s="4">
        <v>30</v>
      </c>
      <c r="I5" s="11">
        <v>0.23045267489711932</v>
      </c>
      <c r="J5" s="11">
        <v>5.8279370952821465E-2</v>
      </c>
      <c r="K5" s="11">
        <v>0.19159335288367546</v>
      </c>
      <c r="L5" s="11">
        <v>0.80678517485767398</v>
      </c>
      <c r="M5" s="11">
        <v>9.2823858341099719</v>
      </c>
      <c r="N5" s="11">
        <v>0.48032539873361624</v>
      </c>
      <c r="O5" s="11"/>
      <c r="P5" s="11">
        <v>7.05</v>
      </c>
      <c r="Q5" s="11">
        <v>357.14285714285717</v>
      </c>
      <c r="R5" s="11">
        <v>16.733333333333341</v>
      </c>
      <c r="S5" s="11">
        <v>4.7374847374847245E-3</v>
      </c>
      <c r="T5" s="4">
        <f t="shared" si="1"/>
        <v>1</v>
      </c>
      <c r="U5" s="4" t="str">
        <f>IFERROR(INDEX('Date Key'!$G$2:$G$19, MATCH(B5,'Date Key'!$B$2:$B$19, 0)), "")</f>
        <v>No</v>
      </c>
      <c r="V5" s="4" t="str">
        <f>IFERROR(INDEX('Date Key'!$D$2:$D$19, MATCH(B5,'Date Key'!$B$2:$B$19, 0)), "")</f>
        <v>Lower</v>
      </c>
      <c r="W5" s="4" t="str">
        <f>IFERROR(INDEX('Date Key'!$H$2:$H$19, MATCH(B5,'Date Key'!$B$2:$B$19, 0)), "")</f>
        <v>No</v>
      </c>
      <c r="X5" s="4">
        <f t="shared" si="2"/>
        <v>0.109</v>
      </c>
      <c r="Y5" s="4">
        <f t="shared" si="3"/>
        <v>5</v>
      </c>
      <c r="AA5" s="4" t="s">
        <v>380</v>
      </c>
      <c r="AB5" s="4">
        <v>2</v>
      </c>
      <c r="AC5" s="25" t="s">
        <v>384</v>
      </c>
      <c r="AE5" t="s">
        <v>380</v>
      </c>
      <c r="AF5" t="s">
        <v>464</v>
      </c>
      <c r="AG5"/>
    </row>
    <row r="6" spans="1:34" x14ac:dyDescent="0.35">
      <c r="A6" s="4">
        <v>1</v>
      </c>
      <c r="B6" s="41">
        <v>45175</v>
      </c>
      <c r="C6" s="4" t="s">
        <v>4</v>
      </c>
      <c r="D6" s="4">
        <v>5</v>
      </c>
      <c r="E6" s="4" t="s">
        <v>32</v>
      </c>
      <c r="F6" s="4" t="str">
        <f t="shared" si="0"/>
        <v>tank 2</v>
      </c>
      <c r="G6" s="4">
        <f>IFERROR(INDEX('Date Key'!$I$2:$I$19, MATCH(B6,'Date Key'!$B$2:$B$19, 0)), "")</f>
        <v>1</v>
      </c>
      <c r="H6" s="4">
        <v>30</v>
      </c>
      <c r="I6" s="11">
        <v>0.12802926383173296</v>
      </c>
      <c r="J6" s="11">
        <v>4.5328399629972239E-2</v>
      </c>
      <c r="K6" s="11">
        <v>0</v>
      </c>
      <c r="L6" s="11">
        <v>1.97374230277681</v>
      </c>
      <c r="M6" s="11">
        <v>1.4725069897483689</v>
      </c>
      <c r="N6" s="11">
        <v>0.1733576634617052</v>
      </c>
      <c r="O6" s="11"/>
      <c r="P6" s="11">
        <v>6.83</v>
      </c>
      <c r="Q6" s="11">
        <v>330.88235294117652</v>
      </c>
      <c r="R6" s="11">
        <v>88.399999999999991</v>
      </c>
      <c r="S6" s="11">
        <v>0.81059829059829058</v>
      </c>
      <c r="T6" s="4">
        <f t="shared" si="1"/>
        <v>2</v>
      </c>
      <c r="U6" s="4" t="str">
        <f>IFERROR(INDEX('Date Key'!$G$2:$G$19, MATCH(B6,'Date Key'!$B$2:$B$19, 0)), "")</f>
        <v>No</v>
      </c>
      <c r="V6" s="4" t="str">
        <f>IFERROR(INDEX('Date Key'!$D$2:$D$19, MATCH(B6,'Date Key'!$B$2:$B$19, 0)), "")</f>
        <v>Lower</v>
      </c>
      <c r="W6" s="4" t="str">
        <f>IFERROR(INDEX('Date Key'!$H$2:$H$19, MATCH(B6,'Date Key'!$B$2:$B$19, 0)), "")</f>
        <v>No</v>
      </c>
      <c r="X6" s="4">
        <f t="shared" si="2"/>
        <v>0.109</v>
      </c>
      <c r="Y6" s="4">
        <f t="shared" si="3"/>
        <v>5</v>
      </c>
    </row>
    <row r="7" spans="1:34" ht="46.5" x14ac:dyDescent="0.35">
      <c r="A7" s="4">
        <v>1</v>
      </c>
      <c r="B7" s="41">
        <v>45175</v>
      </c>
      <c r="C7" s="4" t="s">
        <v>4</v>
      </c>
      <c r="D7" s="4">
        <v>6</v>
      </c>
      <c r="E7" s="4" t="s">
        <v>33</v>
      </c>
      <c r="F7" s="4" t="str">
        <f t="shared" si="0"/>
        <v>tank 1</v>
      </c>
      <c r="G7" s="4">
        <f>IFERROR(INDEX('Date Key'!$I$2:$I$19, MATCH(B7,'Date Key'!$B$2:$B$19, 0)), "")</f>
        <v>1</v>
      </c>
      <c r="H7" s="4">
        <v>120</v>
      </c>
      <c r="I7" s="11">
        <v>1.3571101966163694</v>
      </c>
      <c r="J7" s="11">
        <v>5.1803885291396852E-2</v>
      </c>
      <c r="K7" s="11">
        <v>0</v>
      </c>
      <c r="L7" s="11">
        <v>0.69153014987800632</v>
      </c>
      <c r="M7" s="11">
        <v>27.362534948741843</v>
      </c>
      <c r="N7" s="11">
        <v>1.4089140819077663</v>
      </c>
      <c r="O7" s="11"/>
      <c r="P7" s="11">
        <v>6.93</v>
      </c>
      <c r="Q7" s="11">
        <v>337.59124087591249</v>
      </c>
      <c r="R7" s="11">
        <v>17.066666666666674</v>
      </c>
      <c r="S7" s="11">
        <v>2.3052503052503056E-2</v>
      </c>
      <c r="T7" s="4">
        <f t="shared" si="1"/>
        <v>1</v>
      </c>
      <c r="U7" s="4" t="str">
        <f>IFERROR(INDEX('Date Key'!$G$2:$G$19, MATCH(B7,'Date Key'!$B$2:$B$19, 0)), "")</f>
        <v>No</v>
      </c>
      <c r="V7" s="4" t="str">
        <f>IFERROR(INDEX('Date Key'!$D$2:$D$19, MATCH(B7,'Date Key'!$B$2:$B$19, 0)), "")</f>
        <v>Lower</v>
      </c>
      <c r="W7" s="4" t="str">
        <f>IFERROR(INDEX('Date Key'!$H$2:$H$19, MATCH(B7,'Date Key'!$B$2:$B$19, 0)), "")</f>
        <v>No</v>
      </c>
      <c r="X7" s="4">
        <f t="shared" si="2"/>
        <v>0.109</v>
      </c>
      <c r="Y7" s="4">
        <f t="shared" si="3"/>
        <v>5</v>
      </c>
      <c r="Z7" s="18"/>
      <c r="AA7" s="19" t="s">
        <v>373</v>
      </c>
      <c r="AB7" s="19" t="s">
        <v>374</v>
      </c>
      <c r="AC7" s="19" t="s">
        <v>12</v>
      </c>
    </row>
    <row r="8" spans="1:34" x14ac:dyDescent="0.35">
      <c r="A8" s="4">
        <v>1</v>
      </c>
      <c r="B8" s="41">
        <v>45175</v>
      </c>
      <c r="C8" s="4" t="s">
        <v>4</v>
      </c>
      <c r="D8" s="4">
        <v>7</v>
      </c>
      <c r="E8" s="4" t="s">
        <v>34</v>
      </c>
      <c r="F8" s="4" t="str">
        <f t="shared" si="0"/>
        <v>tank 1</v>
      </c>
      <c r="G8" s="4">
        <f>IFERROR(INDEX('Date Key'!$I$2:$I$19, MATCH(B8,'Date Key'!$B$2:$B$19, 0)), "")</f>
        <v>1</v>
      </c>
      <c r="H8" s="4">
        <v>180</v>
      </c>
      <c r="I8" s="11">
        <v>1.1010516689529035</v>
      </c>
      <c r="J8" s="11">
        <v>9.0656799259944479E-2</v>
      </c>
      <c r="K8" s="11">
        <v>0.13685239491691104</v>
      </c>
      <c r="L8" s="11">
        <v>2.1754385964912282</v>
      </c>
      <c r="M8" s="11">
        <v>83.504193849021433</v>
      </c>
      <c r="N8" s="11">
        <v>1.3285608631297592</v>
      </c>
      <c r="O8" s="11"/>
      <c r="P8" s="11">
        <v>6.87</v>
      </c>
      <c r="Q8" s="11">
        <v>288.46153846153902</v>
      </c>
      <c r="R8" s="11">
        <v>22.733333333333309</v>
      </c>
      <c r="S8" s="11">
        <v>0.20009768009768009</v>
      </c>
      <c r="T8" s="4">
        <f t="shared" si="1"/>
        <v>1</v>
      </c>
      <c r="U8" s="4" t="str">
        <f>IFERROR(INDEX('Date Key'!$G$2:$G$19, MATCH(B8,'Date Key'!$B$2:$B$19, 0)), "")</f>
        <v>No</v>
      </c>
      <c r="V8" s="4" t="str">
        <f>IFERROR(INDEX('Date Key'!$D$2:$D$19, MATCH(B8,'Date Key'!$B$2:$B$19, 0)), "")</f>
        <v>Lower</v>
      </c>
      <c r="W8" s="4" t="str">
        <f>IFERROR(INDEX('Date Key'!$H$2:$H$19, MATCH(B8,'Date Key'!$B$2:$B$19, 0)), "")</f>
        <v>No</v>
      </c>
      <c r="X8" s="4">
        <f t="shared" si="2"/>
        <v>0.109</v>
      </c>
      <c r="Y8" s="4">
        <f t="shared" si="3"/>
        <v>5</v>
      </c>
      <c r="AA8" s="4" t="s">
        <v>4</v>
      </c>
      <c r="AB8" s="4">
        <v>0.109</v>
      </c>
      <c r="AC8" s="4">
        <v>5</v>
      </c>
    </row>
    <row r="9" spans="1:34" x14ac:dyDescent="0.35">
      <c r="A9" s="4">
        <v>3</v>
      </c>
      <c r="B9" s="41">
        <v>45195</v>
      </c>
      <c r="C9" s="4" t="s">
        <v>4</v>
      </c>
      <c r="D9" s="4">
        <v>1</v>
      </c>
      <c r="E9" s="4" t="s">
        <v>70</v>
      </c>
      <c r="F9" s="4" t="str">
        <f t="shared" si="0"/>
        <v>in</v>
      </c>
      <c r="G9" s="4">
        <f>IFERROR(INDEX('Date Key'!$I$2:$I$19, MATCH(B9,'Date Key'!$B$2:$B$19, 0)), "")</f>
        <v>1</v>
      </c>
      <c r="H9" s="4">
        <v>0</v>
      </c>
      <c r="I9" s="11">
        <v>0.59372349448685335</v>
      </c>
      <c r="J9" s="11">
        <v>5.1803885291396852E-2</v>
      </c>
      <c r="K9" s="11">
        <v>4.5599217986314757</v>
      </c>
      <c r="L9" s="11">
        <v>0.79237829673521554</v>
      </c>
      <c r="M9" s="11">
        <v>127.88443616029822</v>
      </c>
      <c r="N9" s="11">
        <v>5.2054491784097259</v>
      </c>
      <c r="O9" s="11"/>
      <c r="P9" s="11">
        <v>6.72</v>
      </c>
      <c r="Q9" s="11">
        <v>70.754716981132077</v>
      </c>
      <c r="R9" s="11">
        <v>35.066666666666656</v>
      </c>
      <c r="S9" s="11">
        <v>0.25504273504273506</v>
      </c>
      <c r="T9" s="4">
        <f t="shared" si="1"/>
        <v>0</v>
      </c>
      <c r="U9" s="4" t="str">
        <f>IFERROR(INDEX('Date Key'!$G$2:$G$19, MATCH(B9,'Date Key'!$B$2:$B$19, 0)), "")</f>
        <v>No</v>
      </c>
      <c r="V9" s="4" t="str">
        <f>IFERROR(INDEX('Date Key'!$D$2:$D$19, MATCH(B9,'Date Key'!$B$2:$B$19, 0)), "")</f>
        <v>Lower</v>
      </c>
      <c r="W9" s="4" t="str">
        <f>IFERROR(INDEX('Date Key'!$H$2:$H$19, MATCH(B9,'Date Key'!$B$2:$B$19, 0)), "")</f>
        <v>No</v>
      </c>
      <c r="X9" s="4">
        <f t="shared" si="2"/>
        <v>0.109</v>
      </c>
      <c r="Y9" s="4">
        <f t="shared" si="3"/>
        <v>5</v>
      </c>
      <c r="AA9" s="4" t="s">
        <v>6</v>
      </c>
      <c r="AB9" s="4">
        <v>0.218</v>
      </c>
      <c r="AC9" s="4">
        <v>2.5</v>
      </c>
    </row>
    <row r="10" spans="1:34" x14ac:dyDescent="0.35">
      <c r="A10" s="4">
        <v>1</v>
      </c>
      <c r="B10" s="41">
        <v>45175</v>
      </c>
      <c r="C10" s="4" t="s">
        <v>4</v>
      </c>
      <c r="D10" s="4">
        <v>9</v>
      </c>
      <c r="E10" s="4" t="s">
        <v>36</v>
      </c>
      <c r="F10" s="4" t="str">
        <f t="shared" si="0"/>
        <v>tank 2</v>
      </c>
      <c r="G10" s="4">
        <f>IFERROR(INDEX('Date Key'!$I$2:$I$19, MATCH(B10,'Date Key'!$B$2:$B$19, 0)), "")</f>
        <v>1</v>
      </c>
      <c r="H10" s="4">
        <v>180</v>
      </c>
      <c r="I10" s="11">
        <v>0.28166438042981246</v>
      </c>
      <c r="J10" s="11">
        <v>0.27844588344125809</v>
      </c>
      <c r="K10" s="11">
        <v>1.9268817204301076</v>
      </c>
      <c r="L10" s="11">
        <v>1.483908446613222</v>
      </c>
      <c r="M10" s="11">
        <v>105.90866728797764</v>
      </c>
      <c r="N10" s="11">
        <v>2.4869919843011781</v>
      </c>
      <c r="O10" s="11"/>
      <c r="P10" s="11">
        <v>7.01</v>
      </c>
      <c r="Q10" s="11">
        <v>199.57983193277309</v>
      </c>
      <c r="R10" s="11">
        <v>33.399999999999984</v>
      </c>
      <c r="S10" s="11">
        <v>0.74344322344322344</v>
      </c>
      <c r="T10" s="4">
        <f t="shared" si="1"/>
        <v>2</v>
      </c>
      <c r="U10" s="4" t="str">
        <f>IFERROR(INDEX('Date Key'!$G$2:$G$19, MATCH(B10,'Date Key'!$B$2:$B$19, 0)), "")</f>
        <v>No</v>
      </c>
      <c r="V10" s="4" t="str">
        <f>IFERROR(INDEX('Date Key'!$D$2:$D$19, MATCH(B10,'Date Key'!$B$2:$B$19, 0)), "")</f>
        <v>Lower</v>
      </c>
      <c r="W10" s="4" t="str">
        <f>IFERROR(INDEX('Date Key'!$H$2:$H$19, MATCH(B10,'Date Key'!$B$2:$B$19, 0)), "")</f>
        <v>No</v>
      </c>
      <c r="X10" s="4">
        <f t="shared" si="2"/>
        <v>0.109</v>
      </c>
      <c r="Y10" s="4">
        <f t="shared" si="3"/>
        <v>5</v>
      </c>
      <c r="AA10" s="4" t="s">
        <v>7</v>
      </c>
      <c r="AB10" s="4">
        <v>0.54500000000000004</v>
      </c>
      <c r="AC10" s="4">
        <v>1</v>
      </c>
    </row>
    <row r="11" spans="1:34" x14ac:dyDescent="0.35">
      <c r="A11" s="4">
        <v>1</v>
      </c>
      <c r="B11" s="41">
        <v>45175</v>
      </c>
      <c r="C11" s="4" t="s">
        <v>4</v>
      </c>
      <c r="D11" s="4">
        <v>10</v>
      </c>
      <c r="E11" s="4" t="s">
        <v>37</v>
      </c>
      <c r="F11" s="4" t="str">
        <f t="shared" si="0"/>
        <v>tank 1</v>
      </c>
      <c r="G11" s="4">
        <f>IFERROR(INDEX('Date Key'!$I$2:$I$19, MATCH(B11,'Date Key'!$B$2:$B$19, 0)), "")</f>
        <v>1</v>
      </c>
      <c r="H11" s="4">
        <v>0</v>
      </c>
      <c r="I11" s="11">
        <v>0.20484682213077277</v>
      </c>
      <c r="J11" s="11">
        <v>5.8279370952821465E-2</v>
      </c>
      <c r="K11" s="11">
        <v>9.3059628543499515E-2</v>
      </c>
      <c r="L11" s="11">
        <v>0.60508888114325554</v>
      </c>
      <c r="M11" s="11">
        <v>7.3625349487418452</v>
      </c>
      <c r="N11" s="11">
        <v>0.35618582162709378</v>
      </c>
      <c r="O11" s="11"/>
      <c r="P11" s="11">
        <v>6.92</v>
      </c>
      <c r="Q11" s="11">
        <v>337.59124087591249</v>
      </c>
      <c r="R11" s="11">
        <v>22.066666666666642</v>
      </c>
      <c r="S11" s="11">
        <v>1.0842490842490836E-2</v>
      </c>
      <c r="T11" s="4">
        <f t="shared" si="1"/>
        <v>1</v>
      </c>
      <c r="U11" s="4" t="str">
        <f>IFERROR(INDEX('Date Key'!$G$2:$G$19, MATCH(B11,'Date Key'!$B$2:$B$19, 0)), "")</f>
        <v>No</v>
      </c>
      <c r="V11" s="4" t="str">
        <f>IFERROR(INDEX('Date Key'!$D$2:$D$19, MATCH(B11,'Date Key'!$B$2:$B$19, 0)), "")</f>
        <v>Lower</v>
      </c>
      <c r="W11" s="4" t="str">
        <f>IFERROR(INDEX('Date Key'!$H$2:$H$19, MATCH(B11,'Date Key'!$B$2:$B$19, 0)), "")</f>
        <v>No</v>
      </c>
      <c r="X11" s="4">
        <f t="shared" si="2"/>
        <v>0.109</v>
      </c>
      <c r="Y11" s="4">
        <f t="shared" si="3"/>
        <v>5</v>
      </c>
    </row>
    <row r="12" spans="1:34" x14ac:dyDescent="0.35">
      <c r="A12" s="4">
        <v>1</v>
      </c>
      <c r="B12" s="41">
        <v>45175</v>
      </c>
      <c r="C12" s="4" t="s">
        <v>4</v>
      </c>
      <c r="D12" s="4">
        <v>11</v>
      </c>
      <c r="E12" s="4" t="s">
        <v>38</v>
      </c>
      <c r="F12" s="4" t="str">
        <f t="shared" si="0"/>
        <v>tank 2</v>
      </c>
      <c r="G12" s="4">
        <f>IFERROR(INDEX('Date Key'!$I$2:$I$19, MATCH(B12,'Date Key'!$B$2:$B$19, 0)), "")</f>
        <v>1</v>
      </c>
      <c r="H12" s="4">
        <v>0</v>
      </c>
      <c r="I12" s="11">
        <v>2.5605852766346596E-2</v>
      </c>
      <c r="J12" s="11">
        <v>1.942645698427382E-2</v>
      </c>
      <c r="K12" s="11">
        <v>0</v>
      </c>
      <c r="L12" s="11">
        <v>1.5991634715928895</v>
      </c>
      <c r="M12" s="11">
        <v>1.0624417520969245</v>
      </c>
      <c r="N12" s="11">
        <v>4.503230975062042E-2</v>
      </c>
      <c r="O12" s="11"/>
      <c r="P12" s="11">
        <v>6.78</v>
      </c>
      <c r="Q12" s="11">
        <v>330.88235294117652</v>
      </c>
      <c r="R12" s="11">
        <v>86.73333333333332</v>
      </c>
      <c r="S12" s="11">
        <v>0.82891330891330894</v>
      </c>
      <c r="T12" s="4">
        <f t="shared" si="1"/>
        <v>2</v>
      </c>
      <c r="U12" s="4" t="str">
        <f>IFERROR(INDEX('Date Key'!$G$2:$G$19, MATCH(B12,'Date Key'!$B$2:$B$19, 0)), "")</f>
        <v>No</v>
      </c>
      <c r="V12" s="4" t="str">
        <f>IFERROR(INDEX('Date Key'!$D$2:$D$19, MATCH(B12,'Date Key'!$B$2:$B$19, 0)), "")</f>
        <v>Lower</v>
      </c>
      <c r="W12" s="4" t="str">
        <f>IFERROR(INDEX('Date Key'!$H$2:$H$19, MATCH(B12,'Date Key'!$B$2:$B$19, 0)), "")</f>
        <v>No</v>
      </c>
      <c r="X12" s="4">
        <f t="shared" si="2"/>
        <v>0.109</v>
      </c>
      <c r="Y12" s="4">
        <f t="shared" si="3"/>
        <v>5</v>
      </c>
      <c r="AA12" s="20" t="s">
        <v>434</v>
      </c>
      <c r="AB12" s="20" t="s">
        <v>1</v>
      </c>
      <c r="AC12" s="20" t="s">
        <v>318</v>
      </c>
      <c r="AD12" s="20" t="s">
        <v>435</v>
      </c>
      <c r="AE12" s="20" t="s">
        <v>385</v>
      </c>
      <c r="AF12"/>
      <c r="AG12"/>
      <c r="AH12"/>
    </row>
    <row r="13" spans="1:34" x14ac:dyDescent="0.35">
      <c r="A13" s="4">
        <v>1</v>
      </c>
      <c r="B13" s="41">
        <v>45175</v>
      </c>
      <c r="C13" s="4" t="s">
        <v>4</v>
      </c>
      <c r="D13" s="4">
        <v>18</v>
      </c>
      <c r="E13" s="4" t="s">
        <v>45</v>
      </c>
      <c r="F13" s="4" t="str">
        <f t="shared" si="0"/>
        <v>in</v>
      </c>
      <c r="G13" s="4">
        <f>IFERROR(INDEX('Date Key'!$I$2:$I$19, MATCH(B13,'Date Key'!$B$2:$B$19, 0)), "")</f>
        <v>1</v>
      </c>
      <c r="H13" s="4">
        <v>30</v>
      </c>
      <c r="I13" s="11">
        <v>0.64014631915866493</v>
      </c>
      <c r="J13" s="11">
        <v>6.475485661424607E-2</v>
      </c>
      <c r="K13" s="11">
        <v>2.9669599217986318</v>
      </c>
      <c r="L13" s="11">
        <v>1.8873010340420588</v>
      </c>
      <c r="M13" s="11">
        <v>131.01584342963653</v>
      </c>
      <c r="N13" s="11">
        <v>3.6718610975715427</v>
      </c>
      <c r="O13" s="11"/>
      <c r="P13" s="11">
        <v>7.94</v>
      </c>
      <c r="Q13" s="11">
        <v>225.40983606557401</v>
      </c>
      <c r="R13" s="11">
        <v>30.733333333333317</v>
      </c>
      <c r="S13" s="11">
        <v>1.2013186813186811</v>
      </c>
      <c r="T13" s="4">
        <f t="shared" si="1"/>
        <v>0</v>
      </c>
      <c r="U13" s="4" t="str">
        <f>IFERROR(INDEX('Date Key'!$G$2:$G$19, MATCH(B13,'Date Key'!$B$2:$B$19, 0)), "")</f>
        <v>No</v>
      </c>
      <c r="V13" s="4" t="str">
        <f>IFERROR(INDEX('Date Key'!$D$2:$D$19, MATCH(B13,'Date Key'!$B$2:$B$19, 0)), "")</f>
        <v>Lower</v>
      </c>
      <c r="W13" s="4" t="str">
        <f>IFERROR(INDEX('Date Key'!$H$2:$H$19, MATCH(B13,'Date Key'!$B$2:$B$19, 0)), "")</f>
        <v>No</v>
      </c>
      <c r="X13" s="4">
        <f t="shared" si="2"/>
        <v>0.109</v>
      </c>
      <c r="Y13" s="4">
        <f t="shared" si="3"/>
        <v>5</v>
      </c>
      <c r="AA13" s="4">
        <v>1</v>
      </c>
      <c r="AB13" s="22" t="s">
        <v>4</v>
      </c>
      <c r="AC13" s="22" t="s">
        <v>5</v>
      </c>
      <c r="AD13" s="22" t="s">
        <v>15</v>
      </c>
      <c r="AE13" s="30" t="s">
        <v>457</v>
      </c>
      <c r="AF13"/>
      <c r="AG13"/>
      <c r="AH13"/>
    </row>
    <row r="14" spans="1:34" x14ac:dyDescent="0.35">
      <c r="A14" s="4">
        <v>2</v>
      </c>
      <c r="B14" s="41">
        <v>45181</v>
      </c>
      <c r="C14" s="4" t="s">
        <v>4</v>
      </c>
      <c r="D14" s="4">
        <v>12</v>
      </c>
      <c r="E14" s="4" t="s">
        <v>60</v>
      </c>
      <c r="F14" s="4" t="str">
        <f t="shared" si="0"/>
        <v>in</v>
      </c>
      <c r="G14" s="4">
        <f>IFERROR(INDEX('Date Key'!$I$2:$I$19, MATCH(B14,'Date Key'!$B$2:$B$19, 0)), "")</f>
        <v>1</v>
      </c>
      <c r="H14" s="4">
        <v>30</v>
      </c>
      <c r="I14" s="11">
        <v>0.28166438042981246</v>
      </c>
      <c r="J14" s="11">
        <v>5.1803885291396852E-2</v>
      </c>
      <c r="K14" s="11">
        <v>2.2717497556207227</v>
      </c>
      <c r="L14" s="11">
        <v>1.7576391309399326</v>
      </c>
      <c r="M14" s="11">
        <v>84.697110904007445</v>
      </c>
      <c r="N14" s="11">
        <v>2.605218021341932</v>
      </c>
      <c r="O14" s="11"/>
      <c r="P14" s="11">
        <v>7.88</v>
      </c>
      <c r="Q14" s="11">
        <v>70.754716981132077</v>
      </c>
      <c r="R14" s="11">
        <v>26.733333333333313</v>
      </c>
      <c r="S14" s="11">
        <v>0.91438339438339433</v>
      </c>
      <c r="T14" s="4">
        <f t="shared" si="1"/>
        <v>0</v>
      </c>
      <c r="U14" s="4" t="str">
        <f>IFERROR(INDEX('Date Key'!$G$2:$G$19, MATCH(B14,'Date Key'!$B$2:$B$19, 0)), "")</f>
        <v>No</v>
      </c>
      <c r="V14" s="4" t="str">
        <f>IFERROR(INDEX('Date Key'!$D$2:$D$19, MATCH(B14,'Date Key'!$B$2:$B$19, 0)), "")</f>
        <v>Lower</v>
      </c>
      <c r="W14" s="4" t="str">
        <f>IFERROR(INDEX('Date Key'!$H$2:$H$19, MATCH(B14,'Date Key'!$B$2:$B$19, 0)), "")</f>
        <v>No</v>
      </c>
      <c r="X14" s="4">
        <f t="shared" si="2"/>
        <v>0.109</v>
      </c>
      <c r="Y14" s="4">
        <f t="shared" si="3"/>
        <v>5</v>
      </c>
      <c r="AA14" s="4">
        <v>2</v>
      </c>
      <c r="AB14" s="22" t="s">
        <v>6</v>
      </c>
      <c r="AC14" s="22" t="s">
        <v>5</v>
      </c>
      <c r="AD14" s="22" t="s">
        <v>15</v>
      </c>
      <c r="AE14" s="30" t="s">
        <v>458</v>
      </c>
      <c r="AF14"/>
      <c r="AG14"/>
      <c r="AH14"/>
    </row>
    <row r="15" spans="1:34" x14ac:dyDescent="0.35">
      <c r="A15" s="4">
        <v>1</v>
      </c>
      <c r="B15" s="41">
        <v>45175</v>
      </c>
      <c r="C15" s="4" t="s">
        <v>4</v>
      </c>
      <c r="D15" s="4">
        <v>14</v>
      </c>
      <c r="E15" s="4" t="s">
        <v>41</v>
      </c>
      <c r="F15" s="4" t="str">
        <f t="shared" si="0"/>
        <v>tank 1</v>
      </c>
      <c r="G15" s="4">
        <f>IFERROR(INDEX('Date Key'!$I$2:$I$19, MATCH(B15,'Date Key'!$B$2:$B$19, 0)), "")</f>
        <v>1</v>
      </c>
      <c r="H15" s="4">
        <v>150</v>
      </c>
      <c r="I15" s="11">
        <v>0.97302240512117066</v>
      </c>
      <c r="J15" s="11">
        <v>3.2377428307123035E-2</v>
      </c>
      <c r="K15" s="11">
        <v>0.1806451612903226</v>
      </c>
      <c r="L15" s="11">
        <v>4.1924015336354126</v>
      </c>
      <c r="M15" s="11">
        <v>62.833178005591797</v>
      </c>
      <c r="N15" s="11">
        <v>1.1860449947186162</v>
      </c>
      <c r="O15" s="11"/>
      <c r="P15" s="11">
        <v>6.88</v>
      </c>
      <c r="Q15" s="11">
        <v>303.03030303030312</v>
      </c>
      <c r="R15" s="11">
        <v>19.733333333333341</v>
      </c>
      <c r="S15" s="11">
        <v>5.9682539682539712E-2</v>
      </c>
      <c r="T15" s="4">
        <f t="shared" si="1"/>
        <v>1</v>
      </c>
      <c r="U15" s="4" t="str">
        <f>IFERROR(INDEX('Date Key'!$G$2:$G$19, MATCH(B15,'Date Key'!$B$2:$B$19, 0)), "")</f>
        <v>No</v>
      </c>
      <c r="V15" s="4" t="str">
        <f>IFERROR(INDEX('Date Key'!$D$2:$D$19, MATCH(B15,'Date Key'!$B$2:$B$19, 0)), "")</f>
        <v>Lower</v>
      </c>
      <c r="W15" s="4" t="str">
        <f>IFERROR(INDEX('Date Key'!$H$2:$H$19, MATCH(B15,'Date Key'!$B$2:$B$19, 0)), "")</f>
        <v>No</v>
      </c>
      <c r="X15" s="4">
        <f t="shared" si="2"/>
        <v>0.109</v>
      </c>
      <c r="Y15" s="4">
        <f t="shared" si="3"/>
        <v>5</v>
      </c>
      <c r="AA15" s="4">
        <v>3</v>
      </c>
      <c r="AB15" s="22" t="s">
        <v>7</v>
      </c>
      <c r="AC15" s="22" t="s">
        <v>5</v>
      </c>
      <c r="AD15" s="22" t="s">
        <v>15</v>
      </c>
      <c r="AE15" s="30" t="s">
        <v>459</v>
      </c>
      <c r="AF15"/>
      <c r="AG15"/>
      <c r="AH15"/>
    </row>
    <row r="16" spans="1:34" x14ac:dyDescent="0.35">
      <c r="A16" s="4">
        <v>1</v>
      </c>
      <c r="B16" s="41">
        <v>45175</v>
      </c>
      <c r="C16" s="4" t="s">
        <v>4</v>
      </c>
      <c r="D16" s="4">
        <v>15</v>
      </c>
      <c r="E16" s="4" t="s">
        <v>42</v>
      </c>
      <c r="F16" s="4" t="str">
        <f t="shared" si="0"/>
        <v>tank 1</v>
      </c>
      <c r="G16" s="4">
        <f>IFERROR(INDEX('Date Key'!$I$2:$I$19, MATCH(B16,'Date Key'!$B$2:$B$19, 0)), "")</f>
        <v>1</v>
      </c>
      <c r="H16" s="4">
        <v>90</v>
      </c>
      <c r="I16" s="11">
        <v>0.12802926383173296</v>
      </c>
      <c r="J16" s="11">
        <v>0.47918593894542089</v>
      </c>
      <c r="K16" s="11">
        <v>0.1806451612903226</v>
      </c>
      <c r="L16" s="11">
        <v>3.817822702451493</v>
      </c>
      <c r="M16" s="11">
        <v>23.168685927306619</v>
      </c>
      <c r="N16" s="11">
        <v>0.78786036406747639</v>
      </c>
      <c r="O16" s="11"/>
      <c r="P16" s="11">
        <v>6.89</v>
      </c>
      <c r="Q16" s="11">
        <v>310.1503759398496</v>
      </c>
      <c r="R16" s="11">
        <v>19.066666666666677</v>
      </c>
      <c r="S16" s="11">
        <v>2.3052503052503056E-2</v>
      </c>
      <c r="T16" s="4">
        <f t="shared" si="1"/>
        <v>1</v>
      </c>
      <c r="U16" s="4" t="str">
        <f>IFERROR(INDEX('Date Key'!$G$2:$G$19, MATCH(B16,'Date Key'!$B$2:$B$19, 0)), "")</f>
        <v>No</v>
      </c>
      <c r="V16" s="4" t="str">
        <f>IFERROR(INDEX('Date Key'!$D$2:$D$19, MATCH(B16,'Date Key'!$B$2:$B$19, 0)), "")</f>
        <v>Lower</v>
      </c>
      <c r="W16" s="4" t="str">
        <f>IFERROR(INDEX('Date Key'!$H$2:$H$19, MATCH(B16,'Date Key'!$B$2:$B$19, 0)), "")</f>
        <v>No</v>
      </c>
      <c r="X16" s="4">
        <f t="shared" si="2"/>
        <v>0.109</v>
      </c>
      <c r="Y16" s="4">
        <f t="shared" si="3"/>
        <v>5</v>
      </c>
      <c r="AA16" s="4">
        <v>4</v>
      </c>
      <c r="AB16" s="22" t="s">
        <v>7</v>
      </c>
      <c r="AC16" s="22" t="s">
        <v>9</v>
      </c>
      <c r="AD16" s="22" t="s">
        <v>15</v>
      </c>
      <c r="AE16" s="30" t="s">
        <v>460</v>
      </c>
      <c r="AF16"/>
      <c r="AG16"/>
      <c r="AH16"/>
    </row>
    <row r="17" spans="1:34" x14ac:dyDescent="0.35">
      <c r="A17" s="4">
        <v>1</v>
      </c>
      <c r="B17" s="41">
        <v>45175</v>
      </c>
      <c r="C17" s="4" t="s">
        <v>4</v>
      </c>
      <c r="D17" s="4">
        <v>16</v>
      </c>
      <c r="E17" s="4" t="s">
        <v>43</v>
      </c>
      <c r="F17" s="4" t="str">
        <f t="shared" si="0"/>
        <v>tank 2</v>
      </c>
      <c r="G17" s="4">
        <f>IFERROR(INDEX('Date Key'!$I$2:$I$19, MATCH(B17,'Date Key'!$B$2:$B$19, 0)), "")</f>
        <v>1</v>
      </c>
      <c r="H17" s="4">
        <v>90</v>
      </c>
      <c r="I17" s="11">
        <v>0</v>
      </c>
      <c r="J17" s="11">
        <v>0.12950971322849214</v>
      </c>
      <c r="K17" s="11">
        <v>1.4451612903225808</v>
      </c>
      <c r="L17" s="11">
        <v>1.181364006041594</v>
      </c>
      <c r="M17" s="11">
        <v>59.086672879776323</v>
      </c>
      <c r="N17" s="11">
        <v>1.5746710035510729</v>
      </c>
      <c r="O17" s="11"/>
      <c r="P17" s="11">
        <v>6.7</v>
      </c>
      <c r="Q17" s="11">
        <v>250</v>
      </c>
      <c r="R17" s="11">
        <v>60.399999999999991</v>
      </c>
      <c r="S17" s="11">
        <v>0.73123321123321117</v>
      </c>
      <c r="T17" s="4">
        <f t="shared" si="1"/>
        <v>2</v>
      </c>
      <c r="U17" s="4" t="str">
        <f>IFERROR(INDEX('Date Key'!$G$2:$G$19, MATCH(B17,'Date Key'!$B$2:$B$19, 0)), "")</f>
        <v>No</v>
      </c>
      <c r="V17" s="4" t="str">
        <f>IFERROR(INDEX('Date Key'!$D$2:$D$19, MATCH(B17,'Date Key'!$B$2:$B$19, 0)), "")</f>
        <v>Lower</v>
      </c>
      <c r="W17" s="4" t="str">
        <f>IFERROR(INDEX('Date Key'!$H$2:$H$19, MATCH(B17,'Date Key'!$B$2:$B$19, 0)), "")</f>
        <v>No</v>
      </c>
      <c r="X17" s="4">
        <f t="shared" si="2"/>
        <v>0.109</v>
      </c>
      <c r="Y17" s="4">
        <f t="shared" si="3"/>
        <v>5</v>
      </c>
      <c r="AA17" s="4">
        <v>5</v>
      </c>
      <c r="AB17" s="22" t="s">
        <v>7</v>
      </c>
      <c r="AC17" s="22" t="s">
        <v>5</v>
      </c>
      <c r="AD17" s="22" t="s">
        <v>8</v>
      </c>
      <c r="AE17" s="30" t="s">
        <v>461</v>
      </c>
      <c r="AF17"/>
      <c r="AG17"/>
      <c r="AH17"/>
    </row>
    <row r="18" spans="1:34" x14ac:dyDescent="0.35">
      <c r="A18" s="4">
        <v>1</v>
      </c>
      <c r="B18" s="41">
        <v>45175</v>
      </c>
      <c r="C18" s="4" t="s">
        <v>4</v>
      </c>
      <c r="D18" s="4">
        <v>17</v>
      </c>
      <c r="E18" s="4" t="s">
        <v>44</v>
      </c>
      <c r="F18" s="4" t="str">
        <f t="shared" si="0"/>
        <v>tank 2</v>
      </c>
      <c r="G18" s="4">
        <f>IFERROR(INDEX('Date Key'!$I$2:$I$19, MATCH(B18,'Date Key'!$B$2:$B$19, 0)), "")</f>
        <v>1</v>
      </c>
      <c r="H18" s="4">
        <v>120</v>
      </c>
      <c r="I18" s="11">
        <v>7.6817558299039787E-2</v>
      </c>
      <c r="J18" s="11">
        <v>0.20721554116558741</v>
      </c>
      <c r="K18" s="11">
        <v>1.855718475073314</v>
      </c>
      <c r="L18" s="11">
        <v>1.0805158591843849</v>
      </c>
      <c r="M18" s="11">
        <v>90.288909599254424</v>
      </c>
      <c r="N18" s="11">
        <v>2.1397515745379412</v>
      </c>
      <c r="O18" s="11"/>
      <c r="P18" s="11">
        <v>6.88</v>
      </c>
      <c r="Q18" s="11">
        <v>216.94214876033061</v>
      </c>
      <c r="R18" s="11">
        <v>46.4</v>
      </c>
      <c r="S18" s="11">
        <v>0.6823931623931625</v>
      </c>
      <c r="T18" s="4">
        <f t="shared" si="1"/>
        <v>2</v>
      </c>
      <c r="U18" s="4" t="str">
        <f>IFERROR(INDEX('Date Key'!$G$2:$G$19, MATCH(B18,'Date Key'!$B$2:$B$19, 0)), "")</f>
        <v>No</v>
      </c>
      <c r="V18" s="4" t="str">
        <f>IFERROR(INDEX('Date Key'!$D$2:$D$19, MATCH(B18,'Date Key'!$B$2:$B$19, 0)), "")</f>
        <v>Lower</v>
      </c>
      <c r="W18" s="4" t="str">
        <f>IFERROR(INDEX('Date Key'!$H$2:$H$19, MATCH(B18,'Date Key'!$B$2:$B$19, 0)), "")</f>
        <v>No</v>
      </c>
      <c r="X18" s="4">
        <f t="shared" si="2"/>
        <v>0.109</v>
      </c>
      <c r="Y18" s="4">
        <f t="shared" si="3"/>
        <v>5</v>
      </c>
      <c r="AA18" s="4">
        <v>6</v>
      </c>
      <c r="AB18" s="22" t="s">
        <v>6</v>
      </c>
      <c r="AC18" s="22" t="s">
        <v>9</v>
      </c>
      <c r="AD18" s="22" t="s">
        <v>8</v>
      </c>
      <c r="AE18" s="30" t="s">
        <v>462</v>
      </c>
      <c r="AF18"/>
      <c r="AG18"/>
      <c r="AH18" s="30" t="s">
        <v>442</v>
      </c>
    </row>
    <row r="19" spans="1:34" x14ac:dyDescent="0.35">
      <c r="A19" s="4">
        <v>3</v>
      </c>
      <c r="B19" s="41">
        <v>45195</v>
      </c>
      <c r="C19" s="4" t="s">
        <v>4</v>
      </c>
      <c r="D19" s="4">
        <v>12</v>
      </c>
      <c r="E19" s="4" t="s">
        <v>75</v>
      </c>
      <c r="F19" s="4" t="str">
        <f t="shared" si="0"/>
        <v>in</v>
      </c>
      <c r="G19" s="4">
        <f>IFERROR(INDEX('Date Key'!$I$2:$I$19, MATCH(B19,'Date Key'!$B$2:$B$19, 0)), "")</f>
        <v>1</v>
      </c>
      <c r="H19" s="4">
        <v>30</v>
      </c>
      <c r="I19" s="11">
        <v>0.18999151823579305</v>
      </c>
      <c r="J19" s="11">
        <v>6.4754856614246065E-3</v>
      </c>
      <c r="K19" s="11">
        <v>0.97986314760508297</v>
      </c>
      <c r="L19" s="11">
        <v>1.6279772278378064</v>
      </c>
      <c r="M19" s="11">
        <v>100.57781919850885</v>
      </c>
      <c r="N19" s="11">
        <v>1.1763301515023006</v>
      </c>
      <c r="O19" s="11"/>
      <c r="P19" s="11">
        <v>7.14</v>
      </c>
      <c r="Q19" s="11">
        <v>113.63636363636364</v>
      </c>
      <c r="R19" s="11">
        <v>26.066666666666645</v>
      </c>
      <c r="S19" s="11">
        <v>0.69460317460317456</v>
      </c>
      <c r="T19" s="4">
        <f t="shared" si="1"/>
        <v>0</v>
      </c>
      <c r="U19" s="4" t="str">
        <f>IFERROR(INDEX('Date Key'!$G$2:$G$19, MATCH(B19,'Date Key'!$B$2:$B$19, 0)), "")</f>
        <v>No</v>
      </c>
      <c r="V19" s="4" t="str">
        <f>IFERROR(INDEX('Date Key'!$D$2:$D$19, MATCH(B19,'Date Key'!$B$2:$B$19, 0)), "")</f>
        <v>Lower</v>
      </c>
      <c r="W19" s="4" t="str">
        <f>IFERROR(INDEX('Date Key'!$H$2:$H$19, MATCH(B19,'Date Key'!$B$2:$B$19, 0)), "")</f>
        <v>No</v>
      </c>
      <c r="X19" s="4">
        <f t="shared" si="2"/>
        <v>0.109</v>
      </c>
      <c r="Y19" s="4">
        <f t="shared" si="3"/>
        <v>5</v>
      </c>
      <c r="AA19"/>
      <c r="AB19"/>
      <c r="AC19"/>
      <c r="AD19"/>
      <c r="AE19"/>
      <c r="AF19"/>
      <c r="AG19"/>
      <c r="AH19" t="s">
        <v>441</v>
      </c>
    </row>
    <row r="20" spans="1:34" x14ac:dyDescent="0.35">
      <c r="A20" s="4">
        <v>1</v>
      </c>
      <c r="B20" s="41">
        <v>45175</v>
      </c>
      <c r="C20" s="4" t="s">
        <v>4</v>
      </c>
      <c r="D20" s="4">
        <v>3</v>
      </c>
      <c r="E20" s="4" t="s">
        <v>30</v>
      </c>
      <c r="F20" s="4" t="str">
        <f t="shared" si="0"/>
        <v>in</v>
      </c>
      <c r="G20" s="4">
        <f>IFERROR(INDEX('Date Key'!$I$2:$I$19, MATCH(B20,'Date Key'!$B$2:$B$19, 0)), "")</f>
        <v>1</v>
      </c>
      <c r="H20" s="4">
        <v>60</v>
      </c>
      <c r="I20" s="11">
        <v>0.43529949702789206</v>
      </c>
      <c r="J20" s="11">
        <v>9.7132284921369091E-2</v>
      </c>
      <c r="K20" s="11">
        <v>3.4377321603128053</v>
      </c>
      <c r="L20" s="11">
        <v>2.5067967933077724</v>
      </c>
      <c r="M20" s="11">
        <v>130.0465983224604</v>
      </c>
      <c r="N20" s="11">
        <v>3.9701639422620665</v>
      </c>
      <c r="O20" s="11"/>
      <c r="P20" s="11">
        <v>8.1300000000000008</v>
      </c>
      <c r="Q20" s="11">
        <v>216.94214876033061</v>
      </c>
      <c r="R20" s="11">
        <v>27.399999999999981</v>
      </c>
      <c r="S20" s="11">
        <v>1.6164590964590961</v>
      </c>
      <c r="T20" s="4">
        <f t="shared" si="1"/>
        <v>0</v>
      </c>
      <c r="U20" s="4" t="str">
        <f>IFERROR(INDEX('Date Key'!$G$2:$G$19, MATCH(B20,'Date Key'!$B$2:$B$19, 0)), "")</f>
        <v>No</v>
      </c>
      <c r="V20" s="4" t="str">
        <f>IFERROR(INDEX('Date Key'!$D$2:$D$19, MATCH(B20,'Date Key'!$B$2:$B$19, 0)), "")</f>
        <v>Lower</v>
      </c>
      <c r="W20" s="4" t="str">
        <f>IFERROR(INDEX('Date Key'!$H$2:$H$19, MATCH(B20,'Date Key'!$B$2:$B$19, 0)), "")</f>
        <v>No</v>
      </c>
      <c r="X20" s="4">
        <f t="shared" si="2"/>
        <v>0.109</v>
      </c>
      <c r="Y20" s="4">
        <f t="shared" si="3"/>
        <v>5</v>
      </c>
    </row>
    <row r="21" spans="1:34" x14ac:dyDescent="0.35">
      <c r="A21" s="4">
        <v>1</v>
      </c>
      <c r="B21" s="41">
        <v>45175</v>
      </c>
      <c r="C21" s="4" t="s">
        <v>4</v>
      </c>
      <c r="D21" s="4">
        <v>20</v>
      </c>
      <c r="E21" s="4" t="s">
        <v>47</v>
      </c>
      <c r="F21" s="4" t="str">
        <f t="shared" si="0"/>
        <v>tank 1</v>
      </c>
      <c r="G21" s="4">
        <f>IFERROR(INDEX('Date Key'!$I$2:$I$19, MATCH(B21,'Date Key'!$B$2:$B$19, 0)), "")</f>
        <v>1</v>
      </c>
      <c r="H21" s="4">
        <v>60</v>
      </c>
      <c r="I21" s="11">
        <v>0.38408779149519889</v>
      </c>
      <c r="J21" s="11">
        <v>2.5901942645698426E-2</v>
      </c>
      <c r="K21" s="11">
        <v>0.32297165200391004</v>
      </c>
      <c r="L21" s="11">
        <v>1.5271290809805973</v>
      </c>
      <c r="M21" s="11">
        <v>12.767940354147251</v>
      </c>
      <c r="N21" s="11">
        <v>0.73296138614480744</v>
      </c>
      <c r="O21" s="11"/>
      <c r="P21" s="11">
        <v>6.96</v>
      </c>
      <c r="Q21" s="11">
        <v>310.1503759398496</v>
      </c>
      <c r="R21" s="11">
        <v>14.733333333333338</v>
      </c>
      <c r="S21" s="11">
        <v>4.7374847374847245E-3</v>
      </c>
      <c r="T21" s="4">
        <f t="shared" si="1"/>
        <v>1</v>
      </c>
      <c r="U21" s="4" t="str">
        <f>IFERROR(INDEX('Date Key'!$G$2:$G$19, MATCH(B21,'Date Key'!$B$2:$B$19, 0)), "")</f>
        <v>No</v>
      </c>
      <c r="V21" s="4" t="str">
        <f>IFERROR(INDEX('Date Key'!$D$2:$D$19, MATCH(B21,'Date Key'!$B$2:$B$19, 0)), "")</f>
        <v>Lower</v>
      </c>
      <c r="W21" s="4" t="str">
        <f>IFERROR(INDEX('Date Key'!$H$2:$H$19, MATCH(B21,'Date Key'!$B$2:$B$19, 0)), "")</f>
        <v>No</v>
      </c>
      <c r="X21" s="4">
        <f t="shared" si="2"/>
        <v>0.109</v>
      </c>
      <c r="Y21" s="4">
        <f t="shared" si="3"/>
        <v>5</v>
      </c>
    </row>
    <row r="22" spans="1:34" s="27" customFormat="1" x14ac:dyDescent="0.35">
      <c r="A22" s="27">
        <v>1</v>
      </c>
      <c r="B22" s="42">
        <v>45175</v>
      </c>
      <c r="C22" s="27" t="s">
        <v>4</v>
      </c>
      <c r="D22" s="27">
        <v>21</v>
      </c>
      <c r="E22" s="27" t="s">
        <v>48</v>
      </c>
      <c r="F22" s="27" t="str">
        <f t="shared" si="0"/>
        <v>tank 2</v>
      </c>
      <c r="G22" s="27">
        <f>IFERROR(INDEX('Date Key'!$I$2:$I$19, MATCH(B22,'Date Key'!$B$2:$B$19, 0)), "")</f>
        <v>1</v>
      </c>
      <c r="H22" s="27">
        <v>60</v>
      </c>
      <c r="I22" s="28">
        <v>0.23045267489711932</v>
      </c>
      <c r="J22" s="28">
        <v>4.5328399629972239E-2</v>
      </c>
      <c r="K22" s="28">
        <v>0.53646138807429133</v>
      </c>
      <c r="L22" s="28">
        <v>3.8034158243290346</v>
      </c>
      <c r="M22" s="28">
        <v>16.141658900279587</v>
      </c>
      <c r="N22" s="28">
        <v>0.81224246260138289</v>
      </c>
      <c r="O22" s="28"/>
      <c r="P22" s="28">
        <v>6.85</v>
      </c>
      <c r="Q22" s="28">
        <v>250</v>
      </c>
      <c r="R22" s="28">
        <v>80.399999999999991</v>
      </c>
      <c r="S22" s="28">
        <v>0.8838583638583638</v>
      </c>
      <c r="T22" s="27">
        <f t="shared" si="1"/>
        <v>2</v>
      </c>
      <c r="U22" s="27" t="str">
        <f>IFERROR(INDEX('Date Key'!$G$2:$G$19, MATCH(B22,'Date Key'!$B$2:$B$19, 0)), "")</f>
        <v>No</v>
      </c>
      <c r="V22" s="27" t="str">
        <f>IFERROR(INDEX('Date Key'!$D$2:$D$19, MATCH(B22,'Date Key'!$B$2:$B$19, 0)), "")</f>
        <v>Lower</v>
      </c>
      <c r="W22" s="27" t="str">
        <f>IFERROR(INDEX('Date Key'!$H$2:$H$19, MATCH(B22,'Date Key'!$B$2:$B$19, 0)), "")</f>
        <v>No</v>
      </c>
      <c r="X22" s="27">
        <f t="shared" si="2"/>
        <v>0.109</v>
      </c>
      <c r="Y22" s="27">
        <f t="shared" si="3"/>
        <v>5</v>
      </c>
    </row>
    <row r="23" spans="1:34" x14ac:dyDescent="0.35">
      <c r="A23" s="4">
        <v>2</v>
      </c>
      <c r="B23" s="41">
        <v>45181</v>
      </c>
      <c r="C23" s="4" t="s">
        <v>4</v>
      </c>
      <c r="D23" s="4">
        <v>11</v>
      </c>
      <c r="E23" s="4" t="s">
        <v>59</v>
      </c>
      <c r="F23" s="4" t="str">
        <f t="shared" si="0"/>
        <v>in</v>
      </c>
      <c r="G23" s="4">
        <f>IFERROR(INDEX('Date Key'!$I$2:$I$19, MATCH(B23,'Date Key'!$B$2:$B$19, 0)), "")</f>
        <v>1</v>
      </c>
      <c r="H23" s="4">
        <v>60</v>
      </c>
      <c r="I23" s="11">
        <v>0.20484682213077277</v>
      </c>
      <c r="J23" s="11">
        <v>7.1230342275670669E-2</v>
      </c>
      <c r="K23" s="11">
        <v>1.7024437927663734</v>
      </c>
      <c r="L23" s="11">
        <v>2.1034042058789355</v>
      </c>
      <c r="M23" s="11">
        <v>87.343895619757689</v>
      </c>
      <c r="N23" s="11">
        <v>1.9785209571728168</v>
      </c>
      <c r="O23" s="11"/>
      <c r="P23" s="11">
        <v>7.94</v>
      </c>
      <c r="Q23" s="11">
        <v>92.592592592592609</v>
      </c>
      <c r="R23" s="11">
        <v>21.733333333333309</v>
      </c>
      <c r="S23" s="11">
        <v>1.2196336996336996</v>
      </c>
      <c r="T23" s="4">
        <f t="shared" si="1"/>
        <v>0</v>
      </c>
      <c r="U23" s="4" t="str">
        <f>IFERROR(INDEX('Date Key'!$G$2:$G$19, MATCH(B23,'Date Key'!$B$2:$B$19, 0)), "")</f>
        <v>No</v>
      </c>
      <c r="V23" s="4" t="str">
        <f>IFERROR(INDEX('Date Key'!$D$2:$D$19, MATCH(B23,'Date Key'!$B$2:$B$19, 0)), "")</f>
        <v>Lower</v>
      </c>
      <c r="W23" s="4" t="str">
        <f>IFERROR(INDEX('Date Key'!$H$2:$H$19, MATCH(B23,'Date Key'!$B$2:$B$19, 0)), "")</f>
        <v>No</v>
      </c>
      <c r="X23" s="4">
        <f t="shared" si="2"/>
        <v>0.109</v>
      </c>
      <c r="Y23" s="4">
        <f t="shared" si="3"/>
        <v>5</v>
      </c>
    </row>
    <row r="24" spans="1:34" x14ac:dyDescent="0.35">
      <c r="A24" s="4">
        <v>3</v>
      </c>
      <c r="B24" s="41">
        <v>45195</v>
      </c>
      <c r="C24" s="4" t="s">
        <v>4</v>
      </c>
      <c r="D24" s="4">
        <v>9</v>
      </c>
      <c r="E24" s="4" t="s">
        <v>74</v>
      </c>
      <c r="F24" s="4" t="str">
        <f t="shared" si="0"/>
        <v>in</v>
      </c>
      <c r="G24" s="4">
        <f>IFERROR(INDEX('Date Key'!$I$2:$I$19, MATCH(B24,'Date Key'!$B$2:$B$19, 0)), "")</f>
        <v>1</v>
      </c>
      <c r="H24" s="4">
        <v>60</v>
      </c>
      <c r="I24" s="11">
        <v>0.11874469889737066</v>
      </c>
      <c r="J24" s="11">
        <v>0</v>
      </c>
      <c r="K24" s="11">
        <v>0.61309872922776143</v>
      </c>
      <c r="L24" s="11">
        <v>1.3974671778784711</v>
      </c>
      <c r="M24" s="11">
        <v>80.055917986952466</v>
      </c>
      <c r="N24" s="11">
        <v>0.73184342812513203</v>
      </c>
      <c r="O24" s="11"/>
      <c r="P24" s="11">
        <v>7.81</v>
      </c>
      <c r="Q24" s="11">
        <v>113.63636363636364</v>
      </c>
      <c r="R24" s="11">
        <v>19.733333333333341</v>
      </c>
      <c r="S24" s="11">
        <v>0.6823931623931625</v>
      </c>
      <c r="T24" s="4">
        <f t="shared" si="1"/>
        <v>0</v>
      </c>
      <c r="U24" s="4" t="str">
        <f>IFERROR(INDEX('Date Key'!$G$2:$G$19, MATCH(B24,'Date Key'!$B$2:$B$19, 0)), "")</f>
        <v>No</v>
      </c>
      <c r="V24" s="4" t="str">
        <f>IFERROR(INDEX('Date Key'!$D$2:$D$19, MATCH(B24,'Date Key'!$B$2:$B$19, 0)), "")</f>
        <v>Lower</v>
      </c>
      <c r="W24" s="4" t="str">
        <f>IFERROR(INDEX('Date Key'!$H$2:$H$19, MATCH(B24,'Date Key'!$B$2:$B$19, 0)), "")</f>
        <v>No</v>
      </c>
      <c r="X24" s="4">
        <f t="shared" si="2"/>
        <v>0.109</v>
      </c>
      <c r="Y24" s="4">
        <f t="shared" si="3"/>
        <v>5</v>
      </c>
    </row>
    <row r="25" spans="1:34" x14ac:dyDescent="0.35">
      <c r="A25" s="4">
        <v>1</v>
      </c>
      <c r="B25" s="41">
        <v>45175</v>
      </c>
      <c r="C25" s="4" t="s">
        <v>4</v>
      </c>
      <c r="D25" s="4">
        <v>13</v>
      </c>
      <c r="E25" s="4" t="s">
        <v>40</v>
      </c>
      <c r="F25" s="4" t="str">
        <f t="shared" si="0"/>
        <v>in</v>
      </c>
      <c r="G25" s="4">
        <f>IFERROR(INDEX('Date Key'!$I$2:$I$19, MATCH(B25,'Date Key'!$B$2:$B$19, 0)), "")</f>
        <v>1</v>
      </c>
      <c r="H25" s="4">
        <v>90</v>
      </c>
      <c r="I25" s="11">
        <v>0.92181069958847728</v>
      </c>
      <c r="J25" s="11">
        <v>6.475485661424607E-2</v>
      </c>
      <c r="K25" s="11">
        <v>2.6713587487781036</v>
      </c>
      <c r="L25" s="11">
        <v>2.4059486464505637</v>
      </c>
      <c r="M25" s="11">
        <v>116.16029822926374</v>
      </c>
      <c r="N25" s="11">
        <v>3.6579243049808268</v>
      </c>
      <c r="O25" s="11"/>
      <c r="P25" s="11">
        <v>8.0299999999999994</v>
      </c>
      <c r="Q25" s="11">
        <v>216.94214876033061</v>
      </c>
      <c r="R25" s="11">
        <v>29.399999999999981</v>
      </c>
      <c r="S25" s="11">
        <v>1.6958241758241757</v>
      </c>
      <c r="T25" s="4">
        <f t="shared" si="1"/>
        <v>0</v>
      </c>
      <c r="U25" s="4" t="str">
        <f>IFERROR(INDEX('Date Key'!$G$2:$G$19, MATCH(B25,'Date Key'!$B$2:$B$19, 0)), "")</f>
        <v>No</v>
      </c>
      <c r="V25" s="4" t="str">
        <f>IFERROR(INDEX('Date Key'!$D$2:$D$19, MATCH(B25,'Date Key'!$B$2:$B$19, 0)), "")</f>
        <v>Lower</v>
      </c>
      <c r="W25" s="4" t="str">
        <f>IFERROR(INDEX('Date Key'!$H$2:$H$19, MATCH(B25,'Date Key'!$B$2:$B$19, 0)), "")</f>
        <v>No</v>
      </c>
      <c r="X25" s="4">
        <f t="shared" si="2"/>
        <v>0.109</v>
      </c>
      <c r="Y25" s="4">
        <f t="shared" si="3"/>
        <v>5</v>
      </c>
    </row>
    <row r="26" spans="1:34" x14ac:dyDescent="0.35">
      <c r="A26" s="4">
        <v>2</v>
      </c>
      <c r="B26" s="41">
        <v>45181</v>
      </c>
      <c r="C26" s="4" t="s">
        <v>4</v>
      </c>
      <c r="D26" s="4">
        <v>4</v>
      </c>
      <c r="E26" s="4" t="s">
        <v>52</v>
      </c>
      <c r="F26" s="4" t="str">
        <f t="shared" si="0"/>
        <v>tank 2</v>
      </c>
      <c r="G26" s="4">
        <f>IFERROR(INDEX('Date Key'!$I$2:$I$19, MATCH(B26,'Date Key'!$B$2:$B$19, 0)), "")</f>
        <v>1</v>
      </c>
      <c r="H26" s="4">
        <v>180</v>
      </c>
      <c r="I26" s="11">
        <v>0.56332876085962491</v>
      </c>
      <c r="J26" s="11">
        <v>0.33672525439407958</v>
      </c>
      <c r="K26" s="11">
        <v>0.56930596285434998</v>
      </c>
      <c r="L26" s="11">
        <v>2.1898454746136866</v>
      </c>
      <c r="M26" s="11">
        <v>95.694315004659828</v>
      </c>
      <c r="N26" s="11">
        <v>1.4693599781080544</v>
      </c>
      <c r="O26" s="11"/>
      <c r="P26" s="11">
        <v>7.05</v>
      </c>
      <c r="Q26" s="11">
        <v>103.21100917431194</v>
      </c>
      <c r="R26" s="11">
        <v>32.73333333333332</v>
      </c>
      <c r="S26" s="11">
        <v>1.1036385836385838</v>
      </c>
      <c r="T26" s="4">
        <f t="shared" si="1"/>
        <v>2</v>
      </c>
      <c r="U26" s="4" t="str">
        <f>IFERROR(INDEX('Date Key'!$G$2:$G$19, MATCH(B26,'Date Key'!$B$2:$B$19, 0)), "")</f>
        <v>No</v>
      </c>
      <c r="V26" s="4" t="str">
        <f>IFERROR(INDEX('Date Key'!$D$2:$D$19, MATCH(B26,'Date Key'!$B$2:$B$19, 0)), "")</f>
        <v>Lower</v>
      </c>
      <c r="W26" s="4" t="str">
        <f>IFERROR(INDEX('Date Key'!$H$2:$H$19, MATCH(B26,'Date Key'!$B$2:$B$19, 0)), "")</f>
        <v>No</v>
      </c>
      <c r="X26" s="4">
        <f t="shared" si="2"/>
        <v>0.109</v>
      </c>
      <c r="Y26" s="4">
        <f t="shared" si="3"/>
        <v>5</v>
      </c>
    </row>
    <row r="27" spans="1:34" x14ac:dyDescent="0.35">
      <c r="A27" s="4">
        <v>2</v>
      </c>
      <c r="B27" s="41">
        <v>45181</v>
      </c>
      <c r="C27" s="4" t="s">
        <v>4</v>
      </c>
      <c r="D27" s="4">
        <v>5</v>
      </c>
      <c r="E27" s="4" t="s">
        <v>53</v>
      </c>
      <c r="F27" s="4" t="str">
        <f t="shared" si="0"/>
        <v>tank 1</v>
      </c>
      <c r="G27" s="4">
        <f>IFERROR(INDEX('Date Key'!$I$2:$I$19, MATCH(B27,'Date Key'!$B$2:$B$19, 0)), "")</f>
        <v>1</v>
      </c>
      <c r="H27" s="4">
        <v>90</v>
      </c>
      <c r="I27" s="11">
        <v>0.79378143575674442</v>
      </c>
      <c r="J27" s="11">
        <v>4.5328399629972239E-2</v>
      </c>
      <c r="K27" s="11">
        <v>5.4740957966764418E-2</v>
      </c>
      <c r="L27" s="11">
        <v>1.1237364935517602</v>
      </c>
      <c r="M27" s="11">
        <v>94.911463187325239</v>
      </c>
      <c r="N27" s="11">
        <v>0.89385079335348105</v>
      </c>
      <c r="O27" s="11"/>
      <c r="P27" s="11">
        <v>7.03</v>
      </c>
      <c r="Q27" s="11">
        <v>113.63636363636364</v>
      </c>
      <c r="R27" s="11">
        <v>30.066666666666649</v>
      </c>
      <c r="S27" s="11">
        <v>0.34661782661782659</v>
      </c>
      <c r="T27" s="4">
        <f t="shared" si="1"/>
        <v>1</v>
      </c>
      <c r="U27" s="4" t="str">
        <f>IFERROR(INDEX('Date Key'!$G$2:$G$19, MATCH(B27,'Date Key'!$B$2:$B$19, 0)), "")</f>
        <v>No</v>
      </c>
      <c r="V27" s="4" t="str">
        <f>IFERROR(INDEX('Date Key'!$D$2:$D$19, MATCH(B27,'Date Key'!$B$2:$B$19, 0)), "")</f>
        <v>Lower</v>
      </c>
      <c r="W27" s="4" t="str">
        <f>IFERROR(INDEX('Date Key'!$H$2:$H$19, MATCH(B27,'Date Key'!$B$2:$B$19, 0)), "")</f>
        <v>No</v>
      </c>
      <c r="X27" s="4">
        <f t="shared" si="2"/>
        <v>0.109</v>
      </c>
      <c r="Y27" s="4">
        <f t="shared" si="3"/>
        <v>5</v>
      </c>
    </row>
    <row r="28" spans="1:34" x14ac:dyDescent="0.35">
      <c r="A28" s="4">
        <v>2</v>
      </c>
      <c r="B28" s="41">
        <v>45181</v>
      </c>
      <c r="C28" s="4" t="s">
        <v>4</v>
      </c>
      <c r="D28" s="4">
        <v>6</v>
      </c>
      <c r="E28" s="4" t="s">
        <v>54</v>
      </c>
      <c r="F28" s="4" t="str">
        <f t="shared" si="0"/>
        <v>tank 1</v>
      </c>
      <c r="G28" s="4">
        <f>IFERROR(INDEX('Date Key'!$I$2:$I$19, MATCH(B28,'Date Key'!$B$2:$B$19, 0)), "")</f>
        <v>1</v>
      </c>
      <c r="H28" s="4">
        <v>150</v>
      </c>
      <c r="I28" s="11">
        <v>0.43529949702789206</v>
      </c>
      <c r="J28" s="11">
        <v>0</v>
      </c>
      <c r="K28" s="11">
        <v>0</v>
      </c>
      <c r="L28" s="11">
        <v>1.1381433716742186</v>
      </c>
      <c r="M28" s="11">
        <v>92.544268406337366</v>
      </c>
      <c r="N28" s="11">
        <v>0.43529949702789206</v>
      </c>
      <c r="O28" s="11"/>
      <c r="P28" s="11">
        <v>6.94</v>
      </c>
      <c r="Q28" s="11">
        <v>113.63636363636364</v>
      </c>
      <c r="R28" s="11">
        <v>27.066666666666645</v>
      </c>
      <c r="S28" s="11">
        <v>0.38935286935286934</v>
      </c>
      <c r="T28" s="4">
        <f t="shared" si="1"/>
        <v>1</v>
      </c>
      <c r="U28" s="4" t="str">
        <f>IFERROR(INDEX('Date Key'!$G$2:$G$19, MATCH(B28,'Date Key'!$B$2:$B$19, 0)), "")</f>
        <v>No</v>
      </c>
      <c r="V28" s="4" t="str">
        <f>IFERROR(INDEX('Date Key'!$D$2:$D$19, MATCH(B28,'Date Key'!$B$2:$B$19, 0)), "")</f>
        <v>Lower</v>
      </c>
      <c r="W28" s="4" t="str">
        <f>IFERROR(INDEX('Date Key'!$H$2:$H$19, MATCH(B28,'Date Key'!$B$2:$B$19, 0)), "")</f>
        <v>No</v>
      </c>
      <c r="X28" s="4">
        <f t="shared" si="2"/>
        <v>0.109</v>
      </c>
      <c r="Y28" s="4">
        <f t="shared" si="3"/>
        <v>5</v>
      </c>
    </row>
    <row r="29" spans="1:34" x14ac:dyDescent="0.35">
      <c r="A29" s="4">
        <v>2</v>
      </c>
      <c r="B29" s="41">
        <v>45181</v>
      </c>
      <c r="C29" s="4" t="s">
        <v>4</v>
      </c>
      <c r="D29" s="4">
        <v>7</v>
      </c>
      <c r="E29" s="4" t="s">
        <v>55</v>
      </c>
      <c r="F29" s="4" t="str">
        <f t="shared" si="0"/>
        <v>tank 1</v>
      </c>
      <c r="G29" s="4">
        <f>IFERROR(INDEX('Date Key'!$I$2:$I$19, MATCH(B29,'Date Key'!$B$2:$B$19, 0)), "")</f>
        <v>1</v>
      </c>
      <c r="H29" s="4">
        <v>180</v>
      </c>
      <c r="I29" s="11">
        <v>1.2802926383173299</v>
      </c>
      <c r="J29" s="11">
        <v>0</v>
      </c>
      <c r="K29" s="11">
        <v>0</v>
      </c>
      <c r="L29" s="11">
        <v>1.368653421633554</v>
      </c>
      <c r="M29" s="11">
        <v>92.41379310344827</v>
      </c>
      <c r="N29" s="11">
        <v>1.2802926383173299</v>
      </c>
      <c r="O29" s="11"/>
      <c r="P29" s="11">
        <v>6.95</v>
      </c>
      <c r="Q29" s="11">
        <v>113.63636363636364</v>
      </c>
      <c r="R29" s="11">
        <v>32.399999999999984</v>
      </c>
      <c r="S29" s="11">
        <v>0.45040293040293045</v>
      </c>
      <c r="T29" s="4">
        <f t="shared" si="1"/>
        <v>1</v>
      </c>
      <c r="U29" s="4" t="str">
        <f>IFERROR(INDEX('Date Key'!$G$2:$G$19, MATCH(B29,'Date Key'!$B$2:$B$19, 0)), "")</f>
        <v>No</v>
      </c>
      <c r="V29" s="4" t="str">
        <f>IFERROR(INDEX('Date Key'!$D$2:$D$19, MATCH(B29,'Date Key'!$B$2:$B$19, 0)), "")</f>
        <v>Lower</v>
      </c>
      <c r="W29" s="4" t="str">
        <f>IFERROR(INDEX('Date Key'!$H$2:$H$19, MATCH(B29,'Date Key'!$B$2:$B$19, 0)), "")</f>
        <v>No</v>
      </c>
      <c r="X29" s="4">
        <f t="shared" si="2"/>
        <v>0.109</v>
      </c>
      <c r="Y29" s="4">
        <f t="shared" si="3"/>
        <v>5</v>
      </c>
    </row>
    <row r="30" spans="1:34" x14ac:dyDescent="0.35">
      <c r="A30" s="4">
        <v>2</v>
      </c>
      <c r="B30" s="41">
        <v>45181</v>
      </c>
      <c r="C30" s="4" t="s">
        <v>4</v>
      </c>
      <c r="D30" s="4">
        <v>8</v>
      </c>
      <c r="E30" s="4" t="s">
        <v>56</v>
      </c>
      <c r="F30" s="4" t="str">
        <f t="shared" si="0"/>
        <v>tank 2</v>
      </c>
      <c r="G30" s="4">
        <f>IFERROR(INDEX('Date Key'!$I$2:$I$19, MATCH(B30,'Date Key'!$B$2:$B$19, 0)), "")</f>
        <v>1</v>
      </c>
      <c r="H30" s="4">
        <v>150</v>
      </c>
      <c r="I30" s="11">
        <v>0.35848193872885231</v>
      </c>
      <c r="J30" s="11">
        <v>0.40148011100832565</v>
      </c>
      <c r="K30" s="11">
        <v>0.38866080156402733</v>
      </c>
      <c r="L30" s="11">
        <v>2.4347624026954806</v>
      </c>
      <c r="M30" s="11">
        <v>88.052190121155633</v>
      </c>
      <c r="N30" s="11">
        <v>1.1486228513012053</v>
      </c>
      <c r="O30" s="11"/>
      <c r="P30" s="11">
        <v>6.97</v>
      </c>
      <c r="Q30" s="11">
        <v>103.21100917431194</v>
      </c>
      <c r="R30" s="11">
        <v>30.733333333333317</v>
      </c>
      <c r="S30" s="11">
        <v>1.2684737484737485</v>
      </c>
      <c r="T30" s="4">
        <f t="shared" si="1"/>
        <v>2</v>
      </c>
      <c r="U30" s="4" t="str">
        <f>IFERROR(INDEX('Date Key'!$G$2:$G$19, MATCH(B30,'Date Key'!$B$2:$B$19, 0)), "")</f>
        <v>No</v>
      </c>
      <c r="V30" s="4" t="str">
        <f>IFERROR(INDEX('Date Key'!$D$2:$D$19, MATCH(B30,'Date Key'!$B$2:$B$19, 0)), "")</f>
        <v>Lower</v>
      </c>
      <c r="W30" s="4" t="str">
        <f>IFERROR(INDEX('Date Key'!$H$2:$H$19, MATCH(B30,'Date Key'!$B$2:$B$19, 0)), "")</f>
        <v>No</v>
      </c>
      <c r="X30" s="4">
        <f t="shared" si="2"/>
        <v>0.109</v>
      </c>
      <c r="Y30" s="4">
        <f t="shared" si="3"/>
        <v>5</v>
      </c>
    </row>
    <row r="31" spans="1:34" x14ac:dyDescent="0.35">
      <c r="A31" s="4">
        <v>2</v>
      </c>
      <c r="B31" s="41">
        <v>45181</v>
      </c>
      <c r="C31" s="4" t="s">
        <v>4</v>
      </c>
      <c r="D31" s="4">
        <v>9</v>
      </c>
      <c r="E31" s="4" t="s">
        <v>57</v>
      </c>
      <c r="F31" s="4" t="str">
        <f t="shared" si="0"/>
        <v>tank 1</v>
      </c>
      <c r="G31" s="4">
        <f>IFERROR(INDEX('Date Key'!$I$2:$I$19, MATCH(B31,'Date Key'!$B$2:$B$19, 0)), "")</f>
        <v>1</v>
      </c>
      <c r="H31" s="4">
        <v>120</v>
      </c>
      <c r="I31" s="11">
        <v>0.8449931412894377</v>
      </c>
      <c r="J31" s="11">
        <v>4.5328399629972239E-2</v>
      </c>
      <c r="K31" s="11">
        <v>0</v>
      </c>
      <c r="L31" s="11">
        <v>1.7864528871848495</v>
      </c>
      <c r="M31" s="11">
        <v>92.898415657036338</v>
      </c>
      <c r="N31" s="11">
        <v>0.89032154091940996</v>
      </c>
      <c r="O31" s="11"/>
      <c r="P31" s="11">
        <v>6.97</v>
      </c>
      <c r="Q31" s="11">
        <v>113.63636363636364</v>
      </c>
      <c r="R31" s="11">
        <v>28.399999999999981</v>
      </c>
      <c r="S31" s="11">
        <v>0.38324786324786325</v>
      </c>
      <c r="T31" s="4">
        <f t="shared" si="1"/>
        <v>1</v>
      </c>
      <c r="U31" s="4" t="str">
        <f>IFERROR(INDEX('Date Key'!$G$2:$G$19, MATCH(B31,'Date Key'!$B$2:$B$19, 0)), "")</f>
        <v>No</v>
      </c>
      <c r="V31" s="4" t="str">
        <f>IFERROR(INDEX('Date Key'!$D$2:$D$19, MATCH(B31,'Date Key'!$B$2:$B$19, 0)), "")</f>
        <v>Lower</v>
      </c>
      <c r="W31" s="4" t="str">
        <f>IFERROR(INDEX('Date Key'!$H$2:$H$19, MATCH(B31,'Date Key'!$B$2:$B$19, 0)), "")</f>
        <v>No</v>
      </c>
      <c r="X31" s="4">
        <f t="shared" si="2"/>
        <v>0.109</v>
      </c>
      <c r="Y31" s="4">
        <f t="shared" si="3"/>
        <v>5</v>
      </c>
    </row>
    <row r="32" spans="1:34" x14ac:dyDescent="0.35">
      <c r="A32" s="4">
        <v>2</v>
      </c>
      <c r="B32" s="41">
        <v>45181</v>
      </c>
      <c r="C32" s="4" t="s">
        <v>4</v>
      </c>
      <c r="D32" s="4">
        <v>10</v>
      </c>
      <c r="E32" s="4" t="s">
        <v>58</v>
      </c>
      <c r="F32" s="4" t="str">
        <f t="shared" si="0"/>
        <v>tank 2</v>
      </c>
      <c r="G32" s="4">
        <f>IFERROR(INDEX('Date Key'!$I$2:$I$19, MATCH(B32,'Date Key'!$B$2:$B$19, 0)), "")</f>
        <v>1</v>
      </c>
      <c r="H32" s="4">
        <v>120</v>
      </c>
      <c r="I32" s="11">
        <v>2.5605852766346596E-2</v>
      </c>
      <c r="J32" s="11">
        <v>0.4273820536540241</v>
      </c>
      <c r="K32" s="11">
        <v>0.67878787878787872</v>
      </c>
      <c r="L32" s="11">
        <v>2.1466248402463113</v>
      </c>
      <c r="M32" s="11">
        <v>84.007455731593652</v>
      </c>
      <c r="N32" s="11">
        <v>1.1317757852082493</v>
      </c>
      <c r="O32" s="11"/>
      <c r="P32" s="11">
        <v>6.96</v>
      </c>
      <c r="Q32" s="11">
        <v>103.21100917431194</v>
      </c>
      <c r="R32" s="11">
        <v>37.399999999999991</v>
      </c>
      <c r="S32" s="11">
        <v>1.25015873015873</v>
      </c>
      <c r="T32" s="4">
        <f t="shared" si="1"/>
        <v>2</v>
      </c>
      <c r="U32" s="4" t="str">
        <f>IFERROR(INDEX('Date Key'!$G$2:$G$19, MATCH(B32,'Date Key'!$B$2:$B$19, 0)), "")</f>
        <v>No</v>
      </c>
      <c r="V32" s="4" t="str">
        <f>IFERROR(INDEX('Date Key'!$D$2:$D$19, MATCH(B32,'Date Key'!$B$2:$B$19, 0)), "")</f>
        <v>Lower</v>
      </c>
      <c r="W32" s="4" t="str">
        <f>IFERROR(INDEX('Date Key'!$H$2:$H$19, MATCH(B32,'Date Key'!$B$2:$B$19, 0)), "")</f>
        <v>No</v>
      </c>
      <c r="X32" s="4">
        <f t="shared" si="2"/>
        <v>0.109</v>
      </c>
      <c r="Y32" s="4">
        <f t="shared" si="3"/>
        <v>5</v>
      </c>
    </row>
    <row r="33" spans="1:25" x14ac:dyDescent="0.35">
      <c r="A33" s="4">
        <v>2</v>
      </c>
      <c r="B33" s="41">
        <v>45181</v>
      </c>
      <c r="C33" s="4" t="s">
        <v>4</v>
      </c>
      <c r="D33" s="4">
        <v>21</v>
      </c>
      <c r="E33" s="4" t="s">
        <v>69</v>
      </c>
      <c r="F33" s="4" t="str">
        <f t="shared" si="0"/>
        <v>in</v>
      </c>
      <c r="G33" s="4">
        <f>IFERROR(INDEX('Date Key'!$I$2:$I$19, MATCH(B33,'Date Key'!$B$2:$B$19, 0)), "")</f>
        <v>1</v>
      </c>
      <c r="H33" s="4">
        <v>90</v>
      </c>
      <c r="I33" s="11">
        <v>0.12802926383173296</v>
      </c>
      <c r="J33" s="11">
        <v>6.475485661424607E-2</v>
      </c>
      <c r="K33" s="11">
        <v>1.7681329423264907</v>
      </c>
      <c r="L33" s="11">
        <v>2.4203555245730222</v>
      </c>
      <c r="M33" s="11">
        <v>98.0242311276794</v>
      </c>
      <c r="N33" s="11">
        <v>1.9609170627724697</v>
      </c>
      <c r="O33" s="11"/>
      <c r="P33" s="11">
        <v>8.0399999999999991</v>
      </c>
      <c r="Q33" s="11">
        <v>133.92857142857144</v>
      </c>
      <c r="R33" s="11">
        <v>29.399999999999981</v>
      </c>
      <c r="S33" s="11">
        <v>1.7019291819291817</v>
      </c>
      <c r="T33" s="4">
        <f t="shared" si="1"/>
        <v>0</v>
      </c>
      <c r="U33" s="4" t="str">
        <f>IFERROR(INDEX('Date Key'!$G$2:$G$19, MATCH(B33,'Date Key'!$B$2:$B$19, 0)), "")</f>
        <v>No</v>
      </c>
      <c r="V33" s="4" t="str">
        <f>IFERROR(INDEX('Date Key'!$D$2:$D$19, MATCH(B33,'Date Key'!$B$2:$B$19, 0)), "")</f>
        <v>Lower</v>
      </c>
      <c r="W33" s="4" t="str">
        <f>IFERROR(INDEX('Date Key'!$H$2:$H$19, MATCH(B33,'Date Key'!$B$2:$B$19, 0)), "")</f>
        <v>No</v>
      </c>
      <c r="X33" s="4">
        <f t="shared" si="2"/>
        <v>0.109</v>
      </c>
      <c r="Y33" s="4">
        <f t="shared" si="3"/>
        <v>5</v>
      </c>
    </row>
    <row r="34" spans="1:25" x14ac:dyDescent="0.35">
      <c r="A34" s="4">
        <v>3</v>
      </c>
      <c r="B34" s="41">
        <v>45195</v>
      </c>
      <c r="C34" s="4" t="s">
        <v>4</v>
      </c>
      <c r="D34" s="4">
        <v>2</v>
      </c>
      <c r="E34" s="4" t="s">
        <v>71</v>
      </c>
      <c r="F34" s="4" t="str">
        <f t="shared" ref="F34:F56" si="4">MID(E34, SEARCH(" ", E34) + 1, LEN(E34))</f>
        <v>in</v>
      </c>
      <c r="G34" s="4">
        <f>IFERROR(INDEX('Date Key'!$I$2:$I$19, MATCH(B34,'Date Key'!$B$2:$B$19, 0)), "")</f>
        <v>1</v>
      </c>
      <c r="H34" s="4">
        <v>90</v>
      </c>
      <c r="I34" s="11">
        <v>0</v>
      </c>
      <c r="J34" s="11">
        <v>2.5901942645698426E-2</v>
      </c>
      <c r="K34" s="11">
        <v>0.93607038123167163</v>
      </c>
      <c r="L34" s="11">
        <v>1.5271290809805973</v>
      </c>
      <c r="M34" s="11">
        <v>84.249767008387678</v>
      </c>
      <c r="N34" s="11">
        <v>0.96197232387737008</v>
      </c>
      <c r="O34" s="11"/>
      <c r="P34" s="11">
        <v>7.81</v>
      </c>
      <c r="Q34" s="11">
        <v>123.8738738738739</v>
      </c>
      <c r="R34" s="11">
        <v>18.066666666666674</v>
      </c>
      <c r="S34" s="11">
        <v>0.67628815628815642</v>
      </c>
      <c r="T34" s="4">
        <f t="shared" si="1"/>
        <v>0</v>
      </c>
      <c r="U34" s="4" t="str">
        <f>IFERROR(INDEX('Date Key'!$G$2:$G$19, MATCH(B34,'Date Key'!$B$2:$B$19, 0)), "")</f>
        <v>No</v>
      </c>
      <c r="V34" s="4" t="str">
        <f>IFERROR(INDEX('Date Key'!$D$2:$D$19, MATCH(B34,'Date Key'!$B$2:$B$19, 0)), "")</f>
        <v>Lower</v>
      </c>
      <c r="W34" s="4" t="str">
        <f>IFERROR(INDEX('Date Key'!$H$2:$H$19, MATCH(B34,'Date Key'!$B$2:$B$19, 0)), "")</f>
        <v>No</v>
      </c>
      <c r="X34" s="4">
        <f t="shared" ref="X34:X56" si="5">IFERROR(INDEX($AB$8:$AB$10, MATCH(C34, $AA$8:$AA$10, 0)), "")</f>
        <v>0.109</v>
      </c>
      <c r="Y34" s="4">
        <f t="shared" ref="Y34:Y56" si="6">IFERROR(INDEX($AC$8:$AC$10, MATCH(C34, $AA$8:$AA$10, 0)), "")</f>
        <v>5</v>
      </c>
    </row>
    <row r="35" spans="1:25" x14ac:dyDescent="0.35">
      <c r="A35" s="4">
        <v>2</v>
      </c>
      <c r="B35" s="41">
        <v>45181</v>
      </c>
      <c r="C35" s="4" t="s">
        <v>4</v>
      </c>
      <c r="D35" s="4">
        <v>13</v>
      </c>
      <c r="E35" s="4" t="s">
        <v>61</v>
      </c>
      <c r="F35" s="4" t="str">
        <f t="shared" si="4"/>
        <v>tank 1</v>
      </c>
      <c r="G35" s="4">
        <f>IFERROR(INDEX('Date Key'!$I$2:$I$19, MATCH(B35,'Date Key'!$B$2:$B$19, 0)), "")</f>
        <v>1</v>
      </c>
      <c r="H35" s="4">
        <v>0</v>
      </c>
      <c r="I35" s="11">
        <v>0.46090534979423864</v>
      </c>
      <c r="J35" s="11">
        <v>8.4181313598519894E-2</v>
      </c>
      <c r="K35" s="11">
        <v>0.33939393939393936</v>
      </c>
      <c r="L35" s="11">
        <v>1.1957708841640526</v>
      </c>
      <c r="M35" s="11">
        <v>74.482758620689651</v>
      </c>
      <c r="N35" s="11">
        <v>0.88448060278669793</v>
      </c>
      <c r="O35" s="11"/>
      <c r="P35" s="11">
        <v>6.94</v>
      </c>
      <c r="Q35" s="11">
        <v>133.92857142857144</v>
      </c>
      <c r="R35" s="11">
        <v>27.733333333333313</v>
      </c>
      <c r="S35" s="11">
        <v>0.40156288156288156</v>
      </c>
      <c r="T35" s="4">
        <f t="shared" si="1"/>
        <v>1</v>
      </c>
      <c r="U35" s="4" t="str">
        <f>IFERROR(INDEX('Date Key'!$G$2:$G$19, MATCH(B35,'Date Key'!$B$2:$B$19, 0)), "")</f>
        <v>No</v>
      </c>
      <c r="V35" s="4" t="str">
        <f>IFERROR(INDEX('Date Key'!$D$2:$D$19, MATCH(B35,'Date Key'!$B$2:$B$19, 0)), "")</f>
        <v>Lower</v>
      </c>
      <c r="W35" s="4" t="str">
        <f>IFERROR(INDEX('Date Key'!$H$2:$H$19, MATCH(B35,'Date Key'!$B$2:$B$19, 0)), "")</f>
        <v>No</v>
      </c>
      <c r="X35" s="4">
        <f t="shared" si="5"/>
        <v>0.109</v>
      </c>
      <c r="Y35" s="4">
        <f t="shared" si="6"/>
        <v>5</v>
      </c>
    </row>
    <row r="36" spans="1:25" x14ac:dyDescent="0.35">
      <c r="A36" s="4">
        <v>2</v>
      </c>
      <c r="B36" s="41">
        <v>45181</v>
      </c>
      <c r="C36" s="4" t="s">
        <v>4</v>
      </c>
      <c r="D36" s="4">
        <v>14</v>
      </c>
      <c r="E36" s="4" t="s">
        <v>62</v>
      </c>
      <c r="F36" s="4" t="str">
        <f t="shared" si="4"/>
        <v>tank 2</v>
      </c>
      <c r="G36" s="4">
        <f>IFERROR(INDEX('Date Key'!$I$2:$I$19, MATCH(B36,'Date Key'!$B$2:$B$19, 0)), "")</f>
        <v>1</v>
      </c>
      <c r="H36" s="4">
        <v>0</v>
      </c>
      <c r="I36" s="11">
        <v>0</v>
      </c>
      <c r="J36" s="11">
        <v>0.1036077705827937</v>
      </c>
      <c r="K36" s="11">
        <v>1.7955034213098728</v>
      </c>
      <c r="L36" s="11">
        <v>2.9822237713489015</v>
      </c>
      <c r="M36" s="11">
        <v>56.719478098788443</v>
      </c>
      <c r="N36" s="11">
        <v>1.8991111918926666</v>
      </c>
      <c r="O36" s="11"/>
      <c r="P36" s="11">
        <v>6.89</v>
      </c>
      <c r="Q36" s="11">
        <v>133.92857142857144</v>
      </c>
      <c r="R36" s="11">
        <v>49.066666666666663</v>
      </c>
      <c r="S36" s="11">
        <v>2.2330647130647132</v>
      </c>
      <c r="T36" s="4">
        <f t="shared" si="1"/>
        <v>2</v>
      </c>
      <c r="U36" s="4" t="str">
        <f>IFERROR(INDEX('Date Key'!$G$2:$G$19, MATCH(B36,'Date Key'!$B$2:$B$19, 0)), "")</f>
        <v>No</v>
      </c>
      <c r="V36" s="4" t="str">
        <f>IFERROR(INDEX('Date Key'!$D$2:$D$19, MATCH(B36,'Date Key'!$B$2:$B$19, 0)), "")</f>
        <v>Lower</v>
      </c>
      <c r="W36" s="4" t="str">
        <f>IFERROR(INDEX('Date Key'!$H$2:$H$19, MATCH(B36,'Date Key'!$B$2:$B$19, 0)), "")</f>
        <v>No</v>
      </c>
      <c r="X36" s="4">
        <f t="shared" si="5"/>
        <v>0.109</v>
      </c>
      <c r="Y36" s="4">
        <f t="shared" si="6"/>
        <v>5</v>
      </c>
    </row>
    <row r="37" spans="1:25" x14ac:dyDescent="0.35">
      <c r="A37" s="4">
        <v>2</v>
      </c>
      <c r="B37" s="41">
        <v>45181</v>
      </c>
      <c r="C37" s="4" t="s">
        <v>4</v>
      </c>
      <c r="D37" s="4">
        <v>15</v>
      </c>
      <c r="E37" s="4" t="s">
        <v>63</v>
      </c>
      <c r="F37" s="4" t="str">
        <f t="shared" si="4"/>
        <v>tank 1</v>
      </c>
      <c r="G37" s="4">
        <f>IFERROR(INDEX('Date Key'!$I$2:$I$19, MATCH(B37,'Date Key'!$B$2:$B$19, 0)), "")</f>
        <v>1</v>
      </c>
      <c r="H37" s="4">
        <v>30</v>
      </c>
      <c r="I37" s="11">
        <v>0.92181069958847728</v>
      </c>
      <c r="J37" s="11">
        <v>0.16188714153561518</v>
      </c>
      <c r="K37" s="11">
        <v>0.30654936461388071</v>
      </c>
      <c r="L37" s="11">
        <v>1.181364006041594</v>
      </c>
      <c r="M37" s="11">
        <v>79.85088536812674</v>
      </c>
      <c r="N37" s="11">
        <v>1.3902472057379733</v>
      </c>
      <c r="O37" s="11"/>
      <c r="P37" s="11">
        <v>6.97</v>
      </c>
      <c r="Q37" s="11">
        <v>123.8738738738739</v>
      </c>
      <c r="R37" s="11">
        <v>26.733333333333313</v>
      </c>
      <c r="S37" s="11">
        <v>0.38935286935286934</v>
      </c>
      <c r="T37" s="4">
        <f t="shared" si="1"/>
        <v>1</v>
      </c>
      <c r="U37" s="4" t="str">
        <f>IFERROR(INDEX('Date Key'!$G$2:$G$19, MATCH(B37,'Date Key'!$B$2:$B$19, 0)), "")</f>
        <v>No</v>
      </c>
      <c r="V37" s="4" t="str">
        <f>IFERROR(INDEX('Date Key'!$D$2:$D$19, MATCH(B37,'Date Key'!$B$2:$B$19, 0)), "")</f>
        <v>Lower</v>
      </c>
      <c r="W37" s="4" t="str">
        <f>IFERROR(INDEX('Date Key'!$H$2:$H$19, MATCH(B37,'Date Key'!$B$2:$B$19, 0)), "")</f>
        <v>No</v>
      </c>
      <c r="X37" s="4">
        <f t="shared" si="5"/>
        <v>0.109</v>
      </c>
      <c r="Y37" s="4">
        <f t="shared" si="6"/>
        <v>5</v>
      </c>
    </row>
    <row r="38" spans="1:25" x14ac:dyDescent="0.35">
      <c r="A38" s="4">
        <v>2</v>
      </c>
      <c r="B38" s="41">
        <v>45181</v>
      </c>
      <c r="C38" s="4" t="s">
        <v>4</v>
      </c>
      <c r="D38" s="4">
        <v>16</v>
      </c>
      <c r="E38" s="4" t="s">
        <v>64</v>
      </c>
      <c r="F38" s="4" t="str">
        <f t="shared" si="4"/>
        <v>tank 2</v>
      </c>
      <c r="G38" s="4">
        <f>IFERROR(INDEX('Date Key'!$I$2:$I$19, MATCH(B38,'Date Key'!$B$2:$B$19, 0)), "")</f>
        <v>1</v>
      </c>
      <c r="H38" s="4">
        <v>30</v>
      </c>
      <c r="I38" s="11">
        <v>0.66575217192501146</v>
      </c>
      <c r="J38" s="11">
        <v>0.31082331174838113</v>
      </c>
      <c r="K38" s="11">
        <v>3.0819159335288364</v>
      </c>
      <c r="L38" s="11">
        <v>2.0889973277564771</v>
      </c>
      <c r="M38" s="11">
        <v>95.507921714818252</v>
      </c>
      <c r="N38" s="11">
        <v>4.0584914172022293</v>
      </c>
      <c r="O38" s="11"/>
      <c r="P38" s="11">
        <v>6.98</v>
      </c>
      <c r="Q38" s="11">
        <v>103.21100917431194</v>
      </c>
      <c r="R38" s="11">
        <v>43.733333333333327</v>
      </c>
      <c r="S38" s="11">
        <v>1.3356288156288156</v>
      </c>
      <c r="T38" s="4">
        <f t="shared" si="1"/>
        <v>2</v>
      </c>
      <c r="U38" s="4" t="str">
        <f>IFERROR(INDEX('Date Key'!$G$2:$G$19, MATCH(B38,'Date Key'!$B$2:$B$19, 0)), "")</f>
        <v>No</v>
      </c>
      <c r="V38" s="4" t="str">
        <f>IFERROR(INDEX('Date Key'!$D$2:$D$19, MATCH(B38,'Date Key'!$B$2:$B$19, 0)), "")</f>
        <v>Lower</v>
      </c>
      <c r="W38" s="4" t="str">
        <f>IFERROR(INDEX('Date Key'!$H$2:$H$19, MATCH(B38,'Date Key'!$B$2:$B$19, 0)), "")</f>
        <v>No</v>
      </c>
      <c r="X38" s="4">
        <f t="shared" si="5"/>
        <v>0.109</v>
      </c>
      <c r="Y38" s="4">
        <f t="shared" si="6"/>
        <v>5</v>
      </c>
    </row>
    <row r="39" spans="1:25" x14ac:dyDescent="0.35">
      <c r="A39" s="4">
        <v>2</v>
      </c>
      <c r="B39" s="41">
        <v>45181</v>
      </c>
      <c r="C39" s="4" t="s">
        <v>4</v>
      </c>
      <c r="D39" s="4">
        <v>17</v>
      </c>
      <c r="E39" s="4" t="s">
        <v>65</v>
      </c>
      <c r="F39" s="4" t="str">
        <f t="shared" si="4"/>
        <v>tank 2</v>
      </c>
      <c r="G39" s="4">
        <f>IFERROR(INDEX('Date Key'!$I$2:$I$19, MATCH(B39,'Date Key'!$B$2:$B$19, 0)), "")</f>
        <v>1</v>
      </c>
      <c r="H39" s="4">
        <v>90</v>
      </c>
      <c r="I39" s="11">
        <v>0.28166438042981246</v>
      </c>
      <c r="J39" s="11">
        <v>0.45328399629972255</v>
      </c>
      <c r="K39" s="11">
        <v>1.4506353861192571</v>
      </c>
      <c r="L39" s="11">
        <v>2.1322179621238524</v>
      </c>
      <c r="M39" s="11">
        <v>82.963653308480886</v>
      </c>
      <c r="N39" s="11">
        <v>2.1855837628487924</v>
      </c>
      <c r="O39" s="11"/>
      <c r="P39" s="11">
        <v>6.88</v>
      </c>
      <c r="Q39" s="11">
        <v>113.63636363636364</v>
      </c>
      <c r="R39" s="11">
        <v>41.399999999999991</v>
      </c>
      <c r="S39" s="11">
        <v>1.3661538461538463</v>
      </c>
      <c r="T39" s="4">
        <f t="shared" si="1"/>
        <v>2</v>
      </c>
      <c r="U39" s="4" t="str">
        <f>IFERROR(INDEX('Date Key'!$G$2:$G$19, MATCH(B39,'Date Key'!$B$2:$B$19, 0)), "")</f>
        <v>No</v>
      </c>
      <c r="V39" s="4" t="str">
        <f>IFERROR(INDEX('Date Key'!$D$2:$D$19, MATCH(B39,'Date Key'!$B$2:$B$19, 0)), "")</f>
        <v>Lower</v>
      </c>
      <c r="W39" s="4" t="str">
        <f>IFERROR(INDEX('Date Key'!$H$2:$H$19, MATCH(B39,'Date Key'!$B$2:$B$19, 0)), "")</f>
        <v>No</v>
      </c>
      <c r="X39" s="4">
        <f t="shared" si="5"/>
        <v>0.109</v>
      </c>
      <c r="Y39" s="4">
        <f t="shared" si="6"/>
        <v>5</v>
      </c>
    </row>
    <row r="40" spans="1:25" x14ac:dyDescent="0.35">
      <c r="A40" s="4">
        <v>1</v>
      </c>
      <c r="B40" s="41">
        <v>45175</v>
      </c>
      <c r="C40" s="4" t="s">
        <v>4</v>
      </c>
      <c r="D40" s="4">
        <v>12</v>
      </c>
      <c r="E40" s="4" t="s">
        <v>39</v>
      </c>
      <c r="F40" s="4" t="str">
        <f t="shared" si="4"/>
        <v>in</v>
      </c>
      <c r="G40" s="4">
        <f>IFERROR(INDEX('Date Key'!$I$2:$I$19, MATCH(B40,'Date Key'!$B$2:$B$19, 0)), "")</f>
        <v>1</v>
      </c>
      <c r="H40" s="4">
        <v>120</v>
      </c>
      <c r="I40" s="11">
        <v>7.6817558299039787E-2</v>
      </c>
      <c r="J40" s="11">
        <v>5.8279370952821465E-2</v>
      </c>
      <c r="K40" s="11">
        <v>2.6658846529814269</v>
      </c>
      <c r="L40" s="11">
        <v>2.8237481120018586</v>
      </c>
      <c r="M40" s="11">
        <v>112.26467847157501</v>
      </c>
      <c r="N40" s="11">
        <v>2.800981582233288</v>
      </c>
      <c r="O40" s="11"/>
      <c r="P40" s="11">
        <v>7.98</v>
      </c>
      <c r="Q40" s="11">
        <v>225.40983606557381</v>
      </c>
      <c r="R40" s="11">
        <v>33.399999999999984</v>
      </c>
      <c r="S40" s="11">
        <v>2.0254945054945055</v>
      </c>
      <c r="T40" s="4">
        <f t="shared" si="1"/>
        <v>0</v>
      </c>
      <c r="U40" s="4" t="str">
        <f>IFERROR(INDEX('Date Key'!$G$2:$G$19, MATCH(B40,'Date Key'!$B$2:$B$19, 0)), "")</f>
        <v>No</v>
      </c>
      <c r="V40" s="4" t="str">
        <f>IFERROR(INDEX('Date Key'!$D$2:$D$19, MATCH(B40,'Date Key'!$B$2:$B$19, 0)), "")</f>
        <v>Lower</v>
      </c>
      <c r="W40" s="4" t="str">
        <f>IFERROR(INDEX('Date Key'!$H$2:$H$19, MATCH(B40,'Date Key'!$B$2:$B$19, 0)), "")</f>
        <v>No</v>
      </c>
      <c r="X40" s="4">
        <f t="shared" si="5"/>
        <v>0.109</v>
      </c>
      <c r="Y40" s="4">
        <f t="shared" si="6"/>
        <v>5</v>
      </c>
    </row>
    <row r="41" spans="1:25" x14ac:dyDescent="0.35">
      <c r="A41" s="4">
        <v>2</v>
      </c>
      <c r="B41" s="41">
        <v>45181</v>
      </c>
      <c r="C41" s="4" t="s">
        <v>4</v>
      </c>
      <c r="D41" s="4">
        <v>19</v>
      </c>
      <c r="E41" s="4" t="s">
        <v>67</v>
      </c>
      <c r="F41" s="4" t="str">
        <f t="shared" si="4"/>
        <v>tank 1</v>
      </c>
      <c r="G41" s="4">
        <f>IFERROR(INDEX('Date Key'!$I$2:$I$19, MATCH(B41,'Date Key'!$B$2:$B$19, 0)), "")</f>
        <v>1</v>
      </c>
      <c r="H41" s="4">
        <v>60</v>
      </c>
      <c r="I41" s="11">
        <v>0.15363511659807957</v>
      </c>
      <c r="J41" s="11">
        <v>0.11655874190564293</v>
      </c>
      <c r="K41" s="11">
        <v>0.39960899315738024</v>
      </c>
      <c r="L41" s="11">
        <v>1.0372952248170093</v>
      </c>
      <c r="M41" s="11">
        <v>90.904007455731588</v>
      </c>
      <c r="N41" s="11">
        <v>0.66980285166110276</v>
      </c>
      <c r="O41" s="11"/>
      <c r="P41" s="11">
        <v>6.98</v>
      </c>
      <c r="Q41" s="11">
        <v>123.8738738738739</v>
      </c>
      <c r="R41" s="11">
        <v>35.399999999999984</v>
      </c>
      <c r="S41" s="11">
        <v>0.35272283272283267</v>
      </c>
      <c r="T41" s="4">
        <f t="shared" si="1"/>
        <v>1</v>
      </c>
      <c r="U41" s="4" t="str">
        <f>IFERROR(INDEX('Date Key'!$G$2:$G$19, MATCH(B41,'Date Key'!$B$2:$B$19, 0)), "")</f>
        <v>No</v>
      </c>
      <c r="V41" s="4" t="str">
        <f>IFERROR(INDEX('Date Key'!$D$2:$D$19, MATCH(B41,'Date Key'!$B$2:$B$19, 0)), "")</f>
        <v>Lower</v>
      </c>
      <c r="W41" s="4" t="str">
        <f>IFERROR(INDEX('Date Key'!$H$2:$H$19, MATCH(B41,'Date Key'!$B$2:$B$19, 0)), "")</f>
        <v>No</v>
      </c>
      <c r="X41" s="4">
        <f t="shared" si="5"/>
        <v>0.109</v>
      </c>
      <c r="Y41" s="4">
        <f t="shared" si="6"/>
        <v>5</v>
      </c>
    </row>
    <row r="42" spans="1:25" x14ac:dyDescent="0.35">
      <c r="A42" s="4">
        <v>2</v>
      </c>
      <c r="B42" s="41">
        <v>45181</v>
      </c>
      <c r="C42" s="4" t="s">
        <v>4</v>
      </c>
      <c r="D42" s="4">
        <v>20</v>
      </c>
      <c r="E42" s="4" t="s">
        <v>68</v>
      </c>
      <c r="F42" s="4" t="str">
        <f t="shared" si="4"/>
        <v>tank 2</v>
      </c>
      <c r="G42" s="4">
        <f>IFERROR(INDEX('Date Key'!$I$2:$I$19, MATCH(B42,'Date Key'!$B$2:$B$19, 0)), "")</f>
        <v>1</v>
      </c>
      <c r="H42" s="4">
        <v>60</v>
      </c>
      <c r="I42" s="11">
        <v>0.35848193872885231</v>
      </c>
      <c r="J42" s="11">
        <v>0.40795559666975023</v>
      </c>
      <c r="K42" s="11">
        <v>2.6604105571847505</v>
      </c>
      <c r="L42" s="11">
        <v>2.0025560590217264</v>
      </c>
      <c r="M42" s="11">
        <v>96.607642124883498</v>
      </c>
      <c r="N42" s="11">
        <v>3.4268480925833531</v>
      </c>
      <c r="O42" s="11"/>
      <c r="P42" s="11">
        <v>6.85</v>
      </c>
      <c r="Q42" s="11">
        <v>103.21100917431194</v>
      </c>
      <c r="R42" s="11">
        <v>44.399999999999991</v>
      </c>
      <c r="S42" s="11">
        <v>1.2684737484737485</v>
      </c>
      <c r="T42" s="4">
        <f t="shared" si="1"/>
        <v>2</v>
      </c>
      <c r="U42" s="4" t="str">
        <f>IFERROR(INDEX('Date Key'!$G$2:$G$19, MATCH(B42,'Date Key'!$B$2:$B$19, 0)), "")</f>
        <v>No</v>
      </c>
      <c r="V42" s="4" t="str">
        <f>IFERROR(INDEX('Date Key'!$D$2:$D$19, MATCH(B42,'Date Key'!$B$2:$B$19, 0)), "")</f>
        <v>Lower</v>
      </c>
      <c r="W42" s="4" t="str">
        <f>IFERROR(INDEX('Date Key'!$H$2:$H$19, MATCH(B42,'Date Key'!$B$2:$B$19, 0)), "")</f>
        <v>No</v>
      </c>
      <c r="X42" s="4">
        <f t="shared" si="5"/>
        <v>0.109</v>
      </c>
      <c r="Y42" s="4">
        <f t="shared" si="6"/>
        <v>5</v>
      </c>
    </row>
    <row r="43" spans="1:25" s="27" customFormat="1" x14ac:dyDescent="0.35">
      <c r="A43" s="27">
        <v>2</v>
      </c>
      <c r="B43" s="42">
        <v>45181</v>
      </c>
      <c r="C43" s="27" t="s">
        <v>4</v>
      </c>
      <c r="D43" s="27">
        <v>3</v>
      </c>
      <c r="E43" s="27" t="s">
        <v>51</v>
      </c>
      <c r="F43" s="27" t="str">
        <f t="shared" si="4"/>
        <v>in</v>
      </c>
      <c r="G43" s="27">
        <f>IFERROR(INDEX('Date Key'!$I$2:$I$19, MATCH(B43,'Date Key'!$B$2:$B$19, 0)), "")</f>
        <v>1</v>
      </c>
      <c r="H43" s="27">
        <v>120</v>
      </c>
      <c r="I43" s="28">
        <v>0</v>
      </c>
      <c r="J43" s="28">
        <v>5.1803885291396852E-2</v>
      </c>
      <c r="K43" s="28">
        <v>1.9049853372434016</v>
      </c>
      <c r="L43" s="28">
        <v>2.8525618682467764</v>
      </c>
      <c r="M43" s="28">
        <v>102.77726001863932</v>
      </c>
      <c r="N43" s="28">
        <v>1.9567892225347985</v>
      </c>
      <c r="O43" s="28"/>
      <c r="P43" s="28">
        <v>7.88</v>
      </c>
      <c r="Q43" s="28">
        <v>113.63636363636364</v>
      </c>
      <c r="R43" s="28">
        <v>31.399999999999984</v>
      </c>
      <c r="S43" s="28">
        <v>1.9522344322344323</v>
      </c>
      <c r="T43" s="27">
        <f t="shared" si="1"/>
        <v>0</v>
      </c>
      <c r="U43" s="27" t="str">
        <f>IFERROR(INDEX('Date Key'!$G$2:$G$19, MATCH(B43,'Date Key'!$B$2:$B$19, 0)), "")</f>
        <v>No</v>
      </c>
      <c r="V43" s="27" t="str">
        <f>IFERROR(INDEX('Date Key'!$D$2:$D$19, MATCH(B43,'Date Key'!$B$2:$B$19, 0)), "")</f>
        <v>Lower</v>
      </c>
      <c r="W43" s="27" t="str">
        <f>IFERROR(INDEX('Date Key'!$H$2:$H$19, MATCH(B43,'Date Key'!$B$2:$B$19, 0)), "")</f>
        <v>No</v>
      </c>
      <c r="X43" s="27">
        <f t="shared" si="5"/>
        <v>0.109</v>
      </c>
      <c r="Y43" s="27">
        <f t="shared" si="6"/>
        <v>5</v>
      </c>
    </row>
    <row r="44" spans="1:25" x14ac:dyDescent="0.35">
      <c r="A44" s="4">
        <v>3</v>
      </c>
      <c r="B44" s="41">
        <v>45195</v>
      </c>
      <c r="C44" s="4" t="s">
        <v>4</v>
      </c>
      <c r="D44" s="4">
        <v>3</v>
      </c>
      <c r="E44" s="4" t="s">
        <v>72</v>
      </c>
      <c r="F44" s="4" t="str">
        <f t="shared" si="4"/>
        <v>in</v>
      </c>
      <c r="G44" s="4">
        <f>IFERROR(INDEX('Date Key'!$I$2:$I$19, MATCH(B44,'Date Key'!$B$2:$B$19, 0)), "")</f>
        <v>1</v>
      </c>
      <c r="H44" s="4">
        <v>120</v>
      </c>
      <c r="I44" s="11">
        <v>0.23748939779474132</v>
      </c>
      <c r="J44" s="11">
        <v>1.942645698427382E-2</v>
      </c>
      <c r="K44" s="11">
        <v>0.65141739980449664</v>
      </c>
      <c r="L44" s="11">
        <v>1.49831532473568</v>
      </c>
      <c r="M44" s="11">
        <v>80.652376514445479</v>
      </c>
      <c r="N44" s="11">
        <v>0.90833325458351177</v>
      </c>
      <c r="O44" s="11"/>
      <c r="P44" s="11">
        <v>7.8</v>
      </c>
      <c r="Q44" s="11">
        <v>123.8738738738739</v>
      </c>
      <c r="R44" s="11">
        <v>19.733333333333341</v>
      </c>
      <c r="S44" s="11">
        <v>0.71291819291819292</v>
      </c>
      <c r="T44" s="4">
        <f t="shared" si="1"/>
        <v>0</v>
      </c>
      <c r="U44" s="4" t="str">
        <f>IFERROR(INDEX('Date Key'!$G$2:$G$19, MATCH(B44,'Date Key'!$B$2:$B$19, 0)), "")</f>
        <v>No</v>
      </c>
      <c r="V44" s="4" t="str">
        <f>IFERROR(INDEX('Date Key'!$D$2:$D$19, MATCH(B44,'Date Key'!$B$2:$B$19, 0)), "")</f>
        <v>Lower</v>
      </c>
      <c r="W44" s="4" t="str">
        <f>IFERROR(INDEX('Date Key'!$H$2:$H$19, MATCH(B44,'Date Key'!$B$2:$B$19, 0)), "")</f>
        <v>No</v>
      </c>
      <c r="X44" s="4">
        <f t="shared" si="5"/>
        <v>0.109</v>
      </c>
      <c r="Y44" s="4">
        <f t="shared" si="6"/>
        <v>5</v>
      </c>
    </row>
    <row r="45" spans="1:25" x14ac:dyDescent="0.35">
      <c r="A45" s="4">
        <v>1</v>
      </c>
      <c r="B45" s="41">
        <v>45175</v>
      </c>
      <c r="C45" s="4" t="s">
        <v>4</v>
      </c>
      <c r="D45" s="4">
        <v>8</v>
      </c>
      <c r="E45" s="4" t="s">
        <v>35</v>
      </c>
      <c r="F45" s="4" t="str">
        <f t="shared" si="4"/>
        <v>in</v>
      </c>
      <c r="G45" s="4">
        <f>IFERROR(INDEX('Date Key'!$I$2:$I$19, MATCH(B45,'Date Key'!$B$2:$B$19, 0)), "")</f>
        <v>1</v>
      </c>
      <c r="H45" s="4">
        <v>150</v>
      </c>
      <c r="I45" s="11">
        <v>0.28166438042981246</v>
      </c>
      <c r="J45" s="11">
        <v>7.7705827937095281E-2</v>
      </c>
      <c r="K45" s="11">
        <v>2.8629521016617789</v>
      </c>
      <c r="L45" s="11">
        <v>3.0398512838387362</v>
      </c>
      <c r="M45" s="11">
        <v>110.25163094128611</v>
      </c>
      <c r="N45" s="11">
        <v>3.2223223100286869</v>
      </c>
      <c r="O45" s="11"/>
      <c r="P45" s="11">
        <v>7.94</v>
      </c>
      <c r="Q45" s="11">
        <v>216.94214876033061</v>
      </c>
      <c r="R45" s="11">
        <v>31.399999999999984</v>
      </c>
      <c r="S45" s="11">
        <v>2.361269841269841</v>
      </c>
      <c r="T45" s="4">
        <f t="shared" si="1"/>
        <v>0</v>
      </c>
      <c r="U45" s="4" t="str">
        <f>IFERROR(INDEX('Date Key'!$G$2:$G$19, MATCH(B45,'Date Key'!$B$2:$B$19, 0)), "")</f>
        <v>No</v>
      </c>
      <c r="V45" s="4" t="str">
        <f>IFERROR(INDEX('Date Key'!$D$2:$D$19, MATCH(B45,'Date Key'!$B$2:$B$19, 0)), "")</f>
        <v>Lower</v>
      </c>
      <c r="W45" s="4" t="str">
        <f>IFERROR(INDEX('Date Key'!$H$2:$H$19, MATCH(B45,'Date Key'!$B$2:$B$19, 0)), "")</f>
        <v>No</v>
      </c>
      <c r="X45" s="4">
        <f t="shared" si="5"/>
        <v>0.109</v>
      </c>
      <c r="Y45" s="4">
        <f t="shared" si="6"/>
        <v>5</v>
      </c>
    </row>
    <row r="46" spans="1:25" x14ac:dyDescent="0.35">
      <c r="A46" s="4">
        <v>2</v>
      </c>
      <c r="B46" s="41">
        <v>45181</v>
      </c>
      <c r="C46" s="4" t="s">
        <v>4</v>
      </c>
      <c r="D46" s="4">
        <v>2</v>
      </c>
      <c r="E46" s="4" t="s">
        <v>50</v>
      </c>
      <c r="F46" s="4" t="str">
        <f t="shared" si="4"/>
        <v>in</v>
      </c>
      <c r="G46" s="4">
        <f>IFERROR(INDEX('Date Key'!$I$2:$I$19, MATCH(B46,'Date Key'!$B$2:$B$19, 0)), "")</f>
        <v>1</v>
      </c>
      <c r="H46" s="4">
        <v>150</v>
      </c>
      <c r="I46" s="11">
        <v>0.15363511659807957</v>
      </c>
      <c r="J46" s="11">
        <v>5.1803885291396852E-2</v>
      </c>
      <c r="K46" s="11">
        <v>2.2662756598240468</v>
      </c>
      <c r="L46" s="11">
        <v>3.299175090042989</v>
      </c>
      <c r="M46" s="11">
        <v>109.05871388630008</v>
      </c>
      <c r="N46" s="11">
        <v>2.4717146617135231</v>
      </c>
      <c r="O46" s="11"/>
      <c r="P46" s="11">
        <v>7.84</v>
      </c>
      <c r="Q46" s="11">
        <v>123.8738738738739</v>
      </c>
      <c r="R46" s="11">
        <v>35.399999999999984</v>
      </c>
      <c r="S46" s="11">
        <v>2.2941147741147745</v>
      </c>
      <c r="T46" s="4">
        <f t="shared" si="1"/>
        <v>0</v>
      </c>
      <c r="U46" s="4" t="str">
        <f>IFERROR(INDEX('Date Key'!$G$2:$G$19, MATCH(B46,'Date Key'!$B$2:$B$19, 0)), "")</f>
        <v>No</v>
      </c>
      <c r="V46" s="4" t="str">
        <f>IFERROR(INDEX('Date Key'!$D$2:$D$19, MATCH(B46,'Date Key'!$B$2:$B$19, 0)), "")</f>
        <v>Lower</v>
      </c>
      <c r="W46" s="4" t="str">
        <f>IFERROR(INDEX('Date Key'!$H$2:$H$19, MATCH(B46,'Date Key'!$B$2:$B$19, 0)), "")</f>
        <v>No</v>
      </c>
      <c r="X46" s="4">
        <f t="shared" si="5"/>
        <v>0.109</v>
      </c>
      <c r="Y46" s="4">
        <f t="shared" si="6"/>
        <v>5</v>
      </c>
    </row>
    <row r="47" spans="1:25" x14ac:dyDescent="0.35">
      <c r="A47" s="4">
        <v>3</v>
      </c>
      <c r="B47" s="41">
        <v>45195</v>
      </c>
      <c r="C47" s="4" t="s">
        <v>4</v>
      </c>
      <c r="D47" s="4">
        <v>4</v>
      </c>
      <c r="E47" s="4" t="s">
        <v>388</v>
      </c>
      <c r="F47" s="4" t="str">
        <f t="shared" si="4"/>
        <v>tank 1</v>
      </c>
      <c r="G47" s="4">
        <f>IFERROR(INDEX('Date Key'!$I$2:$I$19, MATCH(B47,'Date Key'!$B$2:$B$19, 0)), "")</f>
        <v>1</v>
      </c>
      <c r="H47" s="4">
        <v>150</v>
      </c>
      <c r="I47" s="11">
        <v>0.28498727735368956</v>
      </c>
      <c r="J47" s="11">
        <v>2.5901942645698426E-2</v>
      </c>
      <c r="K47" s="11">
        <v>0</v>
      </c>
      <c r="L47" s="11">
        <v>0.9076333217148832</v>
      </c>
      <c r="M47" s="11">
        <v>61.491146318732518</v>
      </c>
      <c r="N47" s="11">
        <v>0.31088921999938801</v>
      </c>
      <c r="O47" s="11"/>
      <c r="P47" s="11">
        <v>6.99</v>
      </c>
      <c r="Q47" s="11">
        <v>143.80530973451326</v>
      </c>
      <c r="R47" s="11">
        <v>26.733333333333313</v>
      </c>
      <c r="S47" s="11">
        <v>0.20009768009768009</v>
      </c>
      <c r="T47" s="4">
        <f t="shared" si="1"/>
        <v>1</v>
      </c>
      <c r="U47" s="4" t="str">
        <f>IFERROR(INDEX('Date Key'!$G$2:$G$19, MATCH(B47,'Date Key'!$B$2:$B$19, 0)), "")</f>
        <v>No</v>
      </c>
      <c r="V47" s="4" t="str">
        <f>IFERROR(INDEX('Date Key'!$D$2:$D$19, MATCH(B47,'Date Key'!$B$2:$B$19, 0)), "")</f>
        <v>Lower</v>
      </c>
      <c r="W47" s="4" t="str">
        <f>IFERROR(INDEX('Date Key'!$H$2:$H$19, MATCH(B47,'Date Key'!$B$2:$B$19, 0)), "")</f>
        <v>No</v>
      </c>
      <c r="X47" s="4">
        <f t="shared" si="5"/>
        <v>0.109</v>
      </c>
      <c r="Y47" s="4">
        <f t="shared" si="6"/>
        <v>5</v>
      </c>
    </row>
    <row r="48" spans="1:25" x14ac:dyDescent="0.35">
      <c r="A48" s="4">
        <v>3</v>
      </c>
      <c r="B48" s="41">
        <v>45195</v>
      </c>
      <c r="C48" s="4" t="s">
        <v>4</v>
      </c>
      <c r="D48" s="4">
        <v>5</v>
      </c>
      <c r="E48" s="4" t="s">
        <v>389</v>
      </c>
      <c r="F48" s="4" t="str">
        <f t="shared" si="4"/>
        <v>tank 1</v>
      </c>
      <c r="G48" s="4">
        <f>IFERROR(INDEX('Date Key'!$I$2:$I$19, MATCH(B48,'Date Key'!$B$2:$B$19, 0)), "")</f>
        <v>1</v>
      </c>
      <c r="H48" s="4">
        <v>180</v>
      </c>
      <c r="I48" s="11">
        <v>0.33248515691263786</v>
      </c>
      <c r="J48" s="11">
        <v>0</v>
      </c>
      <c r="K48" s="11">
        <v>3.2844574780058651E-2</v>
      </c>
      <c r="L48" s="11">
        <v>1.0517021029394678</v>
      </c>
      <c r="M48" s="11">
        <v>68.126747437092263</v>
      </c>
      <c r="N48" s="11">
        <v>0.3653297316926965</v>
      </c>
      <c r="O48" s="11"/>
      <c r="P48" s="11">
        <v>7.02</v>
      </c>
      <c r="Q48" s="11">
        <v>123.8738738738739</v>
      </c>
      <c r="R48" s="11">
        <v>23.733333333333309</v>
      </c>
      <c r="S48" s="11">
        <v>0.22451770451770453</v>
      </c>
      <c r="T48" s="4">
        <f t="shared" si="1"/>
        <v>1</v>
      </c>
      <c r="U48" s="4" t="str">
        <f>IFERROR(INDEX('Date Key'!$G$2:$G$19, MATCH(B48,'Date Key'!$B$2:$B$19, 0)), "")</f>
        <v>No</v>
      </c>
      <c r="V48" s="4" t="str">
        <f>IFERROR(INDEX('Date Key'!$D$2:$D$19, MATCH(B48,'Date Key'!$B$2:$B$19, 0)), "")</f>
        <v>Lower</v>
      </c>
      <c r="W48" s="4" t="str">
        <f>IFERROR(INDEX('Date Key'!$H$2:$H$19, MATCH(B48,'Date Key'!$B$2:$B$19, 0)), "")</f>
        <v>No</v>
      </c>
      <c r="X48" s="4">
        <f t="shared" si="5"/>
        <v>0.109</v>
      </c>
      <c r="Y48" s="4">
        <f t="shared" si="6"/>
        <v>5</v>
      </c>
    </row>
    <row r="49" spans="1:25" x14ac:dyDescent="0.35">
      <c r="A49" s="4">
        <v>3</v>
      </c>
      <c r="B49" s="41">
        <v>45195</v>
      </c>
      <c r="C49" s="4" t="s">
        <v>4</v>
      </c>
      <c r="D49" s="4">
        <v>6</v>
      </c>
      <c r="E49" s="4" t="s">
        <v>73</v>
      </c>
      <c r="F49" s="4" t="str">
        <f t="shared" si="4"/>
        <v>in</v>
      </c>
      <c r="G49" s="4">
        <f>IFERROR(INDEX('Date Key'!$I$2:$I$19, MATCH(B49,'Date Key'!$B$2:$B$19, 0)), "")</f>
        <v>1</v>
      </c>
      <c r="H49" s="4">
        <v>150</v>
      </c>
      <c r="I49" s="11">
        <v>0</v>
      </c>
      <c r="J49" s="11">
        <v>0</v>
      </c>
      <c r="K49" s="11">
        <v>0.61309872922776143</v>
      </c>
      <c r="L49" s="11">
        <v>1.613570349715348</v>
      </c>
      <c r="M49" s="11">
        <v>81.379310344827573</v>
      </c>
      <c r="N49" s="11">
        <v>0.61309872922776143</v>
      </c>
      <c r="O49" s="11"/>
      <c r="P49" s="11">
        <v>7.87</v>
      </c>
      <c r="Q49" s="11">
        <v>133.92857142857144</v>
      </c>
      <c r="R49" s="11">
        <v>20.066666666666638</v>
      </c>
      <c r="S49" s="11">
        <v>0.8044932844932845</v>
      </c>
      <c r="T49" s="4">
        <f t="shared" si="1"/>
        <v>0</v>
      </c>
      <c r="U49" s="4" t="str">
        <f>IFERROR(INDEX('Date Key'!$G$2:$G$19, MATCH(B49,'Date Key'!$B$2:$B$19, 0)), "")</f>
        <v>No</v>
      </c>
      <c r="V49" s="4" t="str">
        <f>IFERROR(INDEX('Date Key'!$D$2:$D$19, MATCH(B49,'Date Key'!$B$2:$B$19, 0)), "")</f>
        <v>Lower</v>
      </c>
      <c r="W49" s="4" t="str">
        <f>IFERROR(INDEX('Date Key'!$H$2:$H$19, MATCH(B49,'Date Key'!$B$2:$B$19, 0)), "")</f>
        <v>No</v>
      </c>
      <c r="X49" s="4">
        <f t="shared" si="5"/>
        <v>0.109</v>
      </c>
      <c r="Y49" s="4">
        <f t="shared" si="6"/>
        <v>5</v>
      </c>
    </row>
    <row r="50" spans="1:25" x14ac:dyDescent="0.35">
      <c r="A50" s="4">
        <v>3</v>
      </c>
      <c r="B50" s="41">
        <v>45195</v>
      </c>
      <c r="C50" s="4" t="s">
        <v>4</v>
      </c>
      <c r="D50" s="4">
        <v>7</v>
      </c>
      <c r="E50" s="4" t="s">
        <v>390</v>
      </c>
      <c r="F50" s="4" t="str">
        <f t="shared" si="4"/>
        <v>tank 1</v>
      </c>
      <c r="G50" s="4">
        <f>IFERROR(INDEX('Date Key'!$I$2:$I$19, MATCH(B50,'Date Key'!$B$2:$B$19, 0)), "")</f>
        <v>1</v>
      </c>
      <c r="H50" s="4">
        <v>60</v>
      </c>
      <c r="I50" s="11">
        <v>0.14249363867684478</v>
      </c>
      <c r="J50" s="11">
        <v>0</v>
      </c>
      <c r="K50" s="11">
        <v>4.9266862170087966E-2</v>
      </c>
      <c r="L50" s="11">
        <v>0.9364470779598002</v>
      </c>
      <c r="M50" s="11">
        <v>49.95340167753961</v>
      </c>
      <c r="N50" s="11">
        <v>0.19176050084693275</v>
      </c>
      <c r="O50" s="11"/>
      <c r="P50" s="11">
        <v>7.02</v>
      </c>
      <c r="Q50" s="11">
        <v>143.80530973451326</v>
      </c>
      <c r="R50" s="11">
        <v>29.399999999999981</v>
      </c>
      <c r="S50" s="11">
        <v>0.19399267399267398</v>
      </c>
      <c r="T50" s="4">
        <f t="shared" si="1"/>
        <v>1</v>
      </c>
      <c r="U50" s="4" t="str">
        <f>IFERROR(INDEX('Date Key'!$G$2:$G$19, MATCH(B50,'Date Key'!$B$2:$B$19, 0)), "")</f>
        <v>No</v>
      </c>
      <c r="V50" s="4" t="str">
        <f>IFERROR(INDEX('Date Key'!$D$2:$D$19, MATCH(B50,'Date Key'!$B$2:$B$19, 0)), "")</f>
        <v>Lower</v>
      </c>
      <c r="W50" s="4" t="str">
        <f>IFERROR(INDEX('Date Key'!$H$2:$H$19, MATCH(B50,'Date Key'!$B$2:$B$19, 0)), "")</f>
        <v>No</v>
      </c>
      <c r="X50" s="4">
        <f t="shared" si="5"/>
        <v>0.109</v>
      </c>
      <c r="Y50" s="4">
        <f t="shared" si="6"/>
        <v>5</v>
      </c>
    </row>
    <row r="51" spans="1:25" x14ac:dyDescent="0.35">
      <c r="A51" s="4">
        <v>3</v>
      </c>
      <c r="B51" s="41">
        <v>45195</v>
      </c>
      <c r="C51" s="4" t="s">
        <v>4</v>
      </c>
      <c r="D51" s="4">
        <v>8</v>
      </c>
      <c r="E51" s="4" t="s">
        <v>391</v>
      </c>
      <c r="F51" s="4" t="str">
        <f t="shared" si="4"/>
        <v>tank 1</v>
      </c>
      <c r="G51" s="4">
        <f>IFERROR(INDEX('Date Key'!$I$2:$I$19, MATCH(B51,'Date Key'!$B$2:$B$19, 0)), "")</f>
        <v>1</v>
      </c>
      <c r="H51" s="4">
        <v>120</v>
      </c>
      <c r="I51" s="11">
        <v>0.3799830364715861</v>
      </c>
      <c r="J51" s="11">
        <v>0</v>
      </c>
      <c r="K51" s="11">
        <v>0</v>
      </c>
      <c r="L51" s="11">
        <v>0.86441268734750776</v>
      </c>
      <c r="M51" s="11">
        <v>55.023299161230192</v>
      </c>
      <c r="N51" s="11">
        <v>0.3799830364715861</v>
      </c>
      <c r="O51" s="11"/>
      <c r="P51" s="11">
        <v>7.04</v>
      </c>
      <c r="Q51" s="11">
        <v>133.92857142857144</v>
      </c>
      <c r="R51" s="11">
        <v>28.399999999999981</v>
      </c>
      <c r="S51" s="11">
        <v>0.2062026862026862</v>
      </c>
      <c r="T51" s="4">
        <f t="shared" si="1"/>
        <v>1</v>
      </c>
      <c r="U51" s="4" t="str">
        <f>IFERROR(INDEX('Date Key'!$G$2:$G$19, MATCH(B51,'Date Key'!$B$2:$B$19, 0)), "")</f>
        <v>No</v>
      </c>
      <c r="V51" s="4" t="str">
        <f>IFERROR(INDEX('Date Key'!$D$2:$D$19, MATCH(B51,'Date Key'!$B$2:$B$19, 0)), "")</f>
        <v>Lower</v>
      </c>
      <c r="W51" s="4" t="str">
        <f>IFERROR(INDEX('Date Key'!$H$2:$H$19, MATCH(B51,'Date Key'!$B$2:$B$19, 0)), "")</f>
        <v>No</v>
      </c>
      <c r="X51" s="4">
        <f t="shared" si="5"/>
        <v>0.109</v>
      </c>
      <c r="Y51" s="4">
        <f t="shared" si="6"/>
        <v>5</v>
      </c>
    </row>
    <row r="52" spans="1:25" x14ac:dyDescent="0.35">
      <c r="A52" s="4">
        <v>1</v>
      </c>
      <c r="B52" s="41">
        <v>45175</v>
      </c>
      <c r="C52" s="4" t="s">
        <v>4</v>
      </c>
      <c r="D52" s="4">
        <v>1</v>
      </c>
      <c r="E52" s="4" t="s">
        <v>28</v>
      </c>
      <c r="F52" s="4" t="str">
        <f t="shared" si="4"/>
        <v>in</v>
      </c>
      <c r="G52" s="4">
        <f>IFERROR(INDEX('Date Key'!$I$2:$I$19, MATCH(B52,'Date Key'!$B$2:$B$19, 0)), "")</f>
        <v>1</v>
      </c>
      <c r="H52" s="4">
        <v>180</v>
      </c>
      <c r="I52" s="11">
        <v>0</v>
      </c>
      <c r="J52" s="11">
        <v>9.0656799259944479E-2</v>
      </c>
      <c r="K52" s="11">
        <v>3.4760508308895401</v>
      </c>
      <c r="L52" s="11">
        <v>3.7457883118392008</v>
      </c>
      <c r="M52" s="11">
        <v>117.44641192917055</v>
      </c>
      <c r="N52" s="11">
        <v>3.5667076301494847</v>
      </c>
      <c r="O52" s="11"/>
      <c r="P52" s="11">
        <v>8.1300000000000008</v>
      </c>
      <c r="Q52" s="11">
        <v>133.92857142857144</v>
      </c>
      <c r="R52" s="11">
        <v>36.066666666666656</v>
      </c>
      <c r="S52" s="11">
        <v>2.6421001221001221</v>
      </c>
      <c r="T52" s="4">
        <f t="shared" si="1"/>
        <v>0</v>
      </c>
      <c r="U52" s="4" t="str">
        <f>IFERROR(INDEX('Date Key'!$G$2:$G$19, MATCH(B52,'Date Key'!$B$2:$B$19, 0)), "")</f>
        <v>No</v>
      </c>
      <c r="V52" s="4" t="str">
        <f>IFERROR(INDEX('Date Key'!$D$2:$D$19, MATCH(B52,'Date Key'!$B$2:$B$19, 0)), "")</f>
        <v>Lower</v>
      </c>
      <c r="W52" s="4" t="str">
        <f>IFERROR(INDEX('Date Key'!$H$2:$H$19, MATCH(B52,'Date Key'!$B$2:$B$19, 0)), "")</f>
        <v>No</v>
      </c>
      <c r="X52" s="4">
        <f t="shared" si="5"/>
        <v>0.109</v>
      </c>
      <c r="Y52" s="4">
        <f t="shared" si="6"/>
        <v>5</v>
      </c>
    </row>
    <row r="53" spans="1:25" x14ac:dyDescent="0.35">
      <c r="A53" s="4">
        <v>3</v>
      </c>
      <c r="B53" s="41">
        <v>45195</v>
      </c>
      <c r="C53" s="4" t="s">
        <v>4</v>
      </c>
      <c r="D53" s="4">
        <v>10</v>
      </c>
      <c r="E53" s="4" t="s">
        <v>392</v>
      </c>
      <c r="F53" s="4" t="str">
        <f t="shared" si="4"/>
        <v>tank 2</v>
      </c>
      <c r="G53" s="4">
        <f>IFERROR(INDEX('Date Key'!$I$2:$I$19, MATCH(B53,'Date Key'!$B$2:$B$19, 0)), "")</f>
        <v>1</v>
      </c>
      <c r="H53" s="4">
        <v>120</v>
      </c>
      <c r="I53" s="11">
        <v>0.26123833757421538</v>
      </c>
      <c r="J53" s="11">
        <v>5.1803885291396852E-2</v>
      </c>
      <c r="K53" s="11">
        <v>5.4740957966764418E-2</v>
      </c>
      <c r="L53" s="11">
        <v>1.4118740560009293</v>
      </c>
      <c r="M53" s="11">
        <v>45.890027958993478</v>
      </c>
      <c r="N53" s="11">
        <v>0.36778318083237665</v>
      </c>
      <c r="O53" s="11"/>
      <c r="P53" s="11">
        <v>6.81</v>
      </c>
      <c r="Q53" s="11">
        <v>172.41379310344831</v>
      </c>
      <c r="R53" s="11">
        <v>62.066666666666656</v>
      </c>
      <c r="S53" s="11">
        <v>0.84112332112332122</v>
      </c>
      <c r="T53" s="4">
        <f t="shared" si="1"/>
        <v>2</v>
      </c>
      <c r="U53" s="4" t="str">
        <f>IFERROR(INDEX('Date Key'!$G$2:$G$19, MATCH(B53,'Date Key'!$B$2:$B$19, 0)), "")</f>
        <v>No</v>
      </c>
      <c r="V53" s="4" t="str">
        <f>IFERROR(INDEX('Date Key'!$D$2:$D$19, MATCH(B53,'Date Key'!$B$2:$B$19, 0)), "")</f>
        <v>Lower</v>
      </c>
      <c r="W53" s="4" t="str">
        <f>IFERROR(INDEX('Date Key'!$H$2:$H$19, MATCH(B53,'Date Key'!$B$2:$B$19, 0)), "")</f>
        <v>No</v>
      </c>
      <c r="X53" s="4">
        <f t="shared" si="5"/>
        <v>0.109</v>
      </c>
      <c r="Y53" s="4">
        <f t="shared" si="6"/>
        <v>5</v>
      </c>
    </row>
    <row r="54" spans="1:25" x14ac:dyDescent="0.35">
      <c r="A54" s="4">
        <v>3</v>
      </c>
      <c r="B54" s="41">
        <v>45195</v>
      </c>
      <c r="C54" s="4" t="s">
        <v>4</v>
      </c>
      <c r="D54" s="4">
        <v>11</v>
      </c>
      <c r="E54" s="4" t="s">
        <v>393</v>
      </c>
      <c r="F54" s="4" t="str">
        <f t="shared" si="4"/>
        <v>tank 1</v>
      </c>
      <c r="G54" s="4">
        <f>IFERROR(INDEX('Date Key'!$I$2:$I$19, MATCH(B54,'Date Key'!$B$2:$B$19, 0)), "")</f>
        <v>1</v>
      </c>
      <c r="H54" s="4">
        <v>0</v>
      </c>
      <c r="I54" s="11">
        <v>0.26123833757421538</v>
      </c>
      <c r="J54" s="11">
        <v>0</v>
      </c>
      <c r="K54" s="11">
        <v>0</v>
      </c>
      <c r="L54" s="11">
        <v>0.9364470779598002</v>
      </c>
      <c r="M54" s="11">
        <v>54.501397949673809</v>
      </c>
      <c r="N54" s="11">
        <v>0.26123833757421538</v>
      </c>
      <c r="O54" s="11"/>
      <c r="P54" s="11">
        <v>7.17</v>
      </c>
      <c r="Q54" s="11">
        <v>133.92857142857144</v>
      </c>
      <c r="R54" s="11">
        <v>21.733333333333309</v>
      </c>
      <c r="S54" s="11">
        <v>0.29777777777777786</v>
      </c>
      <c r="T54" s="4">
        <f t="shared" si="1"/>
        <v>1</v>
      </c>
      <c r="U54" s="4" t="str">
        <f>IFERROR(INDEX('Date Key'!$G$2:$G$19, MATCH(B54,'Date Key'!$B$2:$B$19, 0)), "")</f>
        <v>No</v>
      </c>
      <c r="V54" s="4" t="str">
        <f>IFERROR(INDEX('Date Key'!$D$2:$D$19, MATCH(B54,'Date Key'!$B$2:$B$19, 0)), "")</f>
        <v>Lower</v>
      </c>
      <c r="W54" s="4" t="str">
        <f>IFERROR(INDEX('Date Key'!$H$2:$H$19, MATCH(B54,'Date Key'!$B$2:$B$19, 0)), "")</f>
        <v>No</v>
      </c>
      <c r="X54" s="4">
        <f t="shared" si="5"/>
        <v>0.109</v>
      </c>
      <c r="Y54" s="4">
        <f t="shared" si="6"/>
        <v>5</v>
      </c>
    </row>
    <row r="55" spans="1:25" x14ac:dyDescent="0.35">
      <c r="A55" s="4">
        <v>2</v>
      </c>
      <c r="B55" s="41">
        <v>45181</v>
      </c>
      <c r="C55" s="4" t="s">
        <v>4</v>
      </c>
      <c r="D55" s="4">
        <v>1</v>
      </c>
      <c r="E55" s="4" t="s">
        <v>49</v>
      </c>
      <c r="F55" s="4" t="str">
        <f t="shared" si="4"/>
        <v>in</v>
      </c>
      <c r="G55" s="4">
        <f>IFERROR(INDEX('Date Key'!$I$2:$I$19, MATCH(B55,'Date Key'!$B$2:$B$19, 0)), "")</f>
        <v>1</v>
      </c>
      <c r="H55" s="4">
        <v>180</v>
      </c>
      <c r="I55" s="11">
        <v>0.99862825788751708</v>
      </c>
      <c r="J55" s="11">
        <v>4.5328399629972239E-2</v>
      </c>
      <c r="K55" s="11">
        <v>2.4961876832844574</v>
      </c>
      <c r="L55" s="11">
        <v>3.457650749390031</v>
      </c>
      <c r="M55" s="11">
        <v>110.28890959925441</v>
      </c>
      <c r="N55" s="11">
        <v>3.5401443408019464</v>
      </c>
      <c r="O55" s="11"/>
      <c r="P55" s="11">
        <v>7.85</v>
      </c>
      <c r="Q55" s="11">
        <v>113.63636363636364</v>
      </c>
      <c r="R55" s="11">
        <v>38.066666666666656</v>
      </c>
      <c r="S55" s="11">
        <v>2.5016849816849813</v>
      </c>
      <c r="T55" s="4">
        <f t="shared" si="1"/>
        <v>0</v>
      </c>
      <c r="U55" s="4" t="str">
        <f>IFERROR(INDEX('Date Key'!$G$2:$G$19, MATCH(B55,'Date Key'!$B$2:$B$19, 0)), "")</f>
        <v>No</v>
      </c>
      <c r="V55" s="4" t="str">
        <f>IFERROR(INDEX('Date Key'!$D$2:$D$19, MATCH(B55,'Date Key'!$B$2:$B$19, 0)), "")</f>
        <v>Lower</v>
      </c>
      <c r="W55" s="4" t="str">
        <f>IFERROR(INDEX('Date Key'!$H$2:$H$19, MATCH(B55,'Date Key'!$B$2:$B$19, 0)), "")</f>
        <v>No</v>
      </c>
      <c r="X55" s="4">
        <f t="shared" si="5"/>
        <v>0.109</v>
      </c>
      <c r="Y55" s="4">
        <f t="shared" si="6"/>
        <v>5</v>
      </c>
    </row>
    <row r="56" spans="1:25" x14ac:dyDescent="0.35">
      <c r="A56" s="4">
        <v>3</v>
      </c>
      <c r="B56" s="41">
        <v>45195</v>
      </c>
      <c r="C56" s="4" t="s">
        <v>4</v>
      </c>
      <c r="D56" s="4">
        <v>13</v>
      </c>
      <c r="E56" s="4" t="s">
        <v>76</v>
      </c>
      <c r="F56" s="4" t="str">
        <f t="shared" si="4"/>
        <v>in</v>
      </c>
      <c r="G56" s="4">
        <f>IFERROR(INDEX('Date Key'!$I$2:$I$19, MATCH(B56,'Date Key'!$B$2:$B$19, 0)), "")</f>
        <v>1</v>
      </c>
      <c r="H56" s="4">
        <v>180</v>
      </c>
      <c r="I56" s="11">
        <v>0.14249363867684478</v>
      </c>
      <c r="J56" s="11">
        <v>1.942645698427382E-2</v>
      </c>
      <c r="K56" s="11">
        <v>0.66783968719452591</v>
      </c>
      <c r="L56" s="11">
        <v>1.5415359591030557</v>
      </c>
      <c r="M56" s="11">
        <v>83.392357875116488</v>
      </c>
      <c r="N56" s="11">
        <v>0.82975978285564445</v>
      </c>
      <c r="O56" s="11"/>
      <c r="P56" s="11">
        <v>7.84</v>
      </c>
      <c r="Q56" s="11">
        <v>123.8738738738739</v>
      </c>
      <c r="R56" s="11">
        <v>19.400000000000009</v>
      </c>
      <c r="S56" s="11">
        <v>0.74954822954822953</v>
      </c>
      <c r="T56" s="4">
        <f t="shared" si="1"/>
        <v>0</v>
      </c>
      <c r="U56" s="4" t="str">
        <f>IFERROR(INDEX('Date Key'!$G$2:$G$19, MATCH(B56,'Date Key'!$B$2:$B$19, 0)), "")</f>
        <v>No</v>
      </c>
      <c r="V56" s="4" t="str">
        <f>IFERROR(INDEX('Date Key'!$D$2:$D$19, MATCH(B56,'Date Key'!$B$2:$B$19, 0)), "")</f>
        <v>Lower</v>
      </c>
      <c r="W56" s="4" t="str">
        <f>IFERROR(INDEX('Date Key'!$H$2:$H$19, MATCH(B56,'Date Key'!$B$2:$B$19, 0)), "")</f>
        <v>No</v>
      </c>
      <c r="X56" s="4">
        <f t="shared" si="5"/>
        <v>0.109</v>
      </c>
      <c r="Y56" s="4">
        <f t="shared" si="6"/>
        <v>5</v>
      </c>
    </row>
    <row r="57" spans="1:25" x14ac:dyDescent="0.35">
      <c r="A57" s="4">
        <v>3</v>
      </c>
      <c r="B57" s="41">
        <v>45195</v>
      </c>
      <c r="C57" s="4" t="s">
        <v>4</v>
      </c>
      <c r="D57" s="4">
        <v>14</v>
      </c>
      <c r="E57" s="4" t="s">
        <v>394</v>
      </c>
      <c r="F57" s="4" t="str">
        <f t="shared" ref="F57:F66" si="7">MID(E57, SEARCH(" ", E57) + 1, LEN(E57))</f>
        <v>tank 2</v>
      </c>
      <c r="G57" s="4">
        <f>IFERROR(INDEX('Date Key'!$I$2:$I$19, MATCH(B57,'Date Key'!$B$2:$B$19, 0)), "")</f>
        <v>1</v>
      </c>
      <c r="H57" s="4">
        <v>0</v>
      </c>
      <c r="I57" s="11">
        <v>4.7497879558948262E-2</v>
      </c>
      <c r="J57" s="11">
        <v>2.5901942645698426E-2</v>
      </c>
      <c r="K57" s="11">
        <v>2.1896383186705767E-2</v>
      </c>
      <c r="L57" s="11">
        <v>1.4695015684907635</v>
      </c>
      <c r="M57" s="11">
        <v>3.9328984156570361</v>
      </c>
      <c r="N57" s="11">
        <v>9.5296205391352459E-2</v>
      </c>
      <c r="O57" s="11"/>
      <c r="P57" s="11">
        <v>6.83</v>
      </c>
      <c r="Q57" s="11">
        <v>199.57983193277309</v>
      </c>
      <c r="R57" s="11">
        <v>79.73333333333332</v>
      </c>
      <c r="S57" s="11">
        <v>0.8044932844932845</v>
      </c>
      <c r="T57" s="4">
        <f t="shared" si="1"/>
        <v>2</v>
      </c>
      <c r="U57" s="4" t="str">
        <f>IFERROR(INDEX('Date Key'!$G$2:$G$19, MATCH(B57,'Date Key'!$B$2:$B$19, 0)), "")</f>
        <v>No</v>
      </c>
      <c r="V57" s="4" t="str">
        <f>IFERROR(INDEX('Date Key'!$D$2:$D$19, MATCH(B57,'Date Key'!$B$2:$B$19, 0)), "")</f>
        <v>Lower</v>
      </c>
      <c r="W57" s="4" t="str">
        <f>IFERROR(INDEX('Date Key'!$H$2:$H$19, MATCH(B57,'Date Key'!$B$2:$B$19, 0)), "")</f>
        <v>No</v>
      </c>
      <c r="X57" s="4">
        <f t="shared" ref="X57:X66" si="8">IFERROR(INDEX($AB$8:$AB$10, MATCH(C57, $AA$8:$AA$10, 0)), "")</f>
        <v>0.109</v>
      </c>
      <c r="Y57" s="4">
        <f t="shared" ref="Y57:Y66" si="9">IFERROR(INDEX($AC$8:$AC$10, MATCH(C57, $AA$8:$AA$10, 0)), "")</f>
        <v>5</v>
      </c>
    </row>
    <row r="58" spans="1:25" x14ac:dyDescent="0.35">
      <c r="A58" s="4">
        <v>3</v>
      </c>
      <c r="B58" s="41">
        <v>45195</v>
      </c>
      <c r="C58" s="4" t="s">
        <v>4</v>
      </c>
      <c r="D58" s="4">
        <v>15</v>
      </c>
      <c r="E58" s="4" t="s">
        <v>395</v>
      </c>
      <c r="F58" s="4" t="str">
        <f t="shared" si="7"/>
        <v>tank 1</v>
      </c>
      <c r="G58" s="4">
        <f>IFERROR(INDEX('Date Key'!$I$2:$I$19, MATCH(B58,'Date Key'!$B$2:$B$19, 0)), "")</f>
        <v>1</v>
      </c>
      <c r="H58" s="4">
        <v>90</v>
      </c>
      <c r="I58" s="11">
        <v>9.4995759117896525E-2</v>
      </c>
      <c r="J58" s="11">
        <v>0</v>
      </c>
      <c r="K58" s="11">
        <v>2.1896383186705767E-2</v>
      </c>
      <c r="L58" s="11">
        <v>0.97966771232717553</v>
      </c>
      <c r="M58" s="11">
        <v>51.239515377446409</v>
      </c>
      <c r="N58" s="11">
        <v>0.11689214230460229</v>
      </c>
      <c r="O58" s="11"/>
      <c r="P58" s="11">
        <v>6.93</v>
      </c>
      <c r="Q58" s="11">
        <v>133.92857142857144</v>
      </c>
      <c r="R58" s="11">
        <v>27.066666666666645</v>
      </c>
      <c r="S58" s="11">
        <v>0.18178266178266175</v>
      </c>
      <c r="T58" s="4">
        <f t="shared" si="1"/>
        <v>1</v>
      </c>
      <c r="U58" s="4" t="str">
        <f>IFERROR(INDEX('Date Key'!$G$2:$G$19, MATCH(B58,'Date Key'!$B$2:$B$19, 0)), "")</f>
        <v>No</v>
      </c>
      <c r="V58" s="4" t="str">
        <f>IFERROR(INDEX('Date Key'!$D$2:$D$19, MATCH(B58,'Date Key'!$B$2:$B$19, 0)), "")</f>
        <v>Lower</v>
      </c>
      <c r="W58" s="4" t="str">
        <f>IFERROR(INDEX('Date Key'!$H$2:$H$19, MATCH(B58,'Date Key'!$B$2:$B$19, 0)), "")</f>
        <v>No</v>
      </c>
      <c r="X58" s="4">
        <f t="shared" si="8"/>
        <v>0.109</v>
      </c>
      <c r="Y58" s="4">
        <f t="shared" si="9"/>
        <v>5</v>
      </c>
    </row>
    <row r="59" spans="1:25" x14ac:dyDescent="0.35">
      <c r="A59" s="4">
        <v>3</v>
      </c>
      <c r="B59" s="41">
        <v>45195</v>
      </c>
      <c r="C59" s="4" t="s">
        <v>4</v>
      </c>
      <c r="D59" s="4">
        <v>16</v>
      </c>
      <c r="E59" s="4" t="s">
        <v>396</v>
      </c>
      <c r="F59" s="4" t="str">
        <f t="shared" si="7"/>
        <v>tank 1</v>
      </c>
      <c r="G59" s="4">
        <f>IFERROR(INDEX('Date Key'!$I$2:$I$19, MATCH(B59,'Date Key'!$B$2:$B$19, 0)), "")</f>
        <v>1</v>
      </c>
      <c r="H59" s="4">
        <v>30</v>
      </c>
      <c r="I59" s="11">
        <v>0.28498727735368956</v>
      </c>
      <c r="J59" s="11">
        <v>0</v>
      </c>
      <c r="K59" s="11">
        <v>0</v>
      </c>
      <c r="L59" s="11">
        <v>0.86441268734750776</v>
      </c>
      <c r="M59" s="11">
        <v>47.753960857409126</v>
      </c>
      <c r="N59" s="11">
        <v>0.28498727735368956</v>
      </c>
      <c r="O59" s="11"/>
      <c r="P59" s="11">
        <v>6.97</v>
      </c>
      <c r="Q59" s="11">
        <v>133.92857142857144</v>
      </c>
      <c r="R59" s="11">
        <v>29.733333333333313</v>
      </c>
      <c r="S59" s="11">
        <v>0.15736263736263739</v>
      </c>
      <c r="T59" s="4">
        <f t="shared" si="1"/>
        <v>1</v>
      </c>
      <c r="U59" s="4" t="str">
        <f>IFERROR(INDEX('Date Key'!$G$2:$G$19, MATCH(B59,'Date Key'!$B$2:$B$19, 0)), "")</f>
        <v>No</v>
      </c>
      <c r="V59" s="4" t="str">
        <f>IFERROR(INDEX('Date Key'!$D$2:$D$19, MATCH(B59,'Date Key'!$B$2:$B$19, 0)), "")</f>
        <v>Lower</v>
      </c>
      <c r="W59" s="4" t="str">
        <f>IFERROR(INDEX('Date Key'!$H$2:$H$19, MATCH(B59,'Date Key'!$B$2:$B$19, 0)), "")</f>
        <v>No</v>
      </c>
      <c r="X59" s="4">
        <f t="shared" si="8"/>
        <v>0.109</v>
      </c>
      <c r="Y59" s="4">
        <f t="shared" si="9"/>
        <v>5</v>
      </c>
    </row>
    <row r="60" spans="1:25" x14ac:dyDescent="0.35">
      <c r="A60" s="4">
        <v>3</v>
      </c>
      <c r="B60" s="41">
        <v>45195</v>
      </c>
      <c r="C60" s="4" t="s">
        <v>4</v>
      </c>
      <c r="D60" s="4">
        <v>17</v>
      </c>
      <c r="E60" s="4" t="s">
        <v>397</v>
      </c>
      <c r="F60" s="4" t="str">
        <f t="shared" si="7"/>
        <v>tank 2</v>
      </c>
      <c r="G60" s="4">
        <f>IFERROR(INDEX('Date Key'!$I$2:$I$19, MATCH(B60,'Date Key'!$B$2:$B$19, 0)), "")</f>
        <v>1</v>
      </c>
      <c r="H60" s="4">
        <v>60</v>
      </c>
      <c r="I60" s="11">
        <v>0.21374045801526714</v>
      </c>
      <c r="J60" s="11">
        <v>0</v>
      </c>
      <c r="K60" s="11">
        <v>0</v>
      </c>
      <c r="L60" s="11">
        <v>1.4118740560009293</v>
      </c>
      <c r="M60" s="11">
        <v>3.9515377446411928</v>
      </c>
      <c r="N60" s="11">
        <v>0.21374045801526714</v>
      </c>
      <c r="O60" s="11"/>
      <c r="P60" s="11">
        <v>6.76</v>
      </c>
      <c r="Q60" s="11">
        <v>216.94214876033061</v>
      </c>
      <c r="R60" s="11">
        <v>90.399999999999991</v>
      </c>
      <c r="S60" s="11">
        <v>0.8838583638583638</v>
      </c>
      <c r="T60" s="4">
        <f t="shared" si="1"/>
        <v>2</v>
      </c>
      <c r="U60" s="4" t="str">
        <f>IFERROR(INDEX('Date Key'!$G$2:$G$19, MATCH(B60,'Date Key'!$B$2:$B$19, 0)), "")</f>
        <v>No</v>
      </c>
      <c r="V60" s="4" t="str">
        <f>IFERROR(INDEX('Date Key'!$D$2:$D$19, MATCH(B60,'Date Key'!$B$2:$B$19, 0)), "")</f>
        <v>Lower</v>
      </c>
      <c r="W60" s="4" t="str">
        <f>IFERROR(INDEX('Date Key'!$H$2:$H$19, MATCH(B60,'Date Key'!$B$2:$B$19, 0)), "")</f>
        <v>No</v>
      </c>
      <c r="X60" s="4">
        <f t="shared" si="8"/>
        <v>0.109</v>
      </c>
      <c r="Y60" s="4">
        <f t="shared" si="9"/>
        <v>5</v>
      </c>
    </row>
    <row r="61" spans="1:25" x14ac:dyDescent="0.35">
      <c r="A61" s="4">
        <v>3</v>
      </c>
      <c r="B61" s="41">
        <v>45195</v>
      </c>
      <c r="C61" s="4" t="s">
        <v>4</v>
      </c>
      <c r="D61" s="4">
        <v>18</v>
      </c>
      <c r="E61" s="4" t="s">
        <v>398</v>
      </c>
      <c r="F61" s="4" t="str">
        <f t="shared" si="7"/>
        <v>tank 2</v>
      </c>
      <c r="G61" s="4">
        <f>IFERROR(INDEX('Date Key'!$I$2:$I$19, MATCH(B61,'Date Key'!$B$2:$B$19, 0)), "")</f>
        <v>1</v>
      </c>
      <c r="H61" s="4">
        <v>30</v>
      </c>
      <c r="I61" s="11">
        <v>0</v>
      </c>
      <c r="J61" s="11">
        <v>1.2950971322849213E-2</v>
      </c>
      <c r="K61" s="11">
        <v>2.7370478983382209E-2</v>
      </c>
      <c r="L61" s="11">
        <v>1.6856047403276406</v>
      </c>
      <c r="M61" s="11">
        <v>0.950605778191985</v>
      </c>
      <c r="N61" s="11">
        <v>4.0321450306231424E-2</v>
      </c>
      <c r="O61" s="11"/>
      <c r="P61" s="11">
        <v>6.8</v>
      </c>
      <c r="Q61" s="11">
        <v>216.94214876033061</v>
      </c>
      <c r="R61" s="11">
        <v>90.733333333333334</v>
      </c>
      <c r="S61" s="11">
        <v>0.89606837606837597</v>
      </c>
      <c r="T61" s="4">
        <f t="shared" si="1"/>
        <v>2</v>
      </c>
      <c r="U61" s="4" t="str">
        <f>IFERROR(INDEX('Date Key'!$G$2:$G$19, MATCH(B61,'Date Key'!$B$2:$B$19, 0)), "")</f>
        <v>No</v>
      </c>
      <c r="V61" s="4" t="str">
        <f>IFERROR(INDEX('Date Key'!$D$2:$D$19, MATCH(B61,'Date Key'!$B$2:$B$19, 0)), "")</f>
        <v>Lower</v>
      </c>
      <c r="W61" s="4" t="str">
        <f>IFERROR(INDEX('Date Key'!$H$2:$H$19, MATCH(B61,'Date Key'!$B$2:$B$19, 0)), "")</f>
        <v>No</v>
      </c>
      <c r="X61" s="4">
        <f t="shared" si="8"/>
        <v>0.109</v>
      </c>
      <c r="Y61" s="4">
        <f t="shared" si="9"/>
        <v>5</v>
      </c>
    </row>
    <row r="62" spans="1:25" x14ac:dyDescent="0.35">
      <c r="A62" s="4">
        <v>3</v>
      </c>
      <c r="B62" s="41">
        <v>45195</v>
      </c>
      <c r="C62" s="4" t="s">
        <v>4</v>
      </c>
      <c r="D62" s="4">
        <v>19</v>
      </c>
      <c r="E62" s="4" t="s">
        <v>399</v>
      </c>
      <c r="F62" s="4" t="str">
        <f t="shared" si="7"/>
        <v>tank 2</v>
      </c>
      <c r="G62" s="4">
        <f>IFERROR(INDEX('Date Key'!$I$2:$I$19, MATCH(B62,'Date Key'!$B$2:$B$19, 0)), "")</f>
        <v>1</v>
      </c>
      <c r="H62" s="4">
        <v>180</v>
      </c>
      <c r="I62" s="11">
        <v>0.18999151823579305</v>
      </c>
      <c r="J62" s="11">
        <v>5.1803885291396852E-2</v>
      </c>
      <c r="K62" s="11">
        <v>0</v>
      </c>
      <c r="L62" s="11">
        <v>1.2101777622865111</v>
      </c>
      <c r="M62" s="11">
        <v>61.52842497670084</v>
      </c>
      <c r="N62" s="11">
        <v>0.24179540352718989</v>
      </c>
      <c r="O62" s="11"/>
      <c r="P62" s="11">
        <v>6.88</v>
      </c>
      <c r="Q62" s="11">
        <v>133.92857142857144</v>
      </c>
      <c r="R62" s="11">
        <v>40.066666666666656</v>
      </c>
      <c r="S62" s="11">
        <v>0.31609279609279606</v>
      </c>
      <c r="T62" s="4">
        <f t="shared" si="1"/>
        <v>2</v>
      </c>
      <c r="U62" s="4" t="str">
        <f>IFERROR(INDEX('Date Key'!$G$2:$G$19, MATCH(B62,'Date Key'!$B$2:$B$19, 0)), "")</f>
        <v>No</v>
      </c>
      <c r="V62" s="4" t="str">
        <f>IFERROR(INDEX('Date Key'!$D$2:$D$19, MATCH(B62,'Date Key'!$B$2:$B$19, 0)), "")</f>
        <v>Lower</v>
      </c>
      <c r="W62" s="4" t="str">
        <f>IFERROR(INDEX('Date Key'!$H$2:$H$19, MATCH(B62,'Date Key'!$B$2:$B$19, 0)), "")</f>
        <v>No</v>
      </c>
      <c r="X62" s="4">
        <f t="shared" si="8"/>
        <v>0.109</v>
      </c>
      <c r="Y62" s="4">
        <f t="shared" si="9"/>
        <v>5</v>
      </c>
    </row>
    <row r="63" spans="1:25" x14ac:dyDescent="0.35">
      <c r="A63" s="4">
        <v>3</v>
      </c>
      <c r="B63" s="41">
        <v>45195</v>
      </c>
      <c r="C63" s="4" t="s">
        <v>4</v>
      </c>
      <c r="D63" s="4">
        <v>20</v>
      </c>
      <c r="E63" s="4" t="s">
        <v>400</v>
      </c>
      <c r="F63" s="4" t="str">
        <f t="shared" si="7"/>
        <v>tank 2</v>
      </c>
      <c r="G63" s="4">
        <f>IFERROR(INDEX('Date Key'!$I$2:$I$19, MATCH(B63,'Date Key'!$B$2:$B$19, 0)), "")</f>
        <v>1</v>
      </c>
      <c r="H63" s="4">
        <v>90</v>
      </c>
      <c r="I63" s="11">
        <v>0.11874469889737066</v>
      </c>
      <c r="J63" s="11">
        <v>3.2377428307123035E-2</v>
      </c>
      <c r="K63" s="11">
        <v>3.8318670576735089E-2</v>
      </c>
      <c r="L63" s="11">
        <v>1.4695015684907635</v>
      </c>
      <c r="M63" s="11">
        <v>17.054986020503261</v>
      </c>
      <c r="N63" s="11">
        <v>0.1894407977812288</v>
      </c>
      <c r="O63" s="11"/>
      <c r="P63" s="11">
        <v>6.76</v>
      </c>
      <c r="Q63" s="11">
        <v>199.57983193277309</v>
      </c>
      <c r="R63" s="11">
        <v>79.399999999999991</v>
      </c>
      <c r="S63" s="11">
        <v>0.87164835164835175</v>
      </c>
      <c r="T63" s="4">
        <f t="shared" si="1"/>
        <v>2</v>
      </c>
      <c r="U63" s="4" t="str">
        <f>IFERROR(INDEX('Date Key'!$G$2:$G$19, MATCH(B63,'Date Key'!$B$2:$B$19, 0)), "")</f>
        <v>No</v>
      </c>
      <c r="V63" s="4" t="str">
        <f>IFERROR(INDEX('Date Key'!$D$2:$D$19, MATCH(B63,'Date Key'!$B$2:$B$19, 0)), "")</f>
        <v>Lower</v>
      </c>
      <c r="W63" s="4" t="str">
        <f>IFERROR(INDEX('Date Key'!$H$2:$H$19, MATCH(B63,'Date Key'!$B$2:$B$19, 0)), "")</f>
        <v>No</v>
      </c>
      <c r="X63" s="4">
        <f t="shared" si="8"/>
        <v>0.109</v>
      </c>
      <c r="Y63" s="4">
        <f t="shared" si="9"/>
        <v>5</v>
      </c>
    </row>
    <row r="64" spans="1:25" s="27" customFormat="1" x14ac:dyDescent="0.35">
      <c r="A64" s="27">
        <v>3</v>
      </c>
      <c r="B64" s="42">
        <v>45195</v>
      </c>
      <c r="C64" s="27" t="s">
        <v>4</v>
      </c>
      <c r="D64" s="27">
        <v>21</v>
      </c>
      <c r="E64" s="27" t="s">
        <v>401</v>
      </c>
      <c r="F64" s="27" t="str">
        <f t="shared" si="7"/>
        <v>tank 2</v>
      </c>
      <c r="G64" s="27">
        <f>IFERROR(INDEX('Date Key'!$I$2:$I$19, MATCH(B64,'Date Key'!$B$2:$B$19, 0)), "")</f>
        <v>1</v>
      </c>
      <c r="H64" s="27">
        <v>150</v>
      </c>
      <c r="I64" s="28">
        <v>4.7497879558948262E-2</v>
      </c>
      <c r="J64" s="28">
        <v>3.8852913968547641E-2</v>
      </c>
      <c r="K64" s="28">
        <v>0</v>
      </c>
      <c r="L64" s="28">
        <v>1.368653421633554</v>
      </c>
      <c r="M64" s="28">
        <v>56.682199440820128</v>
      </c>
      <c r="N64" s="28">
        <v>8.6350793527495903E-2</v>
      </c>
      <c r="O64" s="28"/>
      <c r="P64" s="28">
        <v>6.84</v>
      </c>
      <c r="Q64" s="28">
        <v>153.50877192982455</v>
      </c>
      <c r="R64" s="28">
        <v>48.4</v>
      </c>
      <c r="S64" s="28">
        <v>0.73123321123321117</v>
      </c>
      <c r="T64" s="27">
        <f t="shared" si="1"/>
        <v>2</v>
      </c>
      <c r="U64" s="27" t="str">
        <f>IFERROR(INDEX('Date Key'!$G$2:$G$19, MATCH(B64,'Date Key'!$B$2:$B$19, 0)), "")</f>
        <v>No</v>
      </c>
      <c r="V64" s="27" t="str">
        <f>IFERROR(INDEX('Date Key'!$D$2:$D$19, MATCH(B64,'Date Key'!$B$2:$B$19, 0)), "")</f>
        <v>Lower</v>
      </c>
      <c r="W64" s="27" t="str">
        <f>IFERROR(INDEX('Date Key'!$H$2:$H$19, MATCH(B64,'Date Key'!$B$2:$B$19, 0)), "")</f>
        <v>No</v>
      </c>
      <c r="X64" s="27">
        <f t="shared" si="8"/>
        <v>0.109</v>
      </c>
      <c r="Y64" s="27">
        <f t="shared" si="9"/>
        <v>5</v>
      </c>
    </row>
    <row r="65" spans="1:25" x14ac:dyDescent="0.35">
      <c r="A65" s="4">
        <v>4</v>
      </c>
      <c r="B65" s="41">
        <v>45217</v>
      </c>
      <c r="C65" s="4" t="s">
        <v>6</v>
      </c>
      <c r="D65" s="4">
        <v>1</v>
      </c>
      <c r="E65" s="4" t="s">
        <v>77</v>
      </c>
      <c r="F65" s="4" t="str">
        <f t="shared" si="7"/>
        <v>in</v>
      </c>
      <c r="G65" s="4">
        <f>IFERROR(INDEX('Date Key'!$I$2:$I$19, MATCH(B65,'Date Key'!$B$2:$B$19, 0)), "")</f>
        <v>2</v>
      </c>
      <c r="H65" s="4">
        <v>90</v>
      </c>
      <c r="I65" s="11">
        <v>7.124681933842239E-2</v>
      </c>
      <c r="J65" s="11">
        <v>3.509777236587637E-2</v>
      </c>
      <c r="K65" s="11">
        <v>0.92238860855175786</v>
      </c>
      <c r="L65" s="11">
        <v>2.1643394199785173</v>
      </c>
      <c r="M65" s="11">
        <v>120.29154518950436</v>
      </c>
      <c r="N65" s="11">
        <v>1.0287332002560565</v>
      </c>
      <c r="O65" s="11"/>
      <c r="P65" s="11">
        <v>8</v>
      </c>
      <c r="Q65" s="11">
        <v>132.57575757575754</v>
      </c>
      <c r="R65" s="11">
        <v>64.73333333333332</v>
      </c>
      <c r="S65" s="11">
        <v>1.155848595848596</v>
      </c>
      <c r="T65" s="4">
        <f t="shared" si="1"/>
        <v>0</v>
      </c>
      <c r="U65" s="4" t="str">
        <f>IFERROR(INDEX('Date Key'!$G$2:$G$19, MATCH(B65,'Date Key'!$B$2:$B$19, 0)), "")</f>
        <v>No</v>
      </c>
      <c r="V65" s="4" t="str">
        <f>IFERROR(INDEX('Date Key'!$D$2:$D$19, MATCH(B65,'Date Key'!$B$2:$B$19, 0)), "")</f>
        <v>Lower</v>
      </c>
      <c r="W65" s="4" t="str">
        <f>IFERROR(INDEX('Date Key'!$H$2:$H$19, MATCH(B65,'Date Key'!$B$2:$B$19, 0)), "")</f>
        <v>No</v>
      </c>
      <c r="X65" s="4">
        <f t="shared" si="8"/>
        <v>0.218</v>
      </c>
      <c r="Y65" s="4">
        <f t="shared" si="9"/>
        <v>2.5</v>
      </c>
    </row>
    <row r="66" spans="1:25" x14ac:dyDescent="0.35">
      <c r="A66" s="4">
        <v>4</v>
      </c>
      <c r="B66" s="41">
        <v>45217</v>
      </c>
      <c r="C66" s="4" t="s">
        <v>6</v>
      </c>
      <c r="D66" s="4">
        <v>2</v>
      </c>
      <c r="E66" s="4" t="s">
        <v>78</v>
      </c>
      <c r="F66" s="4" t="str">
        <f t="shared" si="7"/>
        <v>in</v>
      </c>
      <c r="G66" s="4">
        <f>IFERROR(INDEX('Date Key'!$I$2:$I$19, MATCH(B66,'Date Key'!$B$2:$B$19, 0)), "")</f>
        <v>2</v>
      </c>
      <c r="H66" s="4">
        <v>0</v>
      </c>
      <c r="I66" s="11">
        <v>7.124681933842239E-2</v>
      </c>
      <c r="J66" s="11">
        <v>5.0139674808394805E-2</v>
      </c>
      <c r="K66" s="11">
        <v>3.5479785082432733</v>
      </c>
      <c r="L66" s="11">
        <v>0.66595059076262086</v>
      </c>
      <c r="M66" s="11">
        <v>118.55685131195334</v>
      </c>
      <c r="N66" s="11">
        <v>3.6693650023900903</v>
      </c>
      <c r="O66" s="11"/>
      <c r="P66" s="11">
        <v>7.18</v>
      </c>
      <c r="Q66" s="11">
        <v>88.58267716535434</v>
      </c>
      <c r="R66" s="11">
        <v>79.73333333333332</v>
      </c>
      <c r="S66" s="11">
        <v>2.0024420024420328E-3</v>
      </c>
      <c r="T66" s="4">
        <f t="shared" ref="T66:T129" si="10">IFERROR(INDEX($AB$3:$AB$5, MATCH(F66, $AA$3:$AA$5, 0)), "")</f>
        <v>0</v>
      </c>
      <c r="U66" s="4" t="str">
        <f>IFERROR(INDEX('Date Key'!$G$2:$G$19, MATCH(B66,'Date Key'!$B$2:$B$19, 0)), "")</f>
        <v>No</v>
      </c>
      <c r="V66" s="4" t="str">
        <f>IFERROR(INDEX('Date Key'!$D$2:$D$19, MATCH(B66,'Date Key'!$B$2:$B$19, 0)), "")</f>
        <v>Lower</v>
      </c>
      <c r="W66" s="4" t="str">
        <f>IFERROR(INDEX('Date Key'!$H$2:$H$19, MATCH(B66,'Date Key'!$B$2:$B$19, 0)), "")</f>
        <v>No</v>
      </c>
      <c r="X66" s="4">
        <f t="shared" si="8"/>
        <v>0.218</v>
      </c>
      <c r="Y66" s="4">
        <f t="shared" si="9"/>
        <v>2.5</v>
      </c>
    </row>
    <row r="67" spans="1:25" x14ac:dyDescent="0.35">
      <c r="A67" s="4">
        <v>4</v>
      </c>
      <c r="B67" s="41">
        <v>45217</v>
      </c>
      <c r="C67" s="4" t="s">
        <v>6</v>
      </c>
      <c r="D67" s="4">
        <v>3</v>
      </c>
      <c r="E67" s="4" t="s">
        <v>79</v>
      </c>
      <c r="F67" s="4" t="str">
        <f t="shared" ref="F67:F130" si="11">MID(E67, SEARCH(" ", E67) + 1, LEN(E67))</f>
        <v>in</v>
      </c>
      <c r="G67" s="4">
        <f>IFERROR(INDEX('Date Key'!$I$2:$I$19, MATCH(B67,'Date Key'!$B$2:$B$19, 0)), "")</f>
        <v>2</v>
      </c>
      <c r="H67" s="4">
        <v>30</v>
      </c>
      <c r="I67" s="11">
        <v>0.44529262086513999</v>
      </c>
      <c r="J67" s="11">
        <v>4.0111739846715851E-2</v>
      </c>
      <c r="K67" s="11">
        <v>2.9730944452389219</v>
      </c>
      <c r="L67" s="11">
        <v>0.76584317937701396</v>
      </c>
      <c r="M67" s="11">
        <v>137.49271137026238</v>
      </c>
      <c r="N67" s="11">
        <v>3.4584988059507777</v>
      </c>
      <c r="O67" s="11"/>
      <c r="P67" s="11">
        <v>7.14</v>
      </c>
      <c r="Q67" s="11">
        <v>79.365079365079367</v>
      </c>
      <c r="R67" s="11">
        <v>81.066666666666649</v>
      </c>
      <c r="S67" s="11">
        <v>0.23399267399267398</v>
      </c>
      <c r="T67" s="4">
        <f t="shared" si="10"/>
        <v>0</v>
      </c>
      <c r="U67" s="4" t="str">
        <f>IFERROR(INDEX('Date Key'!$G$2:$G$19, MATCH(B67,'Date Key'!$B$2:$B$19, 0)), "")</f>
        <v>No</v>
      </c>
      <c r="V67" s="4" t="str">
        <f>IFERROR(INDEX('Date Key'!$D$2:$D$19, MATCH(B67,'Date Key'!$B$2:$B$19, 0)), "")</f>
        <v>Lower</v>
      </c>
      <c r="W67" s="4" t="str">
        <f>IFERROR(INDEX('Date Key'!$H$2:$H$19, MATCH(B67,'Date Key'!$B$2:$B$19, 0)), "")</f>
        <v>No</v>
      </c>
      <c r="X67" s="4">
        <f t="shared" ref="X67:X130" si="12">IFERROR(INDEX($AB$8:$AB$10, MATCH(C67, $AA$8:$AA$10, 0)), "")</f>
        <v>0.218</v>
      </c>
      <c r="Y67" s="4">
        <f t="shared" ref="Y67:Y130" si="13">IFERROR(INDEX($AC$8:$AC$10, MATCH(C67, $AA$8:$AA$10, 0)), "")</f>
        <v>2.5</v>
      </c>
    </row>
    <row r="68" spans="1:25" x14ac:dyDescent="0.35">
      <c r="A68" s="4">
        <v>4</v>
      </c>
      <c r="B68" s="41">
        <v>45217</v>
      </c>
      <c r="C68" s="4" t="s">
        <v>6</v>
      </c>
      <c r="D68" s="4">
        <v>4</v>
      </c>
      <c r="E68" s="4" t="s">
        <v>80</v>
      </c>
      <c r="F68" s="4" t="str">
        <f t="shared" si="11"/>
        <v>tank 1</v>
      </c>
      <c r="G68" s="4">
        <f>IFERROR(INDEX('Date Key'!$I$2:$I$19, MATCH(B68,'Date Key'!$B$2:$B$19, 0)), "")</f>
        <v>2</v>
      </c>
      <c r="H68" s="4">
        <v>90</v>
      </c>
      <c r="I68" s="11">
        <v>0.60559796437659041</v>
      </c>
      <c r="J68" s="11">
        <v>3.008380488503689E-2</v>
      </c>
      <c r="K68" s="11">
        <v>0.18876790128501089</v>
      </c>
      <c r="L68" s="11">
        <v>0.71034729681346231</v>
      </c>
      <c r="M68" s="11">
        <v>107.12827988338192</v>
      </c>
      <c r="N68" s="11">
        <v>0.8244496705466382</v>
      </c>
      <c r="O68" s="11"/>
      <c r="P68" s="11">
        <v>7.05</v>
      </c>
      <c r="Q68" s="11">
        <v>115.38461538461539</v>
      </c>
      <c r="R68" s="11">
        <v>76.399999999999991</v>
      </c>
      <c r="S68" s="11">
        <v>0.1424175824175824</v>
      </c>
      <c r="T68" s="4">
        <f t="shared" si="10"/>
        <v>1</v>
      </c>
      <c r="U68" s="4" t="str">
        <f>IFERROR(INDEX('Date Key'!$G$2:$G$19, MATCH(B68,'Date Key'!$B$2:$B$19, 0)), "")</f>
        <v>No</v>
      </c>
      <c r="V68" s="4" t="str">
        <f>IFERROR(INDEX('Date Key'!$D$2:$D$19, MATCH(B68,'Date Key'!$B$2:$B$19, 0)), "")</f>
        <v>Lower</v>
      </c>
      <c r="W68" s="4" t="str">
        <f>IFERROR(INDEX('Date Key'!$H$2:$H$19, MATCH(B68,'Date Key'!$B$2:$B$19, 0)), "")</f>
        <v>No</v>
      </c>
      <c r="X68" s="4">
        <f t="shared" si="12"/>
        <v>0.218</v>
      </c>
      <c r="Y68" s="4">
        <f t="shared" si="13"/>
        <v>2.5</v>
      </c>
    </row>
    <row r="69" spans="1:25" x14ac:dyDescent="0.35">
      <c r="A69" s="4">
        <v>4</v>
      </c>
      <c r="B69" s="41">
        <v>45217</v>
      </c>
      <c r="C69" s="4" t="s">
        <v>6</v>
      </c>
      <c r="D69" s="4">
        <v>5</v>
      </c>
      <c r="E69" s="4" t="s">
        <v>219</v>
      </c>
      <c r="F69" s="4" t="str">
        <f>MID(E69, SEARCH(" ", E69) + 1, LEN(E69))</f>
        <v>in</v>
      </c>
      <c r="G69" s="4">
        <f>IFERROR(INDEX('Date Key'!$I$2:$I$19, MATCH(B69,'Date Key'!$B$2:$B$19, 0)), "")</f>
        <v>2</v>
      </c>
      <c r="H69" s="4">
        <v>60</v>
      </c>
      <c r="I69" s="11">
        <v>0</v>
      </c>
      <c r="J69" s="11">
        <v>0</v>
      </c>
      <c r="K69" s="11">
        <v>0.97816094302232937</v>
      </c>
      <c r="L69" s="11">
        <v>1.7203723594701037</v>
      </c>
      <c r="M69" s="11">
        <v>119.50437317784257</v>
      </c>
      <c r="N69" s="11">
        <v>0.97816094302232937</v>
      </c>
      <c r="O69" s="11"/>
      <c r="P69" s="11">
        <v>7.93</v>
      </c>
      <c r="Q69" s="11">
        <v>124.04580152671754</v>
      </c>
      <c r="R69" s="11">
        <v>69.066666666666663</v>
      </c>
      <c r="S69" s="11">
        <v>1.0825885225885228</v>
      </c>
      <c r="T69" s="4">
        <f t="shared" si="10"/>
        <v>0</v>
      </c>
      <c r="U69" s="4" t="str">
        <f>IFERROR(INDEX('Date Key'!$G$2:$G$19, MATCH(B69,'Date Key'!$B$2:$B$19, 0)), "")</f>
        <v>No</v>
      </c>
      <c r="V69" s="4" t="str">
        <f>IFERROR(INDEX('Date Key'!$D$2:$D$19, MATCH(B69,'Date Key'!$B$2:$B$19, 0)), "")</f>
        <v>Lower</v>
      </c>
      <c r="W69" s="4" t="str">
        <f>IFERROR(INDEX('Date Key'!$H$2:$H$19, MATCH(B69,'Date Key'!$B$2:$B$19, 0)), "")</f>
        <v>No</v>
      </c>
      <c r="X69" s="4">
        <f t="shared" si="12"/>
        <v>0.218</v>
      </c>
      <c r="Y69" s="4">
        <f t="shared" si="13"/>
        <v>2.5</v>
      </c>
    </row>
    <row r="70" spans="1:25" x14ac:dyDescent="0.35">
      <c r="A70" s="4">
        <v>4</v>
      </c>
      <c r="B70" s="41">
        <v>45217</v>
      </c>
      <c r="C70" s="4" t="s">
        <v>6</v>
      </c>
      <c r="D70" s="4">
        <v>6</v>
      </c>
      <c r="E70" s="4" t="s">
        <v>81</v>
      </c>
      <c r="F70" s="4" t="str">
        <f t="shared" si="11"/>
        <v>in</v>
      </c>
      <c r="G70" s="4">
        <f>IFERROR(INDEX('Date Key'!$I$2:$I$19, MATCH(B70,'Date Key'!$B$2:$B$19, 0)), "")</f>
        <v>2</v>
      </c>
      <c r="H70" s="4">
        <v>120</v>
      </c>
      <c r="I70" s="11">
        <v>0</v>
      </c>
      <c r="J70" s="11">
        <v>2.5069837404197402E-2</v>
      </c>
      <c r="K70" s="11">
        <v>0.76365196428936244</v>
      </c>
      <c r="L70" s="11">
        <v>2.0866451843895457</v>
      </c>
      <c r="M70" s="11">
        <v>105.97667638483964</v>
      </c>
      <c r="N70" s="11">
        <v>0.78872180169355988</v>
      </c>
      <c r="O70" s="11"/>
      <c r="P70" s="11">
        <v>7.95</v>
      </c>
      <c r="Q70" s="11">
        <v>124.04580152671754</v>
      </c>
      <c r="R70" s="11">
        <v>6.6666666666659324E-2</v>
      </c>
      <c r="S70" s="11">
        <v>1.3084737484737485</v>
      </c>
      <c r="T70" s="4">
        <f t="shared" si="10"/>
        <v>0</v>
      </c>
      <c r="U70" s="4" t="str">
        <f>IFERROR(INDEX('Date Key'!$G$2:$G$19, MATCH(B70,'Date Key'!$B$2:$B$19, 0)), "")</f>
        <v>No</v>
      </c>
      <c r="V70" s="4" t="str">
        <f>IFERROR(INDEX('Date Key'!$D$2:$D$19, MATCH(B70,'Date Key'!$B$2:$B$19, 0)), "")</f>
        <v>Lower</v>
      </c>
      <c r="W70" s="4" t="str">
        <f>IFERROR(INDEX('Date Key'!$H$2:$H$19, MATCH(B70,'Date Key'!$B$2:$B$19, 0)), "")</f>
        <v>No</v>
      </c>
      <c r="X70" s="4">
        <f t="shared" si="12"/>
        <v>0.218</v>
      </c>
      <c r="Y70" s="4">
        <f t="shared" si="13"/>
        <v>2.5</v>
      </c>
    </row>
    <row r="71" spans="1:25" x14ac:dyDescent="0.35">
      <c r="A71" s="4">
        <v>4</v>
      </c>
      <c r="B71" s="41">
        <v>45217</v>
      </c>
      <c r="C71" s="4" t="s">
        <v>6</v>
      </c>
      <c r="D71" s="4">
        <v>7</v>
      </c>
      <c r="E71" s="4" t="s">
        <v>82</v>
      </c>
      <c r="F71" s="4" t="str">
        <f t="shared" si="11"/>
        <v>in</v>
      </c>
      <c r="G71" s="4">
        <f>IFERROR(INDEX('Date Key'!$I$2:$I$19, MATCH(B71,'Date Key'!$B$2:$B$19, 0)), "")</f>
        <v>2</v>
      </c>
      <c r="H71" s="4">
        <v>180</v>
      </c>
      <c r="I71" s="11">
        <v>0</v>
      </c>
      <c r="J71" s="11">
        <v>3.008380488503689E-2</v>
      </c>
      <c r="K71" s="11">
        <v>0.74220106641606542</v>
      </c>
      <c r="L71" s="11">
        <v>2.1754385964912286</v>
      </c>
      <c r="M71" s="11">
        <v>99.970845481049551</v>
      </c>
      <c r="N71" s="11">
        <v>0.77228487130110235</v>
      </c>
      <c r="O71" s="11"/>
      <c r="P71" s="11">
        <v>7.93</v>
      </c>
      <c r="Q71" s="11">
        <v>115.38461538461539</v>
      </c>
      <c r="R71" s="11">
        <v>46.4</v>
      </c>
      <c r="S71" s="11">
        <v>1.5282539682539684</v>
      </c>
      <c r="T71" s="4">
        <f t="shared" si="10"/>
        <v>0</v>
      </c>
      <c r="U71" s="4" t="str">
        <f>IFERROR(INDEX('Date Key'!$G$2:$G$19, MATCH(B71,'Date Key'!$B$2:$B$19, 0)), "")</f>
        <v>No</v>
      </c>
      <c r="V71" s="4" t="str">
        <f>IFERROR(INDEX('Date Key'!$D$2:$D$19, MATCH(B71,'Date Key'!$B$2:$B$19, 0)), "")</f>
        <v>Lower</v>
      </c>
      <c r="W71" s="4" t="str">
        <f>IFERROR(INDEX('Date Key'!$H$2:$H$19, MATCH(B71,'Date Key'!$B$2:$B$19, 0)), "")</f>
        <v>No</v>
      </c>
      <c r="X71" s="4">
        <f t="shared" si="12"/>
        <v>0.218</v>
      </c>
      <c r="Y71" s="4">
        <f t="shared" si="13"/>
        <v>2.5</v>
      </c>
    </row>
    <row r="72" spans="1:25" x14ac:dyDescent="0.35">
      <c r="A72" s="4">
        <v>4</v>
      </c>
      <c r="B72" s="41">
        <v>45217</v>
      </c>
      <c r="C72" s="4" t="s">
        <v>6</v>
      </c>
      <c r="D72" s="4">
        <v>8</v>
      </c>
      <c r="E72" s="4" t="s">
        <v>83</v>
      </c>
      <c r="F72" s="4" t="str">
        <f t="shared" si="11"/>
        <v>tank 1</v>
      </c>
      <c r="G72" s="4">
        <f>IFERROR(INDEX('Date Key'!$I$2:$I$19, MATCH(B72,'Date Key'!$B$2:$B$19, 0)), "")</f>
        <v>2</v>
      </c>
      <c r="H72" s="4">
        <v>0</v>
      </c>
      <c r="I72" s="11">
        <v>0</v>
      </c>
      <c r="J72" s="11">
        <v>2.5069837404197402E-2</v>
      </c>
      <c r="K72" s="11">
        <v>0.2059286195836483</v>
      </c>
      <c r="L72" s="11">
        <v>0.79914070891514488</v>
      </c>
      <c r="M72" s="11">
        <v>98.323615160349846</v>
      </c>
      <c r="N72" s="11">
        <v>0.23099845698784571</v>
      </c>
      <c r="O72" s="11"/>
      <c r="P72" s="11">
        <v>7.42</v>
      </c>
      <c r="Q72" s="11">
        <v>115.38461538461539</v>
      </c>
      <c r="R72" s="11">
        <v>0</v>
      </c>
      <c r="S72" s="11">
        <v>0.13631257631257629</v>
      </c>
      <c r="T72" s="4">
        <f t="shared" si="10"/>
        <v>1</v>
      </c>
      <c r="U72" s="4" t="str">
        <f>IFERROR(INDEX('Date Key'!$G$2:$G$19, MATCH(B72,'Date Key'!$B$2:$B$19, 0)), "")</f>
        <v>No</v>
      </c>
      <c r="V72" s="4" t="str">
        <f>IFERROR(INDEX('Date Key'!$D$2:$D$19, MATCH(B72,'Date Key'!$B$2:$B$19, 0)), "")</f>
        <v>Lower</v>
      </c>
      <c r="W72" s="4" t="str">
        <f>IFERROR(INDEX('Date Key'!$H$2:$H$19, MATCH(B72,'Date Key'!$B$2:$B$19, 0)), "")</f>
        <v>No</v>
      </c>
      <c r="X72" s="4">
        <f t="shared" si="12"/>
        <v>0.218</v>
      </c>
      <c r="Y72" s="4">
        <f t="shared" si="13"/>
        <v>2.5</v>
      </c>
    </row>
    <row r="73" spans="1:25" x14ac:dyDescent="0.35">
      <c r="A73" s="4">
        <v>4</v>
      </c>
      <c r="B73" s="41">
        <v>45217</v>
      </c>
      <c r="C73" s="4" t="s">
        <v>6</v>
      </c>
      <c r="D73" s="4">
        <v>9</v>
      </c>
      <c r="E73" s="4" t="s">
        <v>84</v>
      </c>
      <c r="F73" s="4" t="str">
        <f t="shared" si="11"/>
        <v>tank 1</v>
      </c>
      <c r="G73" s="4">
        <f>IFERROR(INDEX('Date Key'!$I$2:$I$19, MATCH(B73,'Date Key'!$B$2:$B$19, 0)), "")</f>
        <v>2</v>
      </c>
      <c r="H73" s="4">
        <v>180</v>
      </c>
      <c r="I73" s="11">
        <v>0.55216284987277353</v>
      </c>
      <c r="J73" s="11">
        <v>3.509777236587637E-2</v>
      </c>
      <c r="K73" s="11">
        <v>2.1450897873296695E-2</v>
      </c>
      <c r="L73" s="11">
        <v>1.1321160042964553</v>
      </c>
      <c r="M73" s="11">
        <v>107.62390670553935</v>
      </c>
      <c r="N73" s="11">
        <v>0.60871152011194662</v>
      </c>
      <c r="O73" s="11"/>
      <c r="P73" s="11">
        <v>7.13</v>
      </c>
      <c r="Q73" s="11">
        <v>106.58914728682171</v>
      </c>
      <c r="R73" s="11">
        <v>29.399999999999981</v>
      </c>
      <c r="S73" s="11">
        <v>0.39882783882783879</v>
      </c>
      <c r="T73" s="4">
        <f t="shared" si="10"/>
        <v>1</v>
      </c>
      <c r="U73" s="4" t="str">
        <f>IFERROR(INDEX('Date Key'!$G$2:$G$19, MATCH(B73,'Date Key'!$B$2:$B$19, 0)), "")</f>
        <v>No</v>
      </c>
      <c r="V73" s="4" t="str">
        <f>IFERROR(INDEX('Date Key'!$D$2:$D$19, MATCH(B73,'Date Key'!$B$2:$B$19, 0)), "")</f>
        <v>Lower</v>
      </c>
      <c r="W73" s="4" t="str">
        <f>IFERROR(INDEX('Date Key'!$H$2:$H$19, MATCH(B73,'Date Key'!$B$2:$B$19, 0)), "")</f>
        <v>No</v>
      </c>
      <c r="X73" s="4">
        <f t="shared" si="12"/>
        <v>0.218</v>
      </c>
      <c r="Y73" s="4">
        <f t="shared" si="13"/>
        <v>2.5</v>
      </c>
    </row>
    <row r="74" spans="1:25" x14ac:dyDescent="0.35">
      <c r="A74" s="4">
        <v>4</v>
      </c>
      <c r="B74" s="41">
        <v>45217</v>
      </c>
      <c r="C74" s="4" t="s">
        <v>6</v>
      </c>
      <c r="D74" s="4">
        <v>10</v>
      </c>
      <c r="E74" s="4" t="s">
        <v>85</v>
      </c>
      <c r="F74" s="4" t="str">
        <f t="shared" si="11"/>
        <v>in</v>
      </c>
      <c r="G74" s="4">
        <f>IFERROR(INDEX('Date Key'!$I$2:$I$19, MATCH(B74,'Date Key'!$B$2:$B$19, 0)), "")</f>
        <v>2</v>
      </c>
      <c r="H74" s="4">
        <v>150</v>
      </c>
      <c r="I74" s="11">
        <v>0</v>
      </c>
      <c r="J74" s="11">
        <v>8.0223479693431701E-2</v>
      </c>
      <c r="K74" s="11">
        <v>0.71216980939345031</v>
      </c>
      <c r="L74" s="11">
        <v>2.042248478338704</v>
      </c>
      <c r="M74" s="11">
        <v>103.96501457725947</v>
      </c>
      <c r="N74" s="11">
        <v>0.792393289086882</v>
      </c>
      <c r="O74" s="11"/>
      <c r="P74" s="11">
        <v>7.9</v>
      </c>
      <c r="Q74" s="11">
        <v>115.38461538461539</v>
      </c>
      <c r="R74" s="11">
        <v>63.066666666666656</v>
      </c>
      <c r="S74" s="11">
        <v>1.3634188034188035</v>
      </c>
      <c r="T74" s="4">
        <f t="shared" si="10"/>
        <v>0</v>
      </c>
      <c r="U74" s="4" t="str">
        <f>IFERROR(INDEX('Date Key'!$G$2:$G$19, MATCH(B74,'Date Key'!$B$2:$B$19, 0)), "")</f>
        <v>No</v>
      </c>
      <c r="V74" s="4" t="str">
        <f>IFERROR(INDEX('Date Key'!$D$2:$D$19, MATCH(B74,'Date Key'!$B$2:$B$19, 0)), "")</f>
        <v>Lower</v>
      </c>
      <c r="W74" s="4" t="str">
        <f>IFERROR(INDEX('Date Key'!$H$2:$H$19, MATCH(B74,'Date Key'!$B$2:$B$19, 0)), "")</f>
        <v>No</v>
      </c>
      <c r="X74" s="4">
        <f t="shared" si="12"/>
        <v>0.218</v>
      </c>
      <c r="Y74" s="4">
        <f t="shared" si="13"/>
        <v>2.5</v>
      </c>
    </row>
    <row r="75" spans="1:25" x14ac:dyDescent="0.35">
      <c r="A75" s="4">
        <v>4</v>
      </c>
      <c r="B75" s="41">
        <v>45217</v>
      </c>
      <c r="C75" s="4" t="s">
        <v>6</v>
      </c>
      <c r="D75" s="4">
        <v>11</v>
      </c>
      <c r="E75" s="4" t="s">
        <v>86</v>
      </c>
      <c r="F75" s="4" t="str">
        <f t="shared" si="11"/>
        <v>tank 1</v>
      </c>
      <c r="G75" s="4">
        <f>IFERROR(INDEX('Date Key'!$I$2:$I$19, MATCH(B75,'Date Key'!$B$2:$B$19, 0)), "")</f>
        <v>2</v>
      </c>
      <c r="H75" s="4">
        <v>120</v>
      </c>
      <c r="I75" s="11">
        <v>0.56997455470737912</v>
      </c>
      <c r="J75" s="11">
        <v>3.008380488503689E-2</v>
      </c>
      <c r="K75" s="11">
        <v>3.8611616171934045E-2</v>
      </c>
      <c r="L75" s="11">
        <v>0.71034729681346231</v>
      </c>
      <c r="M75" s="11">
        <v>114.18367346938776</v>
      </c>
      <c r="N75" s="11">
        <v>0.63866997576435014</v>
      </c>
      <c r="O75" s="11"/>
      <c r="P75" s="11">
        <v>7.19</v>
      </c>
      <c r="Q75" s="11">
        <v>97.65625</v>
      </c>
      <c r="R75" s="11">
        <v>70.733333333333334</v>
      </c>
      <c r="S75" s="11">
        <v>8.7472527472527498E-2</v>
      </c>
      <c r="T75" s="4">
        <f t="shared" si="10"/>
        <v>1</v>
      </c>
      <c r="U75" s="4" t="str">
        <f>IFERROR(INDEX('Date Key'!$G$2:$G$19, MATCH(B75,'Date Key'!$B$2:$B$19, 0)), "")</f>
        <v>No</v>
      </c>
      <c r="V75" s="4" t="str">
        <f>IFERROR(INDEX('Date Key'!$D$2:$D$19, MATCH(B75,'Date Key'!$B$2:$B$19, 0)), "")</f>
        <v>Lower</v>
      </c>
      <c r="W75" s="4" t="str">
        <f>IFERROR(INDEX('Date Key'!$H$2:$H$19, MATCH(B75,'Date Key'!$B$2:$B$19, 0)), "")</f>
        <v>No</v>
      </c>
      <c r="X75" s="4">
        <f t="shared" si="12"/>
        <v>0.218</v>
      </c>
      <c r="Y75" s="4">
        <f t="shared" si="13"/>
        <v>2.5</v>
      </c>
    </row>
    <row r="76" spans="1:25" x14ac:dyDescent="0.35">
      <c r="A76" s="4">
        <v>4</v>
      </c>
      <c r="B76" s="41">
        <v>45217</v>
      </c>
      <c r="C76" s="4" t="s">
        <v>6</v>
      </c>
      <c r="D76" s="4">
        <v>12</v>
      </c>
      <c r="E76" s="4" t="s">
        <v>87</v>
      </c>
      <c r="F76" s="4" t="str">
        <f t="shared" si="11"/>
        <v>tank 2</v>
      </c>
      <c r="G76" s="4">
        <f>IFERROR(INDEX('Date Key'!$I$2:$I$19, MATCH(B76,'Date Key'!$B$2:$B$19, 0)), "")</f>
        <v>2</v>
      </c>
      <c r="H76" s="4">
        <v>180</v>
      </c>
      <c r="I76" s="11">
        <v>0</v>
      </c>
      <c r="J76" s="11">
        <v>0.13036315450182651</v>
      </c>
      <c r="K76" s="11">
        <v>0.4590492144885493</v>
      </c>
      <c r="L76" s="11">
        <v>1.1321160042964553</v>
      </c>
      <c r="M76" s="11">
        <v>106.76384839650146</v>
      </c>
      <c r="N76" s="11">
        <v>0.58941236899037586</v>
      </c>
      <c r="O76" s="11"/>
      <c r="P76" s="11">
        <v>7.27</v>
      </c>
      <c r="Q76" s="11">
        <v>106.58914728682171</v>
      </c>
      <c r="R76" s="11">
        <v>66.399999999999991</v>
      </c>
      <c r="S76" s="11">
        <v>0.41714285714285709</v>
      </c>
      <c r="T76" s="4">
        <f t="shared" si="10"/>
        <v>2</v>
      </c>
      <c r="U76" s="4" t="str">
        <f>IFERROR(INDEX('Date Key'!$G$2:$G$19, MATCH(B76,'Date Key'!$B$2:$B$19, 0)), "")</f>
        <v>No</v>
      </c>
      <c r="V76" s="4" t="str">
        <f>IFERROR(INDEX('Date Key'!$D$2:$D$19, MATCH(B76,'Date Key'!$B$2:$B$19, 0)), "")</f>
        <v>Lower</v>
      </c>
      <c r="W76" s="4" t="str">
        <f>IFERROR(INDEX('Date Key'!$H$2:$H$19, MATCH(B76,'Date Key'!$B$2:$B$19, 0)), "")</f>
        <v>No</v>
      </c>
      <c r="X76" s="4">
        <f t="shared" si="12"/>
        <v>0.218</v>
      </c>
      <c r="Y76" s="4">
        <f t="shared" si="13"/>
        <v>2.5</v>
      </c>
    </row>
    <row r="77" spans="1:25" x14ac:dyDescent="0.35">
      <c r="A77" s="4">
        <v>4</v>
      </c>
      <c r="B77" s="41">
        <v>45217</v>
      </c>
      <c r="C77" s="4" t="s">
        <v>6</v>
      </c>
      <c r="D77" s="4">
        <v>13</v>
      </c>
      <c r="E77" s="4" t="s">
        <v>88</v>
      </c>
      <c r="F77" s="4" t="str">
        <f t="shared" si="11"/>
        <v>tank 2</v>
      </c>
      <c r="G77" s="4">
        <f>IFERROR(INDEX('Date Key'!$I$2:$I$19, MATCH(B77,'Date Key'!$B$2:$B$19, 0)), "")</f>
        <v>2</v>
      </c>
      <c r="H77" s="4">
        <v>90</v>
      </c>
      <c r="I77" s="11">
        <v>0</v>
      </c>
      <c r="J77" s="11">
        <v>0.28078217892701096</v>
      </c>
      <c r="K77" s="11">
        <v>0.93954932685039527</v>
      </c>
      <c r="L77" s="11">
        <v>0.9101324740422484</v>
      </c>
      <c r="M77" s="11">
        <v>106.86588921282799</v>
      </c>
      <c r="N77" s="11">
        <v>1.2203315057774062</v>
      </c>
      <c r="O77" s="11"/>
      <c r="P77" s="11">
        <v>7.11</v>
      </c>
      <c r="Q77" s="11">
        <v>97.65625</v>
      </c>
      <c r="R77" s="11">
        <v>67.066666666666663</v>
      </c>
      <c r="S77" s="11">
        <v>0.3133577533577534</v>
      </c>
      <c r="T77" s="4">
        <f t="shared" si="10"/>
        <v>2</v>
      </c>
      <c r="U77" s="4" t="str">
        <f>IFERROR(INDEX('Date Key'!$G$2:$G$19, MATCH(B77,'Date Key'!$B$2:$B$19, 0)), "")</f>
        <v>No</v>
      </c>
      <c r="V77" s="4" t="str">
        <f>IFERROR(INDEX('Date Key'!$D$2:$D$19, MATCH(B77,'Date Key'!$B$2:$B$19, 0)), "")</f>
        <v>Lower</v>
      </c>
      <c r="W77" s="4" t="str">
        <f>IFERROR(INDEX('Date Key'!$H$2:$H$19, MATCH(B77,'Date Key'!$B$2:$B$19, 0)), "")</f>
        <v>No</v>
      </c>
      <c r="X77" s="4">
        <f t="shared" si="12"/>
        <v>0.218</v>
      </c>
      <c r="Y77" s="4">
        <f t="shared" si="13"/>
        <v>2.5</v>
      </c>
    </row>
    <row r="78" spans="1:25" x14ac:dyDescent="0.35">
      <c r="A78" s="4">
        <v>4</v>
      </c>
      <c r="B78" s="41">
        <v>45217</v>
      </c>
      <c r="C78" s="4" t="s">
        <v>6</v>
      </c>
      <c r="D78" s="4">
        <v>14</v>
      </c>
      <c r="E78" s="4" t="s">
        <v>89</v>
      </c>
      <c r="F78" s="4" t="str">
        <f t="shared" si="11"/>
        <v>tank 1</v>
      </c>
      <c r="G78" s="4">
        <f>IFERROR(INDEX('Date Key'!$I$2:$I$19, MATCH(B78,'Date Key'!$B$2:$B$19, 0)), "")</f>
        <v>2</v>
      </c>
      <c r="H78" s="4">
        <v>60</v>
      </c>
      <c r="I78" s="11">
        <v>0.40966921119592875</v>
      </c>
      <c r="J78" s="11">
        <v>8.0223479693431701E-2</v>
      </c>
      <c r="K78" s="11">
        <v>6.0062514045230747E-2</v>
      </c>
      <c r="L78" s="11">
        <v>0.5993555316863588</v>
      </c>
      <c r="M78" s="11">
        <v>88.425655976676381</v>
      </c>
      <c r="N78" s="11">
        <v>0.54995520493459116</v>
      </c>
      <c r="O78" s="11"/>
      <c r="P78" s="11">
        <v>7.1</v>
      </c>
      <c r="Q78" s="11">
        <v>106.58914728682171</v>
      </c>
      <c r="R78" s="11">
        <v>61.399999999999991</v>
      </c>
      <c r="S78" s="11">
        <v>6.9157509157509164E-2</v>
      </c>
      <c r="T78" s="4">
        <f t="shared" si="10"/>
        <v>1</v>
      </c>
      <c r="U78" s="4" t="str">
        <f>IFERROR(INDEX('Date Key'!$G$2:$G$19, MATCH(B78,'Date Key'!$B$2:$B$19, 0)), "")</f>
        <v>No</v>
      </c>
      <c r="V78" s="4" t="str">
        <f>IFERROR(INDEX('Date Key'!$D$2:$D$19, MATCH(B78,'Date Key'!$B$2:$B$19, 0)), "")</f>
        <v>Lower</v>
      </c>
      <c r="W78" s="4" t="str">
        <f>IFERROR(INDEX('Date Key'!$H$2:$H$19, MATCH(B78,'Date Key'!$B$2:$B$19, 0)), "")</f>
        <v>No</v>
      </c>
      <c r="X78" s="4">
        <f t="shared" si="12"/>
        <v>0.218</v>
      </c>
      <c r="Y78" s="4">
        <f t="shared" si="13"/>
        <v>2.5</v>
      </c>
    </row>
    <row r="79" spans="1:25" x14ac:dyDescent="0.35">
      <c r="A79" s="4">
        <v>4</v>
      </c>
      <c r="B79" s="41">
        <v>45217</v>
      </c>
      <c r="C79" s="4" t="s">
        <v>6</v>
      </c>
      <c r="D79" s="4">
        <v>15</v>
      </c>
      <c r="E79" s="4" t="s">
        <v>90</v>
      </c>
      <c r="F79" s="4" t="str">
        <f t="shared" si="11"/>
        <v>tank 1</v>
      </c>
      <c r="G79" s="4">
        <f>IFERROR(INDEX('Date Key'!$I$2:$I$19, MATCH(B79,'Date Key'!$B$2:$B$19, 0)), "")</f>
        <v>2</v>
      </c>
      <c r="H79" s="4">
        <v>30</v>
      </c>
      <c r="I79" s="11">
        <v>0.14249363867684478</v>
      </c>
      <c r="J79" s="11">
        <v>8.0223479693431701E-2</v>
      </c>
      <c r="K79" s="11">
        <v>0</v>
      </c>
      <c r="L79" s="11">
        <v>0.68814894378804159</v>
      </c>
      <c r="M79" s="11">
        <v>86.413994169096199</v>
      </c>
      <c r="N79" s="11">
        <v>0.22271711837027647</v>
      </c>
      <c r="O79" s="11"/>
      <c r="P79" s="11">
        <v>7.09</v>
      </c>
      <c r="Q79" s="11">
        <v>115.38461538461539</v>
      </c>
      <c r="R79" s="11">
        <v>61.733333333333327</v>
      </c>
      <c r="S79" s="11">
        <v>6.9157509157509164E-2</v>
      </c>
      <c r="T79" s="4">
        <f t="shared" si="10"/>
        <v>1</v>
      </c>
      <c r="U79" s="4" t="str">
        <f>IFERROR(INDEX('Date Key'!$G$2:$G$19, MATCH(B79,'Date Key'!$B$2:$B$19, 0)), "")</f>
        <v>No</v>
      </c>
      <c r="V79" s="4" t="str">
        <f>IFERROR(INDEX('Date Key'!$D$2:$D$19, MATCH(B79,'Date Key'!$B$2:$B$19, 0)), "")</f>
        <v>Lower</v>
      </c>
      <c r="W79" s="4" t="str">
        <f>IFERROR(INDEX('Date Key'!$H$2:$H$19, MATCH(B79,'Date Key'!$B$2:$B$19, 0)), "")</f>
        <v>No</v>
      </c>
      <c r="X79" s="4">
        <f t="shared" si="12"/>
        <v>0.218</v>
      </c>
      <c r="Y79" s="4">
        <f t="shared" si="13"/>
        <v>2.5</v>
      </c>
    </row>
    <row r="80" spans="1:25" x14ac:dyDescent="0.35">
      <c r="A80" s="4">
        <v>4</v>
      </c>
      <c r="B80" s="41">
        <v>45217</v>
      </c>
      <c r="C80" s="4" t="s">
        <v>6</v>
      </c>
      <c r="D80" s="4">
        <v>16</v>
      </c>
      <c r="E80" s="4" t="s">
        <v>91</v>
      </c>
      <c r="F80" s="4" t="str">
        <f t="shared" si="11"/>
        <v>tank 2</v>
      </c>
      <c r="G80" s="4">
        <f>IFERROR(INDEX('Date Key'!$I$2:$I$19, MATCH(B80,'Date Key'!$B$2:$B$19, 0)), "")</f>
        <v>2</v>
      </c>
      <c r="H80" s="4">
        <v>60</v>
      </c>
      <c r="I80" s="11">
        <v>1.7811704834605598E-2</v>
      </c>
      <c r="J80" s="11">
        <v>0.30083804885036886</v>
      </c>
      <c r="K80" s="11">
        <v>0.62636621790026337</v>
      </c>
      <c r="L80" s="11">
        <v>1.0766201217329037</v>
      </c>
      <c r="M80" s="11">
        <v>64.620991253644306</v>
      </c>
      <c r="N80" s="11">
        <v>0.94501597158523776</v>
      </c>
      <c r="O80" s="11"/>
      <c r="P80" s="11">
        <v>7.11</v>
      </c>
      <c r="Q80" s="11">
        <v>115.38461538461539</v>
      </c>
      <c r="R80" s="11">
        <v>84.066666666666663</v>
      </c>
      <c r="S80" s="11">
        <v>0.51482295482295481</v>
      </c>
      <c r="T80" s="4">
        <f t="shared" si="10"/>
        <v>2</v>
      </c>
      <c r="U80" s="4" t="str">
        <f>IFERROR(INDEX('Date Key'!$G$2:$G$19, MATCH(B80,'Date Key'!$B$2:$B$19, 0)), "")</f>
        <v>No</v>
      </c>
      <c r="V80" s="4" t="str">
        <f>IFERROR(INDEX('Date Key'!$D$2:$D$19, MATCH(B80,'Date Key'!$B$2:$B$19, 0)), "")</f>
        <v>Lower</v>
      </c>
      <c r="W80" s="4" t="str">
        <f>IFERROR(INDEX('Date Key'!$H$2:$H$19, MATCH(B80,'Date Key'!$B$2:$B$19, 0)), "")</f>
        <v>No</v>
      </c>
      <c r="X80" s="4">
        <f t="shared" si="12"/>
        <v>0.218</v>
      </c>
      <c r="Y80" s="4">
        <f t="shared" si="13"/>
        <v>2.5</v>
      </c>
    </row>
    <row r="81" spans="1:25" x14ac:dyDescent="0.35">
      <c r="A81" s="4">
        <v>4</v>
      </c>
      <c r="B81" s="41">
        <v>45217</v>
      </c>
      <c r="C81" s="4" t="s">
        <v>6</v>
      </c>
      <c r="D81" s="4">
        <v>17</v>
      </c>
      <c r="E81" s="4" t="s">
        <v>92</v>
      </c>
      <c r="F81" s="4" t="str">
        <f t="shared" si="11"/>
        <v>tank 2</v>
      </c>
      <c r="G81" s="4">
        <f>IFERROR(INDEX('Date Key'!$I$2:$I$19, MATCH(B81,'Date Key'!$B$2:$B$19, 0)), "")</f>
        <v>2</v>
      </c>
      <c r="H81" s="4">
        <v>0</v>
      </c>
      <c r="I81" s="11">
        <v>3.5623409669211195E-2</v>
      </c>
      <c r="J81" s="11">
        <v>8.0223479693431701E-2</v>
      </c>
      <c r="K81" s="11">
        <v>3.8611616171934045E-2</v>
      </c>
      <c r="L81" s="11">
        <v>1.2542069459362692</v>
      </c>
      <c r="M81" s="11">
        <v>0</v>
      </c>
      <c r="N81" s="11">
        <v>0.15445850553457693</v>
      </c>
      <c r="O81" s="11"/>
      <c r="P81" s="11">
        <v>7.17</v>
      </c>
      <c r="Q81" s="11">
        <v>149.25373134328362</v>
      </c>
      <c r="R81" s="11">
        <v>91.733333333333334</v>
      </c>
      <c r="S81" s="11">
        <v>0.67965811965811973</v>
      </c>
      <c r="T81" s="4">
        <f t="shared" si="10"/>
        <v>2</v>
      </c>
      <c r="U81" s="4" t="str">
        <f>IFERROR(INDEX('Date Key'!$G$2:$G$19, MATCH(B81,'Date Key'!$B$2:$B$19, 0)), "")</f>
        <v>No</v>
      </c>
      <c r="V81" s="4" t="str">
        <f>IFERROR(INDEX('Date Key'!$D$2:$D$19, MATCH(B81,'Date Key'!$B$2:$B$19, 0)), "")</f>
        <v>Lower</v>
      </c>
      <c r="W81" s="4" t="str">
        <f>IFERROR(INDEX('Date Key'!$H$2:$H$19, MATCH(B81,'Date Key'!$B$2:$B$19, 0)), "")</f>
        <v>No</v>
      </c>
      <c r="X81" s="4">
        <f t="shared" si="12"/>
        <v>0.218</v>
      </c>
      <c r="Y81" s="4">
        <f t="shared" si="13"/>
        <v>2.5</v>
      </c>
    </row>
    <row r="82" spans="1:25" x14ac:dyDescent="0.35">
      <c r="A82" s="4">
        <v>4</v>
      </c>
      <c r="B82" s="41">
        <v>45217</v>
      </c>
      <c r="C82" s="4" t="s">
        <v>6</v>
      </c>
      <c r="D82" s="4">
        <v>18</v>
      </c>
      <c r="E82" s="4" t="s">
        <v>93</v>
      </c>
      <c r="F82" s="4" t="str">
        <f t="shared" si="11"/>
        <v>tank 1</v>
      </c>
      <c r="G82" s="4">
        <f>IFERROR(INDEX('Date Key'!$I$2:$I$19, MATCH(B82,'Date Key'!$B$2:$B$19, 0)), "")</f>
        <v>2</v>
      </c>
      <c r="H82" s="4">
        <v>150</v>
      </c>
      <c r="I82" s="11">
        <v>0.24936386768447841</v>
      </c>
      <c r="J82" s="11">
        <v>3.008380488503689E-2</v>
      </c>
      <c r="K82" s="11">
        <v>0</v>
      </c>
      <c r="L82" s="11">
        <v>0.79914070891514488</v>
      </c>
      <c r="M82" s="11">
        <v>112.82798833819241</v>
      </c>
      <c r="N82" s="11">
        <v>0.2794476725695153</v>
      </c>
      <c r="O82" s="11"/>
      <c r="P82" s="11">
        <v>7.1</v>
      </c>
      <c r="Q82" s="11">
        <v>106.58914728682171</v>
      </c>
      <c r="R82" s="11">
        <v>42.399999999999991</v>
      </c>
      <c r="S82" s="11">
        <v>0.20957264957264954</v>
      </c>
      <c r="T82" s="4">
        <f t="shared" si="10"/>
        <v>1</v>
      </c>
      <c r="U82" s="4" t="str">
        <f>IFERROR(INDEX('Date Key'!$G$2:$G$19, MATCH(B82,'Date Key'!$B$2:$B$19, 0)), "")</f>
        <v>No</v>
      </c>
      <c r="V82" s="4" t="str">
        <f>IFERROR(INDEX('Date Key'!$D$2:$D$19, MATCH(B82,'Date Key'!$B$2:$B$19, 0)), "")</f>
        <v>Lower</v>
      </c>
      <c r="W82" s="4" t="str">
        <f>IFERROR(INDEX('Date Key'!$H$2:$H$19, MATCH(B82,'Date Key'!$B$2:$B$19, 0)), "")</f>
        <v>No</v>
      </c>
      <c r="X82" s="4">
        <f t="shared" si="12"/>
        <v>0.218</v>
      </c>
      <c r="Y82" s="4">
        <f t="shared" si="13"/>
        <v>2.5</v>
      </c>
    </row>
    <row r="83" spans="1:25" x14ac:dyDescent="0.35">
      <c r="A83" s="4">
        <v>4</v>
      </c>
      <c r="B83" s="41">
        <v>45217</v>
      </c>
      <c r="C83" s="4" t="s">
        <v>6</v>
      </c>
      <c r="D83" s="4">
        <v>19</v>
      </c>
      <c r="E83" s="4" t="s">
        <v>94</v>
      </c>
      <c r="F83" s="4" t="str">
        <f t="shared" si="11"/>
        <v>tank 2</v>
      </c>
      <c r="G83" s="4">
        <f>IFERROR(INDEX('Date Key'!$I$2:$I$19, MATCH(B83,'Date Key'!$B$2:$B$19, 0)), "")</f>
        <v>2</v>
      </c>
      <c r="H83" s="4">
        <v>150</v>
      </c>
      <c r="I83" s="11">
        <v>0</v>
      </c>
      <c r="J83" s="11">
        <v>0.17548886182938184</v>
      </c>
      <c r="K83" s="11">
        <v>0.42043759831661531</v>
      </c>
      <c r="L83" s="11">
        <v>0.85463659147869664</v>
      </c>
      <c r="M83" s="11">
        <v>111.19533527696792</v>
      </c>
      <c r="N83" s="11">
        <v>0.59592646014599715</v>
      </c>
      <c r="O83" s="11"/>
      <c r="P83" s="11">
        <v>7.37</v>
      </c>
      <c r="Q83" s="11">
        <v>97.65625</v>
      </c>
      <c r="R83" s="11">
        <v>25.066666666666645</v>
      </c>
      <c r="S83" s="11">
        <v>0.30114774114774118</v>
      </c>
      <c r="T83" s="4">
        <f t="shared" si="10"/>
        <v>2</v>
      </c>
      <c r="U83" s="4" t="str">
        <f>IFERROR(INDEX('Date Key'!$G$2:$G$19, MATCH(B83,'Date Key'!$B$2:$B$19, 0)), "")</f>
        <v>No</v>
      </c>
      <c r="V83" s="4" t="str">
        <f>IFERROR(INDEX('Date Key'!$D$2:$D$19, MATCH(B83,'Date Key'!$B$2:$B$19, 0)), "")</f>
        <v>Lower</v>
      </c>
      <c r="W83" s="4" t="str">
        <f>IFERROR(INDEX('Date Key'!$H$2:$H$19, MATCH(B83,'Date Key'!$B$2:$B$19, 0)), "")</f>
        <v>No</v>
      </c>
      <c r="X83" s="4">
        <f t="shared" si="12"/>
        <v>0.218</v>
      </c>
      <c r="Y83" s="4">
        <f t="shared" si="13"/>
        <v>2.5</v>
      </c>
    </row>
    <row r="84" spans="1:25" x14ac:dyDescent="0.35">
      <c r="A84" s="4">
        <v>4</v>
      </c>
      <c r="B84" s="41">
        <v>45217</v>
      </c>
      <c r="C84" s="4" t="s">
        <v>6</v>
      </c>
      <c r="D84" s="4">
        <v>20</v>
      </c>
      <c r="E84" s="4" t="s">
        <v>95</v>
      </c>
      <c r="F84" s="4" t="str">
        <f>MID(E84, SEARCH(" ", E84) + 1, LEN(E84))</f>
        <v>tank 2</v>
      </c>
      <c r="G84" s="4">
        <f>IFERROR(INDEX('Date Key'!$I$2:$I$19, MATCH(B84,'Date Key'!$B$2:$B$19, 0)), "")</f>
        <v>2</v>
      </c>
      <c r="H84" s="4">
        <v>120</v>
      </c>
      <c r="I84" s="11">
        <v>0</v>
      </c>
      <c r="J84" s="11">
        <v>0.23064250411861614</v>
      </c>
      <c r="K84" s="11">
        <v>0.55772334470571416</v>
      </c>
      <c r="L84" s="11">
        <v>0.79914070891514488</v>
      </c>
      <c r="M84" s="11">
        <v>115.37900874635568</v>
      </c>
      <c r="N84" s="11">
        <v>0.78836584882433036</v>
      </c>
      <c r="O84" s="11"/>
      <c r="P84" s="11">
        <v>7.23</v>
      </c>
      <c r="Q84" s="11">
        <v>106.58914728682171</v>
      </c>
      <c r="R84" s="11">
        <v>38.066666666666656</v>
      </c>
      <c r="S84" s="11">
        <v>0.28283272283272287</v>
      </c>
      <c r="T84" s="4">
        <f t="shared" si="10"/>
        <v>2</v>
      </c>
      <c r="U84" s="4" t="str">
        <f>IFERROR(INDEX('Date Key'!$G$2:$G$19, MATCH(B84,'Date Key'!$B$2:$B$19, 0)), "")</f>
        <v>No</v>
      </c>
      <c r="V84" s="4" t="str">
        <f>IFERROR(INDEX('Date Key'!$D$2:$D$19, MATCH(B84,'Date Key'!$B$2:$B$19, 0)), "")</f>
        <v>Lower</v>
      </c>
      <c r="W84" s="4" t="str">
        <f>IFERROR(INDEX('Date Key'!$H$2:$H$19, MATCH(B84,'Date Key'!$B$2:$B$19, 0)), "")</f>
        <v>No</v>
      </c>
      <c r="X84" s="4">
        <f t="shared" si="12"/>
        <v>0.218</v>
      </c>
      <c r="Y84" s="4">
        <f t="shared" si="13"/>
        <v>2.5</v>
      </c>
    </row>
    <row r="85" spans="1:25" s="27" customFormat="1" x14ac:dyDescent="0.35">
      <c r="A85" s="27">
        <v>4</v>
      </c>
      <c r="B85" s="42">
        <v>45217</v>
      </c>
      <c r="C85" s="27" t="s">
        <v>6</v>
      </c>
      <c r="D85" s="27">
        <v>21</v>
      </c>
      <c r="E85" s="27" t="s">
        <v>220</v>
      </c>
      <c r="F85" s="27" t="str">
        <f t="shared" si="11"/>
        <v>tank 2</v>
      </c>
      <c r="G85" s="27">
        <f>IFERROR(INDEX('Date Key'!$I$2:$I$19, MATCH(B85,'Date Key'!$B$2:$B$19, 0)), "")</f>
        <v>2</v>
      </c>
      <c r="H85" s="27">
        <v>30</v>
      </c>
      <c r="I85" s="28">
        <v>0</v>
      </c>
      <c r="J85" s="28">
        <v>3.008380488503689E-2</v>
      </c>
      <c r="K85" s="28">
        <v>0</v>
      </c>
      <c r="L85" s="28">
        <v>1.1543143573218759</v>
      </c>
      <c r="M85" s="28">
        <v>35.568513119533527</v>
      </c>
      <c r="N85" s="28">
        <v>3.008380488503689E-2</v>
      </c>
      <c r="O85" s="28"/>
      <c r="P85" s="28">
        <v>7.1</v>
      </c>
      <c r="Q85" s="28">
        <v>149.25373134328362</v>
      </c>
      <c r="R85" s="28">
        <v>40.399999999999991</v>
      </c>
      <c r="S85" s="28">
        <v>0.60639804639804629</v>
      </c>
      <c r="T85" s="27">
        <f t="shared" si="10"/>
        <v>2</v>
      </c>
      <c r="U85" s="27" t="str">
        <f>IFERROR(INDEX('Date Key'!$G$2:$G$19, MATCH(B85,'Date Key'!$B$2:$B$19, 0)), "")</f>
        <v>No</v>
      </c>
      <c r="V85" s="27" t="str">
        <f>IFERROR(INDEX('Date Key'!$D$2:$D$19, MATCH(B85,'Date Key'!$B$2:$B$19, 0)), "")</f>
        <v>Lower</v>
      </c>
      <c r="W85" s="27" t="str">
        <f>IFERROR(INDEX('Date Key'!$H$2:$H$19, MATCH(B85,'Date Key'!$B$2:$B$19, 0)), "")</f>
        <v>No</v>
      </c>
      <c r="X85" s="27">
        <f t="shared" si="12"/>
        <v>0.218</v>
      </c>
      <c r="Y85" s="27">
        <f t="shared" si="13"/>
        <v>2.5</v>
      </c>
    </row>
    <row r="86" spans="1:25" x14ac:dyDescent="0.35">
      <c r="A86" s="4">
        <v>5</v>
      </c>
      <c r="B86" s="41">
        <v>45224</v>
      </c>
      <c r="C86" s="4" t="s">
        <v>6</v>
      </c>
      <c r="D86" s="4">
        <v>1</v>
      </c>
      <c r="E86" s="4" t="s">
        <v>96</v>
      </c>
      <c r="F86" s="4" t="str">
        <f t="shared" si="11"/>
        <v>in</v>
      </c>
      <c r="G86" s="4">
        <f>IFERROR(INDEX('Date Key'!$I$2:$I$19, MATCH(B86,'Date Key'!$B$2:$B$19, 0)), "")</f>
        <v>2</v>
      </c>
      <c r="H86" s="4">
        <v>0</v>
      </c>
      <c r="I86" s="11">
        <v>0</v>
      </c>
      <c r="J86" s="11">
        <v>3.008380488503689E-2</v>
      </c>
      <c r="K86" s="11">
        <v>3.4235633005781527</v>
      </c>
      <c r="L86" s="11">
        <v>0.92123165055495881</v>
      </c>
      <c r="M86" s="11">
        <v>95.27696793002913</v>
      </c>
      <c r="N86" s="11">
        <v>3.4536471054631894</v>
      </c>
      <c r="O86" s="11"/>
      <c r="P86" s="11">
        <v>7.29</v>
      </c>
      <c r="Q86" s="11">
        <v>113.63636363636364</v>
      </c>
      <c r="R86" s="11">
        <v>35.73333333333332</v>
      </c>
      <c r="S86" s="11">
        <v>0.28893772893772895</v>
      </c>
      <c r="T86" s="4">
        <f t="shared" si="10"/>
        <v>0</v>
      </c>
      <c r="U86" s="4" t="str">
        <f>IFERROR(INDEX('Date Key'!$G$2:$G$19, MATCH(B86,'Date Key'!$B$2:$B$19, 0)), "")</f>
        <v>No</v>
      </c>
      <c r="V86" s="4" t="str">
        <f>IFERROR(INDEX('Date Key'!$D$2:$D$19, MATCH(B86,'Date Key'!$B$2:$B$19, 0)), "")</f>
        <v>Lower</v>
      </c>
      <c r="W86" s="4" t="str">
        <f>IFERROR(INDEX('Date Key'!$H$2:$H$19, MATCH(B86,'Date Key'!$B$2:$B$19, 0)), "")</f>
        <v>No</v>
      </c>
      <c r="X86" s="4">
        <f t="shared" si="12"/>
        <v>0.218</v>
      </c>
      <c r="Y86" s="4">
        <f t="shared" si="13"/>
        <v>2.5</v>
      </c>
    </row>
    <row r="87" spans="1:25" x14ac:dyDescent="0.35">
      <c r="A87" s="4">
        <v>5</v>
      </c>
      <c r="B87" s="41">
        <v>45224</v>
      </c>
      <c r="C87" s="4" t="s">
        <v>6</v>
      </c>
      <c r="D87" s="4">
        <v>2</v>
      </c>
      <c r="E87" s="4" t="s">
        <v>97</v>
      </c>
      <c r="F87" s="4" t="str">
        <f t="shared" si="11"/>
        <v>in</v>
      </c>
      <c r="G87" s="4">
        <f>IFERROR(INDEX('Date Key'!$I$2:$I$19, MATCH(B87,'Date Key'!$B$2:$B$19, 0)), "")</f>
        <v>2</v>
      </c>
      <c r="H87" s="4">
        <v>90</v>
      </c>
      <c r="I87" s="11">
        <v>0.25461158742530532</v>
      </c>
      <c r="J87" s="11">
        <v>2.5069837404197402E-2</v>
      </c>
      <c r="K87" s="11">
        <v>0.8794868128051645</v>
      </c>
      <c r="L87" s="11">
        <v>5.8492660221983526</v>
      </c>
      <c r="M87" s="11">
        <v>107.09912536443149</v>
      </c>
      <c r="N87" s="11">
        <v>1.1591682376346673</v>
      </c>
      <c r="O87" s="11"/>
      <c r="P87" s="11">
        <v>8.0500000000000007</v>
      </c>
      <c r="Q87" s="11">
        <v>123.8738738738739</v>
      </c>
      <c r="R87" s="11">
        <v>22.733333333333309</v>
      </c>
      <c r="S87" s="11">
        <v>1.1314285714285717</v>
      </c>
      <c r="T87" s="4">
        <f t="shared" si="10"/>
        <v>0</v>
      </c>
      <c r="U87" s="4" t="str">
        <f>IFERROR(INDEX('Date Key'!$G$2:$G$19, MATCH(B87,'Date Key'!$B$2:$B$19, 0)), "")</f>
        <v>No</v>
      </c>
      <c r="V87" s="4" t="str">
        <f>IFERROR(INDEX('Date Key'!$D$2:$D$19, MATCH(B87,'Date Key'!$B$2:$B$19, 0)), "")</f>
        <v>Lower</v>
      </c>
      <c r="W87" s="4" t="str">
        <f>IFERROR(INDEX('Date Key'!$H$2:$H$19, MATCH(B87,'Date Key'!$B$2:$B$19, 0)), "")</f>
        <v>No</v>
      </c>
      <c r="X87" s="4">
        <f t="shared" si="12"/>
        <v>0.218</v>
      </c>
      <c r="Y87" s="4">
        <f t="shared" si="13"/>
        <v>2.5</v>
      </c>
    </row>
    <row r="88" spans="1:25" x14ac:dyDescent="0.35">
      <c r="A88" s="4">
        <v>5</v>
      </c>
      <c r="B88" s="41">
        <v>45224</v>
      </c>
      <c r="C88" s="4" t="s">
        <v>6</v>
      </c>
      <c r="D88" s="4">
        <v>3</v>
      </c>
      <c r="E88" s="4" t="s">
        <v>98</v>
      </c>
      <c r="F88" s="4" t="str">
        <f t="shared" si="11"/>
        <v>in</v>
      </c>
      <c r="G88" s="4">
        <f>IFERROR(INDEX('Date Key'!$I$2:$I$19, MATCH(B88,'Date Key'!$B$2:$B$19, 0)), "")</f>
        <v>2</v>
      </c>
      <c r="H88" s="4">
        <v>120</v>
      </c>
      <c r="I88" s="11">
        <v>0</v>
      </c>
      <c r="J88" s="11">
        <v>2.0055869923357925E-2</v>
      </c>
      <c r="K88" s="11">
        <v>0.67355819322151622</v>
      </c>
      <c r="L88" s="11">
        <v>1.853562477622628</v>
      </c>
      <c r="M88" s="11">
        <v>101.90962099125363</v>
      </c>
      <c r="N88" s="11">
        <v>0.69361406314487417</v>
      </c>
      <c r="O88" s="11"/>
      <c r="P88" s="11">
        <v>8.0399999999999991</v>
      </c>
      <c r="Q88" s="11">
        <v>123.8738738738739</v>
      </c>
      <c r="R88" s="11">
        <v>27.066666666666645</v>
      </c>
      <c r="S88" s="11">
        <v>1.284053724053724</v>
      </c>
      <c r="T88" s="4">
        <f t="shared" si="10"/>
        <v>0</v>
      </c>
      <c r="U88" s="4" t="str">
        <f>IFERROR(INDEX('Date Key'!$G$2:$G$19, MATCH(B88,'Date Key'!$B$2:$B$19, 0)), "")</f>
        <v>No</v>
      </c>
      <c r="V88" s="4" t="str">
        <f>IFERROR(INDEX('Date Key'!$D$2:$D$19, MATCH(B88,'Date Key'!$B$2:$B$19, 0)), "")</f>
        <v>Lower</v>
      </c>
      <c r="W88" s="4" t="str">
        <f>IFERROR(INDEX('Date Key'!$H$2:$H$19, MATCH(B88,'Date Key'!$B$2:$B$19, 0)), "")</f>
        <v>No</v>
      </c>
      <c r="X88" s="4">
        <f t="shared" si="12"/>
        <v>0.218</v>
      </c>
      <c r="Y88" s="4">
        <f t="shared" si="13"/>
        <v>2.5</v>
      </c>
    </row>
    <row r="89" spans="1:25" x14ac:dyDescent="0.35">
      <c r="A89" s="4">
        <v>5</v>
      </c>
      <c r="B89" s="41">
        <v>45224</v>
      </c>
      <c r="C89" s="4" t="s">
        <v>6</v>
      </c>
      <c r="D89" s="4">
        <v>4</v>
      </c>
      <c r="E89" s="4" t="s">
        <v>99</v>
      </c>
      <c r="F89" s="4" t="str">
        <f t="shared" si="11"/>
        <v>in</v>
      </c>
      <c r="G89" s="4">
        <f>IFERROR(INDEX('Date Key'!$I$2:$I$19, MATCH(B89,'Date Key'!$B$2:$B$19, 0)), "")</f>
        <v>2</v>
      </c>
      <c r="H89" s="4">
        <v>30</v>
      </c>
      <c r="I89" s="11">
        <v>0</v>
      </c>
      <c r="J89" s="11">
        <v>2.5069837404197402E-2</v>
      </c>
      <c r="K89" s="11">
        <v>1.063964534515516</v>
      </c>
      <c r="L89" s="11">
        <v>1.4428929466523452</v>
      </c>
      <c r="M89" s="11">
        <v>131.29737609329445</v>
      </c>
      <c r="N89" s="11">
        <v>1.0890343719197133</v>
      </c>
      <c r="O89" s="11"/>
      <c r="P89" s="11">
        <v>8.07</v>
      </c>
      <c r="Q89" s="11">
        <v>123.8738738738739</v>
      </c>
      <c r="R89" s="11">
        <v>29.733333333333313</v>
      </c>
      <c r="S89" s="11">
        <v>0.8628083028083029</v>
      </c>
      <c r="T89" s="4">
        <f t="shared" si="10"/>
        <v>0</v>
      </c>
      <c r="U89" s="4" t="str">
        <f>IFERROR(INDEX('Date Key'!$G$2:$G$19, MATCH(B89,'Date Key'!$B$2:$B$19, 0)), "")</f>
        <v>No</v>
      </c>
      <c r="V89" s="4" t="str">
        <f>IFERROR(INDEX('Date Key'!$D$2:$D$19, MATCH(B89,'Date Key'!$B$2:$B$19, 0)), "")</f>
        <v>Lower</v>
      </c>
      <c r="W89" s="4" t="str">
        <f>IFERROR(INDEX('Date Key'!$H$2:$H$19, MATCH(B89,'Date Key'!$B$2:$B$19, 0)), "")</f>
        <v>No</v>
      </c>
      <c r="X89" s="4">
        <f t="shared" si="12"/>
        <v>0.218</v>
      </c>
      <c r="Y89" s="4">
        <f t="shared" si="13"/>
        <v>2.5</v>
      </c>
    </row>
    <row r="90" spans="1:25" x14ac:dyDescent="0.35">
      <c r="A90" s="4">
        <v>5</v>
      </c>
      <c r="B90" s="41">
        <v>45224</v>
      </c>
      <c r="C90" s="4" t="s">
        <v>6</v>
      </c>
      <c r="D90" s="4">
        <v>5</v>
      </c>
      <c r="E90" s="4" t="s">
        <v>100</v>
      </c>
      <c r="F90" s="4" t="str">
        <f t="shared" si="11"/>
        <v>in</v>
      </c>
      <c r="G90" s="4">
        <f>IFERROR(INDEX('Date Key'!$I$2:$I$19, MATCH(B90,'Date Key'!$B$2:$B$19, 0)), "")</f>
        <v>2</v>
      </c>
      <c r="H90" s="4">
        <v>180</v>
      </c>
      <c r="I90" s="11">
        <v>0</v>
      </c>
      <c r="J90" s="11">
        <v>1.5041902442518445E-2</v>
      </c>
      <c r="K90" s="11">
        <v>0.70787962981879093</v>
      </c>
      <c r="L90" s="11">
        <v>2.4751163623344072</v>
      </c>
      <c r="M90" s="11">
        <v>104.27113702623906</v>
      </c>
      <c r="N90" s="11">
        <v>0.7229215322613094</v>
      </c>
      <c r="O90" s="11"/>
      <c r="P90" s="11">
        <v>8.02</v>
      </c>
      <c r="Q90" s="11">
        <v>123.8738738738739</v>
      </c>
      <c r="R90" s="11">
        <v>31.399999999999984</v>
      </c>
      <c r="S90" s="11">
        <v>1.5954090354090351</v>
      </c>
      <c r="T90" s="4">
        <f t="shared" si="10"/>
        <v>0</v>
      </c>
      <c r="U90" s="4" t="str">
        <f>IFERROR(INDEX('Date Key'!$G$2:$G$19, MATCH(B90,'Date Key'!$B$2:$B$19, 0)), "")</f>
        <v>No</v>
      </c>
      <c r="V90" s="4" t="str">
        <f>IFERROR(INDEX('Date Key'!$D$2:$D$19, MATCH(B90,'Date Key'!$B$2:$B$19, 0)), "")</f>
        <v>Lower</v>
      </c>
      <c r="W90" s="4" t="str">
        <f>IFERROR(INDEX('Date Key'!$H$2:$H$19, MATCH(B90,'Date Key'!$B$2:$B$19, 0)), "")</f>
        <v>No</v>
      </c>
      <c r="X90" s="4">
        <f t="shared" si="12"/>
        <v>0.218</v>
      </c>
      <c r="Y90" s="4">
        <f t="shared" si="13"/>
        <v>2.5</v>
      </c>
    </row>
    <row r="91" spans="1:25" x14ac:dyDescent="0.35">
      <c r="A91" s="4">
        <v>5</v>
      </c>
      <c r="B91" s="41">
        <v>45224</v>
      </c>
      <c r="C91" s="4" t="s">
        <v>6</v>
      </c>
      <c r="D91" s="4">
        <v>6</v>
      </c>
      <c r="E91" s="4" t="s">
        <v>101</v>
      </c>
      <c r="F91" s="4" t="str">
        <f t="shared" si="11"/>
        <v>tank 1</v>
      </c>
      <c r="G91" s="4">
        <f>IFERROR(INDEX('Date Key'!$I$2:$I$19, MATCH(B91,'Date Key'!$B$2:$B$19, 0)), "")</f>
        <v>2</v>
      </c>
      <c r="H91" s="4">
        <v>90</v>
      </c>
      <c r="I91" s="11">
        <v>0</v>
      </c>
      <c r="J91" s="11">
        <v>1.5041902442518445E-2</v>
      </c>
      <c r="K91" s="11">
        <v>2.1450897873296695E-2</v>
      </c>
      <c r="L91" s="11">
        <v>1.1210168277837453</v>
      </c>
      <c r="M91" s="11">
        <v>90.874635568513099</v>
      </c>
      <c r="N91" s="11">
        <v>3.6492800315815144E-2</v>
      </c>
      <c r="O91" s="11"/>
      <c r="P91" s="11">
        <v>7.11</v>
      </c>
      <c r="Q91" s="11">
        <v>133.92857142857144</v>
      </c>
      <c r="R91" s="11">
        <v>24.733333333333309</v>
      </c>
      <c r="S91" s="11">
        <v>0.33777777777777784</v>
      </c>
      <c r="T91" s="4">
        <f t="shared" si="10"/>
        <v>1</v>
      </c>
      <c r="U91" s="4" t="str">
        <f>IFERROR(INDEX('Date Key'!$G$2:$G$19, MATCH(B91,'Date Key'!$B$2:$B$19, 0)), "")</f>
        <v>No</v>
      </c>
      <c r="V91" s="4" t="str">
        <f>IFERROR(INDEX('Date Key'!$D$2:$D$19, MATCH(B91,'Date Key'!$B$2:$B$19, 0)), "")</f>
        <v>Lower</v>
      </c>
      <c r="W91" s="4" t="str">
        <f>IFERROR(INDEX('Date Key'!$H$2:$H$19, MATCH(B91,'Date Key'!$B$2:$B$19, 0)), "")</f>
        <v>No</v>
      </c>
      <c r="X91" s="4">
        <f t="shared" si="12"/>
        <v>0.218</v>
      </c>
      <c r="Y91" s="4">
        <f t="shared" si="13"/>
        <v>2.5</v>
      </c>
    </row>
    <row r="92" spans="1:25" x14ac:dyDescent="0.35">
      <c r="A92" s="4">
        <v>5</v>
      </c>
      <c r="B92" s="41">
        <v>45224</v>
      </c>
      <c r="C92" s="4" t="s">
        <v>6</v>
      </c>
      <c r="D92" s="4">
        <v>7</v>
      </c>
      <c r="E92" s="4" t="s">
        <v>102</v>
      </c>
      <c r="F92" s="4" t="str">
        <f t="shared" si="11"/>
        <v>tank 1</v>
      </c>
      <c r="G92" s="4">
        <f>IFERROR(INDEX('Date Key'!$I$2:$I$19, MATCH(B92,'Date Key'!$B$2:$B$19, 0)), "")</f>
        <v>2</v>
      </c>
      <c r="H92" s="4">
        <v>30</v>
      </c>
      <c r="I92" s="11">
        <v>0</v>
      </c>
      <c r="J92" s="11">
        <v>0</v>
      </c>
      <c r="K92" s="11">
        <v>2.5741077447956038E-2</v>
      </c>
      <c r="L92" s="11">
        <v>1.3430003580379519</v>
      </c>
      <c r="M92" s="11">
        <v>49.737609329446066</v>
      </c>
      <c r="N92" s="11">
        <v>2.5741077447956038E-2</v>
      </c>
      <c r="O92" s="11"/>
      <c r="P92" s="11">
        <v>7.2</v>
      </c>
      <c r="Q92" s="11">
        <v>143.80530973451326</v>
      </c>
      <c r="R92" s="11">
        <v>21.399999999999974</v>
      </c>
      <c r="S92" s="11">
        <v>0.30725274725274732</v>
      </c>
      <c r="T92" s="4">
        <f t="shared" si="10"/>
        <v>1</v>
      </c>
      <c r="U92" s="4" t="str">
        <f>IFERROR(INDEX('Date Key'!$G$2:$G$19, MATCH(B92,'Date Key'!$B$2:$B$19, 0)), "")</f>
        <v>No</v>
      </c>
      <c r="V92" s="4" t="str">
        <f>IFERROR(INDEX('Date Key'!$D$2:$D$19, MATCH(B92,'Date Key'!$B$2:$B$19, 0)), "")</f>
        <v>Lower</v>
      </c>
      <c r="W92" s="4" t="str">
        <f>IFERROR(INDEX('Date Key'!$H$2:$H$19, MATCH(B92,'Date Key'!$B$2:$B$19, 0)), "")</f>
        <v>No</v>
      </c>
      <c r="X92" s="4">
        <f t="shared" si="12"/>
        <v>0.218</v>
      </c>
      <c r="Y92" s="4">
        <f t="shared" si="13"/>
        <v>2.5</v>
      </c>
    </row>
    <row r="93" spans="1:25" x14ac:dyDescent="0.35">
      <c r="A93" s="4">
        <v>5</v>
      </c>
      <c r="B93" s="41">
        <v>45224</v>
      </c>
      <c r="C93" s="4" t="s">
        <v>6</v>
      </c>
      <c r="D93" s="4">
        <v>8</v>
      </c>
      <c r="E93" s="4" t="s">
        <v>103</v>
      </c>
      <c r="F93" s="4" t="str">
        <f t="shared" si="11"/>
        <v>tank 1</v>
      </c>
      <c r="G93" s="4">
        <f>IFERROR(INDEX('Date Key'!$I$2:$I$19, MATCH(B93,'Date Key'!$B$2:$B$19, 0)), "")</f>
        <v>2</v>
      </c>
      <c r="H93" s="4">
        <v>120</v>
      </c>
      <c r="I93" s="11">
        <v>0</v>
      </c>
      <c r="J93" s="11">
        <v>0</v>
      </c>
      <c r="K93" s="11">
        <v>0</v>
      </c>
      <c r="L93" s="11">
        <v>1.0433225921947729</v>
      </c>
      <c r="M93" s="11">
        <v>99.868804664723029</v>
      </c>
      <c r="N93" s="11">
        <v>0</v>
      </c>
      <c r="O93" s="11"/>
      <c r="P93" s="11">
        <v>7.11</v>
      </c>
      <c r="Q93" s="11">
        <v>123.8738738738739</v>
      </c>
      <c r="R93" s="11">
        <v>23.733333333333309</v>
      </c>
      <c r="S93" s="11">
        <v>0.38051282051282043</v>
      </c>
      <c r="T93" s="4">
        <f t="shared" si="10"/>
        <v>1</v>
      </c>
      <c r="U93" s="4" t="str">
        <f>IFERROR(INDEX('Date Key'!$G$2:$G$19, MATCH(B93,'Date Key'!$B$2:$B$19, 0)), "")</f>
        <v>No</v>
      </c>
      <c r="V93" s="4" t="str">
        <f>IFERROR(INDEX('Date Key'!$D$2:$D$19, MATCH(B93,'Date Key'!$B$2:$B$19, 0)), "")</f>
        <v>Lower</v>
      </c>
      <c r="W93" s="4" t="str">
        <f>IFERROR(INDEX('Date Key'!$H$2:$H$19, MATCH(B93,'Date Key'!$B$2:$B$19, 0)), "")</f>
        <v>No</v>
      </c>
      <c r="X93" s="4">
        <f t="shared" si="12"/>
        <v>0.218</v>
      </c>
      <c r="Y93" s="4">
        <f t="shared" si="13"/>
        <v>2.5</v>
      </c>
    </row>
    <row r="94" spans="1:25" x14ac:dyDescent="0.35">
      <c r="A94" s="4">
        <v>5</v>
      </c>
      <c r="B94" s="41">
        <v>45224</v>
      </c>
      <c r="C94" s="4" t="s">
        <v>6</v>
      </c>
      <c r="D94" s="4">
        <v>9</v>
      </c>
      <c r="E94" s="4" t="s">
        <v>104</v>
      </c>
      <c r="F94" s="4" t="str">
        <f t="shared" si="11"/>
        <v>tank 2</v>
      </c>
      <c r="G94" s="4">
        <f>IFERROR(INDEX('Date Key'!$I$2:$I$19, MATCH(B94,'Date Key'!$B$2:$B$19, 0)), "")</f>
        <v>2</v>
      </c>
      <c r="H94" s="4">
        <v>30</v>
      </c>
      <c r="I94" s="11">
        <v>0</v>
      </c>
      <c r="J94" s="11">
        <v>0</v>
      </c>
      <c r="K94" s="11">
        <v>1.7160718298637353E-2</v>
      </c>
      <c r="L94" s="11">
        <v>1.8202649480844968</v>
      </c>
      <c r="M94" s="11">
        <v>8.4839650145772598</v>
      </c>
      <c r="N94" s="11">
        <v>1.7160718298637353E-2</v>
      </c>
      <c r="O94" s="11"/>
      <c r="P94" s="11">
        <v>6.99</v>
      </c>
      <c r="Q94" s="11">
        <v>190.67796610169495</v>
      </c>
      <c r="R94" s="11">
        <v>65.733333333333334</v>
      </c>
      <c r="S94" s="11">
        <v>1.3084737484737485</v>
      </c>
      <c r="T94" s="4">
        <f t="shared" si="10"/>
        <v>2</v>
      </c>
      <c r="U94" s="4" t="str">
        <f>IFERROR(INDEX('Date Key'!$G$2:$G$19, MATCH(B94,'Date Key'!$B$2:$B$19, 0)), "")</f>
        <v>No</v>
      </c>
      <c r="V94" s="4" t="str">
        <f>IFERROR(INDEX('Date Key'!$D$2:$D$19, MATCH(B94,'Date Key'!$B$2:$B$19, 0)), "")</f>
        <v>Lower</v>
      </c>
      <c r="W94" s="4" t="str">
        <f>IFERROR(INDEX('Date Key'!$H$2:$H$19, MATCH(B94,'Date Key'!$B$2:$B$19, 0)), "")</f>
        <v>No</v>
      </c>
      <c r="X94" s="4">
        <f t="shared" si="12"/>
        <v>0.218</v>
      </c>
      <c r="Y94" s="4">
        <f t="shared" si="13"/>
        <v>2.5</v>
      </c>
    </row>
    <row r="95" spans="1:25" x14ac:dyDescent="0.35">
      <c r="A95" s="4">
        <v>5</v>
      </c>
      <c r="B95" s="41">
        <v>45224</v>
      </c>
      <c r="C95" s="4" t="s">
        <v>6</v>
      </c>
      <c r="D95" s="4">
        <v>10</v>
      </c>
      <c r="E95" s="4" t="s">
        <v>105</v>
      </c>
      <c r="F95" s="4" t="str">
        <f t="shared" si="11"/>
        <v>tank 1</v>
      </c>
      <c r="G95" s="4">
        <f>IFERROR(INDEX('Date Key'!$I$2:$I$19, MATCH(B95,'Date Key'!$B$2:$B$19, 0)), "")</f>
        <v>2</v>
      </c>
      <c r="H95" s="4">
        <v>180</v>
      </c>
      <c r="I95" s="11">
        <v>9.0932709794751876E-2</v>
      </c>
      <c r="J95" s="11">
        <v>0</v>
      </c>
      <c r="K95" s="11">
        <v>0</v>
      </c>
      <c r="L95" s="11">
        <v>1.1432151808091657</v>
      </c>
      <c r="M95" s="11">
        <v>101.93877551020407</v>
      </c>
      <c r="N95" s="11">
        <v>9.0932709794751876E-2</v>
      </c>
      <c r="O95" s="11"/>
      <c r="P95" s="11">
        <v>7.11</v>
      </c>
      <c r="Q95" s="11">
        <v>113.63636363636364</v>
      </c>
      <c r="R95" s="11">
        <v>26.066666666666645</v>
      </c>
      <c r="S95" s="11">
        <v>0.51482295482295481</v>
      </c>
      <c r="T95" s="4">
        <f t="shared" si="10"/>
        <v>1</v>
      </c>
      <c r="U95" s="4" t="str">
        <f>IFERROR(INDEX('Date Key'!$G$2:$G$19, MATCH(B95,'Date Key'!$B$2:$B$19, 0)), "")</f>
        <v>No</v>
      </c>
      <c r="V95" s="4" t="str">
        <f>IFERROR(INDEX('Date Key'!$D$2:$D$19, MATCH(B95,'Date Key'!$B$2:$B$19, 0)), "")</f>
        <v>Lower</v>
      </c>
      <c r="W95" s="4" t="str">
        <f>IFERROR(INDEX('Date Key'!$H$2:$H$19, MATCH(B95,'Date Key'!$B$2:$B$19, 0)), "")</f>
        <v>No</v>
      </c>
      <c r="X95" s="4">
        <f t="shared" si="12"/>
        <v>0.218</v>
      </c>
      <c r="Y95" s="4">
        <f t="shared" si="13"/>
        <v>2.5</v>
      </c>
    </row>
    <row r="96" spans="1:25" x14ac:dyDescent="0.35">
      <c r="A96" s="4">
        <v>5</v>
      </c>
      <c r="B96" s="41">
        <v>45224</v>
      </c>
      <c r="C96" s="4" t="s">
        <v>6</v>
      </c>
      <c r="D96" s="4">
        <v>11</v>
      </c>
      <c r="E96" s="4" t="s">
        <v>106</v>
      </c>
      <c r="F96" s="4" t="str">
        <f t="shared" si="11"/>
        <v>in</v>
      </c>
      <c r="G96" s="4">
        <f>IFERROR(INDEX('Date Key'!$I$2:$I$19, MATCH(B96,'Date Key'!$B$2:$B$19, 0)), "")</f>
        <v>2</v>
      </c>
      <c r="H96" s="4">
        <v>150</v>
      </c>
      <c r="I96" s="11">
        <v>0.14549233567160302</v>
      </c>
      <c r="J96" s="11">
        <v>0</v>
      </c>
      <c r="K96" s="11">
        <v>0.66926801364685684</v>
      </c>
      <c r="L96" s="11">
        <v>1.9201575366988897</v>
      </c>
      <c r="M96" s="11">
        <v>102.98833819241982</v>
      </c>
      <c r="N96" s="11">
        <v>0.81476034931845986</v>
      </c>
      <c r="O96" s="11"/>
      <c r="P96" s="11">
        <v>8.01</v>
      </c>
      <c r="Q96" s="11">
        <v>123.8738738738739</v>
      </c>
      <c r="R96" s="11">
        <v>30.733333333333317</v>
      </c>
      <c r="S96" s="11">
        <v>1.40004884004884</v>
      </c>
      <c r="T96" s="4">
        <f t="shared" si="10"/>
        <v>0</v>
      </c>
      <c r="U96" s="4" t="str">
        <f>IFERROR(INDEX('Date Key'!$G$2:$G$19, MATCH(B96,'Date Key'!$B$2:$B$19, 0)), "")</f>
        <v>No</v>
      </c>
      <c r="V96" s="4" t="str">
        <f>IFERROR(INDEX('Date Key'!$D$2:$D$19, MATCH(B96,'Date Key'!$B$2:$B$19, 0)), "")</f>
        <v>Lower</v>
      </c>
      <c r="W96" s="4" t="str">
        <f>IFERROR(INDEX('Date Key'!$H$2:$H$19, MATCH(B96,'Date Key'!$B$2:$B$19, 0)), "")</f>
        <v>No</v>
      </c>
      <c r="X96" s="4">
        <f t="shared" si="12"/>
        <v>0.218</v>
      </c>
      <c r="Y96" s="4">
        <f t="shared" si="13"/>
        <v>2.5</v>
      </c>
    </row>
    <row r="97" spans="1:25" x14ac:dyDescent="0.35">
      <c r="A97" s="4">
        <v>5</v>
      </c>
      <c r="B97" s="41">
        <v>45224</v>
      </c>
      <c r="C97" s="4" t="s">
        <v>6</v>
      </c>
      <c r="D97" s="4">
        <v>12</v>
      </c>
      <c r="E97" s="4" t="s">
        <v>107</v>
      </c>
      <c r="F97" s="4" t="str">
        <f t="shared" si="11"/>
        <v>tank 1</v>
      </c>
      <c r="G97" s="4">
        <f>IFERROR(INDEX('Date Key'!$I$2:$I$19, MATCH(B97,'Date Key'!$B$2:$B$19, 0)), "")</f>
        <v>2</v>
      </c>
      <c r="H97" s="4">
        <v>0</v>
      </c>
      <c r="I97" s="11">
        <v>0</v>
      </c>
      <c r="J97" s="11">
        <v>1.5041902442518445E-2</v>
      </c>
      <c r="K97" s="11">
        <v>7.2933052769208778E-2</v>
      </c>
      <c r="L97" s="11">
        <v>1.0655209452201935</v>
      </c>
      <c r="M97" s="11">
        <v>62.915451895043731</v>
      </c>
      <c r="N97" s="11">
        <v>8.7974955211727227E-2</v>
      </c>
      <c r="O97" s="11"/>
      <c r="P97" s="11">
        <v>7.64</v>
      </c>
      <c r="Q97" s="11">
        <v>133.92857142857144</v>
      </c>
      <c r="R97" s="11">
        <v>20.399999999999974</v>
      </c>
      <c r="S97" s="11">
        <v>0.42935286935286932</v>
      </c>
      <c r="T97" s="4">
        <f t="shared" si="10"/>
        <v>1</v>
      </c>
      <c r="U97" s="4" t="str">
        <f>IFERROR(INDEX('Date Key'!$G$2:$G$19, MATCH(B97,'Date Key'!$B$2:$B$19, 0)), "")</f>
        <v>No</v>
      </c>
      <c r="V97" s="4" t="str">
        <f>IFERROR(INDEX('Date Key'!$D$2:$D$19, MATCH(B97,'Date Key'!$B$2:$B$19, 0)), "")</f>
        <v>Lower</v>
      </c>
      <c r="W97" s="4" t="str">
        <f>IFERROR(INDEX('Date Key'!$H$2:$H$19, MATCH(B97,'Date Key'!$B$2:$B$19, 0)), "")</f>
        <v>No</v>
      </c>
      <c r="X97" s="4">
        <f t="shared" si="12"/>
        <v>0.218</v>
      </c>
      <c r="Y97" s="4">
        <f t="shared" si="13"/>
        <v>2.5</v>
      </c>
    </row>
    <row r="98" spans="1:25" x14ac:dyDescent="0.35">
      <c r="A98" s="4">
        <v>5</v>
      </c>
      <c r="B98" s="41">
        <v>45224</v>
      </c>
      <c r="C98" s="4" t="s">
        <v>6</v>
      </c>
      <c r="D98" s="4">
        <v>13</v>
      </c>
      <c r="E98" s="4" t="s">
        <v>108</v>
      </c>
      <c r="F98" s="4" t="str">
        <f t="shared" si="11"/>
        <v>tank 1</v>
      </c>
      <c r="G98" s="4">
        <f>IFERROR(INDEX('Date Key'!$I$2:$I$19, MATCH(B98,'Date Key'!$B$2:$B$19, 0)), "")</f>
        <v>2</v>
      </c>
      <c r="H98" s="4">
        <v>150</v>
      </c>
      <c r="I98" s="11">
        <v>0.10911925175370227</v>
      </c>
      <c r="J98" s="11">
        <v>0</v>
      </c>
      <c r="K98" s="11">
        <v>0</v>
      </c>
      <c r="L98" s="11">
        <v>1.0433225921947729</v>
      </c>
      <c r="M98" s="11">
        <v>101.06413994169095</v>
      </c>
      <c r="N98" s="11">
        <v>0.10911925175370227</v>
      </c>
      <c r="O98" s="11"/>
      <c r="P98" s="11">
        <v>7.15</v>
      </c>
      <c r="Q98" s="11">
        <v>113.63636363636364</v>
      </c>
      <c r="R98" s="11">
        <v>25.399999999999977</v>
      </c>
      <c r="S98" s="11">
        <v>0.4781929181929182</v>
      </c>
      <c r="T98" s="4">
        <f t="shared" si="10"/>
        <v>1</v>
      </c>
      <c r="U98" s="4" t="str">
        <f>IFERROR(INDEX('Date Key'!$G$2:$G$19, MATCH(B98,'Date Key'!$B$2:$B$19, 0)), "")</f>
        <v>No</v>
      </c>
      <c r="V98" s="4" t="str">
        <f>IFERROR(INDEX('Date Key'!$D$2:$D$19, MATCH(B98,'Date Key'!$B$2:$B$19, 0)), "")</f>
        <v>Lower</v>
      </c>
      <c r="W98" s="4" t="str">
        <f>IFERROR(INDEX('Date Key'!$H$2:$H$19, MATCH(B98,'Date Key'!$B$2:$B$19, 0)), "")</f>
        <v>No</v>
      </c>
      <c r="X98" s="4">
        <f t="shared" si="12"/>
        <v>0.218</v>
      </c>
      <c r="Y98" s="4">
        <f t="shared" si="13"/>
        <v>2.5</v>
      </c>
    </row>
    <row r="99" spans="1:25" x14ac:dyDescent="0.35">
      <c r="A99" s="4">
        <v>5</v>
      </c>
      <c r="B99" s="41">
        <v>45224</v>
      </c>
      <c r="C99" s="4" t="s">
        <v>6</v>
      </c>
      <c r="D99" s="4">
        <v>14</v>
      </c>
      <c r="E99" s="4" t="s">
        <v>109</v>
      </c>
      <c r="F99" s="4" t="str">
        <f t="shared" si="11"/>
        <v>in</v>
      </c>
      <c r="G99" s="4">
        <f>IFERROR(INDEX('Date Key'!$I$2:$I$19, MATCH(B99,'Date Key'!$B$2:$B$19, 0)), "")</f>
        <v>2</v>
      </c>
      <c r="H99" s="4">
        <v>60</v>
      </c>
      <c r="I99" s="11">
        <v>0</v>
      </c>
      <c r="J99" s="11">
        <v>0</v>
      </c>
      <c r="K99" s="11">
        <v>0.84945555578254917</v>
      </c>
      <c r="L99" s="11">
        <v>1.4983888292158969</v>
      </c>
      <c r="M99" s="11">
        <v>114.05247813411079</v>
      </c>
      <c r="N99" s="11">
        <v>0.84945555578254917</v>
      </c>
      <c r="O99" s="11"/>
      <c r="P99" s="11">
        <v>8.07</v>
      </c>
      <c r="Q99" s="11">
        <v>123.8738738738739</v>
      </c>
      <c r="R99" s="11">
        <v>28.066666666666645</v>
      </c>
      <c r="S99" s="11">
        <v>1.0825885225885228</v>
      </c>
      <c r="T99" s="4">
        <f t="shared" si="10"/>
        <v>0</v>
      </c>
      <c r="U99" s="4" t="str">
        <f>IFERROR(INDEX('Date Key'!$G$2:$G$19, MATCH(B99,'Date Key'!$B$2:$B$19, 0)), "")</f>
        <v>No</v>
      </c>
      <c r="V99" s="4" t="str">
        <f>IFERROR(INDEX('Date Key'!$D$2:$D$19, MATCH(B99,'Date Key'!$B$2:$B$19, 0)), "")</f>
        <v>Lower</v>
      </c>
      <c r="W99" s="4" t="str">
        <f>IFERROR(INDEX('Date Key'!$H$2:$H$19, MATCH(B99,'Date Key'!$B$2:$B$19, 0)), "")</f>
        <v>No</v>
      </c>
      <c r="X99" s="4">
        <f t="shared" si="12"/>
        <v>0.218</v>
      </c>
      <c r="Y99" s="4">
        <f t="shared" si="13"/>
        <v>2.5</v>
      </c>
    </row>
    <row r="100" spans="1:25" x14ac:dyDescent="0.35">
      <c r="A100" s="4">
        <v>5</v>
      </c>
      <c r="B100" s="41">
        <v>45224</v>
      </c>
      <c r="C100" s="4" t="s">
        <v>6</v>
      </c>
      <c r="D100" s="4">
        <v>15</v>
      </c>
      <c r="E100" s="4" t="s">
        <v>110</v>
      </c>
      <c r="F100" s="4" t="str">
        <f t="shared" si="11"/>
        <v>tank 2</v>
      </c>
      <c r="G100" s="4">
        <f>IFERROR(INDEX('Date Key'!$I$2:$I$19, MATCH(B100,'Date Key'!$B$2:$B$19, 0)), "")</f>
        <v>2</v>
      </c>
      <c r="H100" s="4">
        <v>0</v>
      </c>
      <c r="I100" s="11">
        <v>0</v>
      </c>
      <c r="J100" s="11">
        <v>1.5041902442518445E-2</v>
      </c>
      <c r="K100" s="11">
        <v>4.7191975321252723E-2</v>
      </c>
      <c r="L100" s="11">
        <v>1.6537773003938414</v>
      </c>
      <c r="M100" s="11">
        <v>11.967930029154518</v>
      </c>
      <c r="N100" s="11">
        <v>6.2233877763771164E-2</v>
      </c>
      <c r="O100" s="11"/>
      <c r="P100" s="11">
        <v>7.26</v>
      </c>
      <c r="Q100" s="11">
        <v>190.67796610169495</v>
      </c>
      <c r="R100" s="11">
        <v>60.73333333333332</v>
      </c>
      <c r="S100" s="11">
        <v>1.1863736263736266</v>
      </c>
      <c r="T100" s="4">
        <f t="shared" si="10"/>
        <v>2</v>
      </c>
      <c r="U100" s="4" t="str">
        <f>IFERROR(INDEX('Date Key'!$G$2:$G$19, MATCH(B100,'Date Key'!$B$2:$B$19, 0)), "")</f>
        <v>No</v>
      </c>
      <c r="V100" s="4" t="str">
        <f>IFERROR(INDEX('Date Key'!$D$2:$D$19, MATCH(B100,'Date Key'!$B$2:$B$19, 0)), "")</f>
        <v>Lower</v>
      </c>
      <c r="W100" s="4" t="str">
        <f>IFERROR(INDEX('Date Key'!$H$2:$H$19, MATCH(B100,'Date Key'!$B$2:$B$19, 0)), "")</f>
        <v>No</v>
      </c>
      <c r="X100" s="4">
        <f t="shared" si="12"/>
        <v>0.218</v>
      </c>
      <c r="Y100" s="4">
        <f t="shared" si="13"/>
        <v>2.5</v>
      </c>
    </row>
    <row r="101" spans="1:25" x14ac:dyDescent="0.35">
      <c r="A101" s="4">
        <v>5</v>
      </c>
      <c r="B101" s="41">
        <v>45224</v>
      </c>
      <c r="C101" s="4" t="s">
        <v>6</v>
      </c>
      <c r="D101" s="4">
        <v>16</v>
      </c>
      <c r="E101" s="4" t="s">
        <v>111</v>
      </c>
      <c r="F101" s="4" t="str">
        <f t="shared" si="11"/>
        <v>tank 1</v>
      </c>
      <c r="G101" s="4">
        <f>IFERROR(INDEX('Date Key'!$I$2:$I$19, MATCH(B101,'Date Key'!$B$2:$B$19, 0)), "")</f>
        <v>2</v>
      </c>
      <c r="H101" s="4">
        <v>60</v>
      </c>
      <c r="I101" s="11">
        <v>7.2746167835801512E-2</v>
      </c>
      <c r="J101" s="11">
        <v>0</v>
      </c>
      <c r="K101" s="11">
        <v>2.1450897873296695E-2</v>
      </c>
      <c r="L101" s="11">
        <v>0.8102398854278553</v>
      </c>
      <c r="M101" s="11">
        <v>64.008746355685133</v>
      </c>
      <c r="N101" s="11">
        <v>9.4197065709098207E-2</v>
      </c>
      <c r="O101" s="11"/>
      <c r="P101" s="11">
        <v>7.29</v>
      </c>
      <c r="Q101" s="11">
        <v>133.92857142857144</v>
      </c>
      <c r="R101" s="11">
        <v>25.399999999999977</v>
      </c>
      <c r="S101" s="11">
        <v>0.26451770451770451</v>
      </c>
      <c r="T101" s="4">
        <f t="shared" si="10"/>
        <v>1</v>
      </c>
      <c r="U101" s="4" t="str">
        <f>IFERROR(INDEX('Date Key'!$G$2:$G$19, MATCH(B101,'Date Key'!$B$2:$B$19, 0)), "")</f>
        <v>No</v>
      </c>
      <c r="V101" s="4" t="str">
        <f>IFERROR(INDEX('Date Key'!$D$2:$D$19, MATCH(B101,'Date Key'!$B$2:$B$19, 0)), "")</f>
        <v>Lower</v>
      </c>
      <c r="W101" s="4" t="str">
        <f>IFERROR(INDEX('Date Key'!$H$2:$H$19, MATCH(B101,'Date Key'!$B$2:$B$19, 0)), "")</f>
        <v>No</v>
      </c>
      <c r="X101" s="4">
        <f t="shared" si="12"/>
        <v>0.218</v>
      </c>
      <c r="Y101" s="4">
        <f t="shared" si="13"/>
        <v>2.5</v>
      </c>
    </row>
    <row r="102" spans="1:25" x14ac:dyDescent="0.35">
      <c r="A102" s="4">
        <v>5</v>
      </c>
      <c r="B102" s="41">
        <v>45224</v>
      </c>
      <c r="C102" s="4" t="s">
        <v>6</v>
      </c>
      <c r="D102" s="4">
        <v>17</v>
      </c>
      <c r="E102" s="4" t="s">
        <v>112</v>
      </c>
      <c r="F102" s="4" t="str">
        <f t="shared" si="11"/>
        <v>tank 2</v>
      </c>
      <c r="G102" s="4">
        <f>IFERROR(INDEX('Date Key'!$I$2:$I$19, MATCH(B102,'Date Key'!$B$2:$B$19, 0)), "")</f>
        <v>2</v>
      </c>
      <c r="H102" s="4">
        <v>90</v>
      </c>
      <c r="I102" s="11">
        <v>5.4559625876851134E-2</v>
      </c>
      <c r="J102" s="11">
        <v>0.35097772365876367</v>
      </c>
      <c r="K102" s="11">
        <v>0.51482154895912058</v>
      </c>
      <c r="L102" s="11">
        <v>1.209810239885428</v>
      </c>
      <c r="M102" s="11">
        <v>104.85422740524781</v>
      </c>
      <c r="N102" s="11">
        <v>0.9203588984947354</v>
      </c>
      <c r="O102" s="11"/>
      <c r="P102" s="11">
        <v>7.16</v>
      </c>
      <c r="Q102" s="11">
        <v>113.63636363636364</v>
      </c>
      <c r="R102" s="11">
        <v>26.399999999999977</v>
      </c>
      <c r="S102" s="11">
        <v>0.7284981684981684</v>
      </c>
      <c r="T102" s="4">
        <f t="shared" si="10"/>
        <v>2</v>
      </c>
      <c r="U102" s="4" t="str">
        <f>IFERROR(INDEX('Date Key'!$G$2:$G$19, MATCH(B102,'Date Key'!$B$2:$B$19, 0)), "")</f>
        <v>No</v>
      </c>
      <c r="V102" s="4" t="str">
        <f>IFERROR(INDEX('Date Key'!$D$2:$D$19, MATCH(B102,'Date Key'!$B$2:$B$19, 0)), "")</f>
        <v>Lower</v>
      </c>
      <c r="W102" s="4" t="str">
        <f>IFERROR(INDEX('Date Key'!$H$2:$H$19, MATCH(B102,'Date Key'!$B$2:$B$19, 0)), "")</f>
        <v>No</v>
      </c>
      <c r="X102" s="4">
        <f t="shared" si="12"/>
        <v>0.218</v>
      </c>
      <c r="Y102" s="4">
        <f t="shared" si="13"/>
        <v>2.5</v>
      </c>
    </row>
    <row r="103" spans="1:25" x14ac:dyDescent="0.35">
      <c r="A103" s="4">
        <v>5</v>
      </c>
      <c r="B103" s="41">
        <v>45224</v>
      </c>
      <c r="C103" s="4" t="s">
        <v>6</v>
      </c>
      <c r="D103" s="4">
        <v>18</v>
      </c>
      <c r="E103" s="4" t="s">
        <v>113</v>
      </c>
      <c r="F103" s="4" t="str">
        <f t="shared" si="11"/>
        <v>tank 2</v>
      </c>
      <c r="G103" s="4">
        <f>IFERROR(INDEX('Date Key'!$I$2:$I$19, MATCH(B103,'Date Key'!$B$2:$B$19, 0)), "")</f>
        <v>2</v>
      </c>
      <c r="H103" s="4">
        <v>180</v>
      </c>
      <c r="I103" s="11">
        <v>0</v>
      </c>
      <c r="J103" s="11">
        <v>0.16546092686770289</v>
      </c>
      <c r="K103" s="11">
        <v>0.27457149277819765</v>
      </c>
      <c r="L103" s="11">
        <v>1.1876118868600072</v>
      </c>
      <c r="M103" s="11">
        <v>106.72011661807581</v>
      </c>
      <c r="N103" s="11">
        <v>0.44003241964590056</v>
      </c>
      <c r="O103" s="11"/>
      <c r="P103" s="11">
        <v>6.8</v>
      </c>
      <c r="Q103" s="11">
        <v>92.592592592592609</v>
      </c>
      <c r="R103" s="11">
        <v>23.733333333333309</v>
      </c>
      <c r="S103" s="11">
        <v>0.64913308913308909</v>
      </c>
      <c r="T103" s="4">
        <f t="shared" si="10"/>
        <v>2</v>
      </c>
      <c r="U103" s="4" t="str">
        <f>IFERROR(INDEX('Date Key'!$G$2:$G$19, MATCH(B103,'Date Key'!$B$2:$B$19, 0)), "")</f>
        <v>No</v>
      </c>
      <c r="V103" s="4" t="str">
        <f>IFERROR(INDEX('Date Key'!$D$2:$D$19, MATCH(B103,'Date Key'!$B$2:$B$19, 0)), "")</f>
        <v>Lower</v>
      </c>
      <c r="W103" s="4" t="str">
        <f>IFERROR(INDEX('Date Key'!$H$2:$H$19, MATCH(B103,'Date Key'!$B$2:$B$19, 0)), "")</f>
        <v>No</v>
      </c>
      <c r="X103" s="4">
        <f t="shared" si="12"/>
        <v>0.218</v>
      </c>
      <c r="Y103" s="4">
        <f t="shared" si="13"/>
        <v>2.5</v>
      </c>
    </row>
    <row r="104" spans="1:25" x14ac:dyDescent="0.35">
      <c r="A104" s="4">
        <v>5</v>
      </c>
      <c r="B104" s="41">
        <v>45224</v>
      </c>
      <c r="C104" s="4" t="s">
        <v>6</v>
      </c>
      <c r="D104" s="4">
        <v>19</v>
      </c>
      <c r="E104" s="4" t="s">
        <v>114</v>
      </c>
      <c r="F104" s="4" t="str">
        <f t="shared" si="11"/>
        <v>tank 2</v>
      </c>
      <c r="G104" s="4">
        <f>IFERROR(INDEX('Date Key'!$I$2:$I$19, MATCH(B104,'Date Key'!$B$2:$B$19, 0)), "")</f>
        <v>2</v>
      </c>
      <c r="H104" s="4">
        <v>150</v>
      </c>
      <c r="I104" s="11">
        <v>9.0932709794751876E-2</v>
      </c>
      <c r="J104" s="11">
        <v>0.19554473175273973</v>
      </c>
      <c r="K104" s="11">
        <v>0.31747328852479106</v>
      </c>
      <c r="L104" s="11">
        <v>1.1765127103472968</v>
      </c>
      <c r="M104" s="11">
        <v>110.10204081632652</v>
      </c>
      <c r="N104" s="11">
        <v>0.60395073007228262</v>
      </c>
      <c r="O104" s="11"/>
      <c r="P104" s="11">
        <v>7.33</v>
      </c>
      <c r="Q104" s="11">
        <v>113.63636363636364</v>
      </c>
      <c r="R104" s="11">
        <v>24.399999999999977</v>
      </c>
      <c r="S104" s="11">
        <v>0.64302808302808301</v>
      </c>
      <c r="T104" s="4">
        <f t="shared" si="10"/>
        <v>2</v>
      </c>
      <c r="U104" s="4" t="str">
        <f>IFERROR(INDEX('Date Key'!$G$2:$G$19, MATCH(B104,'Date Key'!$B$2:$B$19, 0)), "")</f>
        <v>No</v>
      </c>
      <c r="V104" s="4" t="str">
        <f>IFERROR(INDEX('Date Key'!$D$2:$D$19, MATCH(B104,'Date Key'!$B$2:$B$19, 0)), "")</f>
        <v>Lower</v>
      </c>
      <c r="W104" s="4" t="str">
        <f>IFERROR(INDEX('Date Key'!$H$2:$H$19, MATCH(B104,'Date Key'!$B$2:$B$19, 0)), "")</f>
        <v>No</v>
      </c>
      <c r="X104" s="4">
        <f t="shared" si="12"/>
        <v>0.218</v>
      </c>
      <c r="Y104" s="4">
        <f t="shared" si="13"/>
        <v>2.5</v>
      </c>
    </row>
    <row r="105" spans="1:25" x14ac:dyDescent="0.35">
      <c r="A105" s="4">
        <v>5</v>
      </c>
      <c r="B105" s="41">
        <v>45224</v>
      </c>
      <c r="C105" s="4" t="s">
        <v>6</v>
      </c>
      <c r="D105" s="4">
        <v>20</v>
      </c>
      <c r="E105" s="4" t="s">
        <v>115</v>
      </c>
      <c r="F105" s="4" t="str">
        <f t="shared" si="11"/>
        <v>tank 2</v>
      </c>
      <c r="G105" s="4">
        <f>IFERROR(INDEX('Date Key'!$I$2:$I$19, MATCH(B105,'Date Key'!$B$2:$B$19, 0)), "")</f>
        <v>2</v>
      </c>
      <c r="H105" s="4">
        <v>120</v>
      </c>
      <c r="I105" s="11">
        <v>5.4559625876851134E-2</v>
      </c>
      <c r="J105" s="11">
        <v>0.1805028293102213</v>
      </c>
      <c r="K105" s="11">
        <v>0.36466526384604381</v>
      </c>
      <c r="L105" s="11">
        <v>1.1876118868600072</v>
      </c>
      <c r="M105" s="11">
        <v>108.52769679300292</v>
      </c>
      <c r="N105" s="11">
        <v>0.59972771903311628</v>
      </c>
      <c r="O105" s="11"/>
      <c r="P105" s="11">
        <v>7.22</v>
      </c>
      <c r="Q105" s="11">
        <v>113.63636363636364</v>
      </c>
      <c r="R105" s="11">
        <v>30.066666666666649</v>
      </c>
      <c r="S105" s="11">
        <v>0.67355311355311365</v>
      </c>
      <c r="T105" s="4">
        <f t="shared" si="10"/>
        <v>2</v>
      </c>
      <c r="U105" s="4" t="str">
        <f>IFERROR(INDEX('Date Key'!$G$2:$G$19, MATCH(B105,'Date Key'!$B$2:$B$19, 0)), "")</f>
        <v>No</v>
      </c>
      <c r="V105" s="4" t="str">
        <f>IFERROR(INDEX('Date Key'!$D$2:$D$19, MATCH(B105,'Date Key'!$B$2:$B$19, 0)), "")</f>
        <v>Lower</v>
      </c>
      <c r="W105" s="4" t="str">
        <f>IFERROR(INDEX('Date Key'!$H$2:$H$19, MATCH(B105,'Date Key'!$B$2:$B$19, 0)), "")</f>
        <v>No</v>
      </c>
      <c r="X105" s="4">
        <f t="shared" si="12"/>
        <v>0.218</v>
      </c>
      <c r="Y105" s="4">
        <f t="shared" si="13"/>
        <v>2.5</v>
      </c>
    </row>
    <row r="106" spans="1:25" s="27" customFormat="1" x14ac:dyDescent="0.35">
      <c r="A106" s="27">
        <v>5</v>
      </c>
      <c r="B106" s="42">
        <v>45224</v>
      </c>
      <c r="C106" s="27" t="s">
        <v>6</v>
      </c>
      <c r="D106" s="27">
        <v>21</v>
      </c>
      <c r="E106" s="27" t="s">
        <v>116</v>
      </c>
      <c r="F106" s="27" t="str">
        <f t="shared" si="11"/>
        <v>tank 2</v>
      </c>
      <c r="G106" s="27">
        <f>IFERROR(INDEX('Date Key'!$I$2:$I$19, MATCH(B106,'Date Key'!$B$2:$B$19, 0)), "")</f>
        <v>2</v>
      </c>
      <c r="H106" s="27">
        <v>60</v>
      </c>
      <c r="I106" s="28">
        <v>7.2746167835801512E-2</v>
      </c>
      <c r="J106" s="28">
        <v>0.21058663419525822</v>
      </c>
      <c r="K106" s="28">
        <v>0.62636621790026337</v>
      </c>
      <c r="L106" s="28">
        <v>1.3984962406015038</v>
      </c>
      <c r="M106" s="28">
        <v>81.10787172011662</v>
      </c>
      <c r="N106" s="28">
        <v>0.90969901993132307</v>
      </c>
      <c r="O106" s="28"/>
      <c r="P106" s="28">
        <v>7.15</v>
      </c>
      <c r="Q106" s="28">
        <v>133.92857142857144</v>
      </c>
      <c r="R106" s="28">
        <v>41.733333333333327</v>
      </c>
      <c r="S106" s="28">
        <v>0.88112332112332115</v>
      </c>
      <c r="T106" s="27">
        <f t="shared" si="10"/>
        <v>2</v>
      </c>
      <c r="U106" s="27" t="str">
        <f>IFERROR(INDEX('Date Key'!$G$2:$G$19, MATCH(B106,'Date Key'!$B$2:$B$19, 0)), "")</f>
        <v>No</v>
      </c>
      <c r="V106" s="27" t="str">
        <f>IFERROR(INDEX('Date Key'!$D$2:$D$19, MATCH(B106,'Date Key'!$B$2:$B$19, 0)), "")</f>
        <v>Lower</v>
      </c>
      <c r="W106" s="27" t="str">
        <f>IFERROR(INDEX('Date Key'!$H$2:$H$19, MATCH(B106,'Date Key'!$B$2:$B$19, 0)), "")</f>
        <v>No</v>
      </c>
      <c r="X106" s="27">
        <f t="shared" si="12"/>
        <v>0.218</v>
      </c>
      <c r="Y106" s="27">
        <f t="shared" si="13"/>
        <v>2.5</v>
      </c>
    </row>
    <row r="107" spans="1:25" x14ac:dyDescent="0.35">
      <c r="A107" s="4">
        <v>6</v>
      </c>
      <c r="B107" s="41">
        <v>45230</v>
      </c>
      <c r="C107" s="4" t="s">
        <v>6</v>
      </c>
      <c r="D107" s="4">
        <v>1</v>
      </c>
      <c r="E107" s="4" t="s">
        <v>117</v>
      </c>
      <c r="F107" s="4" t="str">
        <f t="shared" si="11"/>
        <v>in</v>
      </c>
      <c r="G107" s="4">
        <f>IFERROR(INDEX('Date Key'!$I$2:$I$19, MATCH(B107,'Date Key'!$B$2:$B$19, 0)), "")</f>
        <v>2</v>
      </c>
      <c r="H107" s="4">
        <v>90</v>
      </c>
      <c r="I107" s="11">
        <v>0.18186541958950375</v>
      </c>
      <c r="J107" s="11">
        <v>6.9132551085192936E-2</v>
      </c>
      <c r="K107" s="11">
        <v>2.2580645161290329</v>
      </c>
      <c r="L107" s="11">
        <v>1.0304709141274238</v>
      </c>
      <c r="M107" s="11">
        <v>147.94736842105263</v>
      </c>
      <c r="N107" s="11">
        <v>2.5090624868037295</v>
      </c>
      <c r="O107" s="11"/>
      <c r="P107" s="11">
        <v>7.36</v>
      </c>
      <c r="Q107" s="11">
        <v>81.775700934579433</v>
      </c>
      <c r="R107" s="11">
        <v>48.733333333333334</v>
      </c>
      <c r="S107" s="11">
        <v>0.33167277167277176</v>
      </c>
      <c r="T107" s="4">
        <f t="shared" si="10"/>
        <v>0</v>
      </c>
      <c r="U107" s="4" t="str">
        <f>IFERROR(INDEX('Date Key'!$G$2:$G$19, MATCH(B107,'Date Key'!$B$2:$B$19, 0)), "")</f>
        <v>Yes</v>
      </c>
      <c r="V107" s="4" t="str">
        <f>IFERROR(INDEX('Date Key'!$D$2:$D$19, MATCH(B107,'Date Key'!$B$2:$B$19, 0)), "")</f>
        <v>Lower</v>
      </c>
      <c r="W107" s="4" t="str">
        <f>IFERROR(INDEX('Date Key'!$H$2:$H$19, MATCH(B107,'Date Key'!$B$2:$B$19, 0)), "")</f>
        <v>No</v>
      </c>
      <c r="X107" s="4">
        <f t="shared" si="12"/>
        <v>0.218</v>
      </c>
      <c r="Y107" s="4">
        <f t="shared" si="13"/>
        <v>2.5</v>
      </c>
    </row>
    <row r="108" spans="1:25" x14ac:dyDescent="0.35">
      <c r="A108" s="4">
        <v>6</v>
      </c>
      <c r="B108" s="41">
        <v>45230</v>
      </c>
      <c r="C108" s="4" t="s">
        <v>6</v>
      </c>
      <c r="D108" s="4">
        <v>2</v>
      </c>
      <c r="E108" s="4" t="s">
        <v>118</v>
      </c>
      <c r="F108" s="4" t="str">
        <f t="shared" si="11"/>
        <v>in</v>
      </c>
      <c r="G108" s="4">
        <f>IFERROR(INDEX('Date Key'!$I$2:$I$19, MATCH(B108,'Date Key'!$B$2:$B$19, 0)), "")</f>
        <v>2</v>
      </c>
      <c r="H108" s="4">
        <v>60</v>
      </c>
      <c r="I108" s="11">
        <v>0.40010392309690834</v>
      </c>
      <c r="J108" s="11">
        <v>6.4194511721964873E-2</v>
      </c>
      <c r="K108" s="11">
        <v>2.1363472838469848</v>
      </c>
      <c r="L108" s="11">
        <v>1.2365650969529085</v>
      </c>
      <c r="M108" s="11">
        <v>139.01913875598086</v>
      </c>
      <c r="N108" s="11">
        <v>2.600645718665858</v>
      </c>
      <c r="O108" s="11"/>
      <c r="P108" s="11">
        <v>7.33</v>
      </c>
      <c r="Q108" s="11">
        <v>81.775700934579433</v>
      </c>
      <c r="R108" s="11">
        <v>49.4</v>
      </c>
      <c r="S108" s="11">
        <v>0.33167277167277176</v>
      </c>
      <c r="T108" s="4">
        <f t="shared" si="10"/>
        <v>0</v>
      </c>
      <c r="U108" s="4" t="str">
        <f>IFERROR(INDEX('Date Key'!$G$2:$G$19, MATCH(B108,'Date Key'!$B$2:$B$19, 0)), "")</f>
        <v>Yes</v>
      </c>
      <c r="V108" s="4" t="str">
        <f>IFERROR(INDEX('Date Key'!$D$2:$D$19, MATCH(B108,'Date Key'!$B$2:$B$19, 0)), "")</f>
        <v>Lower</v>
      </c>
      <c r="W108" s="4" t="str">
        <f>IFERROR(INDEX('Date Key'!$H$2:$H$19, MATCH(B108,'Date Key'!$B$2:$B$19, 0)), "")</f>
        <v>No</v>
      </c>
      <c r="X108" s="4">
        <f t="shared" si="12"/>
        <v>0.218</v>
      </c>
      <c r="Y108" s="4">
        <f t="shared" si="13"/>
        <v>2.5</v>
      </c>
    </row>
    <row r="109" spans="1:25" x14ac:dyDescent="0.35">
      <c r="A109" s="4">
        <v>6</v>
      </c>
      <c r="B109" s="41">
        <v>45230</v>
      </c>
      <c r="C109" s="4" t="s">
        <v>6</v>
      </c>
      <c r="D109" s="4">
        <v>3</v>
      </c>
      <c r="E109" s="4" t="s">
        <v>119</v>
      </c>
      <c r="F109" s="4" t="str">
        <f t="shared" si="11"/>
        <v>in</v>
      </c>
      <c r="G109" s="4">
        <f>IFERROR(INDEX('Date Key'!$I$2:$I$19, MATCH(B109,'Date Key'!$B$2:$B$19, 0)), "")</f>
        <v>2</v>
      </c>
      <c r="H109" s="4">
        <v>30</v>
      </c>
      <c r="I109" s="11">
        <v>0.20005196154845417</v>
      </c>
      <c r="J109" s="11">
        <v>5.9256472358736809E-2</v>
      </c>
      <c r="K109" s="11">
        <v>2.1573330135507858</v>
      </c>
      <c r="L109" s="11">
        <v>0.90452446906740536</v>
      </c>
      <c r="M109" s="11">
        <v>139.73684210526315</v>
      </c>
      <c r="N109" s="11">
        <v>2.4166414474579767</v>
      </c>
      <c r="O109" s="11"/>
      <c r="P109" s="11">
        <v>7.35</v>
      </c>
      <c r="Q109" s="11">
        <v>81.775700934579433</v>
      </c>
      <c r="R109" s="11">
        <v>53.066666666666649</v>
      </c>
      <c r="S109" s="11">
        <v>0.36830280830280826</v>
      </c>
      <c r="T109" s="4">
        <f t="shared" si="10"/>
        <v>0</v>
      </c>
      <c r="U109" s="4" t="str">
        <f>IFERROR(INDEX('Date Key'!$G$2:$G$19, MATCH(B109,'Date Key'!$B$2:$B$19, 0)), "")</f>
        <v>Yes</v>
      </c>
      <c r="V109" s="4" t="str">
        <f>IFERROR(INDEX('Date Key'!$D$2:$D$19, MATCH(B109,'Date Key'!$B$2:$B$19, 0)), "")</f>
        <v>Lower</v>
      </c>
      <c r="W109" s="4" t="str">
        <f>IFERROR(INDEX('Date Key'!$H$2:$H$19, MATCH(B109,'Date Key'!$B$2:$B$19, 0)), "")</f>
        <v>No</v>
      </c>
      <c r="X109" s="4">
        <f t="shared" si="12"/>
        <v>0.218</v>
      </c>
      <c r="Y109" s="4">
        <f t="shared" si="13"/>
        <v>2.5</v>
      </c>
    </row>
    <row r="110" spans="1:25" x14ac:dyDescent="0.35">
      <c r="A110" s="4">
        <v>6</v>
      </c>
      <c r="B110" s="41">
        <v>45230</v>
      </c>
      <c r="C110" s="4" t="s">
        <v>6</v>
      </c>
      <c r="D110" s="4">
        <v>4</v>
      </c>
      <c r="E110" s="4" t="s">
        <v>120</v>
      </c>
      <c r="F110" s="4" t="str">
        <f t="shared" si="11"/>
        <v>in</v>
      </c>
      <c r="G110" s="4">
        <f>IFERROR(INDEX('Date Key'!$I$2:$I$19, MATCH(B110,'Date Key'!$B$2:$B$19, 0)), "")</f>
        <v>2</v>
      </c>
      <c r="H110" s="4">
        <v>180</v>
      </c>
      <c r="I110" s="11">
        <v>0.30917121330215641</v>
      </c>
      <c r="J110" s="11">
        <v>6.9132551085192936E-2</v>
      </c>
      <c r="K110" s="11">
        <v>2.060798656913299</v>
      </c>
      <c r="L110" s="11">
        <v>0.85872576177285309</v>
      </c>
      <c r="M110" s="11">
        <v>136.43540669856461</v>
      </c>
      <c r="N110" s="11">
        <v>2.4391024213006482</v>
      </c>
      <c r="O110" s="11"/>
      <c r="P110" s="11">
        <v>7.43</v>
      </c>
      <c r="Q110" s="11">
        <v>81.775700934579433</v>
      </c>
      <c r="R110" s="11">
        <v>50.066666666666663</v>
      </c>
      <c r="S110" s="11">
        <v>0.3499877899877899</v>
      </c>
      <c r="T110" s="4">
        <f t="shared" si="10"/>
        <v>0</v>
      </c>
      <c r="U110" s="4" t="str">
        <f>IFERROR(INDEX('Date Key'!$G$2:$G$19, MATCH(B110,'Date Key'!$B$2:$B$19, 0)), "")</f>
        <v>Yes</v>
      </c>
      <c r="V110" s="4" t="str">
        <f>IFERROR(INDEX('Date Key'!$D$2:$D$19, MATCH(B110,'Date Key'!$B$2:$B$19, 0)), "")</f>
        <v>Lower</v>
      </c>
      <c r="W110" s="4" t="str">
        <f>IFERROR(INDEX('Date Key'!$H$2:$H$19, MATCH(B110,'Date Key'!$B$2:$B$19, 0)), "")</f>
        <v>No</v>
      </c>
      <c r="X110" s="4">
        <f t="shared" si="12"/>
        <v>0.218</v>
      </c>
      <c r="Y110" s="4">
        <f t="shared" si="13"/>
        <v>2.5</v>
      </c>
    </row>
    <row r="111" spans="1:25" x14ac:dyDescent="0.35">
      <c r="A111" s="4">
        <v>6</v>
      </c>
      <c r="B111" s="41">
        <v>45230</v>
      </c>
      <c r="C111" s="4" t="s">
        <v>6</v>
      </c>
      <c r="D111" s="4">
        <v>5</v>
      </c>
      <c r="E111" s="4" t="s">
        <v>121</v>
      </c>
      <c r="F111" s="4" t="str">
        <f t="shared" si="11"/>
        <v>in</v>
      </c>
      <c r="G111" s="4">
        <f>IFERROR(INDEX('Date Key'!$I$2:$I$19, MATCH(B111,'Date Key'!$B$2:$B$19, 0)), "")</f>
        <v>2</v>
      </c>
      <c r="H111" s="4">
        <v>0</v>
      </c>
      <c r="I111" s="11">
        <v>7.2746167835801512E-2</v>
      </c>
      <c r="J111" s="11">
        <v>4.938039363228066E-2</v>
      </c>
      <c r="K111" s="11">
        <v>2.6106247751528961</v>
      </c>
      <c r="L111" s="11">
        <v>0.84727608494921502</v>
      </c>
      <c r="M111" s="11">
        <v>139.39234449760767</v>
      </c>
      <c r="N111" s="11">
        <v>2.7327513366209781</v>
      </c>
      <c r="O111" s="11"/>
      <c r="P111" s="11">
        <v>7.41</v>
      </c>
      <c r="Q111" s="11">
        <v>92.592592592592609</v>
      </c>
      <c r="R111" s="11">
        <v>43.066666666666663</v>
      </c>
      <c r="S111" s="11">
        <v>0.29504273504273504</v>
      </c>
      <c r="T111" s="4">
        <f t="shared" si="10"/>
        <v>0</v>
      </c>
      <c r="U111" s="4" t="str">
        <f>IFERROR(INDEX('Date Key'!$G$2:$G$19, MATCH(B111,'Date Key'!$B$2:$B$19, 0)), "")</f>
        <v>Yes</v>
      </c>
      <c r="V111" s="4" t="str">
        <f>IFERROR(INDEX('Date Key'!$D$2:$D$19, MATCH(B111,'Date Key'!$B$2:$B$19, 0)), "")</f>
        <v>Lower</v>
      </c>
      <c r="W111" s="4" t="str">
        <f>IFERROR(INDEX('Date Key'!$H$2:$H$19, MATCH(B111,'Date Key'!$B$2:$B$19, 0)), "")</f>
        <v>No</v>
      </c>
      <c r="X111" s="4">
        <f t="shared" si="12"/>
        <v>0.218</v>
      </c>
      <c r="Y111" s="4">
        <f t="shared" si="13"/>
        <v>2.5</v>
      </c>
    </row>
    <row r="112" spans="1:25" x14ac:dyDescent="0.35">
      <c r="A112" s="4">
        <v>6</v>
      </c>
      <c r="B112" s="41">
        <v>45230</v>
      </c>
      <c r="C112" s="4" t="s">
        <v>6</v>
      </c>
      <c r="D112" s="4">
        <v>6</v>
      </c>
      <c r="E112" s="4" t="s">
        <v>122</v>
      </c>
      <c r="F112" s="4" t="str">
        <f t="shared" si="11"/>
        <v>tank 1</v>
      </c>
      <c r="G112" s="4">
        <f>IFERROR(INDEX('Date Key'!$I$2:$I$19, MATCH(B112,'Date Key'!$B$2:$B$19, 0)), "")</f>
        <v>2</v>
      </c>
      <c r="H112" s="4">
        <v>90</v>
      </c>
      <c r="I112" s="11">
        <v>0</v>
      </c>
      <c r="J112" s="11">
        <v>2.9628236179368404E-2</v>
      </c>
      <c r="K112" s="11">
        <v>0.12591437822280849</v>
      </c>
      <c r="L112" s="11">
        <v>0.79002770083102491</v>
      </c>
      <c r="M112" s="11">
        <v>128.65550239234449</v>
      </c>
      <c r="N112" s="11">
        <v>0.1555426144021769</v>
      </c>
      <c r="O112" s="11"/>
      <c r="P112" s="11">
        <v>7.12</v>
      </c>
      <c r="Q112" s="11">
        <v>123.8738738738739</v>
      </c>
      <c r="R112" s="11">
        <v>36.066666666666656</v>
      </c>
      <c r="S112" s="11">
        <v>0.27062271062271065</v>
      </c>
      <c r="T112" s="4">
        <f t="shared" si="10"/>
        <v>1</v>
      </c>
      <c r="U112" s="4" t="str">
        <f>IFERROR(INDEX('Date Key'!$G$2:$G$19, MATCH(B112,'Date Key'!$B$2:$B$19, 0)), "")</f>
        <v>Yes</v>
      </c>
      <c r="V112" s="4" t="str">
        <f>IFERROR(INDEX('Date Key'!$D$2:$D$19, MATCH(B112,'Date Key'!$B$2:$B$19, 0)), "")</f>
        <v>Lower</v>
      </c>
      <c r="W112" s="4" t="str">
        <f>IFERROR(INDEX('Date Key'!$H$2:$H$19, MATCH(B112,'Date Key'!$B$2:$B$19, 0)), "")</f>
        <v>No</v>
      </c>
      <c r="X112" s="4">
        <f t="shared" si="12"/>
        <v>0.218</v>
      </c>
      <c r="Y112" s="4">
        <f t="shared" si="13"/>
        <v>2.5</v>
      </c>
    </row>
    <row r="113" spans="1:25" x14ac:dyDescent="0.35">
      <c r="A113" s="4">
        <v>6</v>
      </c>
      <c r="B113" s="41">
        <v>45230</v>
      </c>
      <c r="C113" s="4" t="s">
        <v>6</v>
      </c>
      <c r="D113" s="4">
        <v>7</v>
      </c>
      <c r="E113" s="4" t="s">
        <v>123</v>
      </c>
      <c r="F113" s="4" t="str">
        <f t="shared" si="11"/>
        <v>in</v>
      </c>
      <c r="G113" s="4">
        <f>IFERROR(INDEX('Date Key'!$I$2:$I$19, MATCH(B113,'Date Key'!$B$2:$B$19, 0)), "")</f>
        <v>2</v>
      </c>
      <c r="H113" s="4">
        <v>120</v>
      </c>
      <c r="I113" s="11">
        <v>0.3637308391790075</v>
      </c>
      <c r="J113" s="11">
        <v>8.8884708538105178E-2</v>
      </c>
      <c r="K113" s="11">
        <v>1.9516728624535318</v>
      </c>
      <c r="L113" s="11">
        <v>0.84727608494921502</v>
      </c>
      <c r="M113" s="11">
        <v>139.0622009569378</v>
      </c>
      <c r="N113" s="11">
        <v>2.4042884101706443</v>
      </c>
      <c r="O113" s="11"/>
      <c r="P113" s="11">
        <v>7.34</v>
      </c>
      <c r="Q113" s="11">
        <v>81.775700934579433</v>
      </c>
      <c r="R113" s="11">
        <v>50.066666666666663</v>
      </c>
      <c r="S113" s="11">
        <v>0.36830280830280826</v>
      </c>
      <c r="T113" s="4">
        <f t="shared" si="10"/>
        <v>0</v>
      </c>
      <c r="U113" s="4" t="str">
        <f>IFERROR(INDEX('Date Key'!$G$2:$G$19, MATCH(B113,'Date Key'!$B$2:$B$19, 0)), "")</f>
        <v>Yes</v>
      </c>
      <c r="V113" s="4" t="str">
        <f>IFERROR(INDEX('Date Key'!$D$2:$D$19, MATCH(B113,'Date Key'!$B$2:$B$19, 0)), "")</f>
        <v>Lower</v>
      </c>
      <c r="W113" s="4" t="str">
        <f>IFERROR(INDEX('Date Key'!$H$2:$H$19, MATCH(B113,'Date Key'!$B$2:$B$19, 0)), "")</f>
        <v>No</v>
      </c>
      <c r="X113" s="4">
        <f t="shared" si="12"/>
        <v>0.218</v>
      </c>
      <c r="Y113" s="4">
        <f t="shared" si="13"/>
        <v>2.5</v>
      </c>
    </row>
    <row r="114" spans="1:25" x14ac:dyDescent="0.35">
      <c r="A114" s="4">
        <v>6</v>
      </c>
      <c r="B114" s="41">
        <v>45230</v>
      </c>
      <c r="C114" s="4" t="s">
        <v>6</v>
      </c>
      <c r="D114" s="4">
        <v>8</v>
      </c>
      <c r="E114" s="4" t="s">
        <v>124</v>
      </c>
      <c r="F114" s="4" t="str">
        <f t="shared" si="11"/>
        <v>tank 1</v>
      </c>
      <c r="G114" s="4">
        <f>IFERROR(INDEX('Date Key'!$I$2:$I$19, MATCH(B114,'Date Key'!$B$2:$B$19, 0)), "")</f>
        <v>2</v>
      </c>
      <c r="H114" s="4">
        <v>60</v>
      </c>
      <c r="I114" s="11">
        <v>0.2364250454663549</v>
      </c>
      <c r="J114" s="11">
        <v>3.4566275542596468E-2</v>
      </c>
      <c r="K114" s="11">
        <v>8.3942918815205672E-2</v>
      </c>
      <c r="L114" s="11">
        <v>0.79002770083102491</v>
      </c>
      <c r="M114" s="11">
        <v>118.22009569377992</v>
      </c>
      <c r="N114" s="11">
        <v>0.35493423982415701</v>
      </c>
      <c r="O114" s="11"/>
      <c r="P114" s="11">
        <v>7.14</v>
      </c>
      <c r="Q114" s="11">
        <v>133.92857142857144</v>
      </c>
      <c r="R114" s="11">
        <v>27.399999999999981</v>
      </c>
      <c r="S114" s="11">
        <v>0.24009768009768009</v>
      </c>
      <c r="T114" s="4">
        <f t="shared" si="10"/>
        <v>1</v>
      </c>
      <c r="U114" s="4" t="str">
        <f>IFERROR(INDEX('Date Key'!$G$2:$G$19, MATCH(B114,'Date Key'!$B$2:$B$19, 0)), "")</f>
        <v>Yes</v>
      </c>
      <c r="V114" s="4" t="str">
        <f>IFERROR(INDEX('Date Key'!$D$2:$D$19, MATCH(B114,'Date Key'!$B$2:$B$19, 0)), "")</f>
        <v>Lower</v>
      </c>
      <c r="W114" s="4" t="str">
        <f>IFERROR(INDEX('Date Key'!$H$2:$H$19, MATCH(B114,'Date Key'!$B$2:$B$19, 0)), "")</f>
        <v>No</v>
      </c>
      <c r="X114" s="4">
        <f t="shared" si="12"/>
        <v>0.218</v>
      </c>
      <c r="Y114" s="4">
        <f t="shared" si="13"/>
        <v>2.5</v>
      </c>
    </row>
    <row r="115" spans="1:25" x14ac:dyDescent="0.35">
      <c r="A115" s="4">
        <v>6</v>
      </c>
      <c r="B115" s="41">
        <v>45230</v>
      </c>
      <c r="C115" s="4" t="s">
        <v>6</v>
      </c>
      <c r="D115" s="4">
        <v>9</v>
      </c>
      <c r="E115" s="4" t="s">
        <v>125</v>
      </c>
      <c r="F115" s="4" t="str">
        <f t="shared" si="11"/>
        <v>in</v>
      </c>
      <c r="G115" s="4">
        <f>IFERROR(INDEX('Date Key'!$I$2:$I$19, MATCH(B115,'Date Key'!$B$2:$B$19, 0)), "")</f>
        <v>2</v>
      </c>
      <c r="H115" s="4">
        <v>150</v>
      </c>
      <c r="I115" s="11">
        <v>0.45466354897375955</v>
      </c>
      <c r="J115" s="11">
        <v>9.3822747901333256E-2</v>
      </c>
      <c r="K115" s="11">
        <v>1.9306871327497306</v>
      </c>
      <c r="L115" s="11">
        <v>0.80147737765466298</v>
      </c>
      <c r="M115" s="11">
        <v>136.79425837320574</v>
      </c>
      <c r="N115" s="11">
        <v>2.4791734296248231</v>
      </c>
      <c r="O115" s="11"/>
      <c r="P115" s="11">
        <v>7.41</v>
      </c>
      <c r="Q115" s="11">
        <v>81.775700934579433</v>
      </c>
      <c r="R115" s="11">
        <v>45.733333333333327</v>
      </c>
      <c r="S115" s="11">
        <v>0.34388278388278382</v>
      </c>
      <c r="T115" s="4">
        <f t="shared" si="10"/>
        <v>0</v>
      </c>
      <c r="U115" s="4" t="str">
        <f>IFERROR(INDEX('Date Key'!$G$2:$G$19, MATCH(B115,'Date Key'!$B$2:$B$19, 0)), "")</f>
        <v>Yes</v>
      </c>
      <c r="V115" s="4" t="str">
        <f>IFERROR(INDEX('Date Key'!$D$2:$D$19, MATCH(B115,'Date Key'!$B$2:$B$19, 0)), "")</f>
        <v>Lower</v>
      </c>
      <c r="W115" s="4" t="str">
        <f>IFERROR(INDEX('Date Key'!$H$2:$H$19, MATCH(B115,'Date Key'!$B$2:$B$19, 0)), "")</f>
        <v>No</v>
      </c>
      <c r="X115" s="4">
        <f t="shared" si="12"/>
        <v>0.218</v>
      </c>
      <c r="Y115" s="4">
        <f t="shared" si="13"/>
        <v>2.5</v>
      </c>
    </row>
    <row r="116" spans="1:25" x14ac:dyDescent="0.35">
      <c r="A116" s="4">
        <v>6</v>
      </c>
      <c r="B116" s="41">
        <v>45230</v>
      </c>
      <c r="C116" s="4" t="s">
        <v>6</v>
      </c>
      <c r="D116" s="4">
        <v>10</v>
      </c>
      <c r="E116" s="4" t="s">
        <v>126</v>
      </c>
      <c r="F116" s="4" t="str">
        <f t="shared" si="11"/>
        <v>tank 1</v>
      </c>
      <c r="G116" s="4">
        <f>IFERROR(INDEX('Date Key'!$I$2:$I$19, MATCH(B116,'Date Key'!$B$2:$B$19, 0)), "")</f>
        <v>2</v>
      </c>
      <c r="H116" s="4">
        <v>180</v>
      </c>
      <c r="I116" s="11">
        <v>0.16367887763055339</v>
      </c>
      <c r="J116" s="11">
        <v>4.4442354269052589E-2</v>
      </c>
      <c r="K116" s="11">
        <v>0.10912579445976738</v>
      </c>
      <c r="L116" s="11">
        <v>0.73277931671283458</v>
      </c>
      <c r="M116" s="11">
        <v>140.49760765550241</v>
      </c>
      <c r="N116" s="11">
        <v>0.31724702635937335</v>
      </c>
      <c r="O116" s="11"/>
      <c r="P116" s="11">
        <v>7.17</v>
      </c>
      <c r="Q116" s="11">
        <v>92.592592592592609</v>
      </c>
      <c r="R116" s="11">
        <v>41.066666666666656</v>
      </c>
      <c r="S116" s="11">
        <v>0.24009768009768009</v>
      </c>
      <c r="T116" s="4">
        <f t="shared" si="10"/>
        <v>1</v>
      </c>
      <c r="U116" s="4" t="str">
        <f>IFERROR(INDEX('Date Key'!$G$2:$G$19, MATCH(B116,'Date Key'!$B$2:$B$19, 0)), "")</f>
        <v>Yes</v>
      </c>
      <c r="V116" s="4" t="str">
        <f>IFERROR(INDEX('Date Key'!$D$2:$D$19, MATCH(B116,'Date Key'!$B$2:$B$19, 0)), "")</f>
        <v>Lower</v>
      </c>
      <c r="W116" s="4" t="str">
        <f>IFERROR(INDEX('Date Key'!$H$2:$H$19, MATCH(B116,'Date Key'!$B$2:$B$19, 0)), "")</f>
        <v>No</v>
      </c>
      <c r="X116" s="4">
        <f t="shared" si="12"/>
        <v>0.218</v>
      </c>
      <c r="Y116" s="4">
        <f t="shared" si="13"/>
        <v>2.5</v>
      </c>
    </row>
    <row r="117" spans="1:25" x14ac:dyDescent="0.35">
      <c r="A117" s="4">
        <v>6</v>
      </c>
      <c r="B117" s="41">
        <v>45230</v>
      </c>
      <c r="C117" s="4" t="s">
        <v>6</v>
      </c>
      <c r="D117" s="4">
        <v>11</v>
      </c>
      <c r="E117" s="4" t="s">
        <v>127</v>
      </c>
      <c r="F117" s="4" t="str">
        <f t="shared" si="11"/>
        <v>tank 1</v>
      </c>
      <c r="G117" s="4">
        <f>IFERROR(INDEX('Date Key'!$I$2:$I$19, MATCH(B117,'Date Key'!$B$2:$B$19, 0)), "")</f>
        <v>2</v>
      </c>
      <c r="H117" s="4">
        <v>30</v>
      </c>
      <c r="I117" s="11">
        <v>0.25461158742530532</v>
      </c>
      <c r="J117" s="11">
        <v>2.9628236179368404E-2</v>
      </c>
      <c r="K117" s="11">
        <v>0</v>
      </c>
      <c r="L117" s="11">
        <v>0.79002770083102491</v>
      </c>
      <c r="M117" s="11">
        <v>109.67942583732059</v>
      </c>
      <c r="N117" s="11">
        <v>0.2842398236046737</v>
      </c>
      <c r="O117" s="11"/>
      <c r="P117" s="11">
        <v>7.14</v>
      </c>
      <c r="Q117" s="11">
        <v>143.80530973451326</v>
      </c>
      <c r="R117" s="11">
        <v>17.733333333333341</v>
      </c>
      <c r="S117" s="11">
        <v>0.28283272283272287</v>
      </c>
      <c r="T117" s="4">
        <f t="shared" si="10"/>
        <v>1</v>
      </c>
      <c r="U117" s="4" t="str">
        <f>IFERROR(INDEX('Date Key'!$G$2:$G$19, MATCH(B117,'Date Key'!$B$2:$B$19, 0)), "")</f>
        <v>Yes</v>
      </c>
      <c r="V117" s="4" t="str">
        <f>IFERROR(INDEX('Date Key'!$D$2:$D$19, MATCH(B117,'Date Key'!$B$2:$B$19, 0)), "")</f>
        <v>Lower</v>
      </c>
      <c r="W117" s="4" t="str">
        <f>IFERROR(INDEX('Date Key'!$H$2:$H$19, MATCH(B117,'Date Key'!$B$2:$B$19, 0)), "")</f>
        <v>No</v>
      </c>
      <c r="X117" s="4">
        <f t="shared" si="12"/>
        <v>0.218</v>
      </c>
      <c r="Y117" s="4">
        <f t="shared" si="13"/>
        <v>2.5</v>
      </c>
    </row>
    <row r="118" spans="1:25" x14ac:dyDescent="0.35">
      <c r="A118" s="4">
        <v>6</v>
      </c>
      <c r="B118" s="41">
        <v>45230</v>
      </c>
      <c r="C118" s="4" t="s">
        <v>6</v>
      </c>
      <c r="D118" s="4">
        <v>12</v>
      </c>
      <c r="E118" s="4" t="s">
        <v>128</v>
      </c>
      <c r="F118" s="4" t="str">
        <f t="shared" si="11"/>
        <v>tank 1</v>
      </c>
      <c r="G118" s="4">
        <f>IFERROR(INDEX('Date Key'!$I$2:$I$19, MATCH(B118,'Date Key'!$B$2:$B$19, 0)), "")</f>
        <v>2</v>
      </c>
      <c r="H118" s="4">
        <v>150</v>
      </c>
      <c r="I118" s="11">
        <v>0.16367887763055339</v>
      </c>
      <c r="J118" s="11">
        <v>0</v>
      </c>
      <c r="K118" s="11">
        <v>3.7774313466842541E-2</v>
      </c>
      <c r="L118" s="11">
        <v>0.72132963988919652</v>
      </c>
      <c r="M118" s="11">
        <v>135.24401913875599</v>
      </c>
      <c r="N118" s="11">
        <v>0.20145319109739593</v>
      </c>
      <c r="O118" s="11"/>
      <c r="P118" s="11">
        <v>7.15</v>
      </c>
      <c r="Q118" s="11">
        <v>103.21100917431194</v>
      </c>
      <c r="R118" s="11">
        <v>36.399999999999984</v>
      </c>
      <c r="S118" s="11">
        <v>0.26451770451770451</v>
      </c>
      <c r="T118" s="4">
        <f t="shared" si="10"/>
        <v>1</v>
      </c>
      <c r="U118" s="4" t="str">
        <f>IFERROR(INDEX('Date Key'!$G$2:$G$19, MATCH(B118,'Date Key'!$B$2:$B$19, 0)), "")</f>
        <v>Yes</v>
      </c>
      <c r="V118" s="4" t="str">
        <f>IFERROR(INDEX('Date Key'!$D$2:$D$19, MATCH(B118,'Date Key'!$B$2:$B$19, 0)), "")</f>
        <v>Lower</v>
      </c>
      <c r="W118" s="4" t="str">
        <f>IFERROR(INDEX('Date Key'!$H$2:$H$19, MATCH(B118,'Date Key'!$B$2:$B$19, 0)), "")</f>
        <v>No</v>
      </c>
      <c r="X118" s="4">
        <f t="shared" si="12"/>
        <v>0.218</v>
      </c>
      <c r="Y118" s="4">
        <f t="shared" si="13"/>
        <v>2.5</v>
      </c>
    </row>
    <row r="119" spans="1:25" x14ac:dyDescent="0.35">
      <c r="A119" s="4">
        <v>6</v>
      </c>
      <c r="B119" s="41">
        <v>45230</v>
      </c>
      <c r="C119" s="4" t="s">
        <v>6</v>
      </c>
      <c r="D119" s="4">
        <v>13</v>
      </c>
      <c r="E119" s="4" t="s">
        <v>129</v>
      </c>
      <c r="F119" s="4" t="str">
        <f t="shared" si="11"/>
        <v>tank 1</v>
      </c>
      <c r="G119" s="4">
        <f>IFERROR(INDEX('Date Key'!$I$2:$I$19, MATCH(B119,'Date Key'!$B$2:$B$19, 0)), "")</f>
        <v>2</v>
      </c>
      <c r="H119" s="4">
        <v>0</v>
      </c>
      <c r="I119" s="11">
        <v>3.6373083917900756E-2</v>
      </c>
      <c r="J119" s="11">
        <v>1.4814118089684202E-2</v>
      </c>
      <c r="K119" s="11">
        <v>0</v>
      </c>
      <c r="L119" s="11">
        <v>0.77857802400738685</v>
      </c>
      <c r="M119" s="11">
        <v>108.30143540669856</v>
      </c>
      <c r="N119" s="11">
        <v>5.1187202007584962E-2</v>
      </c>
      <c r="O119" s="11"/>
      <c r="P119" s="11">
        <v>7.2</v>
      </c>
      <c r="Q119" s="11">
        <v>143.80530973451326</v>
      </c>
      <c r="R119" s="11">
        <v>23.733333333333309</v>
      </c>
      <c r="S119" s="11">
        <v>0.28893772893772895</v>
      </c>
      <c r="T119" s="4">
        <f t="shared" si="10"/>
        <v>1</v>
      </c>
      <c r="U119" s="4" t="str">
        <f>IFERROR(INDEX('Date Key'!$G$2:$G$19, MATCH(B119,'Date Key'!$B$2:$B$19, 0)), "")</f>
        <v>Yes</v>
      </c>
      <c r="V119" s="4" t="str">
        <f>IFERROR(INDEX('Date Key'!$D$2:$D$19, MATCH(B119,'Date Key'!$B$2:$B$19, 0)), "")</f>
        <v>Lower</v>
      </c>
      <c r="W119" s="4" t="str">
        <f>IFERROR(INDEX('Date Key'!$H$2:$H$19, MATCH(B119,'Date Key'!$B$2:$B$19, 0)), "")</f>
        <v>No</v>
      </c>
      <c r="X119" s="4">
        <f t="shared" si="12"/>
        <v>0.218</v>
      </c>
      <c r="Y119" s="4">
        <f t="shared" si="13"/>
        <v>2.5</v>
      </c>
    </row>
    <row r="120" spans="1:25" x14ac:dyDescent="0.35">
      <c r="A120" s="4">
        <v>6</v>
      </c>
      <c r="B120" s="41">
        <v>45230</v>
      </c>
      <c r="C120" s="4" t="s">
        <v>6</v>
      </c>
      <c r="D120" s="4">
        <v>14</v>
      </c>
      <c r="E120" s="4" t="s">
        <v>130</v>
      </c>
      <c r="F120" s="4" t="str">
        <f t="shared" si="11"/>
        <v>tank 2</v>
      </c>
      <c r="G120" s="4">
        <f>IFERROR(INDEX('Date Key'!$I$2:$I$19, MATCH(B120,'Date Key'!$B$2:$B$19, 0)), "")</f>
        <v>2</v>
      </c>
      <c r="H120" s="4">
        <v>90</v>
      </c>
      <c r="I120" s="11">
        <v>0.43647700701480907</v>
      </c>
      <c r="J120" s="11">
        <v>0.4345474639640699</v>
      </c>
      <c r="K120" s="11">
        <v>0.78486629092217286</v>
      </c>
      <c r="L120" s="11">
        <v>1.0991689750692522</v>
      </c>
      <c r="M120" s="11">
        <v>124.72248803827752</v>
      </c>
      <c r="N120" s="11">
        <v>1.6558907619010519</v>
      </c>
      <c r="O120" s="11"/>
      <c r="P120" s="11">
        <v>7.19</v>
      </c>
      <c r="Q120" s="11">
        <v>103.21100917431194</v>
      </c>
      <c r="R120" s="11">
        <v>39.399999999999991</v>
      </c>
      <c r="S120" s="11">
        <v>0.63692307692307693</v>
      </c>
      <c r="T120" s="4">
        <f t="shared" si="10"/>
        <v>2</v>
      </c>
      <c r="U120" s="4" t="str">
        <f>IFERROR(INDEX('Date Key'!$G$2:$G$19, MATCH(B120,'Date Key'!$B$2:$B$19, 0)), "")</f>
        <v>Yes</v>
      </c>
      <c r="V120" s="4" t="str">
        <f>IFERROR(INDEX('Date Key'!$D$2:$D$19, MATCH(B120,'Date Key'!$B$2:$B$19, 0)), "")</f>
        <v>Lower</v>
      </c>
      <c r="W120" s="4" t="str">
        <f>IFERROR(INDEX('Date Key'!$H$2:$H$19, MATCH(B120,'Date Key'!$B$2:$B$19, 0)), "")</f>
        <v>No</v>
      </c>
      <c r="X120" s="4">
        <f t="shared" si="12"/>
        <v>0.218</v>
      </c>
      <c r="Y120" s="4">
        <f t="shared" si="13"/>
        <v>2.5</v>
      </c>
    </row>
    <row r="121" spans="1:25" x14ac:dyDescent="0.35">
      <c r="A121" s="4">
        <v>6</v>
      </c>
      <c r="B121" s="41">
        <v>45230</v>
      </c>
      <c r="C121" s="4" t="s">
        <v>6</v>
      </c>
      <c r="D121" s="4">
        <v>15</v>
      </c>
      <c r="E121" s="4" t="s">
        <v>131</v>
      </c>
      <c r="F121" s="4" t="str">
        <f t="shared" si="11"/>
        <v>tank 2</v>
      </c>
      <c r="G121" s="4">
        <f>IFERROR(INDEX('Date Key'!$I$2:$I$19, MATCH(B121,'Date Key'!$B$2:$B$19, 0)), "")</f>
        <v>2</v>
      </c>
      <c r="H121" s="4">
        <v>180</v>
      </c>
      <c r="I121" s="11">
        <v>0</v>
      </c>
      <c r="J121" s="11">
        <v>0.37529099160533302</v>
      </c>
      <c r="K121" s="11">
        <v>1.2381580525242837</v>
      </c>
      <c r="L121" s="11">
        <v>0.66408125577100652</v>
      </c>
      <c r="M121" s="11">
        <v>141.51674641148324</v>
      </c>
      <c r="N121" s="11">
        <v>1.6134490441296168</v>
      </c>
      <c r="O121" s="11"/>
      <c r="P121" s="11">
        <v>7.1</v>
      </c>
      <c r="Q121" s="11">
        <v>81.775700934579433</v>
      </c>
      <c r="R121" s="11">
        <v>41.399999999999991</v>
      </c>
      <c r="S121" s="11">
        <v>0.16073260073260073</v>
      </c>
      <c r="T121" s="4">
        <f t="shared" si="10"/>
        <v>2</v>
      </c>
      <c r="U121" s="4" t="str">
        <f>IFERROR(INDEX('Date Key'!$G$2:$G$19, MATCH(B121,'Date Key'!$B$2:$B$19, 0)), "")</f>
        <v>Yes</v>
      </c>
      <c r="V121" s="4" t="str">
        <f>IFERROR(INDEX('Date Key'!$D$2:$D$19, MATCH(B121,'Date Key'!$B$2:$B$19, 0)), "")</f>
        <v>Lower</v>
      </c>
      <c r="W121" s="4" t="str">
        <f>IFERROR(INDEX('Date Key'!$H$2:$H$19, MATCH(B121,'Date Key'!$B$2:$B$19, 0)), "")</f>
        <v>No</v>
      </c>
      <c r="X121" s="4">
        <f t="shared" si="12"/>
        <v>0.218</v>
      </c>
      <c r="Y121" s="4">
        <f t="shared" si="13"/>
        <v>2.5</v>
      </c>
    </row>
    <row r="122" spans="1:25" x14ac:dyDescent="0.35">
      <c r="A122" s="4">
        <v>6</v>
      </c>
      <c r="B122" s="41">
        <v>45230</v>
      </c>
      <c r="C122" s="4" t="s">
        <v>6</v>
      </c>
      <c r="D122" s="4">
        <v>16</v>
      </c>
      <c r="E122" s="4" t="s">
        <v>132</v>
      </c>
      <c r="F122" s="4" t="str">
        <f t="shared" si="11"/>
        <v>tank 1</v>
      </c>
      <c r="G122" s="4">
        <f>IFERROR(INDEX('Date Key'!$I$2:$I$19, MATCH(B122,'Date Key'!$B$2:$B$19, 0)), "")</f>
        <v>2</v>
      </c>
      <c r="H122" s="4">
        <v>120</v>
      </c>
      <c r="I122" s="11">
        <v>0</v>
      </c>
      <c r="J122" s="11">
        <v>3.9504314905824532E-2</v>
      </c>
      <c r="K122" s="11">
        <v>7.974577287444537E-2</v>
      </c>
      <c r="L122" s="11">
        <v>0.73277931671283458</v>
      </c>
      <c r="M122" s="11">
        <v>136.07655502392345</v>
      </c>
      <c r="N122" s="11">
        <v>0.11925008778026991</v>
      </c>
      <c r="O122" s="11"/>
      <c r="P122" s="11">
        <v>7.23</v>
      </c>
      <c r="Q122" s="11">
        <v>113.63636363636364</v>
      </c>
      <c r="R122" s="11">
        <v>34.066666666666649</v>
      </c>
      <c r="S122" s="11">
        <v>0.24620268620268621</v>
      </c>
      <c r="T122" s="4">
        <f t="shared" si="10"/>
        <v>1</v>
      </c>
      <c r="U122" s="4" t="str">
        <f>IFERROR(INDEX('Date Key'!$G$2:$G$19, MATCH(B122,'Date Key'!$B$2:$B$19, 0)), "")</f>
        <v>Yes</v>
      </c>
      <c r="V122" s="4" t="str">
        <f>IFERROR(INDEX('Date Key'!$D$2:$D$19, MATCH(B122,'Date Key'!$B$2:$B$19, 0)), "")</f>
        <v>Lower</v>
      </c>
      <c r="W122" s="4" t="str">
        <f>IFERROR(INDEX('Date Key'!$H$2:$H$19, MATCH(B122,'Date Key'!$B$2:$B$19, 0)), "")</f>
        <v>No</v>
      </c>
      <c r="X122" s="4">
        <f t="shared" si="12"/>
        <v>0.218</v>
      </c>
      <c r="Y122" s="4">
        <f t="shared" si="13"/>
        <v>2.5</v>
      </c>
    </row>
    <row r="123" spans="1:25" x14ac:dyDescent="0.35">
      <c r="A123" s="4">
        <v>6</v>
      </c>
      <c r="B123" s="41">
        <v>45230</v>
      </c>
      <c r="C123" s="4" t="s">
        <v>6</v>
      </c>
      <c r="D123" s="4">
        <v>17</v>
      </c>
      <c r="E123" s="4" t="s">
        <v>133</v>
      </c>
      <c r="F123" s="4" t="str">
        <f t="shared" si="11"/>
        <v>tank 2</v>
      </c>
      <c r="G123" s="4">
        <f>IFERROR(INDEX('Date Key'!$I$2:$I$19, MATCH(B123,'Date Key'!$B$2:$B$19, 0)), "")</f>
        <v>2</v>
      </c>
      <c r="H123" s="4">
        <v>30</v>
      </c>
      <c r="I123" s="11">
        <v>0</v>
      </c>
      <c r="J123" s="11">
        <v>1.4814118089684202E-2</v>
      </c>
      <c r="K123" s="11">
        <v>1.6788583763041133E-2</v>
      </c>
      <c r="L123" s="11">
        <v>1.4655586334256692</v>
      </c>
      <c r="M123" s="11">
        <v>48.602870813397139</v>
      </c>
      <c r="N123" s="11">
        <v>3.1602701852725332E-2</v>
      </c>
      <c r="O123" s="11"/>
      <c r="P123" s="11">
        <v>7.2</v>
      </c>
      <c r="Q123" s="11">
        <v>172.41379310344831</v>
      </c>
      <c r="R123" s="11">
        <v>22.066666666666642</v>
      </c>
      <c r="S123" s="11">
        <v>1.0764835164835165</v>
      </c>
      <c r="T123" s="4">
        <f t="shared" si="10"/>
        <v>2</v>
      </c>
      <c r="U123" s="4" t="str">
        <f>IFERROR(INDEX('Date Key'!$G$2:$G$19, MATCH(B123,'Date Key'!$B$2:$B$19, 0)), "")</f>
        <v>Yes</v>
      </c>
      <c r="V123" s="4" t="str">
        <f>IFERROR(INDEX('Date Key'!$D$2:$D$19, MATCH(B123,'Date Key'!$B$2:$B$19, 0)), "")</f>
        <v>Lower</v>
      </c>
      <c r="W123" s="4" t="str">
        <f>IFERROR(INDEX('Date Key'!$H$2:$H$19, MATCH(B123,'Date Key'!$B$2:$B$19, 0)), "")</f>
        <v>No</v>
      </c>
      <c r="X123" s="4">
        <f t="shared" si="12"/>
        <v>0.218</v>
      </c>
      <c r="Y123" s="4">
        <f t="shared" si="13"/>
        <v>2.5</v>
      </c>
    </row>
    <row r="124" spans="1:25" x14ac:dyDescent="0.35">
      <c r="A124" s="4">
        <v>6</v>
      </c>
      <c r="B124" s="41">
        <v>45230</v>
      </c>
      <c r="C124" s="4" t="s">
        <v>6</v>
      </c>
      <c r="D124" s="4">
        <v>18</v>
      </c>
      <c r="E124" s="4" t="s">
        <v>134</v>
      </c>
      <c r="F124" s="4" t="str">
        <f t="shared" si="11"/>
        <v>tank 2</v>
      </c>
      <c r="G124" s="4">
        <f>IFERROR(INDEX('Date Key'!$I$2:$I$19, MATCH(B124,'Date Key'!$B$2:$B$19, 0)), "")</f>
        <v>2</v>
      </c>
      <c r="H124" s="4">
        <v>0</v>
      </c>
      <c r="I124" s="11">
        <v>0.18186541958950375</v>
      </c>
      <c r="J124" s="11">
        <v>0</v>
      </c>
      <c r="K124" s="11">
        <v>0</v>
      </c>
      <c r="L124" s="11">
        <v>1.5113573407202219</v>
      </c>
      <c r="M124" s="11">
        <v>35.626794258373209</v>
      </c>
      <c r="N124" s="11">
        <v>0.18186541958950375</v>
      </c>
      <c r="O124" s="11"/>
      <c r="P124" s="11">
        <v>7.27</v>
      </c>
      <c r="Q124" s="11">
        <v>181.62393162393164</v>
      </c>
      <c r="R124" s="11">
        <v>32.399999999999984</v>
      </c>
      <c r="S124" s="11">
        <v>1.03985347985348</v>
      </c>
      <c r="T124" s="4">
        <f t="shared" si="10"/>
        <v>2</v>
      </c>
      <c r="U124" s="4" t="str">
        <f>IFERROR(INDEX('Date Key'!$G$2:$G$19, MATCH(B124,'Date Key'!$B$2:$B$19, 0)), "")</f>
        <v>Yes</v>
      </c>
      <c r="V124" s="4" t="str">
        <f>IFERROR(INDEX('Date Key'!$D$2:$D$19, MATCH(B124,'Date Key'!$B$2:$B$19, 0)), "")</f>
        <v>Lower</v>
      </c>
      <c r="W124" s="4" t="str">
        <f>IFERROR(INDEX('Date Key'!$H$2:$H$19, MATCH(B124,'Date Key'!$B$2:$B$19, 0)), "")</f>
        <v>No</v>
      </c>
      <c r="X124" s="4">
        <f t="shared" si="12"/>
        <v>0.218</v>
      </c>
      <c r="Y124" s="4">
        <f t="shared" si="13"/>
        <v>2.5</v>
      </c>
    </row>
    <row r="125" spans="1:25" x14ac:dyDescent="0.35">
      <c r="A125" s="4">
        <v>6</v>
      </c>
      <c r="B125" s="41">
        <v>45230</v>
      </c>
      <c r="C125" s="4" t="s">
        <v>6</v>
      </c>
      <c r="D125" s="4">
        <v>19</v>
      </c>
      <c r="E125" s="4" t="s">
        <v>135</v>
      </c>
      <c r="F125" s="4" t="str">
        <f t="shared" si="11"/>
        <v>tank 2</v>
      </c>
      <c r="G125" s="4">
        <f>IFERROR(INDEX('Date Key'!$I$2:$I$19, MATCH(B125,'Date Key'!$B$2:$B$19, 0)), "")</f>
        <v>2</v>
      </c>
      <c r="H125" s="4">
        <v>120</v>
      </c>
      <c r="I125" s="11">
        <v>0.18186541958950375</v>
      </c>
      <c r="J125" s="11">
        <v>0.57775060549768387</v>
      </c>
      <c r="K125" s="11">
        <v>0.96534356637486529</v>
      </c>
      <c r="L125" s="11">
        <v>0.881625115420129</v>
      </c>
      <c r="M125" s="11">
        <v>132.61722488038279</v>
      </c>
      <c r="N125" s="11">
        <v>1.7249595914620528</v>
      </c>
      <c r="O125" s="11"/>
      <c r="P125" s="11">
        <v>7.41</v>
      </c>
      <c r="Q125" s="11">
        <v>92.592592592592609</v>
      </c>
      <c r="R125" s="11">
        <v>40.733333333333327</v>
      </c>
      <c r="S125" s="11">
        <v>0.36219780219780212</v>
      </c>
      <c r="T125" s="4">
        <f t="shared" si="10"/>
        <v>2</v>
      </c>
      <c r="U125" s="4" t="str">
        <f>IFERROR(INDEX('Date Key'!$G$2:$G$19, MATCH(B125,'Date Key'!$B$2:$B$19, 0)), "")</f>
        <v>Yes</v>
      </c>
      <c r="V125" s="4" t="str">
        <f>IFERROR(INDEX('Date Key'!$D$2:$D$19, MATCH(B125,'Date Key'!$B$2:$B$19, 0)), "")</f>
        <v>Lower</v>
      </c>
      <c r="W125" s="4" t="str">
        <f>IFERROR(INDEX('Date Key'!$H$2:$H$19, MATCH(B125,'Date Key'!$B$2:$B$19, 0)), "")</f>
        <v>No</v>
      </c>
      <c r="X125" s="4">
        <f t="shared" si="12"/>
        <v>0.218</v>
      </c>
      <c r="Y125" s="4">
        <f t="shared" si="13"/>
        <v>2.5</v>
      </c>
    </row>
    <row r="126" spans="1:25" x14ac:dyDescent="0.35">
      <c r="A126" s="4">
        <v>6</v>
      </c>
      <c r="B126" s="41">
        <v>45230</v>
      </c>
      <c r="C126" s="4" t="s">
        <v>6</v>
      </c>
      <c r="D126" s="4">
        <v>20</v>
      </c>
      <c r="E126" s="4" t="s">
        <v>136</v>
      </c>
      <c r="F126" s="4" t="str">
        <f t="shared" si="11"/>
        <v>tank 2</v>
      </c>
      <c r="G126" s="4">
        <f>IFERROR(INDEX('Date Key'!$I$2:$I$19, MATCH(B126,'Date Key'!$B$2:$B$19, 0)), "")</f>
        <v>2</v>
      </c>
      <c r="H126" s="4">
        <v>60</v>
      </c>
      <c r="I126" s="11">
        <v>0.12730579371265266</v>
      </c>
      <c r="J126" s="11">
        <v>0.24690196816140336</v>
      </c>
      <c r="K126" s="11">
        <v>0.57081184794339868</v>
      </c>
      <c r="L126" s="11">
        <v>1.3510618651892887</v>
      </c>
      <c r="M126" s="11">
        <v>104.29665071770336</v>
      </c>
      <c r="N126" s="11">
        <v>0.9450196098174547</v>
      </c>
      <c r="O126" s="11"/>
      <c r="P126" s="11">
        <v>7.48</v>
      </c>
      <c r="Q126" s="11">
        <v>133.92857142857144</v>
      </c>
      <c r="R126" s="11">
        <v>31.066666666666649</v>
      </c>
      <c r="S126" s="11">
        <v>0.83838827838827834</v>
      </c>
      <c r="T126" s="4">
        <f t="shared" si="10"/>
        <v>2</v>
      </c>
      <c r="U126" s="4" t="str">
        <f>IFERROR(INDEX('Date Key'!$G$2:$G$19, MATCH(B126,'Date Key'!$B$2:$B$19, 0)), "")</f>
        <v>Yes</v>
      </c>
      <c r="V126" s="4" t="str">
        <f>IFERROR(INDEX('Date Key'!$D$2:$D$19, MATCH(B126,'Date Key'!$B$2:$B$19, 0)), "")</f>
        <v>Lower</v>
      </c>
      <c r="W126" s="4" t="str">
        <f>IFERROR(INDEX('Date Key'!$H$2:$H$19, MATCH(B126,'Date Key'!$B$2:$B$19, 0)), "")</f>
        <v>No</v>
      </c>
      <c r="X126" s="4">
        <f t="shared" si="12"/>
        <v>0.218</v>
      </c>
      <c r="Y126" s="4">
        <f t="shared" si="13"/>
        <v>2.5</v>
      </c>
    </row>
    <row r="127" spans="1:25" s="27" customFormat="1" x14ac:dyDescent="0.35">
      <c r="A127" s="27">
        <v>6</v>
      </c>
      <c r="B127" s="42">
        <v>45230</v>
      </c>
      <c r="C127" s="27" t="s">
        <v>6</v>
      </c>
      <c r="D127" s="27">
        <v>21</v>
      </c>
      <c r="E127" s="27" t="s">
        <v>137</v>
      </c>
      <c r="F127" s="27" t="str">
        <f t="shared" si="11"/>
        <v>tank 2</v>
      </c>
      <c r="G127" s="27">
        <f>IFERROR(INDEX('Date Key'!$I$2:$I$19, MATCH(B127,'Date Key'!$B$2:$B$19, 0)), "")</f>
        <v>2</v>
      </c>
      <c r="H127" s="27">
        <v>150</v>
      </c>
      <c r="I127" s="28">
        <v>0.29098467134320605</v>
      </c>
      <c r="J127" s="28">
        <v>0.3654149128788769</v>
      </c>
      <c r="K127" s="28">
        <v>1.1374265499460368</v>
      </c>
      <c r="L127" s="28">
        <v>0.74422899353647287</v>
      </c>
      <c r="M127" s="28">
        <v>138.84688995215311</v>
      </c>
      <c r="N127" s="28">
        <v>1.7938261341681196</v>
      </c>
      <c r="O127" s="28"/>
      <c r="P127" s="28">
        <v>7.2</v>
      </c>
      <c r="Q127" s="28">
        <v>81.775700934579433</v>
      </c>
      <c r="R127" s="28">
        <v>37.73333333333332</v>
      </c>
      <c r="S127" s="28">
        <v>0.30725274725274732</v>
      </c>
      <c r="T127" s="27">
        <f t="shared" si="10"/>
        <v>2</v>
      </c>
      <c r="U127" s="27" t="str">
        <f>IFERROR(INDEX('Date Key'!$G$2:$G$19, MATCH(B127,'Date Key'!$B$2:$B$19, 0)), "")</f>
        <v>Yes</v>
      </c>
      <c r="V127" s="27" t="str">
        <f>IFERROR(INDEX('Date Key'!$D$2:$D$19, MATCH(B127,'Date Key'!$B$2:$B$19, 0)), "")</f>
        <v>Lower</v>
      </c>
      <c r="W127" s="27" t="str">
        <f>IFERROR(INDEX('Date Key'!$H$2:$H$19, MATCH(B127,'Date Key'!$B$2:$B$19, 0)), "")</f>
        <v>No</v>
      </c>
      <c r="X127" s="27">
        <f t="shared" si="12"/>
        <v>0.218</v>
      </c>
      <c r="Y127" s="27">
        <f t="shared" si="13"/>
        <v>2.5</v>
      </c>
    </row>
    <row r="128" spans="1:25" x14ac:dyDescent="0.35">
      <c r="A128" s="4">
        <v>7</v>
      </c>
      <c r="B128" s="41">
        <v>45233</v>
      </c>
      <c r="C128" s="4" t="s">
        <v>7</v>
      </c>
      <c r="D128" s="4">
        <v>1</v>
      </c>
      <c r="E128" s="4" t="s">
        <v>138</v>
      </c>
      <c r="F128" s="4" t="str">
        <f t="shared" si="11"/>
        <v>in</v>
      </c>
      <c r="G128" s="4">
        <f>IFERROR(INDEX('Date Key'!$I$2:$I$19, MATCH(B128,'Date Key'!$B$2:$B$19, 0)), "")</f>
        <v>3</v>
      </c>
      <c r="H128" s="4">
        <v>90</v>
      </c>
      <c r="I128" s="11">
        <v>0</v>
      </c>
      <c r="J128" s="11">
        <v>3.4566275542596468E-2</v>
      </c>
      <c r="K128" s="11">
        <v>0.62957189111404244</v>
      </c>
      <c r="L128" s="11">
        <v>2.9425669436749766</v>
      </c>
      <c r="M128" s="11">
        <v>102.34449760765551</v>
      </c>
      <c r="N128" s="11">
        <v>0.66413816665663894</v>
      </c>
      <c r="O128" s="11"/>
      <c r="P128" s="11">
        <v>8.08</v>
      </c>
      <c r="Q128" s="11">
        <v>123.8738738738739</v>
      </c>
      <c r="R128" s="11">
        <v>28.399999999999981</v>
      </c>
      <c r="S128" s="11">
        <v>1.2657387057387057</v>
      </c>
      <c r="T128" s="4">
        <f t="shared" si="10"/>
        <v>0</v>
      </c>
      <c r="U128" s="4" t="str">
        <f>IFERROR(INDEX('Date Key'!$G$2:$G$19, MATCH(B128,'Date Key'!$B$2:$B$19, 0)), "")</f>
        <v>No</v>
      </c>
      <c r="V128" s="4" t="str">
        <f>IFERROR(INDEX('Date Key'!$D$2:$D$19, MATCH(B128,'Date Key'!$B$2:$B$19, 0)), "")</f>
        <v>Lower</v>
      </c>
      <c r="W128" s="4" t="str">
        <f>IFERROR(INDEX('Date Key'!$H$2:$H$19, MATCH(B128,'Date Key'!$B$2:$B$19, 0)), "")</f>
        <v>No</v>
      </c>
      <c r="X128" s="4">
        <f t="shared" si="12"/>
        <v>0.54500000000000004</v>
      </c>
      <c r="Y128" s="4">
        <f t="shared" si="13"/>
        <v>1</v>
      </c>
    </row>
    <row r="129" spans="1:25" x14ac:dyDescent="0.35">
      <c r="A129" s="4">
        <v>7</v>
      </c>
      <c r="B129" s="41">
        <v>45233</v>
      </c>
      <c r="C129" s="4" t="s">
        <v>7</v>
      </c>
      <c r="D129" s="4">
        <v>2</v>
      </c>
      <c r="E129" s="4" t="s">
        <v>139</v>
      </c>
      <c r="F129" s="4" t="str">
        <f t="shared" si="11"/>
        <v>in</v>
      </c>
      <c r="G129" s="4">
        <f>IFERROR(INDEX('Date Key'!$I$2:$I$19, MATCH(B129,'Date Key'!$B$2:$B$19, 0)), "")</f>
        <v>3</v>
      </c>
      <c r="H129" s="4">
        <v>120</v>
      </c>
      <c r="I129" s="11">
        <v>0</v>
      </c>
      <c r="J129" s="11">
        <v>3.4566275542596468E-2</v>
      </c>
      <c r="K129" s="11">
        <v>0.67574049646240564</v>
      </c>
      <c r="L129" s="11">
        <v>2.0265927977839331</v>
      </c>
      <c r="M129" s="11">
        <v>103.19138755980862</v>
      </c>
      <c r="N129" s="11">
        <v>0.71030677200500214</v>
      </c>
      <c r="O129" s="11"/>
      <c r="P129" s="11">
        <v>8.18</v>
      </c>
      <c r="Q129" s="11">
        <v>123.8738738738739</v>
      </c>
      <c r="R129" s="11">
        <v>30.733333333333317</v>
      </c>
      <c r="S129" s="11">
        <v>1.4488888888888889</v>
      </c>
      <c r="T129" s="4">
        <f t="shared" si="10"/>
        <v>0</v>
      </c>
      <c r="U129" s="4" t="str">
        <f>IFERROR(INDEX('Date Key'!$G$2:$G$19, MATCH(B129,'Date Key'!$B$2:$B$19, 0)), "")</f>
        <v>No</v>
      </c>
      <c r="V129" s="4" t="str">
        <f>IFERROR(INDEX('Date Key'!$D$2:$D$19, MATCH(B129,'Date Key'!$B$2:$B$19, 0)), "")</f>
        <v>Lower</v>
      </c>
      <c r="W129" s="4" t="str">
        <f>IFERROR(INDEX('Date Key'!$H$2:$H$19, MATCH(B129,'Date Key'!$B$2:$B$19, 0)), "")</f>
        <v>No</v>
      </c>
      <c r="X129" s="4">
        <f t="shared" si="12"/>
        <v>0.54500000000000004</v>
      </c>
      <c r="Y129" s="4">
        <f t="shared" si="13"/>
        <v>1</v>
      </c>
    </row>
    <row r="130" spans="1:25" x14ac:dyDescent="0.35">
      <c r="A130" s="4">
        <v>7</v>
      </c>
      <c r="B130" s="41">
        <v>45233</v>
      </c>
      <c r="C130" s="4" t="s">
        <v>7</v>
      </c>
      <c r="D130" s="4">
        <v>3</v>
      </c>
      <c r="E130" s="4" t="s">
        <v>140</v>
      </c>
      <c r="F130" s="4" t="str">
        <f t="shared" si="11"/>
        <v>in</v>
      </c>
      <c r="G130" s="4">
        <f>IFERROR(INDEX('Date Key'!$I$2:$I$19, MATCH(B130,'Date Key'!$B$2:$B$19, 0)), "")</f>
        <v>3</v>
      </c>
      <c r="H130" s="4">
        <v>150</v>
      </c>
      <c r="I130" s="11">
        <v>0</v>
      </c>
      <c r="J130" s="11">
        <v>3.4566275542596468E-2</v>
      </c>
      <c r="K130" s="11">
        <v>0.67574049646240564</v>
      </c>
      <c r="L130" s="11">
        <v>2.1983379501385043</v>
      </c>
      <c r="M130" s="11">
        <v>103.17703349282297</v>
      </c>
      <c r="N130" s="11">
        <v>0.71030677200500214</v>
      </c>
      <c r="O130" s="11"/>
      <c r="P130" s="11">
        <v>8.17</v>
      </c>
      <c r="Q130" s="11">
        <v>123.8738738738739</v>
      </c>
      <c r="R130" s="11">
        <v>29.399999999999981</v>
      </c>
      <c r="S130" s="11">
        <v>1.6381440781440779</v>
      </c>
      <c r="T130" s="4">
        <f t="shared" ref="T130:T193" si="14">IFERROR(INDEX($AB$3:$AB$5, MATCH(F130, $AA$3:$AA$5, 0)), "")</f>
        <v>0</v>
      </c>
      <c r="U130" s="4" t="str">
        <f>IFERROR(INDEX('Date Key'!$G$2:$G$19, MATCH(B130,'Date Key'!$B$2:$B$19, 0)), "")</f>
        <v>No</v>
      </c>
      <c r="V130" s="4" t="str">
        <f>IFERROR(INDEX('Date Key'!$D$2:$D$19, MATCH(B130,'Date Key'!$B$2:$B$19, 0)), "")</f>
        <v>Lower</v>
      </c>
      <c r="W130" s="4" t="str">
        <f>IFERROR(INDEX('Date Key'!$H$2:$H$19, MATCH(B130,'Date Key'!$B$2:$B$19, 0)), "")</f>
        <v>No</v>
      </c>
      <c r="X130" s="4">
        <f t="shared" si="12"/>
        <v>0.54500000000000004</v>
      </c>
      <c r="Y130" s="4">
        <f t="shared" si="13"/>
        <v>1</v>
      </c>
    </row>
    <row r="131" spans="1:25" x14ac:dyDescent="0.35">
      <c r="A131" s="4">
        <v>7</v>
      </c>
      <c r="B131" s="41">
        <v>45233</v>
      </c>
      <c r="C131" s="4" t="s">
        <v>7</v>
      </c>
      <c r="D131" s="4">
        <v>4</v>
      </c>
      <c r="E131" s="4" t="s">
        <v>141</v>
      </c>
      <c r="F131" s="4" t="str">
        <f t="shared" ref="F131:F194" si="15">MID(E131, SEARCH(" ", E131) + 1, LEN(E131))</f>
        <v>in</v>
      </c>
      <c r="G131" s="4">
        <f>IFERROR(INDEX('Date Key'!$I$2:$I$19, MATCH(B131,'Date Key'!$B$2:$B$19, 0)), "")</f>
        <v>3</v>
      </c>
      <c r="H131" s="4">
        <v>180</v>
      </c>
      <c r="I131" s="11">
        <v>0.29098467134320605</v>
      </c>
      <c r="J131" s="11">
        <v>2.9628236179368404E-2</v>
      </c>
      <c r="K131" s="11">
        <v>0.77647199904065234</v>
      </c>
      <c r="L131" s="11">
        <v>2.5876269621421977</v>
      </c>
      <c r="M131" s="11">
        <v>107.00956937799045</v>
      </c>
      <c r="N131" s="11">
        <v>1.0970849065632269</v>
      </c>
      <c r="O131" s="11"/>
      <c r="P131" s="11">
        <v>8.1</v>
      </c>
      <c r="Q131" s="11">
        <v>123.8738738738739</v>
      </c>
      <c r="R131" s="11">
        <v>32.73333333333332</v>
      </c>
      <c r="S131" s="11">
        <v>1.8945543345543345</v>
      </c>
      <c r="T131" s="4">
        <f t="shared" si="14"/>
        <v>0</v>
      </c>
      <c r="U131" s="4" t="str">
        <f>IFERROR(INDEX('Date Key'!$G$2:$G$19, MATCH(B131,'Date Key'!$B$2:$B$19, 0)), "")</f>
        <v>No</v>
      </c>
      <c r="V131" s="4" t="str">
        <f>IFERROR(INDEX('Date Key'!$D$2:$D$19, MATCH(B131,'Date Key'!$B$2:$B$19, 0)), "")</f>
        <v>Lower</v>
      </c>
      <c r="W131" s="4" t="str">
        <f>IFERROR(INDEX('Date Key'!$H$2:$H$19, MATCH(B131,'Date Key'!$B$2:$B$19, 0)), "")</f>
        <v>No</v>
      </c>
      <c r="X131" s="4">
        <f t="shared" ref="X131:X194" si="16">IFERROR(INDEX($AB$8:$AB$10, MATCH(C131, $AA$8:$AA$10, 0)), "")</f>
        <v>0.54500000000000004</v>
      </c>
      <c r="Y131" s="4">
        <f t="shared" ref="Y131:Y194" si="17">IFERROR(INDEX($AC$8:$AC$10, MATCH(C131, $AA$8:$AA$10, 0)), "")</f>
        <v>1</v>
      </c>
    </row>
    <row r="132" spans="1:25" x14ac:dyDescent="0.35">
      <c r="A132" s="4">
        <v>7</v>
      </c>
      <c r="B132" s="41">
        <v>45233</v>
      </c>
      <c r="C132" s="4" t="s">
        <v>7</v>
      </c>
      <c r="D132" s="4">
        <v>5</v>
      </c>
      <c r="E132" s="4" t="s">
        <v>142</v>
      </c>
      <c r="F132" s="4" t="str">
        <f t="shared" si="15"/>
        <v>in</v>
      </c>
      <c r="G132" s="4">
        <f>IFERROR(INDEX('Date Key'!$I$2:$I$19, MATCH(B132,'Date Key'!$B$2:$B$19, 0)), "")</f>
        <v>3</v>
      </c>
      <c r="H132" s="4">
        <v>0</v>
      </c>
      <c r="I132" s="11">
        <v>0.3637308391790075</v>
      </c>
      <c r="J132" s="11">
        <v>3.4566275542596468E-2</v>
      </c>
      <c r="K132" s="11">
        <v>0.81004916656673465</v>
      </c>
      <c r="L132" s="11">
        <v>1.1220683287165283</v>
      </c>
      <c r="M132" s="11">
        <v>124.95215311004786</v>
      </c>
      <c r="N132" s="11">
        <v>1.2083462812883385</v>
      </c>
      <c r="O132" s="11"/>
      <c r="P132" s="11">
        <v>8.1999999999999993</v>
      </c>
      <c r="Q132" s="11">
        <v>123.8738738738739</v>
      </c>
      <c r="R132" s="11">
        <v>30.066666666666649</v>
      </c>
      <c r="S132" s="11">
        <v>0.52092796092796101</v>
      </c>
      <c r="T132" s="4">
        <f t="shared" si="14"/>
        <v>0</v>
      </c>
      <c r="U132" s="4" t="str">
        <f>IFERROR(INDEX('Date Key'!$G$2:$G$19, MATCH(B132,'Date Key'!$B$2:$B$19, 0)), "")</f>
        <v>No</v>
      </c>
      <c r="V132" s="4" t="str">
        <f>IFERROR(INDEX('Date Key'!$D$2:$D$19, MATCH(B132,'Date Key'!$B$2:$B$19, 0)), "")</f>
        <v>Lower</v>
      </c>
      <c r="W132" s="4" t="str">
        <f>IFERROR(INDEX('Date Key'!$H$2:$H$19, MATCH(B132,'Date Key'!$B$2:$B$19, 0)), "")</f>
        <v>No</v>
      </c>
      <c r="X132" s="4">
        <f t="shared" si="16"/>
        <v>0.54500000000000004</v>
      </c>
      <c r="Y132" s="4">
        <f t="shared" si="17"/>
        <v>1</v>
      </c>
    </row>
    <row r="133" spans="1:25" x14ac:dyDescent="0.35">
      <c r="A133" s="4">
        <v>7</v>
      </c>
      <c r="B133" s="41">
        <v>45233</v>
      </c>
      <c r="C133" s="4" t="s">
        <v>7</v>
      </c>
      <c r="D133" s="4">
        <v>6</v>
      </c>
      <c r="E133" s="4" t="s">
        <v>143</v>
      </c>
      <c r="F133" s="4" t="str">
        <f t="shared" si="15"/>
        <v>in</v>
      </c>
      <c r="G133" s="4">
        <f>IFERROR(INDEX('Date Key'!$I$2:$I$19, MATCH(B133,'Date Key'!$B$2:$B$19, 0)), "")</f>
        <v>3</v>
      </c>
      <c r="H133" s="4">
        <v>60</v>
      </c>
      <c r="I133" s="11">
        <v>0.10911925175370227</v>
      </c>
      <c r="J133" s="11">
        <v>3.9504314905824532E-2</v>
      </c>
      <c r="K133" s="11">
        <v>0.68413478834392616</v>
      </c>
      <c r="L133" s="11">
        <v>1.5800554016620498</v>
      </c>
      <c r="M133" s="11">
        <v>109.20574162679425</v>
      </c>
      <c r="N133" s="11">
        <v>0.83275835500345297</v>
      </c>
      <c r="O133" s="11"/>
      <c r="P133" s="11">
        <v>8.17</v>
      </c>
      <c r="Q133" s="11">
        <v>133.92857142857144</v>
      </c>
      <c r="R133" s="11">
        <v>21.399999999999974</v>
      </c>
      <c r="S133" s="11">
        <v>1.1192185592185593</v>
      </c>
      <c r="T133" s="4">
        <f t="shared" si="14"/>
        <v>0</v>
      </c>
      <c r="U133" s="4" t="str">
        <f>IFERROR(INDEX('Date Key'!$G$2:$G$19, MATCH(B133,'Date Key'!$B$2:$B$19, 0)), "")</f>
        <v>No</v>
      </c>
      <c r="V133" s="4" t="str">
        <f>IFERROR(INDEX('Date Key'!$D$2:$D$19, MATCH(B133,'Date Key'!$B$2:$B$19, 0)), "")</f>
        <v>Lower</v>
      </c>
      <c r="W133" s="4" t="str">
        <f>IFERROR(INDEX('Date Key'!$H$2:$H$19, MATCH(B133,'Date Key'!$B$2:$B$19, 0)), "")</f>
        <v>No</v>
      </c>
      <c r="X133" s="4">
        <f t="shared" si="16"/>
        <v>0.54500000000000004</v>
      </c>
      <c r="Y133" s="4">
        <f t="shared" si="17"/>
        <v>1</v>
      </c>
    </row>
    <row r="134" spans="1:25" x14ac:dyDescent="0.35">
      <c r="A134" s="4">
        <v>7</v>
      </c>
      <c r="B134" s="41">
        <v>45233</v>
      </c>
      <c r="C134" s="4" t="s">
        <v>7</v>
      </c>
      <c r="D134" s="4">
        <v>7</v>
      </c>
      <c r="E134" s="4" t="s">
        <v>144</v>
      </c>
      <c r="F134" s="4" t="str">
        <f t="shared" si="15"/>
        <v>tank 1</v>
      </c>
      <c r="G134" s="4">
        <f>IFERROR(INDEX('Date Key'!$I$2:$I$19, MATCH(B134,'Date Key'!$B$2:$B$19, 0)), "")</f>
        <v>3</v>
      </c>
      <c r="H134" s="4">
        <v>180</v>
      </c>
      <c r="I134" s="11">
        <v>0.30917121330215641</v>
      </c>
      <c r="J134" s="11">
        <v>0.11357490535424555</v>
      </c>
      <c r="K134" s="11">
        <v>0.15529439980813045</v>
      </c>
      <c r="L134" s="11">
        <v>1.8433979686057249</v>
      </c>
      <c r="M134" s="11">
        <v>106.34928229665073</v>
      </c>
      <c r="N134" s="11">
        <v>0.57804051846453242</v>
      </c>
      <c r="O134" s="11"/>
      <c r="P134" s="11">
        <v>7.82</v>
      </c>
      <c r="Q134" s="11">
        <v>113.63636363636364</v>
      </c>
      <c r="R134" s="11">
        <v>22.399999999999974</v>
      </c>
      <c r="S134" s="11">
        <v>1.2535286935286933</v>
      </c>
      <c r="T134" s="4">
        <f t="shared" si="14"/>
        <v>1</v>
      </c>
      <c r="U134" s="4" t="str">
        <f>IFERROR(INDEX('Date Key'!$G$2:$G$19, MATCH(B134,'Date Key'!$B$2:$B$19, 0)), "")</f>
        <v>No</v>
      </c>
      <c r="V134" s="4" t="str">
        <f>IFERROR(INDEX('Date Key'!$D$2:$D$19, MATCH(B134,'Date Key'!$B$2:$B$19, 0)), "")</f>
        <v>Lower</v>
      </c>
      <c r="W134" s="4" t="str">
        <f>IFERROR(INDEX('Date Key'!$H$2:$H$19, MATCH(B134,'Date Key'!$B$2:$B$19, 0)), "")</f>
        <v>No</v>
      </c>
      <c r="X134" s="4">
        <f t="shared" si="16"/>
        <v>0.54500000000000004</v>
      </c>
      <c r="Y134" s="4">
        <f t="shared" si="17"/>
        <v>1</v>
      </c>
    </row>
    <row r="135" spans="1:25" x14ac:dyDescent="0.35">
      <c r="A135" s="4">
        <v>7</v>
      </c>
      <c r="B135" s="41">
        <v>45233</v>
      </c>
      <c r="C135" s="4" t="s">
        <v>7</v>
      </c>
      <c r="D135" s="4">
        <v>8</v>
      </c>
      <c r="E135" s="4" t="s">
        <v>145</v>
      </c>
      <c r="F135" s="4" t="str">
        <f t="shared" si="15"/>
        <v>in</v>
      </c>
      <c r="G135" s="4">
        <f>IFERROR(INDEX('Date Key'!$I$2:$I$19, MATCH(B135,'Date Key'!$B$2:$B$19, 0)), "")</f>
        <v>3</v>
      </c>
      <c r="H135" s="4">
        <v>30</v>
      </c>
      <c r="I135" s="11">
        <v>0.18186541958950375</v>
      </c>
      <c r="J135" s="11">
        <v>4.4442354269052589E-2</v>
      </c>
      <c r="K135" s="11">
        <v>0.72190910181076884</v>
      </c>
      <c r="L135" s="11">
        <v>1.5113573407202219</v>
      </c>
      <c r="M135" s="11">
        <v>119.28229665071771</v>
      </c>
      <c r="N135" s="11">
        <v>0.94821687566932522</v>
      </c>
      <c r="O135" s="11"/>
      <c r="P135" s="11">
        <v>8.1999999999999993</v>
      </c>
      <c r="Q135" s="11">
        <v>133.92857142857144</v>
      </c>
      <c r="R135" s="11">
        <v>26.066666666666645</v>
      </c>
      <c r="S135" s="11">
        <v>0.85059829059829051</v>
      </c>
      <c r="T135" s="4">
        <f t="shared" si="14"/>
        <v>0</v>
      </c>
      <c r="U135" s="4" t="str">
        <f>IFERROR(INDEX('Date Key'!$G$2:$G$19, MATCH(B135,'Date Key'!$B$2:$B$19, 0)), "")</f>
        <v>No</v>
      </c>
      <c r="V135" s="4" t="str">
        <f>IFERROR(INDEX('Date Key'!$D$2:$D$19, MATCH(B135,'Date Key'!$B$2:$B$19, 0)), "")</f>
        <v>Lower</v>
      </c>
      <c r="W135" s="4" t="str">
        <f>IFERROR(INDEX('Date Key'!$H$2:$H$19, MATCH(B135,'Date Key'!$B$2:$B$19, 0)), "")</f>
        <v>No</v>
      </c>
      <c r="X135" s="4">
        <f t="shared" si="16"/>
        <v>0.54500000000000004</v>
      </c>
      <c r="Y135" s="4">
        <f t="shared" si="17"/>
        <v>1</v>
      </c>
    </row>
    <row r="136" spans="1:25" x14ac:dyDescent="0.35">
      <c r="A136" s="4">
        <v>7</v>
      </c>
      <c r="B136" s="41">
        <v>45233</v>
      </c>
      <c r="C136" s="4" t="s">
        <v>7</v>
      </c>
      <c r="D136" s="4">
        <v>9</v>
      </c>
      <c r="E136" s="4" t="s">
        <v>146</v>
      </c>
      <c r="F136" s="4" t="str">
        <f t="shared" si="15"/>
        <v>tank 1</v>
      </c>
      <c r="G136" s="4">
        <f>IFERROR(INDEX('Date Key'!$I$2:$I$19, MATCH(B136,'Date Key'!$B$2:$B$19, 0)), "")</f>
        <v>3</v>
      </c>
      <c r="H136" s="4">
        <v>90</v>
      </c>
      <c r="I136" s="11">
        <v>0.10911925175370227</v>
      </c>
      <c r="J136" s="11">
        <v>3.9504314905824532E-2</v>
      </c>
      <c r="K136" s="11">
        <v>0.10073150257824681</v>
      </c>
      <c r="L136" s="11">
        <v>1.0991689750692522</v>
      </c>
      <c r="M136" s="11">
        <v>113.1244019138756</v>
      </c>
      <c r="N136" s="11">
        <v>0.24935506923777362</v>
      </c>
      <c r="O136" s="11"/>
      <c r="P136" s="11">
        <v>7.53</v>
      </c>
      <c r="Q136" s="11">
        <v>113.63636363636364</v>
      </c>
      <c r="R136" s="11">
        <v>21.4</v>
      </c>
      <c r="S136" s="11">
        <v>0.5636630036630037</v>
      </c>
      <c r="T136" s="4">
        <f t="shared" si="14"/>
        <v>1</v>
      </c>
      <c r="U136" s="4" t="str">
        <f>IFERROR(INDEX('Date Key'!$G$2:$G$19, MATCH(B136,'Date Key'!$B$2:$B$19, 0)), "")</f>
        <v>No</v>
      </c>
      <c r="V136" s="4" t="str">
        <f>IFERROR(INDEX('Date Key'!$D$2:$D$19, MATCH(B136,'Date Key'!$B$2:$B$19, 0)), "")</f>
        <v>Lower</v>
      </c>
      <c r="W136" s="4" t="str">
        <f>IFERROR(INDEX('Date Key'!$H$2:$H$19, MATCH(B136,'Date Key'!$B$2:$B$19, 0)), "")</f>
        <v>No</v>
      </c>
      <c r="X136" s="4">
        <f t="shared" si="16"/>
        <v>0.54500000000000004</v>
      </c>
      <c r="Y136" s="4">
        <f t="shared" si="17"/>
        <v>1</v>
      </c>
    </row>
    <row r="137" spans="1:25" x14ac:dyDescent="0.35">
      <c r="A137" s="4">
        <v>7</v>
      </c>
      <c r="B137" s="41">
        <v>45233</v>
      </c>
      <c r="C137" s="4" t="s">
        <v>7</v>
      </c>
      <c r="D137" s="4">
        <v>10</v>
      </c>
      <c r="E137" s="4" t="s">
        <v>147</v>
      </c>
      <c r="F137" s="4" t="str">
        <f t="shared" si="15"/>
        <v>tank 1</v>
      </c>
      <c r="G137" s="4">
        <f>IFERROR(INDEX('Date Key'!$I$2:$I$19, MATCH(B137,'Date Key'!$B$2:$B$19, 0)), "")</f>
        <v>3</v>
      </c>
      <c r="H137" s="4">
        <v>0</v>
      </c>
      <c r="I137" s="11">
        <v>0.30917121330215641</v>
      </c>
      <c r="J137" s="11">
        <v>1.9752157452912266E-2</v>
      </c>
      <c r="K137" s="11">
        <v>8.8140064755965947E-2</v>
      </c>
      <c r="L137" s="11">
        <v>0.81292705447830083</v>
      </c>
      <c r="M137" s="11">
        <v>113.87081339712918</v>
      </c>
      <c r="N137" s="11">
        <v>0.41706343551103464</v>
      </c>
      <c r="O137" s="11"/>
      <c r="P137" s="11">
        <v>7.62</v>
      </c>
      <c r="Q137" s="11">
        <v>113.63636363636364</v>
      </c>
      <c r="R137" s="11">
        <v>27.399999999999981</v>
      </c>
      <c r="S137" s="11">
        <v>0.28283272283272287</v>
      </c>
      <c r="T137" s="4">
        <f t="shared" si="14"/>
        <v>1</v>
      </c>
      <c r="U137" s="4" t="str">
        <f>IFERROR(INDEX('Date Key'!$G$2:$G$19, MATCH(B137,'Date Key'!$B$2:$B$19, 0)), "")</f>
        <v>No</v>
      </c>
      <c r="V137" s="4" t="str">
        <f>IFERROR(INDEX('Date Key'!$D$2:$D$19, MATCH(B137,'Date Key'!$B$2:$B$19, 0)), "")</f>
        <v>Lower</v>
      </c>
      <c r="W137" s="4" t="str">
        <f>IFERROR(INDEX('Date Key'!$H$2:$H$19, MATCH(B137,'Date Key'!$B$2:$B$19, 0)), "")</f>
        <v>No</v>
      </c>
      <c r="X137" s="4">
        <f t="shared" si="16"/>
        <v>0.54500000000000004</v>
      </c>
      <c r="Y137" s="4">
        <f t="shared" si="17"/>
        <v>1</v>
      </c>
    </row>
    <row r="138" spans="1:25" x14ac:dyDescent="0.35">
      <c r="A138" s="4">
        <v>7</v>
      </c>
      <c r="B138" s="41">
        <v>45233</v>
      </c>
      <c r="C138" s="4" t="s">
        <v>7</v>
      </c>
      <c r="D138" s="4">
        <v>11</v>
      </c>
      <c r="E138" s="4" t="s">
        <v>148</v>
      </c>
      <c r="F138" s="4" t="str">
        <f t="shared" si="15"/>
        <v>tank 1</v>
      </c>
      <c r="G138" s="4">
        <f>IFERROR(INDEX('Date Key'!$I$2:$I$19, MATCH(B138,'Date Key'!$B$2:$B$19, 0)), "")</f>
        <v>3</v>
      </c>
      <c r="H138" s="4">
        <v>120</v>
      </c>
      <c r="I138" s="11">
        <v>0</v>
      </c>
      <c r="J138" s="11">
        <v>1.9752157452912266E-2</v>
      </c>
      <c r="K138" s="11">
        <v>2.0985729703801418E-2</v>
      </c>
      <c r="L138" s="11">
        <v>1.3052631578947369</v>
      </c>
      <c r="M138" s="11">
        <v>107.23923444976077</v>
      </c>
      <c r="N138" s="11">
        <v>4.0737887156713684E-2</v>
      </c>
      <c r="O138" s="11"/>
      <c r="P138" s="11">
        <v>7.56</v>
      </c>
      <c r="Q138" s="11">
        <v>113.63636363636364</v>
      </c>
      <c r="R138" s="11">
        <v>23.066666666666642</v>
      </c>
      <c r="S138" s="11">
        <v>0.78344322344322337</v>
      </c>
      <c r="T138" s="4">
        <f t="shared" si="14"/>
        <v>1</v>
      </c>
      <c r="U138" s="4" t="str">
        <f>IFERROR(INDEX('Date Key'!$G$2:$G$19, MATCH(B138,'Date Key'!$B$2:$B$19, 0)), "")</f>
        <v>No</v>
      </c>
      <c r="V138" s="4" t="str">
        <f>IFERROR(INDEX('Date Key'!$D$2:$D$19, MATCH(B138,'Date Key'!$B$2:$B$19, 0)), "")</f>
        <v>Lower</v>
      </c>
      <c r="W138" s="4" t="str">
        <f>IFERROR(INDEX('Date Key'!$H$2:$H$19, MATCH(B138,'Date Key'!$B$2:$B$19, 0)), "")</f>
        <v>No</v>
      </c>
      <c r="X138" s="4">
        <f t="shared" si="16"/>
        <v>0.54500000000000004</v>
      </c>
      <c r="Y138" s="4">
        <f t="shared" si="17"/>
        <v>1</v>
      </c>
    </row>
    <row r="139" spans="1:25" x14ac:dyDescent="0.35">
      <c r="A139" s="4">
        <v>7</v>
      </c>
      <c r="B139" s="41">
        <v>45233</v>
      </c>
      <c r="C139" s="4" t="s">
        <v>7</v>
      </c>
      <c r="D139" s="4">
        <v>12</v>
      </c>
      <c r="E139" s="4" t="s">
        <v>149</v>
      </c>
      <c r="F139" s="4" t="str">
        <f t="shared" si="15"/>
        <v>tank 1</v>
      </c>
      <c r="G139" s="4">
        <f>IFERROR(INDEX('Date Key'!$I$2:$I$19, MATCH(B139,'Date Key'!$B$2:$B$19, 0)), "")</f>
        <v>3</v>
      </c>
      <c r="H139" s="4">
        <v>60</v>
      </c>
      <c r="I139" s="11">
        <v>0.12730579371265266</v>
      </c>
      <c r="J139" s="11">
        <v>2.469019681614033E-2</v>
      </c>
      <c r="K139" s="11">
        <v>0</v>
      </c>
      <c r="L139" s="11">
        <v>0.84727608494921502</v>
      </c>
      <c r="M139" s="11">
        <v>117.30143540669857</v>
      </c>
      <c r="N139" s="11">
        <v>0.15199599052879298</v>
      </c>
      <c r="O139" s="11"/>
      <c r="P139" s="11">
        <v>7.45</v>
      </c>
      <c r="Q139" s="11">
        <v>113.63636363636364</v>
      </c>
      <c r="R139" s="11">
        <v>23.399999999999977</v>
      </c>
      <c r="S139" s="11">
        <v>0.32556776556776562</v>
      </c>
      <c r="T139" s="4">
        <f t="shared" si="14"/>
        <v>1</v>
      </c>
      <c r="U139" s="4" t="str">
        <f>IFERROR(INDEX('Date Key'!$G$2:$G$19, MATCH(B139,'Date Key'!$B$2:$B$19, 0)), "")</f>
        <v>No</v>
      </c>
      <c r="V139" s="4" t="str">
        <f>IFERROR(INDEX('Date Key'!$D$2:$D$19, MATCH(B139,'Date Key'!$B$2:$B$19, 0)), "")</f>
        <v>Lower</v>
      </c>
      <c r="W139" s="4" t="str">
        <f>IFERROR(INDEX('Date Key'!$H$2:$H$19, MATCH(B139,'Date Key'!$B$2:$B$19, 0)), "")</f>
        <v>No</v>
      </c>
      <c r="X139" s="4">
        <f t="shared" si="16"/>
        <v>0.54500000000000004</v>
      </c>
      <c r="Y139" s="4">
        <f t="shared" si="17"/>
        <v>1</v>
      </c>
    </row>
    <row r="140" spans="1:25" x14ac:dyDescent="0.35">
      <c r="A140" s="4">
        <v>7</v>
      </c>
      <c r="B140" s="41">
        <v>45233</v>
      </c>
      <c r="C140" s="4" t="s">
        <v>7</v>
      </c>
      <c r="D140" s="4">
        <v>13</v>
      </c>
      <c r="E140" s="4" t="s">
        <v>150</v>
      </c>
      <c r="F140" s="4" t="str">
        <f t="shared" si="15"/>
        <v>tank 1</v>
      </c>
      <c r="G140" s="4">
        <f>IFERROR(INDEX('Date Key'!$I$2:$I$19, MATCH(B140,'Date Key'!$B$2:$B$19, 0)), "")</f>
        <v>3</v>
      </c>
      <c r="H140" s="4">
        <v>150</v>
      </c>
      <c r="I140" s="11">
        <v>0</v>
      </c>
      <c r="J140" s="11">
        <v>0.10863686599101748</v>
      </c>
      <c r="K140" s="11">
        <v>0.18887156733421279</v>
      </c>
      <c r="L140" s="11">
        <v>1.683102493074792</v>
      </c>
      <c r="M140" s="11">
        <v>106.09090909090911</v>
      </c>
      <c r="N140" s="11">
        <v>0.29750843332523025</v>
      </c>
      <c r="O140" s="11"/>
      <c r="P140" s="11">
        <v>7.74</v>
      </c>
      <c r="Q140" s="11">
        <v>113.63636363636364</v>
      </c>
      <c r="R140" s="11">
        <v>25.733333333333313</v>
      </c>
      <c r="S140" s="11">
        <v>1.1436385836385838</v>
      </c>
      <c r="T140" s="4">
        <f t="shared" si="14"/>
        <v>1</v>
      </c>
      <c r="U140" s="4" t="str">
        <f>IFERROR(INDEX('Date Key'!$G$2:$G$19, MATCH(B140,'Date Key'!$B$2:$B$19, 0)), "")</f>
        <v>No</v>
      </c>
      <c r="V140" s="4" t="str">
        <f>IFERROR(INDEX('Date Key'!$D$2:$D$19, MATCH(B140,'Date Key'!$B$2:$B$19, 0)), "")</f>
        <v>Lower</v>
      </c>
      <c r="W140" s="4" t="str">
        <f>IFERROR(INDEX('Date Key'!$H$2:$H$19, MATCH(B140,'Date Key'!$B$2:$B$19, 0)), "")</f>
        <v>No</v>
      </c>
      <c r="X140" s="4">
        <f t="shared" si="16"/>
        <v>0.54500000000000004</v>
      </c>
      <c r="Y140" s="4">
        <f t="shared" si="17"/>
        <v>1</v>
      </c>
    </row>
    <row r="141" spans="1:25" x14ac:dyDescent="0.35">
      <c r="A141" s="4">
        <v>7</v>
      </c>
      <c r="B141" s="41">
        <v>45233</v>
      </c>
      <c r="C141" s="4" t="s">
        <v>7</v>
      </c>
      <c r="D141" s="4">
        <v>14</v>
      </c>
      <c r="E141" s="4" t="s">
        <v>151</v>
      </c>
      <c r="F141" s="4" t="str">
        <f t="shared" si="15"/>
        <v>tank 2</v>
      </c>
      <c r="G141" s="4">
        <f>IFERROR(INDEX('Date Key'!$I$2:$I$19, MATCH(B141,'Date Key'!$B$2:$B$19, 0)), "")</f>
        <v>3</v>
      </c>
      <c r="H141" s="4">
        <v>90</v>
      </c>
      <c r="I141" s="11">
        <v>0.10911925175370227</v>
      </c>
      <c r="J141" s="11">
        <v>3.9504314905824532E-2</v>
      </c>
      <c r="K141" s="11">
        <v>0.33157452932006237</v>
      </c>
      <c r="L141" s="11">
        <v>1.1793167128347182</v>
      </c>
      <c r="M141" s="11">
        <v>104.41148325358851</v>
      </c>
      <c r="N141" s="11">
        <v>0.48019809597958918</v>
      </c>
      <c r="O141" s="11"/>
      <c r="P141" s="11">
        <v>7.55</v>
      </c>
      <c r="Q141" s="11">
        <v>113.63636363636364</v>
      </c>
      <c r="R141" s="11">
        <v>23.733333333333309</v>
      </c>
      <c r="S141" s="11">
        <v>0.7284981684981684</v>
      </c>
      <c r="T141" s="4">
        <f t="shared" si="14"/>
        <v>2</v>
      </c>
      <c r="U141" s="4" t="str">
        <f>IFERROR(INDEX('Date Key'!$G$2:$G$19, MATCH(B141,'Date Key'!$B$2:$B$19, 0)), "")</f>
        <v>No</v>
      </c>
      <c r="V141" s="4" t="str">
        <f>IFERROR(INDEX('Date Key'!$D$2:$D$19, MATCH(B141,'Date Key'!$B$2:$B$19, 0)), "")</f>
        <v>Lower</v>
      </c>
      <c r="W141" s="4" t="str">
        <f>IFERROR(INDEX('Date Key'!$H$2:$H$19, MATCH(B141,'Date Key'!$B$2:$B$19, 0)), "")</f>
        <v>No</v>
      </c>
      <c r="X141" s="4">
        <f t="shared" si="16"/>
        <v>0.54500000000000004</v>
      </c>
      <c r="Y141" s="4">
        <f t="shared" si="17"/>
        <v>1</v>
      </c>
    </row>
    <row r="142" spans="1:25" x14ac:dyDescent="0.35">
      <c r="A142" s="4">
        <v>7</v>
      </c>
      <c r="B142" s="41">
        <v>45233</v>
      </c>
      <c r="C142" s="4" t="s">
        <v>7</v>
      </c>
      <c r="D142" s="4">
        <v>15</v>
      </c>
      <c r="E142" s="4" t="s">
        <v>152</v>
      </c>
      <c r="F142" s="4" t="str">
        <f t="shared" si="15"/>
        <v>tank 2</v>
      </c>
      <c r="G142" s="4">
        <f>IFERROR(INDEX('Date Key'!$I$2:$I$19, MATCH(B142,'Date Key'!$B$2:$B$19, 0)), "")</f>
        <v>3</v>
      </c>
      <c r="H142" s="4">
        <v>60</v>
      </c>
      <c r="I142" s="11">
        <v>0</v>
      </c>
      <c r="J142" s="11">
        <v>6.4194511721964873E-2</v>
      </c>
      <c r="K142" s="11">
        <v>0.20146300515649362</v>
      </c>
      <c r="L142" s="11">
        <v>1.0533702677746999</v>
      </c>
      <c r="M142" s="11">
        <v>111.64593301435407</v>
      </c>
      <c r="N142" s="11">
        <v>0.26565751687845851</v>
      </c>
      <c r="O142" s="11"/>
      <c r="P142" s="11">
        <v>7.47</v>
      </c>
      <c r="Q142" s="11">
        <v>113.63636363636364</v>
      </c>
      <c r="R142" s="11">
        <v>21.733333333333309</v>
      </c>
      <c r="S142" s="11">
        <v>0.58197802197802195</v>
      </c>
      <c r="T142" s="4">
        <f t="shared" si="14"/>
        <v>2</v>
      </c>
      <c r="U142" s="4" t="str">
        <f>IFERROR(INDEX('Date Key'!$G$2:$G$19, MATCH(B142,'Date Key'!$B$2:$B$19, 0)), "")</f>
        <v>No</v>
      </c>
      <c r="V142" s="4" t="str">
        <f>IFERROR(INDEX('Date Key'!$D$2:$D$19, MATCH(B142,'Date Key'!$B$2:$B$19, 0)), "")</f>
        <v>Lower</v>
      </c>
      <c r="W142" s="4" t="str">
        <f>IFERROR(INDEX('Date Key'!$H$2:$H$19, MATCH(B142,'Date Key'!$B$2:$B$19, 0)), "")</f>
        <v>No</v>
      </c>
      <c r="X142" s="4">
        <f t="shared" si="16"/>
        <v>0.54500000000000004</v>
      </c>
      <c r="Y142" s="4">
        <f t="shared" si="17"/>
        <v>1</v>
      </c>
    </row>
    <row r="143" spans="1:25" x14ac:dyDescent="0.35">
      <c r="A143" s="4">
        <v>7</v>
      </c>
      <c r="B143" s="41">
        <v>45233</v>
      </c>
      <c r="C143" s="4" t="s">
        <v>7</v>
      </c>
      <c r="D143" s="4">
        <v>16</v>
      </c>
      <c r="E143" s="4" t="s">
        <v>153</v>
      </c>
      <c r="F143" s="4" t="str">
        <f t="shared" si="15"/>
        <v>tank 1</v>
      </c>
      <c r="G143" s="4">
        <f>IFERROR(INDEX('Date Key'!$I$2:$I$19, MATCH(B143,'Date Key'!$B$2:$B$19, 0)), "")</f>
        <v>3</v>
      </c>
      <c r="H143" s="4">
        <v>30</v>
      </c>
      <c r="I143" s="11">
        <v>9.0932709794751876E-2</v>
      </c>
      <c r="J143" s="11">
        <v>1.4814118089684202E-2</v>
      </c>
      <c r="K143" s="11">
        <v>0</v>
      </c>
      <c r="L143" s="11">
        <v>0.75567867036011094</v>
      </c>
      <c r="M143" s="11">
        <v>115.13397129186605</v>
      </c>
      <c r="N143" s="11">
        <v>0.10574682788443608</v>
      </c>
      <c r="O143" s="11"/>
      <c r="P143" s="11">
        <v>7.48</v>
      </c>
      <c r="Q143" s="11">
        <v>113.63636363636364</v>
      </c>
      <c r="R143" s="11">
        <v>22.399999999999974</v>
      </c>
      <c r="S143" s="11">
        <v>0.24620268620268621</v>
      </c>
      <c r="T143" s="4">
        <f t="shared" si="14"/>
        <v>1</v>
      </c>
      <c r="U143" s="4" t="str">
        <f>IFERROR(INDEX('Date Key'!$G$2:$G$19, MATCH(B143,'Date Key'!$B$2:$B$19, 0)), "")</f>
        <v>No</v>
      </c>
      <c r="V143" s="4" t="str">
        <f>IFERROR(INDEX('Date Key'!$D$2:$D$19, MATCH(B143,'Date Key'!$B$2:$B$19, 0)), "")</f>
        <v>Lower</v>
      </c>
      <c r="W143" s="4" t="str">
        <f>IFERROR(INDEX('Date Key'!$H$2:$H$19, MATCH(B143,'Date Key'!$B$2:$B$19, 0)), "")</f>
        <v>No</v>
      </c>
      <c r="X143" s="4">
        <f t="shared" si="16"/>
        <v>0.54500000000000004</v>
      </c>
      <c r="Y143" s="4">
        <f t="shared" si="17"/>
        <v>1</v>
      </c>
    </row>
    <row r="144" spans="1:25" x14ac:dyDescent="0.35">
      <c r="A144" s="4">
        <v>7</v>
      </c>
      <c r="B144" s="41">
        <v>45233</v>
      </c>
      <c r="C144" s="4" t="s">
        <v>7</v>
      </c>
      <c r="D144" s="4">
        <v>17</v>
      </c>
      <c r="E144" s="4" t="s">
        <v>154</v>
      </c>
      <c r="F144" s="4" t="str">
        <f t="shared" si="15"/>
        <v>tank 2</v>
      </c>
      <c r="G144" s="4">
        <f>IFERROR(INDEX('Date Key'!$I$2:$I$19, MATCH(B144,'Date Key'!$B$2:$B$19, 0)), "")</f>
        <v>3</v>
      </c>
      <c r="H144" s="4">
        <v>150</v>
      </c>
      <c r="I144" s="11">
        <v>0</v>
      </c>
      <c r="J144" s="11">
        <v>2.469019681614033E-2</v>
      </c>
      <c r="K144" s="11">
        <v>0.41551744813526814</v>
      </c>
      <c r="L144" s="11">
        <v>1.4770083102493077</v>
      </c>
      <c r="M144" s="11">
        <v>107.72727272727273</v>
      </c>
      <c r="N144" s="11">
        <v>0.44020764495140846</v>
      </c>
      <c r="O144" s="11"/>
      <c r="P144" s="11">
        <v>7.78</v>
      </c>
      <c r="Q144" s="11">
        <v>113.63636363636364</v>
      </c>
      <c r="R144" s="11">
        <v>24.066666666666642</v>
      </c>
      <c r="S144" s="11">
        <v>1.0215384615384615</v>
      </c>
      <c r="T144" s="4">
        <f t="shared" si="14"/>
        <v>2</v>
      </c>
      <c r="U144" s="4" t="str">
        <f>IFERROR(INDEX('Date Key'!$G$2:$G$19, MATCH(B144,'Date Key'!$B$2:$B$19, 0)), "")</f>
        <v>No</v>
      </c>
      <c r="V144" s="4" t="str">
        <f>IFERROR(INDEX('Date Key'!$D$2:$D$19, MATCH(B144,'Date Key'!$B$2:$B$19, 0)), "")</f>
        <v>Lower</v>
      </c>
      <c r="W144" s="4" t="str">
        <f>IFERROR(INDEX('Date Key'!$H$2:$H$19, MATCH(B144,'Date Key'!$B$2:$B$19, 0)), "")</f>
        <v>No</v>
      </c>
      <c r="X144" s="4">
        <f t="shared" si="16"/>
        <v>0.54500000000000004</v>
      </c>
      <c r="Y144" s="4">
        <f t="shared" si="17"/>
        <v>1</v>
      </c>
    </row>
    <row r="145" spans="1:25" x14ac:dyDescent="0.35">
      <c r="A145" s="4">
        <v>7</v>
      </c>
      <c r="B145" s="41">
        <v>45233</v>
      </c>
      <c r="C145" s="4" t="s">
        <v>7</v>
      </c>
      <c r="D145" s="4">
        <v>18</v>
      </c>
      <c r="E145" s="4" t="s">
        <v>155</v>
      </c>
      <c r="F145" s="4" t="str">
        <f t="shared" si="15"/>
        <v>tank 2</v>
      </c>
      <c r="G145" s="4">
        <f>IFERROR(INDEX('Date Key'!$I$2:$I$19, MATCH(B145,'Date Key'!$B$2:$B$19, 0)), "")</f>
        <v>3</v>
      </c>
      <c r="H145" s="4">
        <v>120</v>
      </c>
      <c r="I145" s="11">
        <v>0</v>
      </c>
      <c r="J145" s="11">
        <v>5.9256472358736809E-2</v>
      </c>
      <c r="K145" s="11">
        <v>0.32737738337930206</v>
      </c>
      <c r="L145" s="11">
        <v>1.1564173591874425</v>
      </c>
      <c r="M145" s="11">
        <v>109.96650717703348</v>
      </c>
      <c r="N145" s="11">
        <v>0.38663385573803888</v>
      </c>
      <c r="O145" s="11"/>
      <c r="P145" s="11">
        <v>7.62</v>
      </c>
      <c r="Q145" s="11">
        <v>113.63636363636364</v>
      </c>
      <c r="R145" s="11">
        <v>22.066666666666642</v>
      </c>
      <c r="S145" s="11">
        <v>0.6918681318681319</v>
      </c>
      <c r="T145" s="4">
        <f t="shared" si="14"/>
        <v>2</v>
      </c>
      <c r="U145" s="4" t="str">
        <f>IFERROR(INDEX('Date Key'!$G$2:$G$19, MATCH(B145,'Date Key'!$B$2:$B$19, 0)), "")</f>
        <v>No</v>
      </c>
      <c r="V145" s="4" t="str">
        <f>IFERROR(INDEX('Date Key'!$D$2:$D$19, MATCH(B145,'Date Key'!$B$2:$B$19, 0)), "")</f>
        <v>Lower</v>
      </c>
      <c r="W145" s="4" t="str">
        <f>IFERROR(INDEX('Date Key'!$H$2:$H$19, MATCH(B145,'Date Key'!$B$2:$B$19, 0)), "")</f>
        <v>No</v>
      </c>
      <c r="X145" s="4">
        <f t="shared" si="16"/>
        <v>0.54500000000000004</v>
      </c>
      <c r="Y145" s="4">
        <f t="shared" si="17"/>
        <v>1</v>
      </c>
    </row>
    <row r="146" spans="1:25" x14ac:dyDescent="0.35">
      <c r="A146" s="4">
        <v>7</v>
      </c>
      <c r="B146" s="41">
        <v>45233</v>
      </c>
      <c r="C146" s="4" t="s">
        <v>7</v>
      </c>
      <c r="D146" s="4">
        <v>19</v>
      </c>
      <c r="E146" s="4" t="s">
        <v>156</v>
      </c>
      <c r="F146" s="4" t="str">
        <f t="shared" si="15"/>
        <v>tank 2</v>
      </c>
      <c r="G146" s="4">
        <f>IFERROR(INDEX('Date Key'!$I$2:$I$19, MATCH(B146,'Date Key'!$B$2:$B$19, 0)), "")</f>
        <v>3</v>
      </c>
      <c r="H146" s="4">
        <v>180</v>
      </c>
      <c r="I146" s="11">
        <v>0.30917121330215641</v>
      </c>
      <c r="J146" s="11">
        <v>4.938039363228066E-2</v>
      </c>
      <c r="K146" s="11">
        <v>0.4365031778390695</v>
      </c>
      <c r="L146" s="11">
        <v>1.5800554016620498</v>
      </c>
      <c r="M146" s="11">
        <v>108.45933014354067</v>
      </c>
      <c r="N146" s="11">
        <v>0.79505478477350655</v>
      </c>
      <c r="O146" s="11"/>
      <c r="P146" s="11">
        <v>7.8</v>
      </c>
      <c r="Q146" s="11">
        <v>113.63636363636364</v>
      </c>
      <c r="R146" s="11">
        <v>29.399999999999981</v>
      </c>
      <c r="S146" s="11">
        <v>1.100903540903541</v>
      </c>
      <c r="T146" s="4">
        <f t="shared" si="14"/>
        <v>2</v>
      </c>
      <c r="U146" s="4" t="str">
        <f>IFERROR(INDEX('Date Key'!$G$2:$G$19, MATCH(B146,'Date Key'!$B$2:$B$19, 0)), "")</f>
        <v>No</v>
      </c>
      <c r="V146" s="4" t="str">
        <f>IFERROR(INDEX('Date Key'!$D$2:$D$19, MATCH(B146,'Date Key'!$B$2:$B$19, 0)), "")</f>
        <v>Lower</v>
      </c>
      <c r="W146" s="4" t="str">
        <f>IFERROR(INDEX('Date Key'!$H$2:$H$19, MATCH(B146,'Date Key'!$B$2:$B$19, 0)), "")</f>
        <v>No</v>
      </c>
      <c r="X146" s="4">
        <f t="shared" si="16"/>
        <v>0.54500000000000004</v>
      </c>
      <c r="Y146" s="4">
        <f t="shared" si="17"/>
        <v>1</v>
      </c>
    </row>
    <row r="147" spans="1:25" x14ac:dyDescent="0.35">
      <c r="A147" s="4">
        <v>7</v>
      </c>
      <c r="B147" s="41">
        <v>45233</v>
      </c>
      <c r="C147" s="4" t="s">
        <v>7</v>
      </c>
      <c r="D147" s="4">
        <v>20</v>
      </c>
      <c r="E147" s="4" t="s">
        <v>157</v>
      </c>
      <c r="F147" s="4" t="str">
        <f t="shared" si="15"/>
        <v>tank 2</v>
      </c>
      <c r="G147" s="4">
        <f>IFERROR(INDEX('Date Key'!$I$2:$I$19, MATCH(B147,'Date Key'!$B$2:$B$19, 0)), "")</f>
        <v>3</v>
      </c>
      <c r="H147" s="4">
        <v>30</v>
      </c>
      <c r="I147" s="11">
        <v>0</v>
      </c>
      <c r="J147" s="11">
        <v>3.4566275542596468E-2</v>
      </c>
      <c r="K147" s="11">
        <v>0.15109725386737016</v>
      </c>
      <c r="L147" s="11">
        <v>1.1335180055401664</v>
      </c>
      <c r="M147" s="11">
        <v>90.588516746411486</v>
      </c>
      <c r="N147" s="11">
        <v>0.18566352940996664</v>
      </c>
      <c r="O147" s="11"/>
      <c r="P147" s="11">
        <v>7.61</v>
      </c>
      <c r="Q147" s="11">
        <v>133.92857142857144</v>
      </c>
      <c r="R147" s="11">
        <v>29.066666666666649</v>
      </c>
      <c r="S147" s="11">
        <v>0.66744810744810756</v>
      </c>
      <c r="T147" s="4">
        <f t="shared" si="14"/>
        <v>2</v>
      </c>
      <c r="U147" s="4" t="str">
        <f>IFERROR(INDEX('Date Key'!$G$2:$G$19, MATCH(B147,'Date Key'!$B$2:$B$19, 0)), "")</f>
        <v>No</v>
      </c>
      <c r="V147" s="4" t="str">
        <f>IFERROR(INDEX('Date Key'!$D$2:$D$19, MATCH(B147,'Date Key'!$B$2:$B$19, 0)), "")</f>
        <v>Lower</v>
      </c>
      <c r="W147" s="4" t="str">
        <f>IFERROR(INDEX('Date Key'!$H$2:$H$19, MATCH(B147,'Date Key'!$B$2:$B$19, 0)), "")</f>
        <v>No</v>
      </c>
      <c r="X147" s="4">
        <f t="shared" si="16"/>
        <v>0.54500000000000004</v>
      </c>
      <c r="Y147" s="4">
        <f t="shared" si="17"/>
        <v>1</v>
      </c>
    </row>
    <row r="148" spans="1:25" s="27" customFormat="1" x14ac:dyDescent="0.35">
      <c r="A148" s="27">
        <v>7</v>
      </c>
      <c r="B148" s="42">
        <v>45233</v>
      </c>
      <c r="C148" s="27" t="s">
        <v>7</v>
      </c>
      <c r="D148" s="27">
        <v>21</v>
      </c>
      <c r="E148" s="27" t="s">
        <v>158</v>
      </c>
      <c r="F148" s="27" t="str">
        <f t="shared" si="15"/>
        <v>tank 2</v>
      </c>
      <c r="G148" s="27">
        <f>IFERROR(INDEX('Date Key'!$I$2:$I$19, MATCH(B148,'Date Key'!$B$2:$B$19, 0)), "")</f>
        <v>3</v>
      </c>
      <c r="H148" s="27">
        <v>0</v>
      </c>
      <c r="I148" s="28">
        <v>0.10911925175370227</v>
      </c>
      <c r="J148" s="28">
        <v>0</v>
      </c>
      <c r="K148" s="28">
        <v>0</v>
      </c>
      <c r="L148" s="28">
        <v>1.2594644506001846</v>
      </c>
      <c r="M148" s="28">
        <v>57.703349282296649</v>
      </c>
      <c r="N148" s="28">
        <v>0.10911925175370227</v>
      </c>
      <c r="O148" s="28"/>
      <c r="P148" s="28">
        <v>7.49</v>
      </c>
      <c r="Q148" s="28">
        <v>153.50877192982455</v>
      </c>
      <c r="R148" s="28">
        <v>48.4</v>
      </c>
      <c r="S148" s="28">
        <v>0.82007326007326009</v>
      </c>
      <c r="T148" s="27">
        <f t="shared" si="14"/>
        <v>2</v>
      </c>
      <c r="U148" s="27" t="str">
        <f>IFERROR(INDEX('Date Key'!$G$2:$G$19, MATCH(B148,'Date Key'!$B$2:$B$19, 0)), "")</f>
        <v>No</v>
      </c>
      <c r="V148" s="27" t="str">
        <f>IFERROR(INDEX('Date Key'!$D$2:$D$19, MATCH(B148,'Date Key'!$B$2:$B$19, 0)), "")</f>
        <v>Lower</v>
      </c>
      <c r="W148" s="27" t="str">
        <f>IFERROR(INDEX('Date Key'!$H$2:$H$19, MATCH(B148,'Date Key'!$B$2:$B$19, 0)), "")</f>
        <v>No</v>
      </c>
      <c r="X148" s="27">
        <f t="shared" si="16"/>
        <v>0.54500000000000004</v>
      </c>
      <c r="Y148" s="27">
        <f t="shared" si="17"/>
        <v>1</v>
      </c>
    </row>
    <row r="149" spans="1:25" x14ac:dyDescent="0.35">
      <c r="A149" s="4">
        <v>8</v>
      </c>
      <c r="B149" s="41">
        <v>45238</v>
      </c>
      <c r="C149" s="4" t="s">
        <v>7</v>
      </c>
      <c r="D149" s="4">
        <v>1</v>
      </c>
      <c r="E149" s="4" t="s">
        <v>159</v>
      </c>
      <c r="F149" s="4" t="str">
        <f t="shared" si="15"/>
        <v>in</v>
      </c>
      <c r="G149" s="4">
        <f>IFERROR(INDEX('Date Key'!$I$2:$I$19, MATCH(B149,'Date Key'!$B$2:$B$19, 0)), "")</f>
        <v>3</v>
      </c>
      <c r="H149" s="4">
        <v>60</v>
      </c>
      <c r="I149" s="11">
        <v>0</v>
      </c>
      <c r="J149" s="11">
        <v>2.469019681614033E-2</v>
      </c>
      <c r="K149" s="11">
        <v>0.52464324259503547</v>
      </c>
      <c r="L149" s="11">
        <v>1.5228070175438599</v>
      </c>
      <c r="M149" s="11">
        <v>102.07177033492823</v>
      </c>
      <c r="N149" s="11">
        <v>0.54933343941117585</v>
      </c>
      <c r="O149" s="11">
        <v>6.25</v>
      </c>
      <c r="P149" s="11">
        <v>8.23</v>
      </c>
      <c r="Q149" s="11">
        <v>123.8738738738739</v>
      </c>
      <c r="R149" s="11">
        <v>21.066666666666642</v>
      </c>
      <c r="S149" s="11">
        <v>1.1680586080586082</v>
      </c>
      <c r="T149" s="4">
        <f t="shared" si="14"/>
        <v>0</v>
      </c>
      <c r="U149" s="4" t="str">
        <f>IFERROR(INDEX('Date Key'!$G$2:$G$19, MATCH(B149,'Date Key'!$B$2:$B$19, 0)), "")</f>
        <v>No</v>
      </c>
      <c r="V149" s="4" t="str">
        <f>IFERROR(INDEX('Date Key'!$D$2:$D$19, MATCH(B149,'Date Key'!$B$2:$B$19, 0)), "")</f>
        <v>Lower</v>
      </c>
      <c r="W149" s="4" t="str">
        <f>IFERROR(INDEX('Date Key'!$H$2:$H$19, MATCH(B149,'Date Key'!$B$2:$B$19, 0)), "")</f>
        <v>No</v>
      </c>
      <c r="X149" s="4">
        <f t="shared" si="16"/>
        <v>0.54500000000000004</v>
      </c>
      <c r="Y149" s="4">
        <f t="shared" si="17"/>
        <v>1</v>
      </c>
    </row>
    <row r="150" spans="1:25" x14ac:dyDescent="0.35">
      <c r="A150" s="4">
        <v>8</v>
      </c>
      <c r="B150" s="41">
        <v>45238</v>
      </c>
      <c r="C150" s="4" t="s">
        <v>7</v>
      </c>
      <c r="D150" s="4">
        <v>2</v>
      </c>
      <c r="E150" s="4" t="s">
        <v>160</v>
      </c>
      <c r="F150" s="4" t="str">
        <f t="shared" si="15"/>
        <v>in</v>
      </c>
      <c r="G150" s="4">
        <f>IFERROR(INDEX('Date Key'!$I$2:$I$19, MATCH(B150,'Date Key'!$B$2:$B$19, 0)), "")</f>
        <v>3</v>
      </c>
      <c r="H150" s="4">
        <v>30</v>
      </c>
      <c r="I150" s="11">
        <v>0</v>
      </c>
      <c r="J150" s="11">
        <v>2.469019681614033E-2</v>
      </c>
      <c r="K150" s="11">
        <v>0.52884038853579562</v>
      </c>
      <c r="L150" s="11">
        <v>1.2365650969529085</v>
      </c>
      <c r="M150" s="11">
        <v>107.35406698564594</v>
      </c>
      <c r="N150" s="11">
        <v>0.553530585351936</v>
      </c>
      <c r="O150" s="11">
        <v>7.04</v>
      </c>
      <c r="P150" s="11">
        <v>8.2100000000000009</v>
      </c>
      <c r="Q150" s="11">
        <v>133.92857142857144</v>
      </c>
      <c r="R150" s="11">
        <v>20.733333333333306</v>
      </c>
      <c r="S150" s="11">
        <v>0.86891330891330898</v>
      </c>
      <c r="T150" s="4">
        <f t="shared" si="14"/>
        <v>0</v>
      </c>
      <c r="U150" s="4" t="str">
        <f>IFERROR(INDEX('Date Key'!$G$2:$G$19, MATCH(B150,'Date Key'!$B$2:$B$19, 0)), "")</f>
        <v>No</v>
      </c>
      <c r="V150" s="4" t="str">
        <f>IFERROR(INDEX('Date Key'!$D$2:$D$19, MATCH(B150,'Date Key'!$B$2:$B$19, 0)), "")</f>
        <v>Lower</v>
      </c>
      <c r="W150" s="4" t="str">
        <f>IFERROR(INDEX('Date Key'!$H$2:$H$19, MATCH(B150,'Date Key'!$B$2:$B$19, 0)), "")</f>
        <v>No</v>
      </c>
      <c r="X150" s="4">
        <f t="shared" si="16"/>
        <v>0.54500000000000004</v>
      </c>
      <c r="Y150" s="4">
        <f t="shared" si="17"/>
        <v>1</v>
      </c>
    </row>
    <row r="151" spans="1:25" x14ac:dyDescent="0.35">
      <c r="A151" s="4">
        <v>8</v>
      </c>
      <c r="B151" s="41">
        <v>45238</v>
      </c>
      <c r="C151" s="4" t="s">
        <v>7</v>
      </c>
      <c r="D151" s="4">
        <v>3</v>
      </c>
      <c r="E151" s="4" t="s">
        <v>161</v>
      </c>
      <c r="F151" s="4" t="str">
        <f t="shared" si="15"/>
        <v>in</v>
      </c>
      <c r="G151" s="4">
        <f>IFERROR(INDEX('Date Key'!$I$2:$I$19, MATCH(B151,'Date Key'!$B$2:$B$19, 0)), "")</f>
        <v>3</v>
      </c>
      <c r="H151" s="4">
        <v>180</v>
      </c>
      <c r="I151" s="11">
        <v>0</v>
      </c>
      <c r="J151" s="11">
        <v>2.469019681614033E-2</v>
      </c>
      <c r="K151" s="11">
        <v>0.50785465883199421</v>
      </c>
      <c r="L151" s="11">
        <v>2.2784856879039701</v>
      </c>
      <c r="M151" s="11">
        <v>102.57416267942584</v>
      </c>
      <c r="N151" s="11">
        <v>0.53254485564813459</v>
      </c>
      <c r="O151" s="11">
        <v>6.27</v>
      </c>
      <c r="P151" s="11">
        <v>8.1</v>
      </c>
      <c r="Q151" s="11">
        <v>133.92857142857144</v>
      </c>
      <c r="R151" s="11">
        <v>36.066666666666656</v>
      </c>
      <c r="S151" s="11">
        <v>1.8396092796092796</v>
      </c>
      <c r="T151" s="4">
        <f t="shared" si="14"/>
        <v>0</v>
      </c>
      <c r="U151" s="4" t="str">
        <f>IFERROR(INDEX('Date Key'!$G$2:$G$19, MATCH(B151,'Date Key'!$B$2:$B$19, 0)), "")</f>
        <v>No</v>
      </c>
      <c r="V151" s="4" t="str">
        <f>IFERROR(INDEX('Date Key'!$D$2:$D$19, MATCH(B151,'Date Key'!$B$2:$B$19, 0)), "")</f>
        <v>Lower</v>
      </c>
      <c r="W151" s="4" t="str">
        <f>IFERROR(INDEX('Date Key'!$H$2:$H$19, MATCH(B151,'Date Key'!$B$2:$B$19, 0)), "")</f>
        <v>No</v>
      </c>
      <c r="X151" s="4">
        <f t="shared" si="16"/>
        <v>0.54500000000000004</v>
      </c>
      <c r="Y151" s="4">
        <f t="shared" si="17"/>
        <v>1</v>
      </c>
    </row>
    <row r="152" spans="1:25" x14ac:dyDescent="0.35">
      <c r="A152" s="4">
        <v>8</v>
      </c>
      <c r="B152" s="41">
        <v>45238</v>
      </c>
      <c r="C152" s="4" t="s">
        <v>7</v>
      </c>
      <c r="D152" s="4">
        <v>4</v>
      </c>
      <c r="E152" s="4" t="s">
        <v>162</v>
      </c>
      <c r="F152" s="4" t="str">
        <f t="shared" si="15"/>
        <v>in</v>
      </c>
      <c r="G152" s="4">
        <f>IFERROR(INDEX('Date Key'!$I$2:$I$19, MATCH(B152,'Date Key'!$B$2:$B$19, 0)), "")</f>
        <v>3</v>
      </c>
      <c r="H152" s="4">
        <v>150</v>
      </c>
      <c r="I152" s="11">
        <v>0</v>
      </c>
      <c r="J152" s="11">
        <v>2.469019681614033E-2</v>
      </c>
      <c r="K152" s="11">
        <v>0.49946036695047374</v>
      </c>
      <c r="L152" s="11">
        <v>2.1754385964912282</v>
      </c>
      <c r="M152" s="11">
        <v>105.90430622009571</v>
      </c>
      <c r="N152" s="11">
        <v>0.52415056376661406</v>
      </c>
      <c r="O152" s="11">
        <v>6.49</v>
      </c>
      <c r="P152" s="11">
        <v>8.15</v>
      </c>
      <c r="Q152" s="11">
        <v>123.8738738738739</v>
      </c>
      <c r="R152" s="11">
        <v>29.399999999999981</v>
      </c>
      <c r="S152" s="11">
        <v>1.7358241758241757</v>
      </c>
      <c r="T152" s="4">
        <f t="shared" si="14"/>
        <v>0</v>
      </c>
      <c r="U152" s="4" t="str">
        <f>IFERROR(INDEX('Date Key'!$G$2:$G$19, MATCH(B152,'Date Key'!$B$2:$B$19, 0)), "")</f>
        <v>No</v>
      </c>
      <c r="V152" s="4" t="str">
        <f>IFERROR(INDEX('Date Key'!$D$2:$D$19, MATCH(B152,'Date Key'!$B$2:$B$19, 0)), "")</f>
        <v>Lower</v>
      </c>
      <c r="W152" s="4" t="str">
        <f>IFERROR(INDEX('Date Key'!$H$2:$H$19, MATCH(B152,'Date Key'!$B$2:$B$19, 0)), "")</f>
        <v>No</v>
      </c>
      <c r="X152" s="4">
        <f t="shared" si="16"/>
        <v>0.54500000000000004</v>
      </c>
      <c r="Y152" s="4">
        <f t="shared" si="17"/>
        <v>1</v>
      </c>
    </row>
    <row r="153" spans="1:25" x14ac:dyDescent="0.35">
      <c r="A153" s="4">
        <v>8</v>
      </c>
      <c r="B153" s="41">
        <v>45238</v>
      </c>
      <c r="C153" s="4" t="s">
        <v>7</v>
      </c>
      <c r="D153" s="4">
        <v>5</v>
      </c>
      <c r="E153" s="4" t="s">
        <v>163</v>
      </c>
      <c r="F153" s="4" t="str">
        <f t="shared" si="15"/>
        <v>in</v>
      </c>
      <c r="G153" s="4">
        <f>IFERROR(INDEX('Date Key'!$I$2:$I$19, MATCH(B153,'Date Key'!$B$2:$B$19, 0)), "")</f>
        <v>3</v>
      </c>
      <c r="H153" s="4">
        <v>90</v>
      </c>
      <c r="I153" s="11">
        <v>0</v>
      </c>
      <c r="J153" s="11">
        <v>2.469019681614033E-2</v>
      </c>
      <c r="K153" s="11">
        <v>0.4365031778390695</v>
      </c>
      <c r="L153" s="11">
        <v>1.683102493074792</v>
      </c>
      <c r="M153" s="11">
        <v>99.717703349282303</v>
      </c>
      <c r="N153" s="11">
        <v>0.46119337465520982</v>
      </c>
      <c r="O153" s="11">
        <v>6.12</v>
      </c>
      <c r="P153" s="11">
        <v>8.17</v>
      </c>
      <c r="Q153" s="11">
        <v>123.8738738738739</v>
      </c>
      <c r="R153" s="11">
        <v>22.733333333333309</v>
      </c>
      <c r="S153" s="11">
        <v>1.3695238095238096</v>
      </c>
      <c r="T153" s="4">
        <f t="shared" si="14"/>
        <v>0</v>
      </c>
      <c r="U153" s="4" t="str">
        <f>IFERROR(INDEX('Date Key'!$G$2:$G$19, MATCH(B153,'Date Key'!$B$2:$B$19, 0)), "")</f>
        <v>No</v>
      </c>
      <c r="V153" s="4" t="str">
        <f>IFERROR(INDEX('Date Key'!$D$2:$D$19, MATCH(B153,'Date Key'!$B$2:$B$19, 0)), "")</f>
        <v>Lower</v>
      </c>
      <c r="W153" s="4" t="str">
        <f>IFERROR(INDEX('Date Key'!$H$2:$H$19, MATCH(B153,'Date Key'!$B$2:$B$19, 0)), "")</f>
        <v>No</v>
      </c>
      <c r="X153" s="4">
        <f t="shared" si="16"/>
        <v>0.54500000000000004</v>
      </c>
      <c r="Y153" s="4">
        <f t="shared" si="17"/>
        <v>1</v>
      </c>
    </row>
    <row r="154" spans="1:25" x14ac:dyDescent="0.35">
      <c r="A154" s="4">
        <v>8</v>
      </c>
      <c r="B154" s="41">
        <v>45238</v>
      </c>
      <c r="C154" s="4" t="s">
        <v>7</v>
      </c>
      <c r="D154" s="4">
        <v>6</v>
      </c>
      <c r="E154" s="4" t="s">
        <v>164</v>
      </c>
      <c r="F154" s="4" t="str">
        <f t="shared" si="15"/>
        <v>tank 1</v>
      </c>
      <c r="G154" s="4">
        <f>IFERROR(INDEX('Date Key'!$I$2:$I$19, MATCH(B154,'Date Key'!$B$2:$B$19, 0)), "")</f>
        <v>3</v>
      </c>
      <c r="H154" s="4">
        <v>30</v>
      </c>
      <c r="I154" s="11">
        <v>0.3637308391790075</v>
      </c>
      <c r="J154" s="11">
        <v>2.9628236179368404E-2</v>
      </c>
      <c r="K154" s="11">
        <v>3.3577167526082266E-2</v>
      </c>
      <c r="L154" s="11">
        <v>1.076269621421976</v>
      </c>
      <c r="M154" s="11">
        <v>108.66028708133972</v>
      </c>
      <c r="N154" s="11">
        <v>0.42693624288445814</v>
      </c>
      <c r="O154" s="11">
        <v>0.8</v>
      </c>
      <c r="P154" s="11">
        <v>7.47</v>
      </c>
      <c r="Q154" s="11">
        <v>123.8738738738739</v>
      </c>
      <c r="R154" s="11">
        <v>18.400000000000009</v>
      </c>
      <c r="S154" s="11">
        <v>0.63692307692307693</v>
      </c>
      <c r="T154" s="4">
        <f t="shared" si="14"/>
        <v>1</v>
      </c>
      <c r="U154" s="4" t="str">
        <f>IFERROR(INDEX('Date Key'!$G$2:$G$19, MATCH(B154,'Date Key'!$B$2:$B$19, 0)), "")</f>
        <v>No</v>
      </c>
      <c r="V154" s="4" t="str">
        <f>IFERROR(INDEX('Date Key'!$D$2:$D$19, MATCH(B154,'Date Key'!$B$2:$B$19, 0)), "")</f>
        <v>Lower</v>
      </c>
      <c r="W154" s="4" t="str">
        <f>IFERROR(INDEX('Date Key'!$H$2:$H$19, MATCH(B154,'Date Key'!$B$2:$B$19, 0)), "")</f>
        <v>No</v>
      </c>
      <c r="X154" s="4">
        <f t="shared" si="16"/>
        <v>0.54500000000000004</v>
      </c>
      <c r="Y154" s="4">
        <f t="shared" si="17"/>
        <v>1</v>
      </c>
    </row>
    <row r="155" spans="1:25" x14ac:dyDescent="0.35">
      <c r="A155" s="4">
        <v>8</v>
      </c>
      <c r="B155" s="41">
        <v>45238</v>
      </c>
      <c r="C155" s="4" t="s">
        <v>7</v>
      </c>
      <c r="D155" s="4">
        <v>7</v>
      </c>
      <c r="E155" s="4" t="s">
        <v>165</v>
      </c>
      <c r="F155" s="4" t="str">
        <f t="shared" si="15"/>
        <v>tank 1</v>
      </c>
      <c r="G155" s="4">
        <f>IFERROR(INDEX('Date Key'!$I$2:$I$19, MATCH(B155,'Date Key'!$B$2:$B$19, 0)), "")</f>
        <v>3</v>
      </c>
      <c r="H155" s="4">
        <v>180</v>
      </c>
      <c r="I155" s="11">
        <v>0</v>
      </c>
      <c r="J155" s="11">
        <v>7.9008629811649064E-2</v>
      </c>
      <c r="K155" s="11">
        <v>0.13850581604508938</v>
      </c>
      <c r="L155" s="11">
        <v>1.683102493074792</v>
      </c>
      <c r="M155" s="11">
        <v>104.00956937799043</v>
      </c>
      <c r="N155" s="11">
        <v>0.21751444585673846</v>
      </c>
      <c r="O155" s="11">
        <v>0.79</v>
      </c>
      <c r="P155" s="11">
        <v>7.86</v>
      </c>
      <c r="Q155" s="11">
        <v>113.63636363636364</v>
      </c>
      <c r="R155" s="11">
        <v>29.733333333333313</v>
      </c>
      <c r="S155" s="11">
        <v>1.4488888888888889</v>
      </c>
      <c r="T155" s="4">
        <f t="shared" si="14"/>
        <v>1</v>
      </c>
      <c r="U155" s="4" t="str">
        <f>IFERROR(INDEX('Date Key'!$G$2:$G$19, MATCH(B155,'Date Key'!$B$2:$B$19, 0)), "")</f>
        <v>No</v>
      </c>
      <c r="V155" s="4" t="str">
        <f>IFERROR(INDEX('Date Key'!$D$2:$D$19, MATCH(B155,'Date Key'!$B$2:$B$19, 0)), "")</f>
        <v>Lower</v>
      </c>
      <c r="W155" s="4" t="str">
        <f>IFERROR(INDEX('Date Key'!$H$2:$H$19, MATCH(B155,'Date Key'!$B$2:$B$19, 0)), "")</f>
        <v>No</v>
      </c>
      <c r="X155" s="4">
        <f t="shared" si="16"/>
        <v>0.54500000000000004</v>
      </c>
      <c r="Y155" s="4">
        <f t="shared" si="17"/>
        <v>1</v>
      </c>
    </row>
    <row r="156" spans="1:25" x14ac:dyDescent="0.35">
      <c r="A156" s="4">
        <v>8</v>
      </c>
      <c r="B156" s="41">
        <v>45238</v>
      </c>
      <c r="C156" s="4" t="s">
        <v>7</v>
      </c>
      <c r="D156" s="4">
        <v>8</v>
      </c>
      <c r="E156" s="4" t="s">
        <v>166</v>
      </c>
      <c r="F156" s="4" t="str">
        <f t="shared" si="15"/>
        <v>tank 1</v>
      </c>
      <c r="G156" s="4">
        <f>IFERROR(INDEX('Date Key'!$I$2:$I$19, MATCH(B156,'Date Key'!$B$2:$B$19, 0)), "")</f>
        <v>3</v>
      </c>
      <c r="H156" s="4">
        <v>60</v>
      </c>
      <c r="I156" s="11">
        <v>3.6373083917900756E-2</v>
      </c>
      <c r="J156" s="11">
        <v>5.4318432995508738E-2</v>
      </c>
      <c r="K156" s="11">
        <v>4.6168605348363118E-2</v>
      </c>
      <c r="L156" s="11">
        <v>1.076269621421976</v>
      </c>
      <c r="M156" s="11">
        <v>107.48325358851676</v>
      </c>
      <c r="N156" s="11">
        <v>0.1368601222617726</v>
      </c>
      <c r="O156" s="11">
        <v>0.98</v>
      </c>
      <c r="P156" s="11">
        <v>7.68</v>
      </c>
      <c r="Q156" s="11">
        <v>123.8738738738739</v>
      </c>
      <c r="R156" s="11">
        <v>15.73333333333334</v>
      </c>
      <c r="S156" s="11">
        <v>0.67965811965811973</v>
      </c>
      <c r="T156" s="4">
        <f t="shared" si="14"/>
        <v>1</v>
      </c>
      <c r="U156" s="4" t="str">
        <f>IFERROR(INDEX('Date Key'!$G$2:$G$19, MATCH(B156,'Date Key'!$B$2:$B$19, 0)), "")</f>
        <v>No</v>
      </c>
      <c r="V156" s="4" t="str">
        <f>IFERROR(INDEX('Date Key'!$D$2:$D$19, MATCH(B156,'Date Key'!$B$2:$B$19, 0)), "")</f>
        <v>Lower</v>
      </c>
      <c r="W156" s="4" t="str">
        <f>IFERROR(INDEX('Date Key'!$H$2:$H$19, MATCH(B156,'Date Key'!$B$2:$B$19, 0)), "")</f>
        <v>No</v>
      </c>
      <c r="X156" s="4">
        <f t="shared" si="16"/>
        <v>0.54500000000000004</v>
      </c>
      <c r="Y156" s="4">
        <f t="shared" si="17"/>
        <v>1</v>
      </c>
    </row>
    <row r="157" spans="1:25" x14ac:dyDescent="0.35">
      <c r="A157" s="4">
        <v>8</v>
      </c>
      <c r="B157" s="41">
        <v>45238</v>
      </c>
      <c r="C157" s="4" t="s">
        <v>7</v>
      </c>
      <c r="D157" s="4">
        <v>9</v>
      </c>
      <c r="E157" s="4" t="s">
        <v>167</v>
      </c>
      <c r="F157" s="4" t="str">
        <f t="shared" si="15"/>
        <v>in</v>
      </c>
      <c r="G157" s="4">
        <f>IFERROR(INDEX('Date Key'!$I$2:$I$19, MATCH(B157,'Date Key'!$B$2:$B$19, 0)), "")</f>
        <v>3</v>
      </c>
      <c r="H157" s="4">
        <v>120</v>
      </c>
      <c r="I157" s="11">
        <v>7.2746167835801512E-2</v>
      </c>
      <c r="J157" s="11">
        <v>2.9628236179368404E-2</v>
      </c>
      <c r="K157" s="11">
        <v>0.39033457249070641</v>
      </c>
      <c r="L157" s="11">
        <v>1.7060018467220681</v>
      </c>
      <c r="M157" s="11">
        <v>99.100478468899524</v>
      </c>
      <c r="N157" s="11">
        <v>0.49270897650587631</v>
      </c>
      <c r="O157" s="11">
        <v>6.29</v>
      </c>
      <c r="P157" s="11">
        <v>8.15</v>
      </c>
      <c r="Q157" s="11">
        <v>123.8738738738739</v>
      </c>
      <c r="R157" s="11">
        <v>28.733333333333313</v>
      </c>
      <c r="S157" s="11">
        <v>1.6137240537240534</v>
      </c>
      <c r="T157" s="4">
        <f t="shared" si="14"/>
        <v>0</v>
      </c>
      <c r="U157" s="4" t="str">
        <f>IFERROR(INDEX('Date Key'!$G$2:$G$19, MATCH(B157,'Date Key'!$B$2:$B$19, 0)), "")</f>
        <v>No</v>
      </c>
      <c r="V157" s="4" t="str">
        <f>IFERROR(INDEX('Date Key'!$D$2:$D$19, MATCH(B157,'Date Key'!$B$2:$B$19, 0)), "")</f>
        <v>Lower</v>
      </c>
      <c r="W157" s="4" t="str">
        <f>IFERROR(INDEX('Date Key'!$H$2:$H$19, MATCH(B157,'Date Key'!$B$2:$B$19, 0)), "")</f>
        <v>No</v>
      </c>
      <c r="X157" s="4">
        <f t="shared" si="16"/>
        <v>0.54500000000000004</v>
      </c>
      <c r="Y157" s="4">
        <f t="shared" si="17"/>
        <v>1</v>
      </c>
    </row>
    <row r="158" spans="1:25" x14ac:dyDescent="0.35">
      <c r="A158" s="4">
        <v>8</v>
      </c>
      <c r="B158" s="41">
        <v>45238</v>
      </c>
      <c r="C158" s="4" t="s">
        <v>7</v>
      </c>
      <c r="D158" s="4">
        <v>10</v>
      </c>
      <c r="E158" s="4" t="s">
        <v>168</v>
      </c>
      <c r="F158" s="4" t="str">
        <f t="shared" si="15"/>
        <v>tank 1</v>
      </c>
      <c r="G158" s="4">
        <f>IFERROR(INDEX('Date Key'!$I$2:$I$19, MATCH(B158,'Date Key'!$B$2:$B$19, 0)), "")</f>
        <v>3</v>
      </c>
      <c r="H158" s="4">
        <v>150</v>
      </c>
      <c r="I158" s="11">
        <v>0</v>
      </c>
      <c r="J158" s="11">
        <v>7.4070590448421E-2</v>
      </c>
      <c r="K158" s="11">
        <v>0.13850581604508938</v>
      </c>
      <c r="L158" s="11">
        <v>1.5342566943674976</v>
      </c>
      <c r="M158" s="11">
        <v>102.24401913875599</v>
      </c>
      <c r="N158" s="11">
        <v>0.21257640649351039</v>
      </c>
      <c r="O158" s="11">
        <v>0.74</v>
      </c>
      <c r="P158" s="11">
        <v>7.66</v>
      </c>
      <c r="Q158" s="11">
        <v>123.8738738738739</v>
      </c>
      <c r="R158" s="11">
        <v>24.733333333333309</v>
      </c>
      <c r="S158" s="11">
        <v>1.2779487179487179</v>
      </c>
      <c r="T158" s="4">
        <f t="shared" si="14"/>
        <v>1</v>
      </c>
      <c r="U158" s="4" t="str">
        <f>IFERROR(INDEX('Date Key'!$G$2:$G$19, MATCH(B158,'Date Key'!$B$2:$B$19, 0)), "")</f>
        <v>No</v>
      </c>
      <c r="V158" s="4" t="str">
        <f>IFERROR(INDEX('Date Key'!$D$2:$D$19, MATCH(B158,'Date Key'!$B$2:$B$19, 0)), "")</f>
        <v>Lower</v>
      </c>
      <c r="W158" s="4" t="str">
        <f>IFERROR(INDEX('Date Key'!$H$2:$H$19, MATCH(B158,'Date Key'!$B$2:$B$19, 0)), "")</f>
        <v>No</v>
      </c>
      <c r="X158" s="4">
        <f t="shared" si="16"/>
        <v>0.54500000000000004</v>
      </c>
      <c r="Y158" s="4">
        <f t="shared" si="17"/>
        <v>1</v>
      </c>
    </row>
    <row r="159" spans="1:25" x14ac:dyDescent="0.35">
      <c r="A159" s="4">
        <v>8</v>
      </c>
      <c r="B159" s="41">
        <v>45238</v>
      </c>
      <c r="C159" s="4" t="s">
        <v>7</v>
      </c>
      <c r="D159" s="4">
        <v>11</v>
      </c>
      <c r="E159" s="4" t="s">
        <v>169</v>
      </c>
      <c r="F159" s="4" t="str">
        <f t="shared" si="15"/>
        <v>in</v>
      </c>
      <c r="G159" s="4">
        <f>IFERROR(INDEX('Date Key'!$I$2:$I$19, MATCH(B159,'Date Key'!$B$2:$B$19, 0)), "")</f>
        <v>3</v>
      </c>
      <c r="H159" s="4">
        <v>0</v>
      </c>
      <c r="I159" s="11">
        <v>0</v>
      </c>
      <c r="J159" s="11">
        <v>2.469019681614033E-2</v>
      </c>
      <c r="K159" s="11">
        <v>0.17628012951193189</v>
      </c>
      <c r="L159" s="11">
        <v>0.54958448753462608</v>
      </c>
      <c r="M159" s="11">
        <v>88.722488038277518</v>
      </c>
      <c r="N159" s="11">
        <v>0.20097032632807221</v>
      </c>
      <c r="O159" s="11">
        <v>7.53</v>
      </c>
      <c r="P159" s="11">
        <v>8.18</v>
      </c>
      <c r="Q159" s="11">
        <v>123.8738738738739</v>
      </c>
      <c r="R159" s="11">
        <v>13.06666666666667</v>
      </c>
      <c r="S159" s="11">
        <v>0.1424175824175824</v>
      </c>
      <c r="T159" s="4">
        <f t="shared" si="14"/>
        <v>0</v>
      </c>
      <c r="U159" s="4" t="str">
        <f>IFERROR(INDEX('Date Key'!$G$2:$G$19, MATCH(B159,'Date Key'!$B$2:$B$19, 0)), "")</f>
        <v>No</v>
      </c>
      <c r="V159" s="4" t="str">
        <f>IFERROR(INDEX('Date Key'!$D$2:$D$19, MATCH(B159,'Date Key'!$B$2:$B$19, 0)), "")</f>
        <v>Lower</v>
      </c>
      <c r="W159" s="4" t="str">
        <f>IFERROR(INDEX('Date Key'!$H$2:$H$19, MATCH(B159,'Date Key'!$B$2:$B$19, 0)), "")</f>
        <v>No</v>
      </c>
      <c r="X159" s="4">
        <f t="shared" si="16"/>
        <v>0.54500000000000004</v>
      </c>
      <c r="Y159" s="4">
        <f t="shared" si="17"/>
        <v>1</v>
      </c>
    </row>
    <row r="160" spans="1:25" x14ac:dyDescent="0.35">
      <c r="A160" s="4">
        <v>8</v>
      </c>
      <c r="B160" s="41">
        <v>45238</v>
      </c>
      <c r="C160" s="4" t="s">
        <v>7</v>
      </c>
      <c r="D160" s="4">
        <v>12</v>
      </c>
      <c r="E160" s="4" t="s">
        <v>170</v>
      </c>
      <c r="F160" s="4" t="str">
        <f t="shared" si="15"/>
        <v>tank 1</v>
      </c>
      <c r="G160" s="4">
        <f>IFERROR(INDEX('Date Key'!$I$2:$I$19, MATCH(B160,'Date Key'!$B$2:$B$19, 0)), "")</f>
        <v>3</v>
      </c>
      <c r="H160" s="4">
        <v>90</v>
      </c>
      <c r="I160" s="11">
        <v>0</v>
      </c>
      <c r="J160" s="11">
        <v>7.4070590448421E-2</v>
      </c>
      <c r="K160" s="11">
        <v>7.974577287444537E-2</v>
      </c>
      <c r="L160" s="11">
        <v>1.1335180055401664</v>
      </c>
      <c r="M160" s="11">
        <v>104.88516746411483</v>
      </c>
      <c r="N160" s="11">
        <v>0.15381636332286636</v>
      </c>
      <c r="O160" s="11">
        <v>1.1299999999999999</v>
      </c>
      <c r="P160" s="11">
        <v>7.56</v>
      </c>
      <c r="Q160" s="11">
        <v>123.8738738738739</v>
      </c>
      <c r="R160" s="11">
        <v>20.066666666666638</v>
      </c>
      <c r="S160" s="11">
        <v>0.8628083028083029</v>
      </c>
      <c r="T160" s="4">
        <f t="shared" si="14"/>
        <v>1</v>
      </c>
      <c r="U160" s="4" t="str">
        <f>IFERROR(INDEX('Date Key'!$G$2:$G$19, MATCH(B160,'Date Key'!$B$2:$B$19, 0)), "")</f>
        <v>No</v>
      </c>
      <c r="V160" s="4" t="str">
        <f>IFERROR(INDEX('Date Key'!$D$2:$D$19, MATCH(B160,'Date Key'!$B$2:$B$19, 0)), "")</f>
        <v>Lower</v>
      </c>
      <c r="W160" s="4" t="str">
        <f>IFERROR(INDEX('Date Key'!$H$2:$H$19, MATCH(B160,'Date Key'!$B$2:$B$19, 0)), "")</f>
        <v>No</v>
      </c>
      <c r="X160" s="4">
        <f t="shared" si="16"/>
        <v>0.54500000000000004</v>
      </c>
      <c r="Y160" s="4">
        <f t="shared" si="17"/>
        <v>1</v>
      </c>
    </row>
    <row r="161" spans="1:25" x14ac:dyDescent="0.35">
      <c r="A161" s="4">
        <v>8</v>
      </c>
      <c r="B161" s="41">
        <v>45238</v>
      </c>
      <c r="C161" s="4" t="s">
        <v>7</v>
      </c>
      <c r="D161" s="4">
        <v>13</v>
      </c>
      <c r="E161" s="4" t="s">
        <v>171</v>
      </c>
      <c r="F161" s="4" t="str">
        <f t="shared" si="15"/>
        <v>tank 2</v>
      </c>
      <c r="G161" s="4">
        <f>IFERROR(INDEX('Date Key'!$I$2:$I$19, MATCH(B161,'Date Key'!$B$2:$B$19, 0)), "")</f>
        <v>3</v>
      </c>
      <c r="H161" s="4">
        <v>150</v>
      </c>
      <c r="I161" s="11">
        <v>0</v>
      </c>
      <c r="J161" s="11">
        <v>2.9628236179368404E-2</v>
      </c>
      <c r="K161" s="11">
        <v>0.41132030219450777</v>
      </c>
      <c r="L161" s="11">
        <v>1.900646352723915</v>
      </c>
      <c r="M161" s="11">
        <v>100.90909090909091</v>
      </c>
      <c r="N161" s="11">
        <v>0.44094853837387615</v>
      </c>
      <c r="O161" s="11">
        <v>2.11</v>
      </c>
      <c r="P161" s="11">
        <v>8.1</v>
      </c>
      <c r="Q161" s="11">
        <v>123.8738738738739</v>
      </c>
      <c r="R161" s="11">
        <v>30.399999999999981</v>
      </c>
      <c r="S161" s="11">
        <v>1.7907692307692307</v>
      </c>
      <c r="T161" s="4">
        <f t="shared" si="14"/>
        <v>2</v>
      </c>
      <c r="U161" s="4" t="str">
        <f>IFERROR(INDEX('Date Key'!$G$2:$G$19, MATCH(B161,'Date Key'!$B$2:$B$19, 0)), "")</f>
        <v>No</v>
      </c>
      <c r="V161" s="4" t="str">
        <f>IFERROR(INDEX('Date Key'!$D$2:$D$19, MATCH(B161,'Date Key'!$B$2:$B$19, 0)), "")</f>
        <v>Lower</v>
      </c>
      <c r="W161" s="4" t="str">
        <f>IFERROR(INDEX('Date Key'!$H$2:$H$19, MATCH(B161,'Date Key'!$B$2:$B$19, 0)), "")</f>
        <v>No</v>
      </c>
      <c r="X161" s="4">
        <f t="shared" si="16"/>
        <v>0.54500000000000004</v>
      </c>
      <c r="Y161" s="4">
        <f t="shared" si="17"/>
        <v>1</v>
      </c>
    </row>
    <row r="162" spans="1:25" x14ac:dyDescent="0.35">
      <c r="A162" s="4">
        <v>8</v>
      </c>
      <c r="B162" s="41">
        <v>45238</v>
      </c>
      <c r="C162" s="4" t="s">
        <v>7</v>
      </c>
      <c r="D162" s="4">
        <v>14</v>
      </c>
      <c r="E162" s="4" t="s">
        <v>172</v>
      </c>
      <c r="F162" s="4" t="str">
        <f t="shared" si="15"/>
        <v>tank 2</v>
      </c>
      <c r="G162" s="4">
        <f>IFERROR(INDEX('Date Key'!$I$2:$I$19, MATCH(B162,'Date Key'!$B$2:$B$19, 0)), "")</f>
        <v>3</v>
      </c>
      <c r="H162" s="4">
        <v>90</v>
      </c>
      <c r="I162" s="11">
        <v>1.8186541958950378E-2</v>
      </c>
      <c r="J162" s="11">
        <v>4.4442354269052589E-2</v>
      </c>
      <c r="K162" s="11">
        <v>0.28540592397169934</v>
      </c>
      <c r="L162" s="11">
        <v>1.3052631578947369</v>
      </c>
      <c r="M162" s="11">
        <v>104.59808612440192</v>
      </c>
      <c r="N162" s="11">
        <v>0.34803482019970233</v>
      </c>
      <c r="O162" s="11">
        <v>2.2599999999999998</v>
      </c>
      <c r="P162" s="11">
        <v>7.67</v>
      </c>
      <c r="Q162" s="11">
        <v>113.63636363636364</v>
      </c>
      <c r="R162" s="11">
        <v>21.733333333333309</v>
      </c>
      <c r="S162" s="11">
        <v>0.96048840048840045</v>
      </c>
      <c r="T162" s="4">
        <f t="shared" si="14"/>
        <v>2</v>
      </c>
      <c r="U162" s="4" t="str">
        <f>IFERROR(INDEX('Date Key'!$G$2:$G$19, MATCH(B162,'Date Key'!$B$2:$B$19, 0)), "")</f>
        <v>No</v>
      </c>
      <c r="V162" s="4" t="str">
        <f>IFERROR(INDEX('Date Key'!$D$2:$D$19, MATCH(B162,'Date Key'!$B$2:$B$19, 0)), "")</f>
        <v>Lower</v>
      </c>
      <c r="W162" s="4" t="str">
        <f>IFERROR(INDEX('Date Key'!$H$2:$H$19, MATCH(B162,'Date Key'!$B$2:$B$19, 0)), "")</f>
        <v>No</v>
      </c>
      <c r="X162" s="4">
        <f t="shared" si="16"/>
        <v>0.54500000000000004</v>
      </c>
      <c r="Y162" s="4">
        <f t="shared" si="17"/>
        <v>1</v>
      </c>
    </row>
    <row r="163" spans="1:25" x14ac:dyDescent="0.35">
      <c r="A163" s="4">
        <v>8</v>
      </c>
      <c r="B163" s="41">
        <v>45238</v>
      </c>
      <c r="C163" s="4" t="s">
        <v>7</v>
      </c>
      <c r="D163" s="4">
        <v>15</v>
      </c>
      <c r="E163" s="4" t="s">
        <v>173</v>
      </c>
      <c r="F163" s="4" t="str">
        <f t="shared" si="15"/>
        <v>tank 1</v>
      </c>
      <c r="G163" s="4">
        <f>IFERROR(INDEX('Date Key'!$I$2:$I$19, MATCH(B163,'Date Key'!$B$2:$B$19, 0)), "")</f>
        <v>3</v>
      </c>
      <c r="H163" s="4">
        <v>120</v>
      </c>
      <c r="I163" s="11">
        <v>5.4559625876851134E-2</v>
      </c>
      <c r="J163" s="11">
        <v>6.9132551085192936E-2</v>
      </c>
      <c r="K163" s="11">
        <v>0.10912579445976738</v>
      </c>
      <c r="L163" s="11">
        <v>1.2594644506001846</v>
      </c>
      <c r="M163" s="11">
        <v>102.5311004784689</v>
      </c>
      <c r="N163" s="11">
        <v>0.23281797142181143</v>
      </c>
      <c r="O163" s="11">
        <v>0.84</v>
      </c>
      <c r="P163" s="11">
        <v>7.66</v>
      </c>
      <c r="Q163" s="11">
        <v>113.63636363636364</v>
      </c>
      <c r="R163" s="11">
        <v>23.066666666666642</v>
      </c>
      <c r="S163" s="11">
        <v>1.0886935286935289</v>
      </c>
      <c r="T163" s="4">
        <f t="shared" si="14"/>
        <v>1</v>
      </c>
      <c r="U163" s="4" t="str">
        <f>IFERROR(INDEX('Date Key'!$G$2:$G$19, MATCH(B163,'Date Key'!$B$2:$B$19, 0)), "")</f>
        <v>No</v>
      </c>
      <c r="V163" s="4" t="str">
        <f>IFERROR(INDEX('Date Key'!$D$2:$D$19, MATCH(B163,'Date Key'!$B$2:$B$19, 0)), "")</f>
        <v>Lower</v>
      </c>
      <c r="W163" s="4" t="str">
        <f>IFERROR(INDEX('Date Key'!$H$2:$H$19, MATCH(B163,'Date Key'!$B$2:$B$19, 0)), "")</f>
        <v>No</v>
      </c>
      <c r="X163" s="4">
        <f t="shared" si="16"/>
        <v>0.54500000000000004</v>
      </c>
      <c r="Y163" s="4">
        <f t="shared" si="17"/>
        <v>1</v>
      </c>
    </row>
    <row r="164" spans="1:25" x14ac:dyDescent="0.35">
      <c r="A164" s="4">
        <v>8</v>
      </c>
      <c r="B164" s="41">
        <v>45238</v>
      </c>
      <c r="C164" s="4" t="s">
        <v>7</v>
      </c>
      <c r="D164" s="4">
        <v>16</v>
      </c>
      <c r="E164" s="4" t="s">
        <v>174</v>
      </c>
      <c r="F164" s="4" t="str">
        <f t="shared" si="15"/>
        <v>tank 2</v>
      </c>
      <c r="G164" s="4">
        <f>IFERROR(INDEX('Date Key'!$I$2:$I$19, MATCH(B164,'Date Key'!$B$2:$B$19, 0)), "")</f>
        <v>3</v>
      </c>
      <c r="H164" s="4">
        <v>120</v>
      </c>
      <c r="I164" s="11">
        <v>0.3637308391790075</v>
      </c>
      <c r="J164" s="11">
        <v>4.4442354269052589E-2</v>
      </c>
      <c r="K164" s="11">
        <v>0.27701163209017876</v>
      </c>
      <c r="L164" s="11">
        <v>1.2594644506001846</v>
      </c>
      <c r="M164" s="11">
        <v>105.04306220095694</v>
      </c>
      <c r="N164" s="11">
        <v>0.6851848255382389</v>
      </c>
      <c r="O164" s="11">
        <v>2.46</v>
      </c>
      <c r="P164" s="11">
        <v>7.68</v>
      </c>
      <c r="Q164" s="11">
        <v>113.63636363636364</v>
      </c>
      <c r="R164" s="11">
        <v>23.399999999999977</v>
      </c>
      <c r="S164" s="11">
        <v>0.99711843711843717</v>
      </c>
      <c r="T164" s="4">
        <f t="shared" si="14"/>
        <v>2</v>
      </c>
      <c r="U164" s="4" t="str">
        <f>IFERROR(INDEX('Date Key'!$G$2:$G$19, MATCH(B164,'Date Key'!$B$2:$B$19, 0)), "")</f>
        <v>No</v>
      </c>
      <c r="V164" s="4" t="str">
        <f>IFERROR(INDEX('Date Key'!$D$2:$D$19, MATCH(B164,'Date Key'!$B$2:$B$19, 0)), "")</f>
        <v>Lower</v>
      </c>
      <c r="W164" s="4" t="str">
        <f>IFERROR(INDEX('Date Key'!$H$2:$H$19, MATCH(B164,'Date Key'!$B$2:$B$19, 0)), "")</f>
        <v>No</v>
      </c>
      <c r="X164" s="4">
        <f t="shared" si="16"/>
        <v>0.54500000000000004</v>
      </c>
      <c r="Y164" s="4">
        <f t="shared" si="17"/>
        <v>1</v>
      </c>
    </row>
    <row r="165" spans="1:25" x14ac:dyDescent="0.35">
      <c r="A165" s="4">
        <v>8</v>
      </c>
      <c r="B165" s="41">
        <v>45238</v>
      </c>
      <c r="C165" s="4" t="s">
        <v>7</v>
      </c>
      <c r="D165" s="4">
        <v>17</v>
      </c>
      <c r="E165" s="4" t="s">
        <v>175</v>
      </c>
      <c r="F165" s="4" t="str">
        <f t="shared" si="15"/>
        <v>tank 2</v>
      </c>
      <c r="G165" s="4">
        <f>IFERROR(INDEX('Date Key'!$I$2:$I$19, MATCH(B165,'Date Key'!$B$2:$B$19, 0)), "")</f>
        <v>3</v>
      </c>
      <c r="H165" s="4">
        <v>180</v>
      </c>
      <c r="I165" s="11">
        <v>0</v>
      </c>
      <c r="J165" s="11">
        <v>3.9504314905824532E-2</v>
      </c>
      <c r="K165" s="11">
        <v>0.3105887996162609</v>
      </c>
      <c r="L165" s="11">
        <v>1.431209602954755</v>
      </c>
      <c r="M165" s="11">
        <v>105.933014354067</v>
      </c>
      <c r="N165" s="11">
        <v>0.35009311452208541</v>
      </c>
      <c r="O165" s="11">
        <v>2.61</v>
      </c>
      <c r="P165" s="11">
        <v>7.67</v>
      </c>
      <c r="Q165" s="11">
        <v>113.63636363636364</v>
      </c>
      <c r="R165" s="11">
        <v>28.399999999999981</v>
      </c>
      <c r="S165" s="11">
        <v>1.2779487179487179</v>
      </c>
      <c r="T165" s="4">
        <f t="shared" si="14"/>
        <v>2</v>
      </c>
      <c r="U165" s="4" t="str">
        <f>IFERROR(INDEX('Date Key'!$G$2:$G$19, MATCH(B165,'Date Key'!$B$2:$B$19, 0)), "")</f>
        <v>No</v>
      </c>
      <c r="V165" s="4" t="str">
        <f>IFERROR(INDEX('Date Key'!$D$2:$D$19, MATCH(B165,'Date Key'!$B$2:$B$19, 0)), "")</f>
        <v>Lower</v>
      </c>
      <c r="W165" s="4" t="str">
        <f>IFERROR(INDEX('Date Key'!$H$2:$H$19, MATCH(B165,'Date Key'!$B$2:$B$19, 0)), "")</f>
        <v>No</v>
      </c>
      <c r="X165" s="4">
        <f t="shared" si="16"/>
        <v>0.54500000000000004</v>
      </c>
      <c r="Y165" s="4">
        <f t="shared" si="17"/>
        <v>1</v>
      </c>
    </row>
    <row r="166" spans="1:25" x14ac:dyDescent="0.35">
      <c r="A166" s="4">
        <v>8</v>
      </c>
      <c r="B166" s="41">
        <v>45238</v>
      </c>
      <c r="C166" s="4" t="s">
        <v>7</v>
      </c>
      <c r="D166" s="4">
        <v>18</v>
      </c>
      <c r="E166" s="4" t="s">
        <v>176</v>
      </c>
      <c r="F166" s="4" t="str">
        <f t="shared" si="15"/>
        <v>tank 1</v>
      </c>
      <c r="G166" s="4">
        <f>IFERROR(INDEX('Date Key'!$I$2:$I$19, MATCH(B166,'Date Key'!$B$2:$B$19, 0)), "")</f>
        <v>3</v>
      </c>
      <c r="H166" s="4">
        <v>0</v>
      </c>
      <c r="I166" s="11">
        <v>0</v>
      </c>
      <c r="J166" s="11">
        <v>2.9628236179368404E-2</v>
      </c>
      <c r="K166" s="11">
        <v>5.0365751289123406E-2</v>
      </c>
      <c r="L166" s="11">
        <v>1.1907663896583562</v>
      </c>
      <c r="M166" s="11">
        <v>119.68421052631578</v>
      </c>
      <c r="N166" s="11">
        <v>7.9993987468491817E-2</v>
      </c>
      <c r="O166" s="11">
        <v>1.42</v>
      </c>
      <c r="P166" s="11">
        <v>7.42</v>
      </c>
      <c r="Q166" s="11">
        <v>123.8738738738739</v>
      </c>
      <c r="R166" s="11">
        <v>25.399999999999977</v>
      </c>
      <c r="S166" s="11">
        <v>0.82617826617826617</v>
      </c>
      <c r="T166" s="4">
        <f t="shared" si="14"/>
        <v>1</v>
      </c>
      <c r="U166" s="4" t="str">
        <f>IFERROR(INDEX('Date Key'!$G$2:$G$19, MATCH(B166,'Date Key'!$B$2:$B$19, 0)), "")</f>
        <v>No</v>
      </c>
      <c r="V166" s="4" t="str">
        <f>IFERROR(INDEX('Date Key'!$D$2:$D$19, MATCH(B166,'Date Key'!$B$2:$B$19, 0)), "")</f>
        <v>Lower</v>
      </c>
      <c r="W166" s="4" t="str">
        <f>IFERROR(INDEX('Date Key'!$H$2:$H$19, MATCH(B166,'Date Key'!$B$2:$B$19, 0)), "")</f>
        <v>No</v>
      </c>
      <c r="X166" s="4">
        <f t="shared" si="16"/>
        <v>0.54500000000000004</v>
      </c>
      <c r="Y166" s="4">
        <f t="shared" si="17"/>
        <v>1</v>
      </c>
    </row>
    <row r="167" spans="1:25" x14ac:dyDescent="0.35">
      <c r="A167" s="4">
        <v>8</v>
      </c>
      <c r="B167" s="41">
        <v>45238</v>
      </c>
      <c r="C167" s="4" t="s">
        <v>7</v>
      </c>
      <c r="D167" s="4">
        <v>19</v>
      </c>
      <c r="E167" s="4" t="s">
        <v>177</v>
      </c>
      <c r="F167" s="4" t="str">
        <f t="shared" si="15"/>
        <v>tank 2</v>
      </c>
      <c r="G167" s="4">
        <f>IFERROR(INDEX('Date Key'!$I$2:$I$19, MATCH(B167,'Date Key'!$B$2:$B$19, 0)), "")</f>
        <v>3</v>
      </c>
      <c r="H167" s="4">
        <v>30</v>
      </c>
      <c r="I167" s="11">
        <v>0.10911925175370227</v>
      </c>
      <c r="J167" s="11">
        <v>3.9504314905824532E-2</v>
      </c>
      <c r="K167" s="11">
        <v>0.11752008634128794</v>
      </c>
      <c r="L167" s="11">
        <v>2.1868882733148656</v>
      </c>
      <c r="M167" s="11">
        <v>87.74641148325361</v>
      </c>
      <c r="N167" s="11">
        <v>0.26614365300081477</v>
      </c>
      <c r="O167" s="11">
        <v>1.1599999999999999</v>
      </c>
      <c r="P167" s="11">
        <v>7.5</v>
      </c>
      <c r="Q167" s="11">
        <v>133.92857142857144</v>
      </c>
      <c r="R167" s="11">
        <v>23.733333333333309</v>
      </c>
      <c r="S167" s="11">
        <v>2.3646398046398045</v>
      </c>
      <c r="T167" s="4">
        <f t="shared" si="14"/>
        <v>2</v>
      </c>
      <c r="U167" s="4" t="str">
        <f>IFERROR(INDEX('Date Key'!$G$2:$G$19, MATCH(B167,'Date Key'!$B$2:$B$19, 0)), "")</f>
        <v>No</v>
      </c>
      <c r="V167" s="4" t="str">
        <f>IFERROR(INDEX('Date Key'!$D$2:$D$19, MATCH(B167,'Date Key'!$B$2:$B$19, 0)), "")</f>
        <v>Lower</v>
      </c>
      <c r="W167" s="4" t="str">
        <f>IFERROR(INDEX('Date Key'!$H$2:$H$19, MATCH(B167,'Date Key'!$B$2:$B$19, 0)), "")</f>
        <v>No</v>
      </c>
      <c r="X167" s="4">
        <f t="shared" si="16"/>
        <v>0.54500000000000004</v>
      </c>
      <c r="Y167" s="4">
        <f t="shared" si="17"/>
        <v>1</v>
      </c>
    </row>
    <row r="168" spans="1:25" x14ac:dyDescent="0.35">
      <c r="A168" s="4">
        <v>8</v>
      </c>
      <c r="B168" s="41">
        <v>45238</v>
      </c>
      <c r="C168" s="4" t="s">
        <v>7</v>
      </c>
      <c r="D168" s="4">
        <v>20</v>
      </c>
      <c r="E168" s="4" t="s">
        <v>178</v>
      </c>
      <c r="F168" s="4" t="str">
        <f t="shared" si="15"/>
        <v>tank 2</v>
      </c>
      <c r="G168" s="4">
        <f>IFERROR(INDEX('Date Key'!$I$2:$I$19, MATCH(B168,'Date Key'!$B$2:$B$19, 0)), "")</f>
        <v>3</v>
      </c>
      <c r="H168" s="4">
        <v>60</v>
      </c>
      <c r="I168" s="11">
        <v>0</v>
      </c>
      <c r="J168" s="11">
        <v>5.4318432995508738E-2</v>
      </c>
      <c r="K168" s="11">
        <v>0.23923731862333616</v>
      </c>
      <c r="L168" s="11">
        <v>1.4197599261311169</v>
      </c>
      <c r="M168" s="11">
        <v>104.92822966507177</v>
      </c>
      <c r="N168" s="11">
        <v>0.2935557516188449</v>
      </c>
      <c r="O168" s="11">
        <v>1.82</v>
      </c>
      <c r="P168" s="11">
        <v>7.6</v>
      </c>
      <c r="Q168" s="11">
        <v>113.63636363636364</v>
      </c>
      <c r="R168" s="11">
        <v>18.733333333333341</v>
      </c>
      <c r="S168" s="11">
        <v>1.0581684981684982</v>
      </c>
      <c r="T168" s="4">
        <f t="shared" si="14"/>
        <v>2</v>
      </c>
      <c r="U168" s="4" t="str">
        <f>IFERROR(INDEX('Date Key'!$G$2:$G$19, MATCH(B168,'Date Key'!$B$2:$B$19, 0)), "")</f>
        <v>No</v>
      </c>
      <c r="V168" s="4" t="str">
        <f>IFERROR(INDEX('Date Key'!$D$2:$D$19, MATCH(B168,'Date Key'!$B$2:$B$19, 0)), "")</f>
        <v>Lower</v>
      </c>
      <c r="W168" s="4" t="str">
        <f>IFERROR(INDEX('Date Key'!$H$2:$H$19, MATCH(B168,'Date Key'!$B$2:$B$19, 0)), "")</f>
        <v>No</v>
      </c>
      <c r="X168" s="4">
        <f t="shared" si="16"/>
        <v>0.54500000000000004</v>
      </c>
      <c r="Y168" s="4">
        <f t="shared" si="17"/>
        <v>1</v>
      </c>
    </row>
    <row r="169" spans="1:25" s="27" customFormat="1" x14ac:dyDescent="0.35">
      <c r="A169" s="27">
        <v>8</v>
      </c>
      <c r="B169" s="42">
        <v>45238</v>
      </c>
      <c r="C169" s="27" t="s">
        <v>7</v>
      </c>
      <c r="D169" s="27">
        <v>21</v>
      </c>
      <c r="E169" s="27" t="s">
        <v>179</v>
      </c>
      <c r="F169" s="27" t="str">
        <f t="shared" si="15"/>
        <v>tank 2</v>
      </c>
      <c r="G169" s="27">
        <f>IFERROR(INDEX('Date Key'!$I$2:$I$19, MATCH(B169,'Date Key'!$B$2:$B$19, 0)), "")</f>
        <v>3</v>
      </c>
      <c r="H169" s="27">
        <v>0</v>
      </c>
      <c r="I169" s="28">
        <v>0</v>
      </c>
      <c r="J169" s="28">
        <v>2.469019681614033E-2</v>
      </c>
      <c r="K169" s="28">
        <v>2.0985729703801418E-2</v>
      </c>
      <c r="L169" s="28">
        <v>3.7554939981532778</v>
      </c>
      <c r="M169" s="28">
        <v>63.775119617224874</v>
      </c>
      <c r="N169" s="28">
        <v>4.5675926519941748E-2</v>
      </c>
      <c r="O169" s="28">
        <v>1.23</v>
      </c>
      <c r="P169" s="28">
        <v>7.66</v>
      </c>
      <c r="Q169" s="28">
        <v>190.67796610169495</v>
      </c>
      <c r="R169" s="28">
        <v>50.4</v>
      </c>
      <c r="S169" s="28">
        <v>3.6833211233211229</v>
      </c>
      <c r="T169" s="27">
        <f t="shared" si="14"/>
        <v>2</v>
      </c>
      <c r="U169" s="27" t="str">
        <f>IFERROR(INDEX('Date Key'!$G$2:$G$19, MATCH(B169,'Date Key'!$B$2:$B$19, 0)), "")</f>
        <v>No</v>
      </c>
      <c r="V169" s="27" t="str">
        <f>IFERROR(INDEX('Date Key'!$D$2:$D$19, MATCH(B169,'Date Key'!$B$2:$B$19, 0)), "")</f>
        <v>Lower</v>
      </c>
      <c r="W169" s="27" t="str">
        <f>IFERROR(INDEX('Date Key'!$H$2:$H$19, MATCH(B169,'Date Key'!$B$2:$B$19, 0)), "")</f>
        <v>No</v>
      </c>
      <c r="X169" s="27">
        <f t="shared" si="16"/>
        <v>0.54500000000000004</v>
      </c>
      <c r="Y169" s="27">
        <f t="shared" si="17"/>
        <v>1</v>
      </c>
    </row>
    <row r="170" spans="1:25" x14ac:dyDescent="0.35">
      <c r="A170" s="4">
        <v>9</v>
      </c>
      <c r="B170" s="41">
        <v>45246</v>
      </c>
      <c r="C170" s="4" t="s">
        <v>7</v>
      </c>
      <c r="D170" s="4">
        <v>1</v>
      </c>
      <c r="E170" s="4" t="s">
        <v>180</v>
      </c>
      <c r="F170" s="4" t="str">
        <f t="shared" si="15"/>
        <v>in</v>
      </c>
      <c r="G170" s="4">
        <f>IFERROR(INDEX('Date Key'!$I$2:$I$19, MATCH(B170,'Date Key'!$B$2:$B$19, 0)), "")</f>
        <v>3</v>
      </c>
      <c r="H170" s="4">
        <v>180</v>
      </c>
      <c r="I170" s="11">
        <v>3.6373083917900756E-2</v>
      </c>
      <c r="J170" s="11">
        <v>5.4318432995508738E-2</v>
      </c>
      <c r="K170" s="11">
        <v>1.1919894471759203</v>
      </c>
      <c r="L170" s="11">
        <v>0.69843028624192049</v>
      </c>
      <c r="M170" s="11">
        <v>136.88038277511961</v>
      </c>
      <c r="N170" s="11">
        <v>1.2826809640893297</v>
      </c>
      <c r="O170" s="11">
        <v>7.14</v>
      </c>
      <c r="P170" s="11">
        <v>7.48</v>
      </c>
      <c r="Q170" s="11">
        <v>113.63636363636364</v>
      </c>
      <c r="R170" s="11">
        <v>37.066666666666656</v>
      </c>
      <c r="S170" s="11">
        <v>0.48429792429792434</v>
      </c>
      <c r="T170" s="4">
        <f t="shared" si="14"/>
        <v>0</v>
      </c>
      <c r="U170" s="4" t="str">
        <f>IFERROR(INDEX('Date Key'!$G$2:$G$19, MATCH(B170,'Date Key'!$B$2:$B$19, 0)), "")</f>
        <v>Yes</v>
      </c>
      <c r="V170" s="4" t="str">
        <f>IFERROR(INDEX('Date Key'!$D$2:$D$19, MATCH(B170,'Date Key'!$B$2:$B$19, 0)), "")</f>
        <v>Lower</v>
      </c>
      <c r="W170" s="4" t="str">
        <f>IFERROR(INDEX('Date Key'!$H$2:$H$19, MATCH(B170,'Date Key'!$B$2:$B$19, 0)), "")</f>
        <v>No</v>
      </c>
      <c r="X170" s="4">
        <f t="shared" si="16"/>
        <v>0.54500000000000004</v>
      </c>
      <c r="Y170" s="4">
        <f t="shared" si="17"/>
        <v>1</v>
      </c>
    </row>
    <row r="171" spans="1:25" x14ac:dyDescent="0.35">
      <c r="A171" s="4">
        <v>9</v>
      </c>
      <c r="B171" s="41">
        <v>45246</v>
      </c>
      <c r="C171" s="4" t="s">
        <v>7</v>
      </c>
      <c r="D171" s="4">
        <v>2</v>
      </c>
      <c r="E171" s="4" t="s">
        <v>181</v>
      </c>
      <c r="F171" s="4" t="str">
        <f t="shared" si="15"/>
        <v>in</v>
      </c>
      <c r="G171" s="4">
        <f>IFERROR(INDEX('Date Key'!$I$2:$I$19, MATCH(B171,'Date Key'!$B$2:$B$19, 0)), "")</f>
        <v>3</v>
      </c>
      <c r="H171" s="4">
        <v>30</v>
      </c>
      <c r="I171" s="11">
        <v>0.74564822031696543</v>
      </c>
      <c r="J171" s="11">
        <v>5.4318432995508738E-2</v>
      </c>
      <c r="K171" s="11">
        <v>1.2045808849982012</v>
      </c>
      <c r="L171" s="11">
        <v>0.79002770083102491</v>
      </c>
      <c r="M171" s="11">
        <v>132.48803827751198</v>
      </c>
      <c r="N171" s="11">
        <v>2.0045475383106752</v>
      </c>
      <c r="O171" s="11">
        <v>5.42</v>
      </c>
      <c r="P171" s="11">
        <v>7.35</v>
      </c>
      <c r="Q171" s="11">
        <v>103.21100917431194</v>
      </c>
      <c r="R171" s="11">
        <v>34.066666666666649</v>
      </c>
      <c r="S171" s="11">
        <v>0.56976800976800979</v>
      </c>
      <c r="T171" s="4">
        <f t="shared" si="14"/>
        <v>0</v>
      </c>
      <c r="U171" s="4" t="str">
        <f>IFERROR(INDEX('Date Key'!$G$2:$G$19, MATCH(B171,'Date Key'!$B$2:$B$19, 0)), "")</f>
        <v>Yes</v>
      </c>
      <c r="V171" s="4" t="str">
        <f>IFERROR(INDEX('Date Key'!$D$2:$D$19, MATCH(B171,'Date Key'!$B$2:$B$19, 0)), "")</f>
        <v>Lower</v>
      </c>
      <c r="W171" s="4" t="str">
        <f>IFERROR(INDEX('Date Key'!$H$2:$H$19, MATCH(B171,'Date Key'!$B$2:$B$19, 0)), "")</f>
        <v>No</v>
      </c>
      <c r="X171" s="4">
        <f t="shared" si="16"/>
        <v>0.54500000000000004</v>
      </c>
      <c r="Y171" s="4">
        <f t="shared" si="17"/>
        <v>1</v>
      </c>
    </row>
    <row r="172" spans="1:25" x14ac:dyDescent="0.35">
      <c r="A172" s="4">
        <v>9</v>
      </c>
      <c r="B172" s="41">
        <v>45246</v>
      </c>
      <c r="C172" s="4" t="s">
        <v>7</v>
      </c>
      <c r="D172" s="4">
        <v>3</v>
      </c>
      <c r="E172" s="4" t="s">
        <v>182</v>
      </c>
      <c r="F172" s="4" t="str">
        <f t="shared" si="15"/>
        <v>in</v>
      </c>
      <c r="G172" s="4">
        <f>IFERROR(INDEX('Date Key'!$I$2:$I$19, MATCH(B172,'Date Key'!$B$2:$B$19, 0)), "")</f>
        <v>3</v>
      </c>
      <c r="H172" s="4">
        <v>150</v>
      </c>
      <c r="I172" s="11">
        <v>0.43647700701480907</v>
      </c>
      <c r="J172" s="11">
        <v>5.4318432995508738E-2</v>
      </c>
      <c r="K172" s="11">
        <v>1.1206379661829957</v>
      </c>
      <c r="L172" s="11">
        <v>0.68698060941828243</v>
      </c>
      <c r="M172" s="11">
        <v>133.77990430622012</v>
      </c>
      <c r="N172" s="11">
        <v>1.6114334061933135</v>
      </c>
      <c r="O172" s="11">
        <v>7.12</v>
      </c>
      <c r="P172" s="11">
        <v>7.57</v>
      </c>
      <c r="Q172" s="11">
        <v>92.592592592592609</v>
      </c>
      <c r="R172" s="11">
        <v>35.399999999999984</v>
      </c>
      <c r="S172" s="11">
        <v>0.46598290598290598</v>
      </c>
      <c r="T172" s="4">
        <f t="shared" si="14"/>
        <v>0</v>
      </c>
      <c r="U172" s="4" t="str">
        <f>IFERROR(INDEX('Date Key'!$G$2:$G$19, MATCH(B172,'Date Key'!$B$2:$B$19, 0)), "")</f>
        <v>Yes</v>
      </c>
      <c r="V172" s="4" t="str">
        <f>IFERROR(INDEX('Date Key'!$D$2:$D$19, MATCH(B172,'Date Key'!$B$2:$B$19, 0)), "")</f>
        <v>Lower</v>
      </c>
      <c r="W172" s="4" t="str">
        <f>IFERROR(INDEX('Date Key'!$H$2:$H$19, MATCH(B172,'Date Key'!$B$2:$B$19, 0)), "")</f>
        <v>No</v>
      </c>
      <c r="X172" s="4">
        <f t="shared" si="16"/>
        <v>0.54500000000000004</v>
      </c>
      <c r="Y172" s="4">
        <f t="shared" si="17"/>
        <v>1</v>
      </c>
    </row>
    <row r="173" spans="1:25" x14ac:dyDescent="0.35">
      <c r="A173" s="4">
        <v>9</v>
      </c>
      <c r="B173" s="41">
        <v>45246</v>
      </c>
      <c r="C173" s="4" t="s">
        <v>7</v>
      </c>
      <c r="D173" s="4">
        <v>4</v>
      </c>
      <c r="E173" s="4" t="s">
        <v>183</v>
      </c>
      <c r="F173" s="4" t="str">
        <f t="shared" si="15"/>
        <v>in</v>
      </c>
      <c r="G173" s="4">
        <f>IFERROR(INDEX('Date Key'!$I$2:$I$19, MATCH(B173,'Date Key'!$B$2:$B$19, 0)), "")</f>
        <v>3</v>
      </c>
      <c r="H173" s="4">
        <v>60</v>
      </c>
      <c r="I173" s="11">
        <v>0.21823850350740454</v>
      </c>
      <c r="J173" s="11">
        <v>5.4318432995508738E-2</v>
      </c>
      <c r="K173" s="11">
        <v>1.1584122796498384</v>
      </c>
      <c r="L173" s="11">
        <v>0.77857802400738685</v>
      </c>
      <c r="M173" s="11">
        <v>133.1626794258373</v>
      </c>
      <c r="N173" s="11">
        <v>1.4309692161527516</v>
      </c>
      <c r="O173" s="11">
        <v>6.26</v>
      </c>
      <c r="P173" s="11">
        <v>7.42</v>
      </c>
      <c r="Q173" s="11">
        <v>103.21100917431194</v>
      </c>
      <c r="R173" s="11">
        <v>34.73333333333332</v>
      </c>
      <c r="S173" s="11">
        <v>0.59418803418803412</v>
      </c>
      <c r="T173" s="4">
        <f t="shared" si="14"/>
        <v>0</v>
      </c>
      <c r="U173" s="4" t="str">
        <f>IFERROR(INDEX('Date Key'!$G$2:$G$19, MATCH(B173,'Date Key'!$B$2:$B$19, 0)), "")</f>
        <v>Yes</v>
      </c>
      <c r="V173" s="4" t="str">
        <f>IFERROR(INDEX('Date Key'!$D$2:$D$19, MATCH(B173,'Date Key'!$B$2:$B$19, 0)), "")</f>
        <v>Lower</v>
      </c>
      <c r="W173" s="4" t="str">
        <f>IFERROR(INDEX('Date Key'!$H$2:$H$19, MATCH(B173,'Date Key'!$B$2:$B$19, 0)), "")</f>
        <v>No</v>
      </c>
      <c r="X173" s="4">
        <f t="shared" si="16"/>
        <v>0.54500000000000004</v>
      </c>
      <c r="Y173" s="4">
        <f t="shared" si="17"/>
        <v>1</v>
      </c>
    </row>
    <row r="174" spans="1:25" x14ac:dyDescent="0.35">
      <c r="A174" s="4">
        <v>9</v>
      </c>
      <c r="B174" s="41">
        <v>45246</v>
      </c>
      <c r="C174" s="4" t="s">
        <v>7</v>
      </c>
      <c r="D174" s="4">
        <v>5</v>
      </c>
      <c r="E174" s="4" t="s">
        <v>184</v>
      </c>
      <c r="F174" s="4" t="str">
        <f t="shared" si="15"/>
        <v>in</v>
      </c>
      <c r="G174" s="4">
        <f>IFERROR(INDEX('Date Key'!$I$2:$I$19, MATCH(B174,'Date Key'!$B$2:$B$19, 0)), "")</f>
        <v>3</v>
      </c>
      <c r="H174" s="4">
        <v>120</v>
      </c>
      <c r="I174" s="11">
        <v>0.29098467134320605</v>
      </c>
      <c r="J174" s="11">
        <v>5.4318432995508738E-2</v>
      </c>
      <c r="K174" s="11">
        <v>1.0786665067753929</v>
      </c>
      <c r="L174" s="11">
        <v>0.67553093259464436</v>
      </c>
      <c r="M174" s="11">
        <v>133.2775119617225</v>
      </c>
      <c r="N174" s="11">
        <v>1.4239696111141078</v>
      </c>
      <c r="O174" s="11">
        <v>6.9</v>
      </c>
      <c r="P174" s="11">
        <v>7.44</v>
      </c>
      <c r="Q174" s="11">
        <v>92.592592592592609</v>
      </c>
      <c r="R174" s="11">
        <v>35.399999999999984</v>
      </c>
      <c r="S174" s="11">
        <v>0.5636630036630037</v>
      </c>
      <c r="T174" s="4">
        <f t="shared" si="14"/>
        <v>0</v>
      </c>
      <c r="U174" s="4" t="str">
        <f>IFERROR(INDEX('Date Key'!$G$2:$G$19, MATCH(B174,'Date Key'!$B$2:$B$19, 0)), "")</f>
        <v>Yes</v>
      </c>
      <c r="V174" s="4" t="str">
        <f>IFERROR(INDEX('Date Key'!$D$2:$D$19, MATCH(B174,'Date Key'!$B$2:$B$19, 0)), "")</f>
        <v>Lower</v>
      </c>
      <c r="W174" s="4" t="str">
        <f>IFERROR(INDEX('Date Key'!$H$2:$H$19, MATCH(B174,'Date Key'!$B$2:$B$19, 0)), "")</f>
        <v>No</v>
      </c>
      <c r="X174" s="4">
        <f t="shared" si="16"/>
        <v>0.54500000000000004</v>
      </c>
      <c r="Y174" s="4">
        <f t="shared" si="17"/>
        <v>1</v>
      </c>
    </row>
    <row r="175" spans="1:25" x14ac:dyDescent="0.35">
      <c r="A175" s="4">
        <v>9</v>
      </c>
      <c r="B175" s="41">
        <v>45246</v>
      </c>
      <c r="C175" s="4" t="s">
        <v>7</v>
      </c>
      <c r="D175" s="4">
        <v>6</v>
      </c>
      <c r="E175" s="4" t="s">
        <v>161</v>
      </c>
      <c r="F175" s="4" t="str">
        <f t="shared" si="15"/>
        <v>in</v>
      </c>
      <c r="G175" s="4">
        <f>IFERROR(INDEX('Date Key'!$I$2:$I$19, MATCH(B175,'Date Key'!$B$2:$B$19, 0)), "")</f>
        <v>3</v>
      </c>
      <c r="H175" s="4">
        <v>0</v>
      </c>
      <c r="I175" s="11">
        <v>0.2364250454663549</v>
      </c>
      <c r="J175" s="11">
        <v>5.4318432995508738E-2</v>
      </c>
      <c r="K175" s="11">
        <v>1.200383739057441</v>
      </c>
      <c r="L175" s="11">
        <v>0.93887349953831944</v>
      </c>
      <c r="M175" s="11">
        <v>131.51196172248805</v>
      </c>
      <c r="N175" s="11">
        <v>1.4911272175193047</v>
      </c>
      <c r="O175" s="11">
        <v>6.2</v>
      </c>
      <c r="P175" s="11">
        <v>7.43</v>
      </c>
      <c r="Q175" s="11">
        <v>103.21100917431194</v>
      </c>
      <c r="R175" s="11">
        <v>38.73333333333332</v>
      </c>
      <c r="S175" s="11">
        <v>0.68576312576312581</v>
      </c>
      <c r="T175" s="4">
        <f t="shared" si="14"/>
        <v>0</v>
      </c>
      <c r="U175" s="4" t="str">
        <f>IFERROR(INDEX('Date Key'!$G$2:$G$19, MATCH(B175,'Date Key'!$B$2:$B$19, 0)), "")</f>
        <v>Yes</v>
      </c>
      <c r="V175" s="4" t="str">
        <f>IFERROR(INDEX('Date Key'!$D$2:$D$19, MATCH(B175,'Date Key'!$B$2:$B$19, 0)), "")</f>
        <v>Lower</v>
      </c>
      <c r="W175" s="4" t="str">
        <f>IFERROR(INDEX('Date Key'!$H$2:$H$19, MATCH(B175,'Date Key'!$B$2:$B$19, 0)), "")</f>
        <v>No</v>
      </c>
      <c r="X175" s="4">
        <f t="shared" si="16"/>
        <v>0.54500000000000004</v>
      </c>
      <c r="Y175" s="4">
        <f t="shared" si="17"/>
        <v>1</v>
      </c>
    </row>
    <row r="176" spans="1:25" x14ac:dyDescent="0.35">
      <c r="A176" s="4">
        <v>9</v>
      </c>
      <c r="B176" s="41">
        <v>45246</v>
      </c>
      <c r="C176" s="4" t="s">
        <v>7</v>
      </c>
      <c r="D176" s="4">
        <v>7</v>
      </c>
      <c r="E176" s="4" t="s">
        <v>185</v>
      </c>
      <c r="F176" s="4" t="str">
        <f t="shared" si="15"/>
        <v>in</v>
      </c>
      <c r="G176" s="4">
        <f>IFERROR(INDEX('Date Key'!$I$2:$I$19, MATCH(B176,'Date Key'!$B$2:$B$19, 0)), "")</f>
        <v>3</v>
      </c>
      <c r="H176" s="4">
        <v>90</v>
      </c>
      <c r="I176" s="11">
        <v>0.34554429722005714</v>
      </c>
      <c r="J176" s="11">
        <v>5.4318432995508738E-2</v>
      </c>
      <c r="K176" s="11">
        <v>1.112243674301475</v>
      </c>
      <c r="L176" s="11">
        <v>0.72132963988919652</v>
      </c>
      <c r="M176" s="11">
        <v>133.63636363636365</v>
      </c>
      <c r="N176" s="11">
        <v>1.5121064045170409</v>
      </c>
      <c r="O176" s="11">
        <v>7.18</v>
      </c>
      <c r="P176" s="11">
        <v>7.37</v>
      </c>
      <c r="Q176" s="11">
        <v>92.592592592592609</v>
      </c>
      <c r="R176" s="11">
        <v>34.399999999999984</v>
      </c>
      <c r="S176" s="11">
        <v>0.54534798534798523</v>
      </c>
      <c r="T176" s="4">
        <f t="shared" si="14"/>
        <v>0</v>
      </c>
      <c r="U176" s="4" t="str">
        <f>IFERROR(INDEX('Date Key'!$G$2:$G$19, MATCH(B176,'Date Key'!$B$2:$B$19, 0)), "")</f>
        <v>Yes</v>
      </c>
      <c r="V176" s="4" t="str">
        <f>IFERROR(INDEX('Date Key'!$D$2:$D$19, MATCH(B176,'Date Key'!$B$2:$B$19, 0)), "")</f>
        <v>Lower</v>
      </c>
      <c r="W176" s="4" t="str">
        <f>IFERROR(INDEX('Date Key'!$H$2:$H$19, MATCH(B176,'Date Key'!$B$2:$B$19, 0)), "")</f>
        <v>No</v>
      </c>
      <c r="X176" s="4">
        <f t="shared" si="16"/>
        <v>0.54500000000000004</v>
      </c>
      <c r="Y176" s="4">
        <f t="shared" si="17"/>
        <v>1</v>
      </c>
    </row>
    <row r="177" spans="1:25" x14ac:dyDescent="0.35">
      <c r="A177" s="4">
        <v>9</v>
      </c>
      <c r="B177" s="41">
        <v>45246</v>
      </c>
      <c r="C177" s="4" t="s">
        <v>7</v>
      </c>
      <c r="D177" s="4">
        <v>8</v>
      </c>
      <c r="E177" s="4" t="s">
        <v>186</v>
      </c>
      <c r="F177" s="4" t="str">
        <f t="shared" si="15"/>
        <v>tank 1</v>
      </c>
      <c r="G177" s="4">
        <f>IFERROR(INDEX('Date Key'!$I$2:$I$19, MATCH(B177,'Date Key'!$B$2:$B$19, 0)), "")</f>
        <v>3</v>
      </c>
      <c r="H177" s="4">
        <v>90</v>
      </c>
      <c r="I177" s="11">
        <v>0.45466354897375955</v>
      </c>
      <c r="J177" s="11">
        <v>0.18764549580266651</v>
      </c>
      <c r="K177" s="11">
        <v>0.29799736179398006</v>
      </c>
      <c r="L177" s="11">
        <v>0.77857802400738685</v>
      </c>
      <c r="M177" s="11">
        <v>131.35406698564594</v>
      </c>
      <c r="N177" s="11">
        <v>0.94030640657040609</v>
      </c>
      <c r="O177" s="11">
        <v>0.68</v>
      </c>
      <c r="P177" s="11">
        <v>7.33</v>
      </c>
      <c r="Q177" s="11">
        <v>113.63636363636364</v>
      </c>
      <c r="R177" s="11">
        <v>34.73333333333332</v>
      </c>
      <c r="S177" s="11">
        <v>0.58808302808302804</v>
      </c>
      <c r="T177" s="4">
        <f t="shared" si="14"/>
        <v>1</v>
      </c>
      <c r="U177" s="4" t="str">
        <f>IFERROR(INDEX('Date Key'!$G$2:$G$19, MATCH(B177,'Date Key'!$B$2:$B$19, 0)), "")</f>
        <v>Yes</v>
      </c>
      <c r="V177" s="4" t="str">
        <f>IFERROR(INDEX('Date Key'!$D$2:$D$19, MATCH(B177,'Date Key'!$B$2:$B$19, 0)), "")</f>
        <v>Lower</v>
      </c>
      <c r="W177" s="4" t="str">
        <f>IFERROR(INDEX('Date Key'!$H$2:$H$19, MATCH(B177,'Date Key'!$B$2:$B$19, 0)), "")</f>
        <v>No</v>
      </c>
      <c r="X177" s="4">
        <f t="shared" si="16"/>
        <v>0.54500000000000004</v>
      </c>
      <c r="Y177" s="4">
        <f t="shared" si="17"/>
        <v>1</v>
      </c>
    </row>
    <row r="178" spans="1:25" x14ac:dyDescent="0.35">
      <c r="A178" s="4">
        <v>9</v>
      </c>
      <c r="B178" s="41">
        <v>45246</v>
      </c>
      <c r="C178" s="4" t="s">
        <v>7</v>
      </c>
      <c r="D178" s="4">
        <v>9</v>
      </c>
      <c r="E178" s="4" t="s">
        <v>187</v>
      </c>
      <c r="F178" s="4" t="str">
        <f t="shared" si="15"/>
        <v>tank 1</v>
      </c>
      <c r="G178" s="4">
        <f>IFERROR(INDEX('Date Key'!$I$2:$I$19, MATCH(B178,'Date Key'!$B$2:$B$19, 0)), "")</f>
        <v>3</v>
      </c>
      <c r="H178" s="4">
        <v>60</v>
      </c>
      <c r="I178" s="11">
        <v>0.3637308391790075</v>
      </c>
      <c r="J178" s="11">
        <v>0.148141180896842</v>
      </c>
      <c r="K178" s="11">
        <v>0.22664588080105533</v>
      </c>
      <c r="L178" s="11">
        <v>0.881625115420129</v>
      </c>
      <c r="M178" s="11">
        <v>125.25358851674643</v>
      </c>
      <c r="N178" s="11">
        <v>0.73851790087690483</v>
      </c>
      <c r="O178" s="11">
        <v>0.93</v>
      </c>
      <c r="P178" s="11">
        <v>7.35</v>
      </c>
      <c r="Q178" s="11">
        <v>113.63636363636364</v>
      </c>
      <c r="R178" s="11">
        <v>31.733333333333317</v>
      </c>
      <c r="S178" s="11">
        <v>0.61860805860805868</v>
      </c>
      <c r="T178" s="4">
        <f t="shared" si="14"/>
        <v>1</v>
      </c>
      <c r="U178" s="4" t="str">
        <f>IFERROR(INDEX('Date Key'!$G$2:$G$19, MATCH(B178,'Date Key'!$B$2:$B$19, 0)), "")</f>
        <v>Yes</v>
      </c>
      <c r="V178" s="4" t="str">
        <f>IFERROR(INDEX('Date Key'!$D$2:$D$19, MATCH(B178,'Date Key'!$B$2:$B$19, 0)), "")</f>
        <v>Lower</v>
      </c>
      <c r="W178" s="4" t="str">
        <f>IFERROR(INDEX('Date Key'!$H$2:$H$19, MATCH(B178,'Date Key'!$B$2:$B$19, 0)), "")</f>
        <v>No</v>
      </c>
      <c r="X178" s="4">
        <f t="shared" si="16"/>
        <v>0.54500000000000004</v>
      </c>
      <c r="Y178" s="4">
        <f t="shared" si="17"/>
        <v>1</v>
      </c>
    </row>
    <row r="179" spans="1:25" x14ac:dyDescent="0.35">
      <c r="A179" s="4">
        <v>9</v>
      </c>
      <c r="B179" s="41">
        <v>45246</v>
      </c>
      <c r="C179" s="4" t="s">
        <v>7</v>
      </c>
      <c r="D179" s="4">
        <v>10</v>
      </c>
      <c r="E179" s="4" t="s">
        <v>188</v>
      </c>
      <c r="F179" s="4" t="str">
        <f t="shared" si="15"/>
        <v>tank 1</v>
      </c>
      <c r="G179" s="4">
        <f>IFERROR(INDEX('Date Key'!$I$2:$I$19, MATCH(B179,'Date Key'!$B$2:$B$19, 0)), "")</f>
        <v>3</v>
      </c>
      <c r="H179" s="4">
        <v>120</v>
      </c>
      <c r="I179" s="11">
        <v>0.41829046505585876</v>
      </c>
      <c r="J179" s="11">
        <v>0.19258353516589458</v>
      </c>
      <c r="K179" s="11">
        <v>0.29380021585321986</v>
      </c>
      <c r="L179" s="11">
        <v>0.76712834718374878</v>
      </c>
      <c r="M179" s="11">
        <v>132.97607655502392</v>
      </c>
      <c r="N179" s="11">
        <v>0.90467421607497323</v>
      </c>
      <c r="O179" s="11">
        <v>1.03</v>
      </c>
      <c r="P179" s="11">
        <v>7.39</v>
      </c>
      <c r="Q179" s="11">
        <v>103.21100917431194</v>
      </c>
      <c r="R179" s="11">
        <v>6.7333333333333316</v>
      </c>
      <c r="S179" s="11">
        <v>0.47208791208791212</v>
      </c>
      <c r="T179" s="4">
        <f t="shared" si="14"/>
        <v>1</v>
      </c>
      <c r="U179" s="4" t="str">
        <f>IFERROR(INDEX('Date Key'!$G$2:$G$19, MATCH(B179,'Date Key'!$B$2:$B$19, 0)), "")</f>
        <v>Yes</v>
      </c>
      <c r="V179" s="4" t="str">
        <f>IFERROR(INDEX('Date Key'!$D$2:$D$19, MATCH(B179,'Date Key'!$B$2:$B$19, 0)), "")</f>
        <v>Lower</v>
      </c>
      <c r="W179" s="4" t="str">
        <f>IFERROR(INDEX('Date Key'!$H$2:$H$19, MATCH(B179,'Date Key'!$B$2:$B$19, 0)), "")</f>
        <v>No</v>
      </c>
      <c r="X179" s="4">
        <f t="shared" si="16"/>
        <v>0.54500000000000004</v>
      </c>
      <c r="Y179" s="4">
        <f t="shared" si="17"/>
        <v>1</v>
      </c>
    </row>
    <row r="180" spans="1:25" x14ac:dyDescent="0.35">
      <c r="A180" s="4">
        <v>9</v>
      </c>
      <c r="B180" s="41">
        <v>45246</v>
      </c>
      <c r="C180" s="4" t="s">
        <v>7</v>
      </c>
      <c r="D180" s="4">
        <v>11</v>
      </c>
      <c r="E180" s="4" t="s">
        <v>165</v>
      </c>
      <c r="F180" s="4" t="str">
        <f t="shared" si="15"/>
        <v>tank 1</v>
      </c>
      <c r="G180" s="4">
        <f>IFERROR(INDEX('Date Key'!$I$2:$I$19, MATCH(B180,'Date Key'!$B$2:$B$19, 0)), "")</f>
        <v>3</v>
      </c>
      <c r="H180" s="4">
        <v>0</v>
      </c>
      <c r="I180" s="11">
        <v>0.18186541958950375</v>
      </c>
      <c r="J180" s="11">
        <v>1.9752157452912266E-2</v>
      </c>
      <c r="K180" s="11">
        <v>1.6788583763041133E-2</v>
      </c>
      <c r="L180" s="11">
        <v>1.328162511542013</v>
      </c>
      <c r="M180" s="11">
        <v>75.315789473684205</v>
      </c>
      <c r="N180" s="11">
        <v>0.21840616080545713</v>
      </c>
      <c r="O180" s="11">
        <v>1.2</v>
      </c>
      <c r="P180" s="11">
        <v>7.52</v>
      </c>
      <c r="Q180" s="11">
        <v>163.04347826086959</v>
      </c>
      <c r="R180" s="11">
        <v>26.733333333333313</v>
      </c>
      <c r="S180" s="11">
        <v>1.6747741147741146</v>
      </c>
      <c r="T180" s="4">
        <f t="shared" si="14"/>
        <v>1</v>
      </c>
      <c r="U180" s="4" t="str">
        <f>IFERROR(INDEX('Date Key'!$G$2:$G$19, MATCH(B180,'Date Key'!$B$2:$B$19, 0)), "")</f>
        <v>Yes</v>
      </c>
      <c r="V180" s="4" t="str">
        <f>IFERROR(INDEX('Date Key'!$D$2:$D$19, MATCH(B180,'Date Key'!$B$2:$B$19, 0)), "")</f>
        <v>Lower</v>
      </c>
      <c r="W180" s="4" t="str">
        <f>IFERROR(INDEX('Date Key'!$H$2:$H$19, MATCH(B180,'Date Key'!$B$2:$B$19, 0)), "")</f>
        <v>No</v>
      </c>
      <c r="X180" s="4">
        <f t="shared" si="16"/>
        <v>0.54500000000000004</v>
      </c>
      <c r="Y180" s="4">
        <f t="shared" si="17"/>
        <v>1</v>
      </c>
    </row>
    <row r="181" spans="1:25" x14ac:dyDescent="0.35">
      <c r="A181" s="4">
        <v>9</v>
      </c>
      <c r="B181" s="41">
        <v>45246</v>
      </c>
      <c r="C181" s="4" t="s">
        <v>7</v>
      </c>
      <c r="D181" s="4">
        <v>12</v>
      </c>
      <c r="E181" s="4" t="s">
        <v>189</v>
      </c>
      <c r="F181" s="4" t="str">
        <f t="shared" si="15"/>
        <v>tank 1</v>
      </c>
      <c r="G181" s="4">
        <f>IFERROR(INDEX('Date Key'!$I$2:$I$19, MATCH(B181,'Date Key'!$B$2:$B$19, 0)), "")</f>
        <v>3</v>
      </c>
      <c r="H181" s="4">
        <v>180</v>
      </c>
      <c r="I181" s="11">
        <v>5.4559625876851134E-2</v>
      </c>
      <c r="J181" s="11">
        <v>0.33084863733628045</v>
      </c>
      <c r="K181" s="11">
        <v>0.3063916536755007</v>
      </c>
      <c r="L181" s="11">
        <v>0.70987996306555845</v>
      </c>
      <c r="M181" s="11">
        <v>130.37799043062202</v>
      </c>
      <c r="N181" s="11">
        <v>0.69179991688863229</v>
      </c>
      <c r="O181" s="11">
        <v>1.05</v>
      </c>
      <c r="P181" s="11">
        <v>7.5</v>
      </c>
      <c r="Q181" s="11">
        <v>103.21100917431194</v>
      </c>
      <c r="R181" s="11">
        <v>34.73333333333332</v>
      </c>
      <c r="S181" s="11">
        <v>0.4598778998778999</v>
      </c>
      <c r="T181" s="4">
        <f t="shared" si="14"/>
        <v>1</v>
      </c>
      <c r="U181" s="4" t="str">
        <f>IFERROR(INDEX('Date Key'!$G$2:$G$19, MATCH(B181,'Date Key'!$B$2:$B$19, 0)), "")</f>
        <v>Yes</v>
      </c>
      <c r="V181" s="4" t="str">
        <f>IFERROR(INDEX('Date Key'!$D$2:$D$19, MATCH(B181,'Date Key'!$B$2:$B$19, 0)), "")</f>
        <v>Lower</v>
      </c>
      <c r="W181" s="4" t="str">
        <f>IFERROR(INDEX('Date Key'!$H$2:$H$19, MATCH(B181,'Date Key'!$B$2:$B$19, 0)), "")</f>
        <v>No</v>
      </c>
      <c r="X181" s="4">
        <f t="shared" si="16"/>
        <v>0.54500000000000004</v>
      </c>
      <c r="Y181" s="4">
        <f t="shared" si="17"/>
        <v>1</v>
      </c>
    </row>
    <row r="182" spans="1:25" x14ac:dyDescent="0.35">
      <c r="A182" s="4">
        <v>9</v>
      </c>
      <c r="B182" s="41">
        <v>45246</v>
      </c>
      <c r="C182" s="4" t="s">
        <v>7</v>
      </c>
      <c r="D182" s="4">
        <v>13</v>
      </c>
      <c r="E182" s="4" t="s">
        <v>190</v>
      </c>
      <c r="F182" s="4" t="str">
        <f t="shared" si="15"/>
        <v>tank 1</v>
      </c>
      <c r="G182" s="4">
        <f>IFERROR(INDEX('Date Key'!$I$2:$I$19, MATCH(B182,'Date Key'!$B$2:$B$19, 0)), "")</f>
        <v>3</v>
      </c>
      <c r="H182" s="4">
        <v>150</v>
      </c>
      <c r="I182" s="11">
        <v>0.25461158742530532</v>
      </c>
      <c r="J182" s="11">
        <v>0.19258353516589458</v>
      </c>
      <c r="K182" s="11">
        <v>0.30219450773474033</v>
      </c>
      <c r="L182" s="11">
        <v>0.68698060941828243</v>
      </c>
      <c r="M182" s="11">
        <v>133.85167464114832</v>
      </c>
      <c r="N182" s="11">
        <v>0.74938963032594019</v>
      </c>
      <c r="O182" s="11">
        <v>0.91</v>
      </c>
      <c r="P182" s="11">
        <v>7.4</v>
      </c>
      <c r="Q182" s="11">
        <v>103.21100917431194</v>
      </c>
      <c r="R182" s="11">
        <v>31.399999999999984</v>
      </c>
      <c r="S182" s="11">
        <v>0.44766788766788768</v>
      </c>
      <c r="T182" s="4">
        <f t="shared" si="14"/>
        <v>1</v>
      </c>
      <c r="U182" s="4" t="str">
        <f>IFERROR(INDEX('Date Key'!$G$2:$G$19, MATCH(B182,'Date Key'!$B$2:$B$19, 0)), "")</f>
        <v>Yes</v>
      </c>
      <c r="V182" s="4" t="str">
        <f>IFERROR(INDEX('Date Key'!$D$2:$D$19, MATCH(B182,'Date Key'!$B$2:$B$19, 0)), "")</f>
        <v>Lower</v>
      </c>
      <c r="W182" s="4" t="str">
        <f>IFERROR(INDEX('Date Key'!$H$2:$H$19, MATCH(B182,'Date Key'!$B$2:$B$19, 0)), "")</f>
        <v>No</v>
      </c>
      <c r="X182" s="4">
        <f t="shared" si="16"/>
        <v>0.54500000000000004</v>
      </c>
      <c r="Y182" s="4">
        <f t="shared" si="17"/>
        <v>1</v>
      </c>
    </row>
    <row r="183" spans="1:25" x14ac:dyDescent="0.35">
      <c r="A183" s="4">
        <v>9</v>
      </c>
      <c r="B183" s="41">
        <v>45246</v>
      </c>
      <c r="C183" s="4" t="s">
        <v>7</v>
      </c>
      <c r="D183" s="4">
        <v>14</v>
      </c>
      <c r="E183" s="4" t="s">
        <v>191</v>
      </c>
      <c r="F183" s="4" t="str">
        <f t="shared" si="15"/>
        <v>tank 1</v>
      </c>
      <c r="G183" s="4">
        <f>IFERROR(INDEX('Date Key'!$I$2:$I$19, MATCH(B183,'Date Key'!$B$2:$B$19, 0)), "")</f>
        <v>3</v>
      </c>
      <c r="H183" s="4">
        <v>30</v>
      </c>
      <c r="I183" s="11">
        <v>0</v>
      </c>
      <c r="J183" s="11">
        <v>7.4070590448421E-2</v>
      </c>
      <c r="K183" s="11">
        <v>0.14690010792660993</v>
      </c>
      <c r="L183" s="11">
        <v>0.97322253000923364</v>
      </c>
      <c r="M183" s="11">
        <v>102.83253588516746</v>
      </c>
      <c r="N183" s="11">
        <v>0.22097069837503092</v>
      </c>
      <c r="O183" s="11">
        <v>0.93</v>
      </c>
      <c r="P183" s="11">
        <v>7.34</v>
      </c>
      <c r="Q183" s="11">
        <v>143.80530973451326</v>
      </c>
      <c r="R183" s="11">
        <v>29.399999999999981</v>
      </c>
      <c r="S183" s="11">
        <v>0.82617826617826617</v>
      </c>
      <c r="T183" s="4">
        <f t="shared" si="14"/>
        <v>1</v>
      </c>
      <c r="U183" s="4" t="str">
        <f>IFERROR(INDEX('Date Key'!$G$2:$G$19, MATCH(B183,'Date Key'!$B$2:$B$19, 0)), "")</f>
        <v>Yes</v>
      </c>
      <c r="V183" s="4" t="str">
        <f>IFERROR(INDEX('Date Key'!$D$2:$D$19, MATCH(B183,'Date Key'!$B$2:$B$19, 0)), "")</f>
        <v>Lower</v>
      </c>
      <c r="W183" s="4" t="str">
        <f>IFERROR(INDEX('Date Key'!$H$2:$H$19, MATCH(B183,'Date Key'!$B$2:$B$19, 0)), "")</f>
        <v>No</v>
      </c>
      <c r="X183" s="4">
        <f t="shared" si="16"/>
        <v>0.54500000000000004</v>
      </c>
      <c r="Y183" s="4">
        <f t="shared" si="17"/>
        <v>1</v>
      </c>
    </row>
    <row r="184" spans="1:25" x14ac:dyDescent="0.35">
      <c r="A184" s="4">
        <v>9</v>
      </c>
      <c r="B184" s="41">
        <v>45246</v>
      </c>
      <c r="C184" s="4" t="s">
        <v>7</v>
      </c>
      <c r="D184" s="4">
        <v>15</v>
      </c>
      <c r="E184" s="4" t="s">
        <v>192</v>
      </c>
      <c r="F184" s="4" t="str">
        <f t="shared" si="15"/>
        <v>tank 2</v>
      </c>
      <c r="G184" s="4">
        <f>IFERROR(INDEX('Date Key'!$I$2:$I$19, MATCH(B184,'Date Key'!$B$2:$B$19, 0)), "")</f>
        <v>3</v>
      </c>
      <c r="H184" s="4">
        <v>60</v>
      </c>
      <c r="I184" s="11">
        <v>5.4559625876851134E-2</v>
      </c>
      <c r="J184" s="11">
        <v>0.1036988266277894</v>
      </c>
      <c r="K184" s="11">
        <v>0.67574049646240564</v>
      </c>
      <c r="L184" s="11">
        <v>1.1335180055401664</v>
      </c>
      <c r="M184" s="11">
        <v>131.03827751196172</v>
      </c>
      <c r="N184" s="11">
        <v>0.83399894896704618</v>
      </c>
      <c r="O184" s="11">
        <v>1.4</v>
      </c>
      <c r="P184" s="11">
        <v>7.31</v>
      </c>
      <c r="Q184" s="11">
        <v>103.21100917431194</v>
      </c>
      <c r="R184" s="11">
        <v>36.066666666666656</v>
      </c>
      <c r="S184" s="11">
        <v>1.0642735042735043</v>
      </c>
      <c r="T184" s="4">
        <f t="shared" si="14"/>
        <v>2</v>
      </c>
      <c r="U184" s="4" t="str">
        <f>IFERROR(INDEX('Date Key'!$G$2:$G$19, MATCH(B184,'Date Key'!$B$2:$B$19, 0)), "")</f>
        <v>Yes</v>
      </c>
      <c r="V184" s="4" t="str">
        <f>IFERROR(INDEX('Date Key'!$D$2:$D$19, MATCH(B184,'Date Key'!$B$2:$B$19, 0)), "")</f>
        <v>Lower</v>
      </c>
      <c r="W184" s="4" t="str">
        <f>IFERROR(INDEX('Date Key'!$H$2:$H$19, MATCH(B184,'Date Key'!$B$2:$B$19, 0)), "")</f>
        <v>No</v>
      </c>
      <c r="X184" s="4">
        <f t="shared" si="16"/>
        <v>0.54500000000000004</v>
      </c>
      <c r="Y184" s="4">
        <f t="shared" si="17"/>
        <v>1</v>
      </c>
    </row>
    <row r="185" spans="1:25" x14ac:dyDescent="0.35">
      <c r="A185" s="4">
        <v>9</v>
      </c>
      <c r="B185" s="41">
        <v>45246</v>
      </c>
      <c r="C185" s="4" t="s">
        <v>7</v>
      </c>
      <c r="D185" s="4">
        <v>16</v>
      </c>
      <c r="E185" s="4" t="s">
        <v>193</v>
      </c>
      <c r="F185" s="4" t="str">
        <f t="shared" si="15"/>
        <v>tank 2</v>
      </c>
      <c r="G185" s="4">
        <f>IFERROR(INDEX('Date Key'!$I$2:$I$19, MATCH(B185,'Date Key'!$B$2:$B$19, 0)), "")</f>
        <v>3</v>
      </c>
      <c r="H185" s="4">
        <v>150</v>
      </c>
      <c r="I185" s="11">
        <v>0.21823850350740454</v>
      </c>
      <c r="J185" s="11">
        <v>0.11357490535424555</v>
      </c>
      <c r="K185" s="11">
        <v>0.79745772874445386</v>
      </c>
      <c r="L185" s="11">
        <v>0.59538319482917812</v>
      </c>
      <c r="M185" s="11">
        <v>138.31578947368419</v>
      </c>
      <c r="N185" s="11">
        <v>1.129271137606104</v>
      </c>
      <c r="O185" s="11">
        <v>2.4</v>
      </c>
      <c r="P185" s="11">
        <v>7.54</v>
      </c>
      <c r="Q185" s="11">
        <v>92.592592592592609</v>
      </c>
      <c r="R185" s="11">
        <v>21.733333333333309</v>
      </c>
      <c r="S185" s="11">
        <v>0.34388278388278382</v>
      </c>
      <c r="T185" s="4">
        <f t="shared" si="14"/>
        <v>2</v>
      </c>
      <c r="U185" s="4" t="str">
        <f>IFERROR(INDEX('Date Key'!$G$2:$G$19, MATCH(B185,'Date Key'!$B$2:$B$19, 0)), "")</f>
        <v>Yes</v>
      </c>
      <c r="V185" s="4" t="str">
        <f>IFERROR(INDEX('Date Key'!$D$2:$D$19, MATCH(B185,'Date Key'!$B$2:$B$19, 0)), "")</f>
        <v>Lower</v>
      </c>
      <c r="W185" s="4" t="str">
        <f>IFERROR(INDEX('Date Key'!$H$2:$H$19, MATCH(B185,'Date Key'!$B$2:$B$19, 0)), "")</f>
        <v>No</v>
      </c>
      <c r="X185" s="4">
        <f t="shared" si="16"/>
        <v>0.54500000000000004</v>
      </c>
      <c r="Y185" s="4">
        <f t="shared" si="17"/>
        <v>1</v>
      </c>
    </row>
    <row r="186" spans="1:25" x14ac:dyDescent="0.35">
      <c r="A186" s="4">
        <v>9</v>
      </c>
      <c r="B186" s="41">
        <v>45246</v>
      </c>
      <c r="C186" s="4" t="s">
        <v>7</v>
      </c>
      <c r="D186" s="4">
        <v>17</v>
      </c>
      <c r="E186" s="4" t="s">
        <v>194</v>
      </c>
      <c r="F186" s="4" t="str">
        <f t="shared" si="15"/>
        <v>tank 2</v>
      </c>
      <c r="G186" s="4">
        <f>IFERROR(INDEX('Date Key'!$I$2:$I$19, MATCH(B186,'Date Key'!$B$2:$B$19, 0)), "")</f>
        <v>3</v>
      </c>
      <c r="H186" s="4">
        <v>120</v>
      </c>
      <c r="I186" s="11">
        <v>0.45466354897375955</v>
      </c>
      <c r="J186" s="11">
        <v>0.11851294471747362</v>
      </c>
      <c r="K186" s="11">
        <v>0.80165487468521401</v>
      </c>
      <c r="L186" s="11">
        <v>0.61828254847645425</v>
      </c>
      <c r="M186" s="11">
        <v>138.4019138755981</v>
      </c>
      <c r="N186" s="11">
        <v>1.374831368376447</v>
      </c>
      <c r="O186" s="11">
        <v>2.1800000000000002</v>
      </c>
      <c r="P186" s="11">
        <v>7.34</v>
      </c>
      <c r="Q186" s="11">
        <v>92.592592592592609</v>
      </c>
      <c r="R186" s="11">
        <v>34.066666666666649</v>
      </c>
      <c r="S186" s="11">
        <v>0.43545787545787545</v>
      </c>
      <c r="T186" s="4">
        <f t="shared" si="14"/>
        <v>2</v>
      </c>
      <c r="U186" s="4" t="str">
        <f>IFERROR(INDEX('Date Key'!$G$2:$G$19, MATCH(B186,'Date Key'!$B$2:$B$19, 0)), "")</f>
        <v>Yes</v>
      </c>
      <c r="V186" s="4" t="str">
        <f>IFERROR(INDEX('Date Key'!$D$2:$D$19, MATCH(B186,'Date Key'!$B$2:$B$19, 0)), "")</f>
        <v>Lower</v>
      </c>
      <c r="W186" s="4" t="str">
        <f>IFERROR(INDEX('Date Key'!$H$2:$H$19, MATCH(B186,'Date Key'!$B$2:$B$19, 0)), "")</f>
        <v>No</v>
      </c>
      <c r="X186" s="4">
        <f t="shared" si="16"/>
        <v>0.54500000000000004</v>
      </c>
      <c r="Y186" s="4">
        <f t="shared" si="17"/>
        <v>1</v>
      </c>
    </row>
    <row r="187" spans="1:25" x14ac:dyDescent="0.35">
      <c r="A187" s="4">
        <v>9</v>
      </c>
      <c r="B187" s="41">
        <v>45246</v>
      </c>
      <c r="C187" s="4" t="s">
        <v>7</v>
      </c>
      <c r="D187" s="4">
        <v>18</v>
      </c>
      <c r="E187" s="4" t="s">
        <v>175</v>
      </c>
      <c r="F187" s="4" t="str">
        <f t="shared" si="15"/>
        <v>tank 2</v>
      </c>
      <c r="G187" s="4">
        <f>IFERROR(INDEX('Date Key'!$I$2:$I$19, MATCH(B187,'Date Key'!$B$2:$B$19, 0)), "")</f>
        <v>3</v>
      </c>
      <c r="H187" s="4">
        <v>0</v>
      </c>
      <c r="I187" s="11">
        <v>0.2364250454663549</v>
      </c>
      <c r="J187" s="11">
        <v>1.9752157452912266E-2</v>
      </c>
      <c r="K187" s="11">
        <v>3.3577167526082266E-2</v>
      </c>
      <c r="L187" s="11">
        <v>4.5111726685133879</v>
      </c>
      <c r="M187" s="11">
        <v>10.794258373205743</v>
      </c>
      <c r="N187" s="11">
        <v>0.28975437044534941</v>
      </c>
      <c r="O187" s="11">
        <v>0.83</v>
      </c>
      <c r="P187" s="11">
        <v>7.27</v>
      </c>
      <c r="Q187" s="11">
        <v>233.73983739837396</v>
      </c>
      <c r="R187" s="11">
        <v>89.066666666666663</v>
      </c>
      <c r="S187" s="11">
        <v>4.6479120879120872</v>
      </c>
      <c r="T187" s="4">
        <f t="shared" si="14"/>
        <v>2</v>
      </c>
      <c r="U187" s="4" t="str">
        <f>IFERROR(INDEX('Date Key'!$G$2:$G$19, MATCH(B187,'Date Key'!$B$2:$B$19, 0)), "")</f>
        <v>Yes</v>
      </c>
      <c r="V187" s="4" t="str">
        <f>IFERROR(INDEX('Date Key'!$D$2:$D$19, MATCH(B187,'Date Key'!$B$2:$B$19, 0)), "")</f>
        <v>Lower</v>
      </c>
      <c r="W187" s="4" t="str">
        <f>IFERROR(INDEX('Date Key'!$H$2:$H$19, MATCH(B187,'Date Key'!$B$2:$B$19, 0)), "")</f>
        <v>No</v>
      </c>
      <c r="X187" s="4">
        <f t="shared" si="16"/>
        <v>0.54500000000000004</v>
      </c>
      <c r="Y187" s="4">
        <f t="shared" si="17"/>
        <v>1</v>
      </c>
    </row>
    <row r="188" spans="1:25" x14ac:dyDescent="0.35">
      <c r="A188" s="4">
        <v>9</v>
      </c>
      <c r="B188" s="41">
        <v>45246</v>
      </c>
      <c r="C188" s="4" t="s">
        <v>7</v>
      </c>
      <c r="D188" s="4">
        <v>19</v>
      </c>
      <c r="E188" s="4" t="s">
        <v>195</v>
      </c>
      <c r="F188" s="4" t="str">
        <f t="shared" si="15"/>
        <v>tank 2</v>
      </c>
      <c r="G188" s="4">
        <f>IFERROR(INDEX('Date Key'!$I$2:$I$19, MATCH(B188,'Date Key'!$B$2:$B$19, 0)), "")</f>
        <v>3</v>
      </c>
      <c r="H188" s="4">
        <v>180</v>
      </c>
      <c r="I188" s="11">
        <v>0.76383476227591585</v>
      </c>
      <c r="J188" s="11">
        <v>0.31109647988336819</v>
      </c>
      <c r="K188" s="11">
        <v>0.72190910181076884</v>
      </c>
      <c r="L188" s="11">
        <v>0.80147737765466298</v>
      </c>
      <c r="M188" s="11">
        <v>130.33492822966508</v>
      </c>
      <c r="N188" s="11">
        <v>1.7968403439700529</v>
      </c>
      <c r="O188" s="11">
        <v>2.4</v>
      </c>
      <c r="P188" s="11">
        <v>7.39</v>
      </c>
      <c r="Q188" s="11">
        <v>92.592592592592609</v>
      </c>
      <c r="R188" s="11">
        <v>36.73333333333332</v>
      </c>
      <c r="S188" s="11">
        <v>0.35609279609279604</v>
      </c>
      <c r="T188" s="4">
        <f t="shared" si="14"/>
        <v>2</v>
      </c>
      <c r="U188" s="4" t="str">
        <f>IFERROR(INDEX('Date Key'!$G$2:$G$19, MATCH(B188,'Date Key'!$B$2:$B$19, 0)), "")</f>
        <v>Yes</v>
      </c>
      <c r="V188" s="4" t="str">
        <f>IFERROR(INDEX('Date Key'!$D$2:$D$19, MATCH(B188,'Date Key'!$B$2:$B$19, 0)), "")</f>
        <v>Lower</v>
      </c>
      <c r="W188" s="4" t="str">
        <f>IFERROR(INDEX('Date Key'!$H$2:$H$19, MATCH(B188,'Date Key'!$B$2:$B$19, 0)), "")</f>
        <v>No</v>
      </c>
      <c r="X188" s="4">
        <f t="shared" si="16"/>
        <v>0.54500000000000004</v>
      </c>
      <c r="Y188" s="4">
        <f t="shared" si="17"/>
        <v>1</v>
      </c>
    </row>
    <row r="189" spans="1:25" x14ac:dyDescent="0.35">
      <c r="A189" s="4">
        <v>9</v>
      </c>
      <c r="B189" s="41">
        <v>45246</v>
      </c>
      <c r="C189" s="4" t="s">
        <v>7</v>
      </c>
      <c r="D189" s="4">
        <v>20</v>
      </c>
      <c r="E189" s="4" t="s">
        <v>196</v>
      </c>
      <c r="F189" s="4" t="str">
        <f t="shared" si="15"/>
        <v>tank 2</v>
      </c>
      <c r="G189" s="4">
        <f>IFERROR(INDEX('Date Key'!$I$2:$I$19, MATCH(B189,'Date Key'!$B$2:$B$19, 0)), "")</f>
        <v>3</v>
      </c>
      <c r="H189" s="4">
        <v>30</v>
      </c>
      <c r="I189" s="11">
        <v>0.3637308391790075</v>
      </c>
      <c r="J189" s="11">
        <v>7.9008629811649064E-2</v>
      </c>
      <c r="K189" s="11">
        <v>0.53723468041731626</v>
      </c>
      <c r="L189" s="11">
        <v>2.2097876269621417</v>
      </c>
      <c r="M189" s="11">
        <v>111.15789473684211</v>
      </c>
      <c r="N189" s="11">
        <v>0.97997414940797278</v>
      </c>
      <c r="O189" s="11">
        <v>1.03</v>
      </c>
      <c r="P189" s="11">
        <v>7.33</v>
      </c>
      <c r="Q189" s="11">
        <v>123.8738738738739</v>
      </c>
      <c r="R189" s="11">
        <v>39.399999999999991</v>
      </c>
      <c r="S189" s="11">
        <v>2.1936996336996337</v>
      </c>
      <c r="T189" s="4">
        <f t="shared" si="14"/>
        <v>2</v>
      </c>
      <c r="U189" s="4" t="str">
        <f>IFERROR(INDEX('Date Key'!$G$2:$G$19, MATCH(B189,'Date Key'!$B$2:$B$19, 0)), "")</f>
        <v>Yes</v>
      </c>
      <c r="V189" s="4" t="str">
        <f>IFERROR(INDEX('Date Key'!$D$2:$D$19, MATCH(B189,'Date Key'!$B$2:$B$19, 0)), "")</f>
        <v>Lower</v>
      </c>
      <c r="W189" s="4" t="str">
        <f>IFERROR(INDEX('Date Key'!$H$2:$H$19, MATCH(B189,'Date Key'!$B$2:$B$19, 0)), "")</f>
        <v>No</v>
      </c>
      <c r="X189" s="4">
        <f t="shared" si="16"/>
        <v>0.54500000000000004</v>
      </c>
      <c r="Y189" s="4">
        <f t="shared" si="17"/>
        <v>1</v>
      </c>
    </row>
    <row r="190" spans="1:25" s="27" customFormat="1" x14ac:dyDescent="0.35">
      <c r="A190" s="27">
        <v>9</v>
      </c>
      <c r="B190" s="42">
        <v>45246</v>
      </c>
      <c r="C190" s="27" t="s">
        <v>7</v>
      </c>
      <c r="D190" s="27">
        <v>21</v>
      </c>
      <c r="E190" s="27" t="s">
        <v>197</v>
      </c>
      <c r="F190" s="27" t="str">
        <f t="shared" si="15"/>
        <v>tank 2</v>
      </c>
      <c r="G190" s="27">
        <f>IFERROR(INDEX('Date Key'!$I$2:$I$19, MATCH(B190,'Date Key'!$B$2:$B$19, 0)), "")</f>
        <v>3</v>
      </c>
      <c r="H190" s="27">
        <v>90</v>
      </c>
      <c r="I190" s="28">
        <v>0.38191738113795792</v>
      </c>
      <c r="J190" s="28">
        <v>0.11851294471747362</v>
      </c>
      <c r="K190" s="28">
        <v>0.76388056121837167</v>
      </c>
      <c r="L190" s="28">
        <v>0.85872576177285309</v>
      </c>
      <c r="M190" s="28">
        <v>136.22009569377991</v>
      </c>
      <c r="N190" s="28">
        <v>1.2643108870738033</v>
      </c>
      <c r="O190" s="28">
        <v>1.4</v>
      </c>
      <c r="P190" s="28">
        <v>7.38</v>
      </c>
      <c r="Q190" s="28">
        <v>92.592592592592609</v>
      </c>
      <c r="R190" s="28">
        <v>35.066666666666656</v>
      </c>
      <c r="S190" s="28">
        <v>0.73460317460317448</v>
      </c>
      <c r="T190" s="27">
        <f t="shared" si="14"/>
        <v>2</v>
      </c>
      <c r="U190" s="27" t="str">
        <f>IFERROR(INDEX('Date Key'!$G$2:$G$19, MATCH(B190,'Date Key'!$B$2:$B$19, 0)), "")</f>
        <v>Yes</v>
      </c>
      <c r="V190" s="27" t="str">
        <f>IFERROR(INDEX('Date Key'!$D$2:$D$19, MATCH(B190,'Date Key'!$B$2:$B$19, 0)), "")</f>
        <v>Lower</v>
      </c>
      <c r="W190" s="27" t="str">
        <f>IFERROR(INDEX('Date Key'!$H$2:$H$19, MATCH(B190,'Date Key'!$B$2:$B$19, 0)), "")</f>
        <v>No</v>
      </c>
      <c r="X190" s="27">
        <f t="shared" si="16"/>
        <v>0.54500000000000004</v>
      </c>
      <c r="Y190" s="27">
        <f t="shared" si="17"/>
        <v>1</v>
      </c>
    </row>
    <row r="191" spans="1:25" x14ac:dyDescent="0.35">
      <c r="A191" s="4">
        <v>10</v>
      </c>
      <c r="B191" s="41">
        <v>45250</v>
      </c>
      <c r="C191" s="4" t="s">
        <v>7</v>
      </c>
      <c r="D191" s="4">
        <v>1</v>
      </c>
      <c r="E191" s="4" t="s">
        <v>198</v>
      </c>
      <c r="F191" s="4" t="str">
        <f t="shared" si="15"/>
        <v>in</v>
      </c>
      <c r="G191" s="4">
        <f>IFERROR(INDEX('Date Key'!$I$2:$I$19, MATCH(B191,'Date Key'!$B$2:$B$19, 0)), "")</f>
        <v>4</v>
      </c>
      <c r="H191" s="4">
        <v>150</v>
      </c>
      <c r="I191" s="11">
        <v>0</v>
      </c>
      <c r="J191" s="11">
        <v>4.938039363228066E-2</v>
      </c>
      <c r="K191" s="11">
        <v>0.74289483151457003</v>
      </c>
      <c r="L191" s="11">
        <v>0.95032317636195751</v>
      </c>
      <c r="M191" s="11">
        <v>143.75598086124404</v>
      </c>
      <c r="N191" s="11">
        <v>0.79227522514685067</v>
      </c>
      <c r="O191" s="11">
        <v>2.42</v>
      </c>
      <c r="P191" s="11">
        <v>7.56</v>
      </c>
      <c r="Q191" s="11">
        <v>92.592592592592609</v>
      </c>
      <c r="R191" s="11">
        <v>34.73333333333332</v>
      </c>
      <c r="S191" s="11">
        <v>0.36830280830280826</v>
      </c>
      <c r="T191" s="4">
        <f t="shared" si="14"/>
        <v>0</v>
      </c>
      <c r="U191" s="4" t="str">
        <f>IFERROR(INDEX('Date Key'!$G$2:$G$19, MATCH(B191,'Date Key'!$B$2:$B$19, 0)), "")</f>
        <v>Yes</v>
      </c>
      <c r="V191" s="4" t="str">
        <f>IFERROR(INDEX('Date Key'!$D$2:$D$19, MATCH(B191,'Date Key'!$B$2:$B$19, 0)), "")</f>
        <v>Upper</v>
      </c>
      <c r="W191" s="4" t="str">
        <f>IFERROR(INDEX('Date Key'!$H$2:$H$19, MATCH(B191,'Date Key'!$B$2:$B$19, 0)), "")</f>
        <v>No</v>
      </c>
      <c r="X191" s="4">
        <f t="shared" si="16"/>
        <v>0.54500000000000004</v>
      </c>
      <c r="Y191" s="4">
        <f t="shared" si="17"/>
        <v>1</v>
      </c>
    </row>
    <row r="192" spans="1:25" x14ac:dyDescent="0.35">
      <c r="A192" s="4">
        <v>10</v>
      </c>
      <c r="B192" s="41">
        <v>45250</v>
      </c>
      <c r="C192" s="4" t="s">
        <v>7</v>
      </c>
      <c r="D192" s="4">
        <v>2</v>
      </c>
      <c r="E192" s="4" t="s">
        <v>199</v>
      </c>
      <c r="F192" s="4" t="str">
        <f t="shared" si="15"/>
        <v>in</v>
      </c>
      <c r="G192" s="4">
        <f>IFERROR(INDEX('Date Key'!$I$2:$I$19, MATCH(B192,'Date Key'!$B$2:$B$19, 0)), "")</f>
        <v>4</v>
      </c>
      <c r="H192" s="4">
        <v>30</v>
      </c>
      <c r="I192" s="11">
        <v>0</v>
      </c>
      <c r="J192" s="11">
        <v>4.4442354269052589E-2</v>
      </c>
      <c r="K192" s="11">
        <v>1.1290322580645165</v>
      </c>
      <c r="L192" s="11">
        <v>0.72132963988919652</v>
      </c>
      <c r="M192" s="11">
        <v>134.97129186602874</v>
      </c>
      <c r="N192" s="11">
        <v>1.1734746123335691</v>
      </c>
      <c r="O192" s="11">
        <v>2.81</v>
      </c>
      <c r="P192" s="11">
        <v>7.61</v>
      </c>
      <c r="Q192" s="11">
        <v>92.592592592592609</v>
      </c>
      <c r="R192" s="11">
        <v>37.066666666666656</v>
      </c>
      <c r="S192" s="11">
        <v>0.3499877899877899</v>
      </c>
      <c r="T192" s="4">
        <f t="shared" si="14"/>
        <v>0</v>
      </c>
      <c r="U192" s="4" t="str">
        <f>IFERROR(INDEX('Date Key'!$G$2:$G$19, MATCH(B192,'Date Key'!$B$2:$B$19, 0)), "")</f>
        <v>Yes</v>
      </c>
      <c r="V192" s="4" t="str">
        <f>IFERROR(INDEX('Date Key'!$D$2:$D$19, MATCH(B192,'Date Key'!$B$2:$B$19, 0)), "")</f>
        <v>Upper</v>
      </c>
      <c r="W192" s="4" t="str">
        <f>IFERROR(INDEX('Date Key'!$H$2:$H$19, MATCH(B192,'Date Key'!$B$2:$B$19, 0)), "")</f>
        <v>No</v>
      </c>
      <c r="X192" s="4">
        <f t="shared" si="16"/>
        <v>0.54500000000000004</v>
      </c>
      <c r="Y192" s="4">
        <f t="shared" si="17"/>
        <v>1</v>
      </c>
    </row>
    <row r="193" spans="1:25" x14ac:dyDescent="0.35">
      <c r="A193" s="4">
        <v>10</v>
      </c>
      <c r="B193" s="41">
        <v>45250</v>
      </c>
      <c r="C193" s="4" t="s">
        <v>7</v>
      </c>
      <c r="D193" s="4">
        <v>3</v>
      </c>
      <c r="E193" s="4" t="s">
        <v>200</v>
      </c>
      <c r="F193" s="4" t="str">
        <f t="shared" si="15"/>
        <v>in</v>
      </c>
      <c r="G193" s="4">
        <f>IFERROR(INDEX('Date Key'!$I$2:$I$19, MATCH(B193,'Date Key'!$B$2:$B$19, 0)), "")</f>
        <v>4</v>
      </c>
      <c r="H193" s="4">
        <v>0</v>
      </c>
      <c r="I193" s="11">
        <v>0.10911925175370227</v>
      </c>
      <c r="J193" s="11">
        <v>3.4566275542596468E-2</v>
      </c>
      <c r="K193" s="11">
        <v>1.1961865931166806</v>
      </c>
      <c r="L193" s="11">
        <v>0.73277931671283458</v>
      </c>
      <c r="M193" s="11">
        <v>136.47846889952152</v>
      </c>
      <c r="N193" s="11">
        <v>1.3398721204129793</v>
      </c>
      <c r="O193" s="11">
        <v>4.16</v>
      </c>
      <c r="P193" s="11">
        <v>7.59</v>
      </c>
      <c r="Q193" s="11">
        <v>92.592592592592609</v>
      </c>
      <c r="R193" s="11">
        <v>37.066666666666656</v>
      </c>
      <c r="S193" s="11">
        <v>0.37440781440781434</v>
      </c>
      <c r="T193" s="4">
        <f t="shared" si="14"/>
        <v>0</v>
      </c>
      <c r="U193" s="4" t="str">
        <f>IFERROR(INDEX('Date Key'!$G$2:$G$19, MATCH(B193,'Date Key'!$B$2:$B$19, 0)), "")</f>
        <v>Yes</v>
      </c>
      <c r="V193" s="4" t="str">
        <f>IFERROR(INDEX('Date Key'!$D$2:$D$19, MATCH(B193,'Date Key'!$B$2:$B$19, 0)), "")</f>
        <v>Upper</v>
      </c>
      <c r="W193" s="4" t="str">
        <f>IFERROR(INDEX('Date Key'!$H$2:$H$19, MATCH(B193,'Date Key'!$B$2:$B$19, 0)), "")</f>
        <v>No</v>
      </c>
      <c r="X193" s="4">
        <f t="shared" si="16"/>
        <v>0.54500000000000004</v>
      </c>
      <c r="Y193" s="4">
        <f t="shared" si="17"/>
        <v>1</v>
      </c>
    </row>
    <row r="194" spans="1:25" x14ac:dyDescent="0.35">
      <c r="A194" s="4">
        <v>10</v>
      </c>
      <c r="B194" s="41">
        <v>45250</v>
      </c>
      <c r="C194" s="4" t="s">
        <v>7</v>
      </c>
      <c r="D194" s="4">
        <v>4</v>
      </c>
      <c r="E194" s="4" t="s">
        <v>201</v>
      </c>
      <c r="F194" s="4" t="str">
        <f t="shared" si="15"/>
        <v>in</v>
      </c>
      <c r="G194" s="4">
        <f>IFERROR(INDEX('Date Key'!$I$2:$I$19, MATCH(B194,'Date Key'!$B$2:$B$19, 0)), "")</f>
        <v>4</v>
      </c>
      <c r="H194" s="4">
        <v>60</v>
      </c>
      <c r="I194" s="11">
        <v>7.2746167835801512E-2</v>
      </c>
      <c r="J194" s="11">
        <v>2.9628236179368404E-2</v>
      </c>
      <c r="K194" s="11">
        <v>0.93596354478954324</v>
      </c>
      <c r="L194" s="11">
        <v>0.76712834718374878</v>
      </c>
      <c r="M194" s="11">
        <v>137.66985645933013</v>
      </c>
      <c r="N194" s="11">
        <v>1.0383379488047131</v>
      </c>
      <c r="O194" s="11">
        <v>3.13</v>
      </c>
      <c r="P194" s="11">
        <v>7.6</v>
      </c>
      <c r="Q194" s="11">
        <v>103.21100917431194</v>
      </c>
      <c r="R194" s="11">
        <v>38.399999999999991</v>
      </c>
      <c r="S194" s="11">
        <v>0.42935286935286932</v>
      </c>
      <c r="T194" s="4">
        <f t="shared" ref="T194:T253" si="18">IFERROR(INDEX($AB$3:$AB$5, MATCH(F194, $AA$3:$AA$5, 0)), "")</f>
        <v>0</v>
      </c>
      <c r="U194" s="4" t="str">
        <f>IFERROR(INDEX('Date Key'!$G$2:$G$19, MATCH(B194,'Date Key'!$B$2:$B$19, 0)), "")</f>
        <v>Yes</v>
      </c>
      <c r="V194" s="4" t="str">
        <f>IFERROR(INDEX('Date Key'!$D$2:$D$19, MATCH(B194,'Date Key'!$B$2:$B$19, 0)), "")</f>
        <v>Upper</v>
      </c>
      <c r="W194" s="4" t="str">
        <f>IFERROR(INDEX('Date Key'!$H$2:$H$19, MATCH(B194,'Date Key'!$B$2:$B$19, 0)), "")</f>
        <v>No</v>
      </c>
      <c r="X194" s="4">
        <f t="shared" si="16"/>
        <v>0.54500000000000004</v>
      </c>
      <c r="Y194" s="4">
        <f t="shared" si="17"/>
        <v>1</v>
      </c>
    </row>
    <row r="195" spans="1:25" x14ac:dyDescent="0.35">
      <c r="A195" s="4">
        <v>10</v>
      </c>
      <c r="B195" s="41">
        <v>45250</v>
      </c>
      <c r="C195" s="4" t="s">
        <v>7</v>
      </c>
      <c r="D195" s="4">
        <v>5</v>
      </c>
      <c r="E195" s="4" t="s">
        <v>202</v>
      </c>
      <c r="F195" s="4" t="str">
        <f t="shared" ref="F195:F258" si="19">MID(E195, SEARCH(" ", E195) + 1, LEN(E195))</f>
        <v>in</v>
      </c>
      <c r="G195" s="4">
        <f>IFERROR(INDEX('Date Key'!$I$2:$I$19, MATCH(B195,'Date Key'!$B$2:$B$19, 0)), "")</f>
        <v>4</v>
      </c>
      <c r="H195" s="4">
        <v>120</v>
      </c>
      <c r="I195" s="11">
        <v>0</v>
      </c>
      <c r="J195" s="11">
        <v>3.9504314905824532E-2</v>
      </c>
      <c r="K195" s="11">
        <v>0.86041491785585811</v>
      </c>
      <c r="L195" s="11">
        <v>0.80147737765466298</v>
      </c>
      <c r="M195" s="11">
        <v>137.05263157894737</v>
      </c>
      <c r="N195" s="11">
        <v>0.89991923276168262</v>
      </c>
      <c r="O195" s="11">
        <v>2.73</v>
      </c>
      <c r="P195" s="11">
        <v>7.58</v>
      </c>
      <c r="Q195" s="11">
        <v>92.592592592592609</v>
      </c>
      <c r="R195" s="11">
        <v>36.066666666666656</v>
      </c>
      <c r="S195" s="11">
        <v>0.32556776556776562</v>
      </c>
      <c r="T195" s="4">
        <f t="shared" si="18"/>
        <v>0</v>
      </c>
      <c r="U195" s="4" t="str">
        <f>IFERROR(INDEX('Date Key'!$G$2:$G$19, MATCH(B195,'Date Key'!$B$2:$B$19, 0)), "")</f>
        <v>Yes</v>
      </c>
      <c r="V195" s="4" t="str">
        <f>IFERROR(INDEX('Date Key'!$D$2:$D$19, MATCH(B195,'Date Key'!$B$2:$B$19, 0)), "")</f>
        <v>Upper</v>
      </c>
      <c r="W195" s="4" t="str">
        <f>IFERROR(INDEX('Date Key'!$H$2:$H$19, MATCH(B195,'Date Key'!$B$2:$B$19, 0)), "")</f>
        <v>No</v>
      </c>
      <c r="X195" s="4">
        <f t="shared" ref="X195:X253" si="20">IFERROR(INDEX($AB$8:$AB$10, MATCH(C195, $AA$8:$AA$10, 0)), "")</f>
        <v>0.54500000000000004</v>
      </c>
      <c r="Y195" s="4">
        <f t="shared" ref="Y195:Y253" si="21">IFERROR(INDEX($AC$8:$AC$10, MATCH(C195, $AA$8:$AA$10, 0)), "")</f>
        <v>1</v>
      </c>
    </row>
    <row r="196" spans="1:25" x14ac:dyDescent="0.35">
      <c r="A196" s="4">
        <v>10</v>
      </c>
      <c r="B196" s="41">
        <v>45250</v>
      </c>
      <c r="C196" s="4" t="s">
        <v>7</v>
      </c>
      <c r="D196" s="4">
        <v>6</v>
      </c>
      <c r="E196" s="4" t="s">
        <v>203</v>
      </c>
      <c r="F196" s="4" t="str">
        <f t="shared" si="19"/>
        <v>in</v>
      </c>
      <c r="G196" s="4">
        <f>IFERROR(INDEX('Date Key'!$I$2:$I$19, MATCH(B196,'Date Key'!$B$2:$B$19, 0)), "")</f>
        <v>4</v>
      </c>
      <c r="H196" s="4">
        <v>90</v>
      </c>
      <c r="I196" s="11">
        <v>1.8186541958950382</v>
      </c>
      <c r="J196" s="11">
        <v>3.9504314905824532E-2</v>
      </c>
      <c r="K196" s="11">
        <v>0.91497781508574172</v>
      </c>
      <c r="L196" s="11">
        <v>0.76712834718374878</v>
      </c>
      <c r="M196" s="11">
        <v>138.20095693779905</v>
      </c>
      <c r="N196" s="11">
        <v>2.7731363258866044</v>
      </c>
      <c r="O196" s="11">
        <v>2.54</v>
      </c>
      <c r="P196" s="11">
        <v>7.6</v>
      </c>
      <c r="Q196" s="11">
        <v>92.592592592592609</v>
      </c>
      <c r="R196" s="11">
        <v>36.73333333333332</v>
      </c>
      <c r="S196" s="11">
        <v>0.33777777777777784</v>
      </c>
      <c r="T196" s="4">
        <f t="shared" si="18"/>
        <v>0</v>
      </c>
      <c r="U196" s="4" t="str">
        <f>IFERROR(INDEX('Date Key'!$G$2:$G$19, MATCH(B196,'Date Key'!$B$2:$B$19, 0)), "")</f>
        <v>Yes</v>
      </c>
      <c r="V196" s="4" t="str">
        <f>IFERROR(INDEX('Date Key'!$D$2:$D$19, MATCH(B196,'Date Key'!$B$2:$B$19, 0)), "")</f>
        <v>Upper</v>
      </c>
      <c r="W196" s="4" t="str">
        <f>IFERROR(INDEX('Date Key'!$H$2:$H$19, MATCH(B196,'Date Key'!$B$2:$B$19, 0)), "")</f>
        <v>No</v>
      </c>
      <c r="X196" s="4">
        <f t="shared" si="20"/>
        <v>0.54500000000000004</v>
      </c>
      <c r="Y196" s="4">
        <f t="shared" si="21"/>
        <v>1</v>
      </c>
    </row>
    <row r="197" spans="1:25" x14ac:dyDescent="0.35">
      <c r="A197" s="4">
        <v>10</v>
      </c>
      <c r="B197" s="41">
        <v>45250</v>
      </c>
      <c r="C197" s="4" t="s">
        <v>7</v>
      </c>
      <c r="D197" s="4">
        <v>7</v>
      </c>
      <c r="E197" s="4" t="s">
        <v>204</v>
      </c>
      <c r="F197" s="4" t="str">
        <f t="shared" si="19"/>
        <v>tank 1</v>
      </c>
      <c r="G197" s="4">
        <f>IFERROR(INDEX('Date Key'!$I$2:$I$19, MATCH(B197,'Date Key'!$B$2:$B$19, 0)), "")</f>
        <v>4</v>
      </c>
      <c r="H197" s="4">
        <v>0</v>
      </c>
      <c r="I197" s="11">
        <v>0.18186541958950375</v>
      </c>
      <c r="J197" s="11">
        <v>1.4814118089684202E-2</v>
      </c>
      <c r="K197" s="11">
        <v>4.6168605348363118E-2</v>
      </c>
      <c r="L197" s="11">
        <v>0.97322253000923364</v>
      </c>
      <c r="M197" s="11">
        <v>114.78947368421053</v>
      </c>
      <c r="N197" s="11">
        <v>0.24284814302755106</v>
      </c>
      <c r="O197" s="11">
        <v>1.1399999999999999</v>
      </c>
      <c r="P197" s="11">
        <v>7.2</v>
      </c>
      <c r="Q197" s="11">
        <v>113.63636363636364</v>
      </c>
      <c r="R197" s="11">
        <v>17.400000000000009</v>
      </c>
      <c r="S197" s="11">
        <v>0.48429792429792434</v>
      </c>
      <c r="T197" s="4">
        <f t="shared" si="18"/>
        <v>1</v>
      </c>
      <c r="U197" s="4" t="str">
        <f>IFERROR(INDEX('Date Key'!$G$2:$G$19, MATCH(B197,'Date Key'!$B$2:$B$19, 0)), "")</f>
        <v>Yes</v>
      </c>
      <c r="V197" s="4" t="str">
        <f>IFERROR(INDEX('Date Key'!$D$2:$D$19, MATCH(B197,'Date Key'!$B$2:$B$19, 0)), "")</f>
        <v>Upper</v>
      </c>
      <c r="W197" s="4" t="str">
        <f>IFERROR(INDEX('Date Key'!$H$2:$H$19, MATCH(B197,'Date Key'!$B$2:$B$19, 0)), "")</f>
        <v>No</v>
      </c>
      <c r="X197" s="4">
        <f t="shared" si="20"/>
        <v>0.54500000000000004</v>
      </c>
      <c r="Y197" s="4">
        <f t="shared" si="21"/>
        <v>1</v>
      </c>
    </row>
    <row r="198" spans="1:25" x14ac:dyDescent="0.35">
      <c r="A198" s="4">
        <v>10</v>
      </c>
      <c r="B198" s="41">
        <v>45250</v>
      </c>
      <c r="C198" s="4" t="s">
        <v>7</v>
      </c>
      <c r="D198" s="4">
        <v>8</v>
      </c>
      <c r="E198" s="4" t="s">
        <v>205</v>
      </c>
      <c r="F198" s="4" t="str">
        <f t="shared" si="19"/>
        <v>tank 1</v>
      </c>
      <c r="G198" s="4">
        <f>IFERROR(INDEX('Date Key'!$I$2:$I$19, MATCH(B198,'Date Key'!$B$2:$B$19, 0)), "")</f>
        <v>4</v>
      </c>
      <c r="H198" s="4">
        <v>90</v>
      </c>
      <c r="I198" s="11">
        <v>0</v>
      </c>
      <c r="J198" s="11">
        <v>0.2073976532555788</v>
      </c>
      <c r="K198" s="11">
        <v>0.15949154574889074</v>
      </c>
      <c r="L198" s="11">
        <v>0.75567867036011094</v>
      </c>
      <c r="M198" s="11">
        <v>135.3732057416268</v>
      </c>
      <c r="N198" s="11">
        <v>0.36688919900446954</v>
      </c>
      <c r="O198" s="11">
        <v>1.02</v>
      </c>
      <c r="P198" s="11">
        <v>7.3</v>
      </c>
      <c r="Q198" s="11">
        <v>103.21100917431194</v>
      </c>
      <c r="R198" s="11">
        <v>31.066666666666649</v>
      </c>
      <c r="S198" s="11">
        <v>0.3499877899877899</v>
      </c>
      <c r="T198" s="4">
        <f t="shared" si="18"/>
        <v>1</v>
      </c>
      <c r="U198" s="4" t="str">
        <f>IFERROR(INDEX('Date Key'!$G$2:$G$19, MATCH(B198,'Date Key'!$B$2:$B$19, 0)), "")</f>
        <v>Yes</v>
      </c>
      <c r="V198" s="4" t="str">
        <f>IFERROR(INDEX('Date Key'!$D$2:$D$19, MATCH(B198,'Date Key'!$B$2:$B$19, 0)), "")</f>
        <v>Upper</v>
      </c>
      <c r="W198" s="4" t="str">
        <f>IFERROR(INDEX('Date Key'!$H$2:$H$19, MATCH(B198,'Date Key'!$B$2:$B$19, 0)), "")</f>
        <v>No</v>
      </c>
      <c r="X198" s="4">
        <f t="shared" si="20"/>
        <v>0.54500000000000004</v>
      </c>
      <c r="Y198" s="4">
        <f t="shared" si="21"/>
        <v>1</v>
      </c>
    </row>
    <row r="199" spans="1:25" x14ac:dyDescent="0.35">
      <c r="A199" s="4">
        <v>10</v>
      </c>
      <c r="B199" s="41">
        <v>45250</v>
      </c>
      <c r="C199" s="4" t="s">
        <v>7</v>
      </c>
      <c r="D199" s="4">
        <v>9</v>
      </c>
      <c r="E199" s="4" t="s">
        <v>206</v>
      </c>
      <c r="F199" s="4" t="str">
        <f t="shared" si="19"/>
        <v>tank 1</v>
      </c>
      <c r="G199" s="4">
        <f>IFERROR(INDEX('Date Key'!$I$2:$I$19, MATCH(B199,'Date Key'!$B$2:$B$19, 0)), "")</f>
        <v>4</v>
      </c>
      <c r="H199" s="4">
        <v>180</v>
      </c>
      <c r="I199" s="11">
        <v>0.76383476227591585</v>
      </c>
      <c r="J199" s="11">
        <v>0.18270745643943845</v>
      </c>
      <c r="K199" s="11">
        <v>0.12591437822280849</v>
      </c>
      <c r="L199" s="11">
        <v>0.73277931671283458</v>
      </c>
      <c r="M199" s="11">
        <v>139.0622009569378</v>
      </c>
      <c r="N199" s="11">
        <v>1.0724565969381628</v>
      </c>
      <c r="O199" s="11">
        <v>0.51</v>
      </c>
      <c r="P199" s="11">
        <v>7.43</v>
      </c>
      <c r="Q199" s="11">
        <v>92.592592592592609</v>
      </c>
      <c r="R199" s="11">
        <v>31.066666666666649</v>
      </c>
      <c r="S199" s="11">
        <v>0.29504273504273504</v>
      </c>
      <c r="T199" s="4">
        <f t="shared" si="18"/>
        <v>1</v>
      </c>
      <c r="U199" s="4" t="str">
        <f>IFERROR(INDEX('Date Key'!$G$2:$G$19, MATCH(B199,'Date Key'!$B$2:$B$19, 0)), "")</f>
        <v>Yes</v>
      </c>
      <c r="V199" s="4" t="str">
        <f>IFERROR(INDEX('Date Key'!$D$2:$D$19, MATCH(B199,'Date Key'!$B$2:$B$19, 0)), "")</f>
        <v>Upper</v>
      </c>
      <c r="W199" s="4" t="str">
        <f>IFERROR(INDEX('Date Key'!$H$2:$H$19, MATCH(B199,'Date Key'!$B$2:$B$19, 0)), "")</f>
        <v>No</v>
      </c>
      <c r="X199" s="4">
        <f t="shared" si="20"/>
        <v>0.54500000000000004</v>
      </c>
      <c r="Y199" s="4">
        <f t="shared" si="21"/>
        <v>1</v>
      </c>
    </row>
    <row r="200" spans="1:25" x14ac:dyDescent="0.35">
      <c r="A200" s="4">
        <v>10</v>
      </c>
      <c r="B200" s="41">
        <v>45250</v>
      </c>
      <c r="C200" s="4" t="s">
        <v>7</v>
      </c>
      <c r="D200" s="4">
        <v>10</v>
      </c>
      <c r="E200" s="4" t="s">
        <v>207</v>
      </c>
      <c r="F200" s="4" t="str">
        <f t="shared" si="19"/>
        <v>tank 1</v>
      </c>
      <c r="G200" s="4">
        <f>IFERROR(INDEX('Date Key'!$I$2:$I$19, MATCH(B200,'Date Key'!$B$2:$B$19, 0)), "")</f>
        <v>4</v>
      </c>
      <c r="H200" s="4">
        <v>150</v>
      </c>
      <c r="I200" s="11">
        <v>0</v>
      </c>
      <c r="J200" s="11">
        <v>0.17776941707621036</v>
      </c>
      <c r="K200" s="11">
        <v>0.15949154574889074</v>
      </c>
      <c r="L200" s="11">
        <v>0.73277931671283458</v>
      </c>
      <c r="M200" s="11">
        <v>138.45933014354068</v>
      </c>
      <c r="N200" s="11">
        <v>0.3372609628251011</v>
      </c>
      <c r="O200" s="11">
        <v>0.54</v>
      </c>
      <c r="P200" s="11">
        <v>7.3</v>
      </c>
      <c r="Q200" s="11">
        <v>92.592592592592609</v>
      </c>
      <c r="R200" s="11">
        <v>36.73333333333332</v>
      </c>
      <c r="S200" s="11">
        <v>0.29504273504273504</v>
      </c>
      <c r="T200" s="4">
        <f t="shared" si="18"/>
        <v>1</v>
      </c>
      <c r="U200" s="4" t="str">
        <f>IFERROR(INDEX('Date Key'!$G$2:$G$19, MATCH(B200,'Date Key'!$B$2:$B$19, 0)), "")</f>
        <v>Yes</v>
      </c>
      <c r="V200" s="4" t="str">
        <f>IFERROR(INDEX('Date Key'!$D$2:$D$19, MATCH(B200,'Date Key'!$B$2:$B$19, 0)), "")</f>
        <v>Upper</v>
      </c>
      <c r="W200" s="4" t="str">
        <f>IFERROR(INDEX('Date Key'!$H$2:$H$19, MATCH(B200,'Date Key'!$B$2:$B$19, 0)), "")</f>
        <v>No</v>
      </c>
      <c r="X200" s="4">
        <f t="shared" si="20"/>
        <v>0.54500000000000004</v>
      </c>
      <c r="Y200" s="4">
        <f t="shared" si="21"/>
        <v>1</v>
      </c>
    </row>
    <row r="201" spans="1:25" x14ac:dyDescent="0.35">
      <c r="A201" s="4">
        <v>10</v>
      </c>
      <c r="B201" s="41">
        <v>45250</v>
      </c>
      <c r="C201" s="4" t="s">
        <v>7</v>
      </c>
      <c r="D201" s="4">
        <v>11</v>
      </c>
      <c r="E201" s="4" t="s">
        <v>208</v>
      </c>
      <c r="F201" s="4" t="str">
        <f t="shared" si="19"/>
        <v>tank 1</v>
      </c>
      <c r="G201" s="4">
        <f>IFERROR(INDEX('Date Key'!$I$2:$I$19, MATCH(B201,'Date Key'!$B$2:$B$19, 0)), "")</f>
        <v>4</v>
      </c>
      <c r="H201" s="4">
        <v>120</v>
      </c>
      <c r="I201" s="11">
        <v>0</v>
      </c>
      <c r="J201" s="11">
        <v>0.16789333834975431</v>
      </c>
      <c r="K201" s="11">
        <v>0.16368869168965103</v>
      </c>
      <c r="L201" s="11">
        <v>0.74422899353647287</v>
      </c>
      <c r="M201" s="11">
        <v>137.38277511961724</v>
      </c>
      <c r="N201" s="11">
        <v>0.33158203003940534</v>
      </c>
      <c r="O201" s="11">
        <v>0.47</v>
      </c>
      <c r="P201" s="11">
        <v>7.37</v>
      </c>
      <c r="Q201" s="11">
        <v>92.592592592592609</v>
      </c>
      <c r="R201" s="11">
        <v>32.066666666666649</v>
      </c>
      <c r="S201" s="11">
        <v>0.33167277167277176</v>
      </c>
      <c r="T201" s="4">
        <f t="shared" si="18"/>
        <v>1</v>
      </c>
      <c r="U201" s="4" t="str">
        <f>IFERROR(INDEX('Date Key'!$G$2:$G$19, MATCH(B201,'Date Key'!$B$2:$B$19, 0)), "")</f>
        <v>Yes</v>
      </c>
      <c r="V201" s="4" t="str">
        <f>IFERROR(INDEX('Date Key'!$D$2:$D$19, MATCH(B201,'Date Key'!$B$2:$B$19, 0)), "")</f>
        <v>Upper</v>
      </c>
      <c r="W201" s="4" t="str">
        <f>IFERROR(INDEX('Date Key'!$H$2:$H$19, MATCH(B201,'Date Key'!$B$2:$B$19, 0)), "")</f>
        <v>No</v>
      </c>
      <c r="X201" s="4">
        <f t="shared" si="20"/>
        <v>0.54500000000000004</v>
      </c>
      <c r="Y201" s="4">
        <f t="shared" si="21"/>
        <v>1</v>
      </c>
    </row>
    <row r="202" spans="1:25" x14ac:dyDescent="0.35">
      <c r="A202" s="4">
        <v>10</v>
      </c>
      <c r="B202" s="41">
        <v>45250</v>
      </c>
      <c r="C202" s="4" t="s">
        <v>7</v>
      </c>
      <c r="D202" s="4">
        <v>12</v>
      </c>
      <c r="E202" s="4" t="s">
        <v>209</v>
      </c>
      <c r="F202" s="4" t="str">
        <f t="shared" si="19"/>
        <v>tank 1</v>
      </c>
      <c r="G202" s="4">
        <f>IFERROR(INDEX('Date Key'!$I$2:$I$19, MATCH(B202,'Date Key'!$B$2:$B$19, 0)), "")</f>
        <v>4</v>
      </c>
      <c r="H202" s="4">
        <v>60</v>
      </c>
      <c r="I202" s="11">
        <v>0</v>
      </c>
      <c r="J202" s="11">
        <v>0.13826510217038587</v>
      </c>
      <c r="K202" s="11">
        <v>0.15109725386737016</v>
      </c>
      <c r="L202" s="11">
        <v>0.81292705447830083</v>
      </c>
      <c r="M202" s="11">
        <v>130.60765550239236</v>
      </c>
      <c r="N202" s="11">
        <v>0.28936235603775606</v>
      </c>
      <c r="O202" s="11">
        <v>0.76</v>
      </c>
      <c r="P202" s="11">
        <v>7.34</v>
      </c>
      <c r="Q202" s="11">
        <v>103.21100917431194</v>
      </c>
      <c r="R202" s="11">
        <v>29.066666666666649</v>
      </c>
      <c r="S202" s="11">
        <v>0.38661782661782657</v>
      </c>
      <c r="T202" s="4">
        <f t="shared" si="18"/>
        <v>1</v>
      </c>
      <c r="U202" s="4" t="str">
        <f>IFERROR(INDEX('Date Key'!$G$2:$G$19, MATCH(B202,'Date Key'!$B$2:$B$19, 0)), "")</f>
        <v>Yes</v>
      </c>
      <c r="V202" s="4" t="str">
        <f>IFERROR(INDEX('Date Key'!$D$2:$D$19, MATCH(B202,'Date Key'!$B$2:$B$19, 0)), "")</f>
        <v>Upper</v>
      </c>
      <c r="W202" s="4" t="str">
        <f>IFERROR(INDEX('Date Key'!$H$2:$H$19, MATCH(B202,'Date Key'!$B$2:$B$19, 0)), "")</f>
        <v>No</v>
      </c>
      <c r="X202" s="4">
        <f t="shared" si="20"/>
        <v>0.54500000000000004</v>
      </c>
      <c r="Y202" s="4">
        <f t="shared" si="21"/>
        <v>1</v>
      </c>
    </row>
    <row r="203" spans="1:25" x14ac:dyDescent="0.35">
      <c r="A203" s="4">
        <v>10</v>
      </c>
      <c r="B203" s="41">
        <v>45250</v>
      </c>
      <c r="C203" s="4" t="s">
        <v>7</v>
      </c>
      <c r="D203" s="4">
        <v>13</v>
      </c>
      <c r="E203" s="4" t="s">
        <v>210</v>
      </c>
      <c r="F203" s="4" t="str">
        <f t="shared" si="19"/>
        <v>tank 1</v>
      </c>
      <c r="G203" s="4">
        <f>IFERROR(INDEX('Date Key'!$I$2:$I$19, MATCH(B203,'Date Key'!$B$2:$B$19, 0)), "")</f>
        <v>4</v>
      </c>
      <c r="H203" s="4">
        <v>30</v>
      </c>
      <c r="I203" s="11">
        <v>0.12730579371265266</v>
      </c>
      <c r="J203" s="11">
        <v>2.469019681614033E-2</v>
      </c>
      <c r="K203" s="11">
        <v>2.9380021585321985E-2</v>
      </c>
      <c r="L203" s="11">
        <v>0.92742382271468127</v>
      </c>
      <c r="M203" s="11">
        <v>118.49282296650719</v>
      </c>
      <c r="N203" s="11">
        <v>0.18137601211411497</v>
      </c>
      <c r="O203" s="11">
        <v>0.86</v>
      </c>
      <c r="P203" s="11">
        <v>7.27</v>
      </c>
      <c r="Q203" s="11">
        <v>123.8738738738739</v>
      </c>
      <c r="R203" s="11">
        <v>18.733333333333341</v>
      </c>
      <c r="S203" s="11">
        <v>0.4781929181929182</v>
      </c>
      <c r="T203" s="4">
        <f t="shared" si="18"/>
        <v>1</v>
      </c>
      <c r="U203" s="4" t="str">
        <f>IFERROR(INDEX('Date Key'!$G$2:$G$19, MATCH(B203,'Date Key'!$B$2:$B$19, 0)), "")</f>
        <v>Yes</v>
      </c>
      <c r="V203" s="4" t="str">
        <f>IFERROR(INDEX('Date Key'!$D$2:$D$19, MATCH(B203,'Date Key'!$B$2:$B$19, 0)), "")</f>
        <v>Upper</v>
      </c>
      <c r="W203" s="4" t="str">
        <f>IFERROR(INDEX('Date Key'!$H$2:$H$19, MATCH(B203,'Date Key'!$B$2:$B$19, 0)), "")</f>
        <v>No</v>
      </c>
      <c r="X203" s="4">
        <f t="shared" si="20"/>
        <v>0.54500000000000004</v>
      </c>
      <c r="Y203" s="4">
        <f t="shared" si="21"/>
        <v>1</v>
      </c>
    </row>
    <row r="204" spans="1:25" x14ac:dyDescent="0.35">
      <c r="A204" s="4">
        <v>10</v>
      </c>
      <c r="B204" s="41">
        <v>45250</v>
      </c>
      <c r="C204" s="4" t="s">
        <v>7</v>
      </c>
      <c r="D204" s="4">
        <v>14</v>
      </c>
      <c r="E204" s="4" t="s">
        <v>211</v>
      </c>
      <c r="F204" s="4" t="str">
        <f t="shared" si="19"/>
        <v>in</v>
      </c>
      <c r="G204" s="4">
        <f>IFERROR(INDEX('Date Key'!$I$2:$I$19, MATCH(B204,'Date Key'!$B$2:$B$19, 0)), "")</f>
        <v>4</v>
      </c>
      <c r="H204" s="4">
        <v>180</v>
      </c>
      <c r="I204" s="11">
        <v>0</v>
      </c>
      <c r="J204" s="11">
        <v>4.938039363228066E-2</v>
      </c>
      <c r="K204" s="11">
        <v>0.6001918695287205</v>
      </c>
      <c r="L204" s="11">
        <v>0.74422899353647287</v>
      </c>
      <c r="M204" s="11">
        <v>137.49760765550241</v>
      </c>
      <c r="N204" s="11">
        <v>0.64957226316100114</v>
      </c>
      <c r="O204" s="11">
        <v>2.6</v>
      </c>
      <c r="P204" s="11">
        <v>7.55</v>
      </c>
      <c r="Q204" s="11">
        <v>92.592592592592609</v>
      </c>
      <c r="R204" s="11">
        <v>35.73333333333332</v>
      </c>
      <c r="S204" s="11">
        <v>0.36219780219780212</v>
      </c>
      <c r="T204" s="4">
        <f t="shared" si="18"/>
        <v>0</v>
      </c>
      <c r="U204" s="4" t="str">
        <f>IFERROR(INDEX('Date Key'!$G$2:$G$19, MATCH(B204,'Date Key'!$B$2:$B$19, 0)), "")</f>
        <v>Yes</v>
      </c>
      <c r="V204" s="4" t="str">
        <f>IFERROR(INDEX('Date Key'!$D$2:$D$19, MATCH(B204,'Date Key'!$B$2:$B$19, 0)), "")</f>
        <v>Upper</v>
      </c>
      <c r="W204" s="4" t="str">
        <f>IFERROR(INDEX('Date Key'!$H$2:$H$19, MATCH(B204,'Date Key'!$B$2:$B$19, 0)), "")</f>
        <v>No</v>
      </c>
      <c r="X204" s="4">
        <f t="shared" si="20"/>
        <v>0.54500000000000004</v>
      </c>
      <c r="Y204" s="4">
        <f t="shared" si="21"/>
        <v>1</v>
      </c>
    </row>
    <row r="205" spans="1:25" x14ac:dyDescent="0.35">
      <c r="A205" s="4">
        <v>10</v>
      </c>
      <c r="B205" s="41">
        <v>45250</v>
      </c>
      <c r="C205" s="4" t="s">
        <v>7</v>
      </c>
      <c r="D205" s="4">
        <v>15</v>
      </c>
      <c r="E205" s="4" t="s">
        <v>212</v>
      </c>
      <c r="F205" s="4" t="str">
        <f t="shared" si="19"/>
        <v>tank 2</v>
      </c>
      <c r="G205" s="4">
        <f>IFERROR(INDEX('Date Key'!$I$2:$I$19, MATCH(B205,'Date Key'!$B$2:$B$19, 0)), "")</f>
        <v>4</v>
      </c>
      <c r="H205" s="4">
        <v>0</v>
      </c>
      <c r="I205" s="11">
        <v>0.32735775526110678</v>
      </c>
      <c r="J205" s="11">
        <v>1.9752157452912266E-2</v>
      </c>
      <c r="K205" s="11">
        <v>3.7774313466842541E-2</v>
      </c>
      <c r="L205" s="11">
        <v>1.9120960295475531</v>
      </c>
      <c r="M205" s="11">
        <v>104.68421052631579</v>
      </c>
      <c r="N205" s="11">
        <v>0.3848842261808616</v>
      </c>
      <c r="O205" s="11">
        <v>0.59</v>
      </c>
      <c r="P205" s="11">
        <v>7.32</v>
      </c>
      <c r="Q205" s="11">
        <v>113.63636363636364</v>
      </c>
      <c r="R205" s="11">
        <v>21.733333333333309</v>
      </c>
      <c r="S205" s="11">
        <v>1.5831990231990232</v>
      </c>
      <c r="T205" s="4">
        <f t="shared" si="18"/>
        <v>2</v>
      </c>
      <c r="U205" s="4" t="str">
        <f>IFERROR(INDEX('Date Key'!$G$2:$G$19, MATCH(B205,'Date Key'!$B$2:$B$19, 0)), "")</f>
        <v>Yes</v>
      </c>
      <c r="V205" s="4" t="str">
        <f>IFERROR(INDEX('Date Key'!$D$2:$D$19, MATCH(B205,'Date Key'!$B$2:$B$19, 0)), "")</f>
        <v>Upper</v>
      </c>
      <c r="W205" s="4" t="str">
        <f>IFERROR(INDEX('Date Key'!$H$2:$H$19, MATCH(B205,'Date Key'!$B$2:$B$19, 0)), "")</f>
        <v>No</v>
      </c>
      <c r="X205" s="4">
        <f t="shared" si="20"/>
        <v>0.54500000000000004</v>
      </c>
      <c r="Y205" s="4">
        <f t="shared" si="21"/>
        <v>1</v>
      </c>
    </row>
    <row r="206" spans="1:25" x14ac:dyDescent="0.35">
      <c r="A206" s="4">
        <v>10</v>
      </c>
      <c r="B206" s="41">
        <v>45250</v>
      </c>
      <c r="C206" s="4" t="s">
        <v>7</v>
      </c>
      <c r="D206" s="4">
        <v>16</v>
      </c>
      <c r="E206" s="4" t="s">
        <v>213</v>
      </c>
      <c r="F206" s="4" t="str">
        <f t="shared" si="19"/>
        <v>tank 2</v>
      </c>
      <c r="G206" s="4">
        <f>IFERROR(INDEX('Date Key'!$I$2:$I$19, MATCH(B206,'Date Key'!$B$2:$B$19, 0)), "")</f>
        <v>4</v>
      </c>
      <c r="H206" s="4">
        <v>180</v>
      </c>
      <c r="I206" s="11">
        <v>0</v>
      </c>
      <c r="J206" s="11">
        <v>0.19258353516589458</v>
      </c>
      <c r="K206" s="11">
        <v>0.49526322100971343</v>
      </c>
      <c r="L206" s="11">
        <v>0.81292705447830083</v>
      </c>
      <c r="M206" s="11">
        <v>137.97129186602871</v>
      </c>
      <c r="N206" s="11">
        <v>0.68784675617560798</v>
      </c>
      <c r="O206" s="11">
        <v>0.52</v>
      </c>
      <c r="P206" s="11">
        <v>7.4</v>
      </c>
      <c r="Q206" s="11">
        <v>92.592592592592609</v>
      </c>
      <c r="R206" s="11">
        <v>34.066666666666649</v>
      </c>
      <c r="S206" s="11">
        <v>0.33777777777777784</v>
      </c>
      <c r="T206" s="4">
        <f t="shared" si="18"/>
        <v>2</v>
      </c>
      <c r="U206" s="4" t="str">
        <f>IFERROR(INDEX('Date Key'!$G$2:$G$19, MATCH(B206,'Date Key'!$B$2:$B$19, 0)), "")</f>
        <v>Yes</v>
      </c>
      <c r="V206" s="4" t="str">
        <f>IFERROR(INDEX('Date Key'!$D$2:$D$19, MATCH(B206,'Date Key'!$B$2:$B$19, 0)), "")</f>
        <v>Upper</v>
      </c>
      <c r="W206" s="4" t="str">
        <f>IFERROR(INDEX('Date Key'!$H$2:$H$19, MATCH(B206,'Date Key'!$B$2:$B$19, 0)), "")</f>
        <v>No</v>
      </c>
      <c r="X206" s="4">
        <f t="shared" si="20"/>
        <v>0.54500000000000004</v>
      </c>
      <c r="Y206" s="4">
        <f t="shared" si="21"/>
        <v>1</v>
      </c>
    </row>
    <row r="207" spans="1:25" x14ac:dyDescent="0.35">
      <c r="A207" s="4">
        <v>10</v>
      </c>
      <c r="B207" s="41">
        <v>45250</v>
      </c>
      <c r="C207" s="4" t="s">
        <v>7</v>
      </c>
      <c r="D207" s="4">
        <v>17</v>
      </c>
      <c r="E207" s="4" t="s">
        <v>214</v>
      </c>
      <c r="F207" s="4" t="str">
        <f t="shared" si="19"/>
        <v>tank 2</v>
      </c>
      <c r="G207" s="4">
        <f>IFERROR(INDEX('Date Key'!$I$2:$I$19, MATCH(B207,'Date Key'!$B$2:$B$19, 0)), "")</f>
        <v>4</v>
      </c>
      <c r="H207" s="4">
        <v>150</v>
      </c>
      <c r="I207" s="11">
        <v>0</v>
      </c>
      <c r="J207" s="11">
        <v>0.19752157452912264</v>
      </c>
      <c r="K207" s="11">
        <v>0.57500899388415883</v>
      </c>
      <c r="L207" s="11">
        <v>0.76712834718374878</v>
      </c>
      <c r="M207" s="11">
        <v>141.21531100478467</v>
      </c>
      <c r="N207" s="11">
        <v>0.77253056841328149</v>
      </c>
      <c r="O207" s="11">
        <v>0.5</v>
      </c>
      <c r="P207" s="11">
        <v>7.27</v>
      </c>
      <c r="Q207" s="11">
        <v>92.592592592592609</v>
      </c>
      <c r="R207" s="11">
        <v>31.066666666666649</v>
      </c>
      <c r="S207" s="11">
        <v>0.33777777777777784</v>
      </c>
      <c r="T207" s="4">
        <f t="shared" si="18"/>
        <v>2</v>
      </c>
      <c r="U207" s="4" t="str">
        <f>IFERROR(INDEX('Date Key'!$G$2:$G$19, MATCH(B207,'Date Key'!$B$2:$B$19, 0)), "")</f>
        <v>Yes</v>
      </c>
      <c r="V207" s="4" t="str">
        <f>IFERROR(INDEX('Date Key'!$D$2:$D$19, MATCH(B207,'Date Key'!$B$2:$B$19, 0)), "")</f>
        <v>Upper</v>
      </c>
      <c r="W207" s="4" t="str">
        <f>IFERROR(INDEX('Date Key'!$H$2:$H$19, MATCH(B207,'Date Key'!$B$2:$B$19, 0)), "")</f>
        <v>No</v>
      </c>
      <c r="X207" s="4">
        <f t="shared" si="20"/>
        <v>0.54500000000000004</v>
      </c>
      <c r="Y207" s="4">
        <f t="shared" si="21"/>
        <v>1</v>
      </c>
    </row>
    <row r="208" spans="1:25" x14ac:dyDescent="0.35">
      <c r="A208" s="4">
        <v>10</v>
      </c>
      <c r="B208" s="41">
        <v>45250</v>
      </c>
      <c r="C208" s="4" t="s">
        <v>7</v>
      </c>
      <c r="D208" s="4">
        <v>18</v>
      </c>
      <c r="E208" s="4" t="s">
        <v>215</v>
      </c>
      <c r="F208" s="4" t="str">
        <f t="shared" si="19"/>
        <v>tank 2</v>
      </c>
      <c r="G208" s="4">
        <f>IFERROR(INDEX('Date Key'!$I$2:$I$19, MATCH(B208,'Date Key'!$B$2:$B$19, 0)), "")</f>
        <v>4</v>
      </c>
      <c r="H208" s="4">
        <v>30</v>
      </c>
      <c r="I208" s="11">
        <v>0.32735775526110678</v>
      </c>
      <c r="J208" s="11">
        <v>0.11357490535424555</v>
      </c>
      <c r="K208" s="11">
        <v>0.18047727545269221</v>
      </c>
      <c r="L208" s="11">
        <v>1.9120960295475531</v>
      </c>
      <c r="M208" s="11">
        <v>105.44497607655504</v>
      </c>
      <c r="N208" s="11">
        <v>0.62140993606804451</v>
      </c>
      <c r="O208" s="11">
        <v>0.53</v>
      </c>
      <c r="P208" s="11">
        <v>7.26</v>
      </c>
      <c r="Q208" s="11">
        <v>133.92857142857144</v>
      </c>
      <c r="R208" s="11">
        <v>23.399999999999977</v>
      </c>
      <c r="S208" s="11">
        <v>1.6564590964590962</v>
      </c>
      <c r="T208" s="4">
        <f t="shared" si="18"/>
        <v>2</v>
      </c>
      <c r="U208" s="4" t="str">
        <f>IFERROR(INDEX('Date Key'!$G$2:$G$19, MATCH(B208,'Date Key'!$B$2:$B$19, 0)), "")</f>
        <v>Yes</v>
      </c>
      <c r="V208" s="4" t="str">
        <f>IFERROR(INDEX('Date Key'!$D$2:$D$19, MATCH(B208,'Date Key'!$B$2:$B$19, 0)), "")</f>
        <v>Upper</v>
      </c>
      <c r="W208" s="4" t="str">
        <f>IFERROR(INDEX('Date Key'!$H$2:$H$19, MATCH(B208,'Date Key'!$B$2:$B$19, 0)), "")</f>
        <v>No</v>
      </c>
      <c r="X208" s="4">
        <f t="shared" si="20"/>
        <v>0.54500000000000004</v>
      </c>
      <c r="Y208" s="4">
        <f t="shared" si="21"/>
        <v>1</v>
      </c>
    </row>
    <row r="209" spans="1:25" x14ac:dyDescent="0.35">
      <c r="A209" s="4">
        <v>10</v>
      </c>
      <c r="B209" s="41">
        <v>45250</v>
      </c>
      <c r="C209" s="4" t="s">
        <v>7</v>
      </c>
      <c r="D209" s="4">
        <v>19</v>
      </c>
      <c r="E209" s="4" t="s">
        <v>216</v>
      </c>
      <c r="F209" s="4" t="str">
        <f t="shared" si="19"/>
        <v>tank 2</v>
      </c>
      <c r="G209" s="4">
        <f>IFERROR(INDEX('Date Key'!$I$2:$I$19, MATCH(B209,'Date Key'!$B$2:$B$19, 0)), "")</f>
        <v>4</v>
      </c>
      <c r="H209" s="4">
        <v>120</v>
      </c>
      <c r="I209" s="11">
        <v>0.14549233567160302</v>
      </c>
      <c r="J209" s="11">
        <v>0.21233569261880686</v>
      </c>
      <c r="K209" s="11">
        <v>0.54143182635807663</v>
      </c>
      <c r="L209" s="11">
        <v>0.90452446906740536</v>
      </c>
      <c r="M209" s="11">
        <v>139.00478468899522</v>
      </c>
      <c r="N209" s="11">
        <v>0.89925985464848646</v>
      </c>
      <c r="O209" s="11">
        <v>0.49</v>
      </c>
      <c r="P209" s="11">
        <v>7.27</v>
      </c>
      <c r="Q209" s="11">
        <v>92.592592592592609</v>
      </c>
      <c r="R209" s="11">
        <v>33.73333333333332</v>
      </c>
      <c r="S209" s="11">
        <v>0.42935286935286932</v>
      </c>
      <c r="T209" s="4">
        <f t="shared" si="18"/>
        <v>2</v>
      </c>
      <c r="U209" s="4" t="str">
        <f>IFERROR(INDEX('Date Key'!$G$2:$G$19, MATCH(B209,'Date Key'!$B$2:$B$19, 0)), "")</f>
        <v>Yes</v>
      </c>
      <c r="V209" s="4" t="str">
        <f>IFERROR(INDEX('Date Key'!$D$2:$D$19, MATCH(B209,'Date Key'!$B$2:$B$19, 0)), "")</f>
        <v>Upper</v>
      </c>
      <c r="W209" s="4" t="str">
        <f>IFERROR(INDEX('Date Key'!$H$2:$H$19, MATCH(B209,'Date Key'!$B$2:$B$19, 0)), "")</f>
        <v>No</v>
      </c>
      <c r="X209" s="4">
        <f t="shared" si="20"/>
        <v>0.54500000000000004</v>
      </c>
      <c r="Y209" s="4">
        <f t="shared" si="21"/>
        <v>1</v>
      </c>
    </row>
    <row r="210" spans="1:25" x14ac:dyDescent="0.35">
      <c r="A210" s="4">
        <v>10</v>
      </c>
      <c r="B210" s="41">
        <v>45250</v>
      </c>
      <c r="C210" s="4" t="s">
        <v>7</v>
      </c>
      <c r="D210" s="4">
        <v>20</v>
      </c>
      <c r="E210" s="4" t="s">
        <v>217</v>
      </c>
      <c r="F210" s="4" t="str">
        <f t="shared" si="19"/>
        <v>tank 2</v>
      </c>
      <c r="G210" s="4">
        <f>IFERROR(INDEX('Date Key'!$I$2:$I$19, MATCH(B210,'Date Key'!$B$2:$B$19, 0)), "")</f>
        <v>4</v>
      </c>
      <c r="H210" s="4">
        <v>90</v>
      </c>
      <c r="I210" s="11">
        <v>0</v>
      </c>
      <c r="J210" s="11">
        <v>0.26171608625108755</v>
      </c>
      <c r="K210" s="11">
        <v>0.533037534476556</v>
      </c>
      <c r="L210" s="11">
        <v>0.95032317636195751</v>
      </c>
      <c r="M210" s="11">
        <v>139.17703349282297</v>
      </c>
      <c r="N210" s="11">
        <v>0.79475362072764355</v>
      </c>
      <c r="O210" s="11">
        <v>0.56999999999999995</v>
      </c>
      <c r="P210" s="11">
        <v>7.24</v>
      </c>
      <c r="Q210" s="11">
        <v>92.592592592592609</v>
      </c>
      <c r="R210" s="11">
        <v>33.73333333333332</v>
      </c>
      <c r="S210" s="11">
        <v>0.50871794871794873</v>
      </c>
      <c r="T210" s="4">
        <f t="shared" si="18"/>
        <v>2</v>
      </c>
      <c r="U210" s="4" t="str">
        <f>IFERROR(INDEX('Date Key'!$G$2:$G$19, MATCH(B210,'Date Key'!$B$2:$B$19, 0)), "")</f>
        <v>Yes</v>
      </c>
      <c r="V210" s="4" t="str">
        <f>IFERROR(INDEX('Date Key'!$D$2:$D$19, MATCH(B210,'Date Key'!$B$2:$B$19, 0)), "")</f>
        <v>Upper</v>
      </c>
      <c r="W210" s="4" t="str">
        <f>IFERROR(INDEX('Date Key'!$H$2:$H$19, MATCH(B210,'Date Key'!$B$2:$B$19, 0)), "")</f>
        <v>No</v>
      </c>
      <c r="X210" s="4">
        <f t="shared" si="20"/>
        <v>0.54500000000000004</v>
      </c>
      <c r="Y210" s="4">
        <f t="shared" si="21"/>
        <v>1</v>
      </c>
    </row>
    <row r="211" spans="1:25" s="27" customFormat="1" x14ac:dyDescent="0.35">
      <c r="A211" s="27">
        <v>10</v>
      </c>
      <c r="B211" s="42">
        <v>45250</v>
      </c>
      <c r="C211" s="27" t="s">
        <v>7</v>
      </c>
      <c r="D211" s="27">
        <v>21</v>
      </c>
      <c r="E211" s="27" t="s">
        <v>218</v>
      </c>
      <c r="F211" s="27" t="str">
        <f t="shared" si="19"/>
        <v>tank 2</v>
      </c>
      <c r="G211" s="27">
        <f>IFERROR(INDEX('Date Key'!$I$2:$I$19, MATCH(B211,'Date Key'!$B$2:$B$19, 0)), "")</f>
        <v>4</v>
      </c>
      <c r="H211" s="27">
        <v>60</v>
      </c>
      <c r="I211" s="28">
        <v>0</v>
      </c>
      <c r="J211" s="28">
        <v>0.27159216497754368</v>
      </c>
      <c r="K211" s="28">
        <v>0.55822041012111767</v>
      </c>
      <c r="L211" s="28">
        <v>1.2709141274238227</v>
      </c>
      <c r="M211" s="28">
        <v>132.35885167464116</v>
      </c>
      <c r="N211" s="28">
        <v>0.82981257509866135</v>
      </c>
      <c r="O211" s="28">
        <v>0.92</v>
      </c>
      <c r="P211" s="28">
        <v>7.31</v>
      </c>
      <c r="Q211" s="28">
        <v>103.21100917431194</v>
      </c>
      <c r="R211" s="28">
        <v>30.733333333333317</v>
      </c>
      <c r="S211" s="28">
        <v>0.88112332112332115</v>
      </c>
      <c r="T211" s="27">
        <f t="shared" si="18"/>
        <v>2</v>
      </c>
      <c r="U211" s="27" t="str">
        <f>IFERROR(INDEX('Date Key'!$G$2:$G$19, MATCH(B211,'Date Key'!$B$2:$B$19, 0)), "")</f>
        <v>Yes</v>
      </c>
      <c r="V211" s="27" t="str">
        <f>IFERROR(INDEX('Date Key'!$D$2:$D$19, MATCH(B211,'Date Key'!$B$2:$B$19, 0)), "")</f>
        <v>Upper</v>
      </c>
      <c r="W211" s="27" t="str">
        <f>IFERROR(INDEX('Date Key'!$H$2:$H$19, MATCH(B211,'Date Key'!$B$2:$B$19, 0)), "")</f>
        <v>No</v>
      </c>
      <c r="X211" s="27">
        <f t="shared" si="20"/>
        <v>0.54500000000000004</v>
      </c>
      <c r="Y211" s="27">
        <f t="shared" si="21"/>
        <v>1</v>
      </c>
    </row>
    <row r="212" spans="1:25" x14ac:dyDescent="0.35">
      <c r="A212" s="4">
        <v>11</v>
      </c>
      <c r="B212" s="41">
        <v>45259</v>
      </c>
      <c r="C212" s="4" t="s">
        <v>7</v>
      </c>
      <c r="D212" s="4">
        <v>1</v>
      </c>
      <c r="E212" s="4" t="s">
        <v>78</v>
      </c>
      <c r="F212" s="4" t="str">
        <f t="shared" si="19"/>
        <v>in</v>
      </c>
      <c r="G212" s="4">
        <f>IFERROR(INDEX('Date Key'!$I$2:$I$19, MATCH(B212,'Date Key'!$B$2:$B$19, 0)), "")</f>
        <v>4</v>
      </c>
      <c r="H212" s="4">
        <v>0</v>
      </c>
      <c r="I212" s="11">
        <v>0.32139577594123048</v>
      </c>
      <c r="J212" s="11">
        <v>9.0350646556875483E-2</v>
      </c>
      <c r="K212" s="11">
        <v>0.10193143897259581</v>
      </c>
      <c r="L212" s="11">
        <v>11.697890936728104</v>
      </c>
      <c r="M212" s="11">
        <v>82.289448209099703</v>
      </c>
      <c r="N212" s="11">
        <v>0.51367786147070171</v>
      </c>
      <c r="O212" s="11">
        <v>4.7699999999999996</v>
      </c>
      <c r="P212" s="11">
        <v>8.0399999999999991</v>
      </c>
      <c r="Q212" s="11">
        <v>133.92857142857144</v>
      </c>
      <c r="R212" s="11">
        <v>3.733333333333329</v>
      </c>
      <c r="S212" s="11">
        <v>1.5873015873015817E-3</v>
      </c>
      <c r="T212" s="4">
        <f t="shared" si="18"/>
        <v>0</v>
      </c>
      <c r="U212" s="4" t="str">
        <f>IFERROR(INDEX('Date Key'!$G$2:$G$19, MATCH(B212,'Date Key'!$B$2:$B$19, 0)), "")</f>
        <v>No</v>
      </c>
      <c r="V212" s="4" t="str">
        <f>IFERROR(INDEX('Date Key'!$D$2:$D$19, MATCH(B212,'Date Key'!$B$2:$B$19, 0)), "")</f>
        <v>Upper</v>
      </c>
      <c r="W212" s="4" t="str">
        <f>IFERROR(INDEX('Date Key'!$H$2:$H$19, MATCH(B212,'Date Key'!$B$2:$B$19, 0)), "")</f>
        <v>No</v>
      </c>
      <c r="X212" s="4">
        <f t="shared" si="20"/>
        <v>0.54500000000000004</v>
      </c>
      <c r="Y212" s="4">
        <f t="shared" si="21"/>
        <v>1</v>
      </c>
    </row>
    <row r="213" spans="1:25" x14ac:dyDescent="0.35">
      <c r="A213" s="4">
        <v>11</v>
      </c>
      <c r="B213" s="41">
        <v>45259</v>
      </c>
      <c r="C213" s="4" t="s">
        <v>7</v>
      </c>
      <c r="D213" s="4">
        <v>2</v>
      </c>
      <c r="E213" s="4" t="s">
        <v>219</v>
      </c>
      <c r="F213" s="4" t="str">
        <f t="shared" si="19"/>
        <v>in</v>
      </c>
      <c r="G213" s="4">
        <f>IFERROR(INDEX('Date Key'!$I$2:$I$19, MATCH(B213,'Date Key'!$B$2:$B$19, 0)), "")</f>
        <v>4</v>
      </c>
      <c r="H213" s="4">
        <v>60</v>
      </c>
      <c r="I213" s="11">
        <v>0</v>
      </c>
      <c r="J213" s="11">
        <v>0.10038960728541721</v>
      </c>
      <c r="K213" s="11">
        <v>0.80695722519971702</v>
      </c>
      <c r="L213" s="11">
        <v>7.2684780543416307</v>
      </c>
      <c r="M213" s="11">
        <v>89.840271055179088</v>
      </c>
      <c r="N213" s="11">
        <v>0.90734683248513426</v>
      </c>
      <c r="O213" s="11">
        <v>8.31</v>
      </c>
      <c r="P213" s="11">
        <v>8.14</v>
      </c>
      <c r="Q213" s="11">
        <v>113.63636363636364</v>
      </c>
      <c r="R213" s="11">
        <v>18.733333333333341</v>
      </c>
      <c r="S213" s="11">
        <v>1.192063492063492</v>
      </c>
      <c r="T213" s="4">
        <f t="shared" si="18"/>
        <v>0</v>
      </c>
      <c r="U213" s="4" t="str">
        <f>IFERROR(INDEX('Date Key'!$G$2:$G$19, MATCH(B213,'Date Key'!$B$2:$B$19, 0)), "")</f>
        <v>No</v>
      </c>
      <c r="V213" s="4" t="str">
        <f>IFERROR(INDEX('Date Key'!$D$2:$D$19, MATCH(B213,'Date Key'!$B$2:$B$19, 0)), "")</f>
        <v>Upper</v>
      </c>
      <c r="W213" s="4" t="str">
        <f>IFERROR(INDEX('Date Key'!$H$2:$H$19, MATCH(B213,'Date Key'!$B$2:$B$19, 0)), "")</f>
        <v>No</v>
      </c>
      <c r="X213" s="4">
        <f t="shared" si="20"/>
        <v>0.54500000000000004</v>
      </c>
      <c r="Y213" s="4">
        <f t="shared" si="21"/>
        <v>1</v>
      </c>
    </row>
    <row r="214" spans="1:25" x14ac:dyDescent="0.35">
      <c r="A214" s="4">
        <v>11</v>
      </c>
      <c r="B214" s="41">
        <v>45259</v>
      </c>
      <c r="C214" s="4" t="s">
        <v>7</v>
      </c>
      <c r="D214" s="4">
        <v>3</v>
      </c>
      <c r="E214" s="4" t="s">
        <v>82</v>
      </c>
      <c r="F214" s="4" t="str">
        <f t="shared" si="19"/>
        <v>in</v>
      </c>
      <c r="G214" s="4">
        <f>IFERROR(INDEX('Date Key'!$I$2:$I$19, MATCH(B214,'Date Key'!$B$2:$B$19, 0)), "")</f>
        <v>4</v>
      </c>
      <c r="H214" s="4">
        <v>180</v>
      </c>
      <c r="I214" s="11">
        <v>2.2711968166513623</v>
      </c>
      <c r="J214" s="11">
        <v>0.10540908764968807</v>
      </c>
      <c r="K214" s="11">
        <v>1.2741429871574474</v>
      </c>
      <c r="L214" s="11">
        <v>8.4700741022230677</v>
      </c>
      <c r="M214" s="11">
        <v>98.39303000968053</v>
      </c>
      <c r="N214" s="11">
        <v>3.6507488914584982</v>
      </c>
      <c r="O214" s="11">
        <v>7.12</v>
      </c>
      <c r="P214" s="11">
        <v>8.1</v>
      </c>
      <c r="Q214" s="11">
        <v>113.63636363636364</v>
      </c>
      <c r="R214" s="11">
        <v>38.399999999999991</v>
      </c>
      <c r="S214" s="11">
        <v>2.0406593406593405</v>
      </c>
      <c r="T214" s="4">
        <f t="shared" si="18"/>
        <v>0</v>
      </c>
      <c r="U214" s="4" t="str">
        <f>IFERROR(INDEX('Date Key'!$G$2:$G$19, MATCH(B214,'Date Key'!$B$2:$B$19, 0)), "")</f>
        <v>No</v>
      </c>
      <c r="V214" s="4" t="str">
        <f>IFERROR(INDEX('Date Key'!$D$2:$D$19, MATCH(B214,'Date Key'!$B$2:$B$19, 0)), "")</f>
        <v>Upper</v>
      </c>
      <c r="W214" s="4" t="str">
        <f>IFERROR(INDEX('Date Key'!$H$2:$H$19, MATCH(B214,'Date Key'!$B$2:$B$19, 0)), "")</f>
        <v>No</v>
      </c>
      <c r="X214" s="4">
        <f t="shared" si="20"/>
        <v>0.54500000000000004</v>
      </c>
      <c r="Y214" s="4">
        <f t="shared" si="21"/>
        <v>1</v>
      </c>
    </row>
    <row r="215" spans="1:25" x14ac:dyDescent="0.35">
      <c r="A215" s="4">
        <v>11</v>
      </c>
      <c r="B215" s="41">
        <v>45259</v>
      </c>
      <c r="C215" s="4" t="s">
        <v>7</v>
      </c>
      <c r="D215" s="4">
        <v>4</v>
      </c>
      <c r="E215" s="4" t="s">
        <v>81</v>
      </c>
      <c r="F215" s="4" t="str">
        <f t="shared" si="19"/>
        <v>in</v>
      </c>
      <c r="G215" s="4">
        <f>IFERROR(INDEX('Date Key'!$I$2:$I$19, MATCH(B215,'Date Key'!$B$2:$B$19, 0)), "")</f>
        <v>4</v>
      </c>
      <c r="H215" s="4">
        <v>120</v>
      </c>
      <c r="I215" s="11">
        <v>0</v>
      </c>
      <c r="J215" s="11">
        <v>0.11042856801395894</v>
      </c>
      <c r="K215" s="11">
        <v>1.2104358377995752</v>
      </c>
      <c r="L215" s="11">
        <v>8.0577617328519864</v>
      </c>
      <c r="M215" s="11">
        <v>94.574056147144248</v>
      </c>
      <c r="N215" s="11">
        <v>1.3208644058135341</v>
      </c>
      <c r="O215" s="11">
        <v>8.0500000000000007</v>
      </c>
      <c r="P215" s="11">
        <v>8.1</v>
      </c>
      <c r="Q215" s="11">
        <v>123.8738738738739</v>
      </c>
      <c r="R215" s="11">
        <v>30.399999999999981</v>
      </c>
      <c r="S215" s="11">
        <v>2.0528693528693527</v>
      </c>
      <c r="T215" s="4">
        <f t="shared" si="18"/>
        <v>0</v>
      </c>
      <c r="U215" s="4" t="str">
        <f>IFERROR(INDEX('Date Key'!$G$2:$G$19, MATCH(B215,'Date Key'!$B$2:$B$19, 0)), "")</f>
        <v>No</v>
      </c>
      <c r="V215" s="4" t="str">
        <f>IFERROR(INDEX('Date Key'!$D$2:$D$19, MATCH(B215,'Date Key'!$B$2:$B$19, 0)), "")</f>
        <v>Upper</v>
      </c>
      <c r="W215" s="4" t="str">
        <f>IFERROR(INDEX('Date Key'!$H$2:$H$19, MATCH(B215,'Date Key'!$B$2:$B$19, 0)), "")</f>
        <v>No</v>
      </c>
      <c r="X215" s="4">
        <f t="shared" si="20"/>
        <v>0.54500000000000004</v>
      </c>
      <c r="Y215" s="4">
        <f t="shared" si="21"/>
        <v>1</v>
      </c>
    </row>
    <row r="216" spans="1:25" x14ac:dyDescent="0.35">
      <c r="A216" s="4">
        <v>11</v>
      </c>
      <c r="B216" s="41">
        <v>45259</v>
      </c>
      <c r="C216" s="4" t="s">
        <v>7</v>
      </c>
      <c r="D216" s="4">
        <v>5</v>
      </c>
      <c r="E216" s="4" t="s">
        <v>79</v>
      </c>
      <c r="F216" s="4" t="str">
        <f t="shared" si="19"/>
        <v>in</v>
      </c>
      <c r="G216" s="4">
        <f>IFERROR(INDEX('Date Key'!$I$2:$I$19, MATCH(B216,'Date Key'!$B$2:$B$19, 0)), "")</f>
        <v>4</v>
      </c>
      <c r="H216" s="4">
        <v>30</v>
      </c>
      <c r="I216" s="11">
        <v>0</v>
      </c>
      <c r="J216" s="11">
        <v>0.10038960728541721</v>
      </c>
      <c r="K216" s="11">
        <v>0.98109010011123476</v>
      </c>
      <c r="L216" s="11">
        <v>7.704351130533917</v>
      </c>
      <c r="M216" s="11">
        <v>95.764762826718297</v>
      </c>
      <c r="N216" s="11">
        <v>1.081479707396652</v>
      </c>
      <c r="O216" s="11">
        <v>6.4</v>
      </c>
      <c r="P216" s="11">
        <v>8.08</v>
      </c>
      <c r="Q216" s="11">
        <v>113.63636363636364</v>
      </c>
      <c r="R216" s="11">
        <v>15.400000000000006</v>
      </c>
      <c r="S216" s="11">
        <v>0.91733821733821741</v>
      </c>
      <c r="T216" s="4">
        <f t="shared" si="18"/>
        <v>0</v>
      </c>
      <c r="U216" s="4" t="str">
        <f>IFERROR(INDEX('Date Key'!$G$2:$G$19, MATCH(B216,'Date Key'!$B$2:$B$19, 0)), "")</f>
        <v>No</v>
      </c>
      <c r="V216" s="4" t="str">
        <f>IFERROR(INDEX('Date Key'!$D$2:$D$19, MATCH(B216,'Date Key'!$B$2:$B$19, 0)), "")</f>
        <v>Upper</v>
      </c>
      <c r="W216" s="4" t="str">
        <f>IFERROR(INDEX('Date Key'!$H$2:$H$19, MATCH(B216,'Date Key'!$B$2:$B$19, 0)), "")</f>
        <v>No</v>
      </c>
      <c r="X216" s="4">
        <f t="shared" si="20"/>
        <v>0.54500000000000004</v>
      </c>
      <c r="Y216" s="4">
        <f t="shared" si="21"/>
        <v>1</v>
      </c>
    </row>
    <row r="217" spans="1:25" x14ac:dyDescent="0.35">
      <c r="A217" s="4">
        <v>11</v>
      </c>
      <c r="B217" s="41">
        <v>45259</v>
      </c>
      <c r="C217" s="4" t="s">
        <v>7</v>
      </c>
      <c r="D217" s="4">
        <v>6</v>
      </c>
      <c r="E217" s="4" t="s">
        <v>85</v>
      </c>
      <c r="F217" s="4" t="str">
        <f t="shared" si="19"/>
        <v>in</v>
      </c>
      <c r="G217" s="4">
        <f>IFERROR(INDEX('Date Key'!$I$2:$I$19, MATCH(B217,'Date Key'!$B$2:$B$19, 0)), "")</f>
        <v>4</v>
      </c>
      <c r="H217" s="4">
        <v>150</v>
      </c>
      <c r="I217" s="11">
        <v>0.32139577594123048</v>
      </c>
      <c r="J217" s="11">
        <v>0.11042856801395894</v>
      </c>
      <c r="K217" s="11">
        <v>1.2571544139953479</v>
      </c>
      <c r="L217" s="11">
        <v>8.4111723351700558</v>
      </c>
      <c r="M217" s="11">
        <v>98.654404646660197</v>
      </c>
      <c r="N217" s="11">
        <v>1.6889787579505373</v>
      </c>
      <c r="O217" s="11">
        <v>6.7</v>
      </c>
      <c r="P217" s="11">
        <v>8.09</v>
      </c>
      <c r="Q217" s="11">
        <v>113.63636363636364</v>
      </c>
      <c r="R217" s="11">
        <v>33.73333333333332</v>
      </c>
      <c r="S217" s="11">
        <v>1.8880341880341878</v>
      </c>
      <c r="T217" s="4">
        <f t="shared" si="18"/>
        <v>0</v>
      </c>
      <c r="U217" s="4" t="str">
        <f>IFERROR(INDEX('Date Key'!$G$2:$G$19, MATCH(B217,'Date Key'!$B$2:$B$19, 0)), "")</f>
        <v>No</v>
      </c>
      <c r="V217" s="4" t="str">
        <f>IFERROR(INDEX('Date Key'!$D$2:$D$19, MATCH(B217,'Date Key'!$B$2:$B$19, 0)), "")</f>
        <v>Upper</v>
      </c>
      <c r="W217" s="4" t="str">
        <f>IFERROR(INDEX('Date Key'!$H$2:$H$19, MATCH(B217,'Date Key'!$B$2:$B$19, 0)), "")</f>
        <v>No</v>
      </c>
      <c r="X217" s="4">
        <f t="shared" si="20"/>
        <v>0.54500000000000004</v>
      </c>
      <c r="Y217" s="4">
        <f t="shared" si="21"/>
        <v>1</v>
      </c>
    </row>
    <row r="218" spans="1:25" x14ac:dyDescent="0.35">
      <c r="A218" s="4">
        <v>11</v>
      </c>
      <c r="B218" s="41">
        <v>45259</v>
      </c>
      <c r="C218" s="4" t="s">
        <v>7</v>
      </c>
      <c r="D218" s="4">
        <v>7</v>
      </c>
      <c r="E218" s="4" t="s">
        <v>77</v>
      </c>
      <c r="F218" s="4" t="str">
        <f t="shared" si="19"/>
        <v>in</v>
      </c>
      <c r="G218" s="4">
        <f>IFERROR(INDEX('Date Key'!$I$2:$I$19, MATCH(B218,'Date Key'!$B$2:$B$19, 0)), "")</f>
        <v>4</v>
      </c>
      <c r="H218" s="4">
        <v>90</v>
      </c>
      <c r="I218" s="11">
        <v>0.59993878175696358</v>
      </c>
      <c r="J218" s="11">
        <v>0.11042856801395894</v>
      </c>
      <c r="K218" s="11">
        <v>1.09151582566488</v>
      </c>
      <c r="L218" s="11">
        <v>8.364050921527646</v>
      </c>
      <c r="M218" s="11">
        <v>96.519845111326248</v>
      </c>
      <c r="N218" s="11">
        <v>1.8018831754358025</v>
      </c>
      <c r="O218" s="11">
        <v>8.14</v>
      </c>
      <c r="P218" s="11">
        <v>8.1300000000000008</v>
      </c>
      <c r="Q218" s="11">
        <v>123.8738738738739</v>
      </c>
      <c r="R218" s="11">
        <v>27.733333333333313</v>
      </c>
      <c r="S218" s="11">
        <v>1.4240537240537239</v>
      </c>
      <c r="T218" s="4">
        <f t="shared" si="18"/>
        <v>0</v>
      </c>
      <c r="U218" s="4" t="str">
        <f>IFERROR(INDEX('Date Key'!$G$2:$G$19, MATCH(B218,'Date Key'!$B$2:$B$19, 0)), "")</f>
        <v>No</v>
      </c>
      <c r="V218" s="4" t="str">
        <f>IFERROR(INDEX('Date Key'!$D$2:$D$19, MATCH(B218,'Date Key'!$B$2:$B$19, 0)), "")</f>
        <v>Upper</v>
      </c>
      <c r="W218" s="4" t="str">
        <f>IFERROR(INDEX('Date Key'!$H$2:$H$19, MATCH(B218,'Date Key'!$B$2:$B$19, 0)), "")</f>
        <v>No</v>
      </c>
      <c r="X218" s="4">
        <f t="shared" si="20"/>
        <v>0.54500000000000004</v>
      </c>
      <c r="Y218" s="4">
        <f t="shared" si="21"/>
        <v>1</v>
      </c>
    </row>
    <row r="219" spans="1:25" x14ac:dyDescent="0.35">
      <c r="A219" s="4">
        <v>11</v>
      </c>
      <c r="B219" s="41">
        <v>45259</v>
      </c>
      <c r="C219" s="4" t="s">
        <v>7</v>
      </c>
      <c r="D219" s="4">
        <v>8</v>
      </c>
      <c r="E219" s="4" t="s">
        <v>84</v>
      </c>
      <c r="F219" s="4" t="str">
        <f t="shared" si="19"/>
        <v>tank 1</v>
      </c>
      <c r="G219" s="4">
        <f>IFERROR(INDEX('Date Key'!$I$2:$I$19, MATCH(B219,'Date Key'!$B$2:$B$19, 0)), "")</f>
        <v>4</v>
      </c>
      <c r="H219" s="4">
        <v>180</v>
      </c>
      <c r="I219" s="11">
        <v>0</v>
      </c>
      <c r="J219" s="11">
        <v>0.21081817529937613</v>
      </c>
      <c r="K219" s="11">
        <v>0.49266862170087983</v>
      </c>
      <c r="L219" s="11">
        <v>7.8692760782823488</v>
      </c>
      <c r="M219" s="11">
        <v>99.249757986447236</v>
      </c>
      <c r="N219" s="11">
        <v>0.70348679700025596</v>
      </c>
      <c r="O219" s="11">
        <v>0.93</v>
      </c>
      <c r="P219" s="11">
        <v>7.58</v>
      </c>
      <c r="Q219" s="11">
        <v>113.63636363636364</v>
      </c>
      <c r="R219" s="11">
        <v>30.066666666666649</v>
      </c>
      <c r="S219" s="11">
        <v>1.192063492063492</v>
      </c>
      <c r="T219" s="4">
        <f t="shared" si="18"/>
        <v>1</v>
      </c>
      <c r="U219" s="4" t="str">
        <f>IFERROR(INDEX('Date Key'!$G$2:$G$19, MATCH(B219,'Date Key'!$B$2:$B$19, 0)), "")</f>
        <v>No</v>
      </c>
      <c r="V219" s="4" t="str">
        <f>IFERROR(INDEX('Date Key'!$D$2:$D$19, MATCH(B219,'Date Key'!$B$2:$B$19, 0)), "")</f>
        <v>Upper</v>
      </c>
      <c r="W219" s="4" t="str">
        <f>IFERROR(INDEX('Date Key'!$H$2:$H$19, MATCH(B219,'Date Key'!$B$2:$B$19, 0)), "")</f>
        <v>No</v>
      </c>
      <c r="X219" s="4">
        <f t="shared" si="20"/>
        <v>0.54500000000000004</v>
      </c>
      <c r="Y219" s="4">
        <f t="shared" si="21"/>
        <v>1</v>
      </c>
    </row>
    <row r="220" spans="1:25" x14ac:dyDescent="0.35">
      <c r="A220" s="4">
        <v>11</v>
      </c>
      <c r="B220" s="41">
        <v>45259</v>
      </c>
      <c r="C220" s="4" t="s">
        <v>7</v>
      </c>
      <c r="D220" s="4">
        <v>9</v>
      </c>
      <c r="E220" s="4" t="s">
        <v>90</v>
      </c>
      <c r="F220" s="4" t="str">
        <f t="shared" si="19"/>
        <v>tank 1</v>
      </c>
      <c r="G220" s="4">
        <f>IFERROR(INDEX('Date Key'!$I$2:$I$19, MATCH(B220,'Date Key'!$B$2:$B$19, 0)), "")</f>
        <v>4</v>
      </c>
      <c r="H220" s="4">
        <v>30</v>
      </c>
      <c r="I220" s="11">
        <v>0.29996939087848179</v>
      </c>
      <c r="J220" s="11">
        <v>0.10038960728541721</v>
      </c>
      <c r="K220" s="11">
        <v>3.822428961472342E-2</v>
      </c>
      <c r="L220" s="11">
        <v>7.3391601748052455</v>
      </c>
      <c r="M220" s="11">
        <v>102.60406582768636</v>
      </c>
      <c r="N220" s="11">
        <v>0.43858328777862238</v>
      </c>
      <c r="O220" s="11">
        <v>0.86</v>
      </c>
      <c r="P220" s="11">
        <v>7.16</v>
      </c>
      <c r="Q220" s="11">
        <v>133.92857142857144</v>
      </c>
      <c r="R220" s="11">
        <v>15.066666666666672</v>
      </c>
      <c r="S220" s="11">
        <v>0.35567765567765564</v>
      </c>
      <c r="T220" s="4">
        <f t="shared" si="18"/>
        <v>1</v>
      </c>
      <c r="U220" s="4" t="str">
        <f>IFERROR(INDEX('Date Key'!$G$2:$G$19, MATCH(B220,'Date Key'!$B$2:$B$19, 0)), "")</f>
        <v>No</v>
      </c>
      <c r="V220" s="4" t="str">
        <f>IFERROR(INDEX('Date Key'!$D$2:$D$19, MATCH(B220,'Date Key'!$B$2:$B$19, 0)), "")</f>
        <v>Upper</v>
      </c>
      <c r="W220" s="4" t="str">
        <f>IFERROR(INDEX('Date Key'!$H$2:$H$19, MATCH(B220,'Date Key'!$B$2:$B$19, 0)), "")</f>
        <v>No</v>
      </c>
      <c r="X220" s="4">
        <f t="shared" si="20"/>
        <v>0.54500000000000004</v>
      </c>
      <c r="Y220" s="4">
        <f t="shared" si="21"/>
        <v>1</v>
      </c>
    </row>
    <row r="221" spans="1:25" x14ac:dyDescent="0.35">
      <c r="A221" s="4">
        <v>11</v>
      </c>
      <c r="B221" s="41">
        <v>45259</v>
      </c>
      <c r="C221" s="4" t="s">
        <v>7</v>
      </c>
      <c r="D221" s="4">
        <v>10</v>
      </c>
      <c r="E221" s="4" t="s">
        <v>86</v>
      </c>
      <c r="F221" s="4" t="str">
        <f t="shared" si="19"/>
        <v>tank 1</v>
      </c>
      <c r="G221" s="4">
        <f>IFERROR(INDEX('Date Key'!$I$2:$I$19, MATCH(B221,'Date Key'!$B$2:$B$19, 0)), "")</f>
        <v>4</v>
      </c>
      <c r="H221" s="4">
        <v>120</v>
      </c>
      <c r="I221" s="11">
        <v>0.14998469543924089</v>
      </c>
      <c r="J221" s="11">
        <v>0.10540908764968807</v>
      </c>
      <c r="K221" s="11">
        <v>0.15714430174941849</v>
      </c>
      <c r="L221" s="11">
        <v>7.1271138134144021</v>
      </c>
      <c r="M221" s="11">
        <v>94.980638915779281</v>
      </c>
      <c r="N221" s="11">
        <v>0.41253808483834742</v>
      </c>
      <c r="O221" s="11">
        <v>1.3</v>
      </c>
      <c r="P221" s="11">
        <v>7.33</v>
      </c>
      <c r="Q221" s="11">
        <v>123.8738738738739</v>
      </c>
      <c r="R221" s="11">
        <v>18.733333333333341</v>
      </c>
      <c r="S221" s="11">
        <v>0.75250305250305249</v>
      </c>
      <c r="T221" s="4">
        <f t="shared" si="18"/>
        <v>1</v>
      </c>
      <c r="U221" s="4" t="str">
        <f>IFERROR(INDEX('Date Key'!$G$2:$G$19, MATCH(B221,'Date Key'!$B$2:$B$19, 0)), "")</f>
        <v>No</v>
      </c>
      <c r="V221" s="4" t="str">
        <f>IFERROR(INDEX('Date Key'!$D$2:$D$19, MATCH(B221,'Date Key'!$B$2:$B$19, 0)), "")</f>
        <v>Upper</v>
      </c>
      <c r="W221" s="4" t="str">
        <f>IFERROR(INDEX('Date Key'!$H$2:$H$19, MATCH(B221,'Date Key'!$B$2:$B$19, 0)), "")</f>
        <v>No</v>
      </c>
      <c r="X221" s="4">
        <f t="shared" si="20"/>
        <v>0.54500000000000004</v>
      </c>
      <c r="Y221" s="4">
        <f t="shared" si="21"/>
        <v>1</v>
      </c>
    </row>
    <row r="222" spans="1:25" x14ac:dyDescent="0.35">
      <c r="A222" s="4">
        <v>11</v>
      </c>
      <c r="B222" s="41">
        <v>45259</v>
      </c>
      <c r="C222" s="4" t="s">
        <v>7</v>
      </c>
      <c r="D222" s="4">
        <v>11</v>
      </c>
      <c r="E222" s="4" t="s">
        <v>93</v>
      </c>
      <c r="F222" s="4" t="str">
        <f t="shared" si="19"/>
        <v>tank 1</v>
      </c>
      <c r="G222" s="4">
        <f>IFERROR(INDEX('Date Key'!$I$2:$I$19, MATCH(B222,'Date Key'!$B$2:$B$19, 0)), "")</f>
        <v>4</v>
      </c>
      <c r="H222" s="4">
        <v>150</v>
      </c>
      <c r="I222" s="11">
        <v>0.2785430058157331</v>
      </c>
      <c r="J222" s="11">
        <v>0.20077921457083442</v>
      </c>
      <c r="K222" s="11">
        <v>0.29305288704621302</v>
      </c>
      <c r="L222" s="11">
        <v>7.5394261827854843</v>
      </c>
      <c r="M222" s="11">
        <v>102.63310745401742</v>
      </c>
      <c r="N222" s="11">
        <v>0.77237510743278048</v>
      </c>
      <c r="O222" s="11">
        <v>0.72</v>
      </c>
      <c r="P222" s="11">
        <v>7.48</v>
      </c>
      <c r="Q222" s="11">
        <v>123.8738738738739</v>
      </c>
      <c r="R222" s="11">
        <v>22.733333333333309</v>
      </c>
      <c r="S222" s="11">
        <v>1.0089133089133089</v>
      </c>
      <c r="T222" s="4">
        <f t="shared" si="18"/>
        <v>1</v>
      </c>
      <c r="U222" s="4" t="str">
        <f>IFERROR(INDEX('Date Key'!$G$2:$G$19, MATCH(B222,'Date Key'!$B$2:$B$19, 0)), "")</f>
        <v>No</v>
      </c>
      <c r="V222" s="4" t="str">
        <f>IFERROR(INDEX('Date Key'!$D$2:$D$19, MATCH(B222,'Date Key'!$B$2:$B$19, 0)), "")</f>
        <v>Upper</v>
      </c>
      <c r="W222" s="4" t="str">
        <f>IFERROR(INDEX('Date Key'!$H$2:$H$19, MATCH(B222,'Date Key'!$B$2:$B$19, 0)), "")</f>
        <v>No</v>
      </c>
      <c r="X222" s="4">
        <f t="shared" si="20"/>
        <v>0.54500000000000004</v>
      </c>
      <c r="Y222" s="4">
        <f t="shared" si="21"/>
        <v>1</v>
      </c>
    </row>
    <row r="223" spans="1:25" x14ac:dyDescent="0.35">
      <c r="A223" s="4">
        <v>11</v>
      </c>
      <c r="B223" s="41">
        <v>45259</v>
      </c>
      <c r="C223" s="4" t="s">
        <v>7</v>
      </c>
      <c r="D223" s="4">
        <v>12</v>
      </c>
      <c r="E223" s="4" t="s">
        <v>89</v>
      </c>
      <c r="F223" s="4" t="str">
        <f t="shared" si="19"/>
        <v>tank 1</v>
      </c>
      <c r="G223" s="4">
        <f>IFERROR(INDEX('Date Key'!$I$2:$I$19, MATCH(B223,'Date Key'!$B$2:$B$19, 0)), "")</f>
        <v>4</v>
      </c>
      <c r="H223" s="4">
        <v>60</v>
      </c>
      <c r="I223" s="11">
        <v>0.25711662075298441</v>
      </c>
      <c r="J223" s="11">
        <v>9.5370126921146339E-2</v>
      </c>
      <c r="K223" s="11">
        <v>3.822428961472342E-2</v>
      </c>
      <c r="L223" s="11">
        <v>6.9268478054341633</v>
      </c>
      <c r="M223" s="11">
        <v>103.28654404646662</v>
      </c>
      <c r="N223" s="11">
        <v>0.39071103728885415</v>
      </c>
      <c r="O223" s="11">
        <v>0.91</v>
      </c>
      <c r="P223" s="11">
        <v>7.16</v>
      </c>
      <c r="Q223" s="11">
        <v>123.8738738738739</v>
      </c>
      <c r="R223" s="11">
        <v>9.4</v>
      </c>
      <c r="S223" s="11">
        <v>0.34346764346764347</v>
      </c>
      <c r="T223" s="4">
        <f t="shared" si="18"/>
        <v>1</v>
      </c>
      <c r="U223" s="4" t="str">
        <f>IFERROR(INDEX('Date Key'!$G$2:$G$19, MATCH(B223,'Date Key'!$B$2:$B$19, 0)), "")</f>
        <v>No</v>
      </c>
      <c r="V223" s="4" t="str">
        <f>IFERROR(INDEX('Date Key'!$D$2:$D$19, MATCH(B223,'Date Key'!$B$2:$B$19, 0)), "")</f>
        <v>Upper</v>
      </c>
      <c r="W223" s="4" t="str">
        <f>IFERROR(INDEX('Date Key'!$H$2:$H$19, MATCH(B223,'Date Key'!$B$2:$B$19, 0)), "")</f>
        <v>No</v>
      </c>
      <c r="X223" s="4">
        <f t="shared" si="20"/>
        <v>0.54500000000000004</v>
      </c>
      <c r="Y223" s="4">
        <f t="shared" si="21"/>
        <v>1</v>
      </c>
    </row>
    <row r="224" spans="1:25" x14ac:dyDescent="0.35">
      <c r="A224" s="4">
        <v>11</v>
      </c>
      <c r="B224" s="41">
        <v>45259</v>
      </c>
      <c r="C224" s="4" t="s">
        <v>7</v>
      </c>
      <c r="D224" s="4">
        <v>13</v>
      </c>
      <c r="E224" s="4" t="s">
        <v>94</v>
      </c>
      <c r="F224" s="4" t="str">
        <f t="shared" si="19"/>
        <v>tank 2</v>
      </c>
      <c r="G224" s="4">
        <f>IFERROR(INDEX('Date Key'!$I$2:$I$19, MATCH(B224,'Date Key'!$B$2:$B$19, 0)), "")</f>
        <v>4</v>
      </c>
      <c r="H224" s="4">
        <v>150</v>
      </c>
      <c r="I224" s="11">
        <v>0.64279155188246095</v>
      </c>
      <c r="J224" s="11">
        <v>8.031168582833377E-2</v>
      </c>
      <c r="K224" s="11">
        <v>0.7814743654565679</v>
      </c>
      <c r="L224" s="11">
        <v>6.9504085122553674</v>
      </c>
      <c r="M224" s="11">
        <v>94.719264278799599</v>
      </c>
      <c r="N224" s="11">
        <v>1.5045776031673626</v>
      </c>
      <c r="O224" s="11">
        <v>1.5</v>
      </c>
      <c r="P224" s="11">
        <v>7.46</v>
      </c>
      <c r="Q224" s="11">
        <v>113.63636363636364</v>
      </c>
      <c r="R224" s="11">
        <v>20.066666666666638</v>
      </c>
      <c r="S224" s="11">
        <v>0.90512820512820502</v>
      </c>
      <c r="T224" s="4">
        <f t="shared" si="18"/>
        <v>2</v>
      </c>
      <c r="U224" s="4" t="str">
        <f>IFERROR(INDEX('Date Key'!$G$2:$G$19, MATCH(B224,'Date Key'!$B$2:$B$19, 0)), "")</f>
        <v>No</v>
      </c>
      <c r="V224" s="4" t="str">
        <f>IFERROR(INDEX('Date Key'!$D$2:$D$19, MATCH(B224,'Date Key'!$B$2:$B$19, 0)), "")</f>
        <v>Upper</v>
      </c>
      <c r="W224" s="4" t="str">
        <f>IFERROR(INDEX('Date Key'!$H$2:$H$19, MATCH(B224,'Date Key'!$B$2:$B$19, 0)), "")</f>
        <v>No</v>
      </c>
      <c r="X224" s="4">
        <f t="shared" si="20"/>
        <v>0.54500000000000004</v>
      </c>
      <c r="Y224" s="4">
        <f t="shared" si="21"/>
        <v>1</v>
      </c>
    </row>
    <row r="225" spans="1:25" x14ac:dyDescent="0.35">
      <c r="A225" s="4">
        <v>11</v>
      </c>
      <c r="B225" s="41">
        <v>45259</v>
      </c>
      <c r="C225" s="4" t="s">
        <v>7</v>
      </c>
      <c r="D225" s="4">
        <v>14</v>
      </c>
      <c r="E225" s="4" t="s">
        <v>80</v>
      </c>
      <c r="F225" s="4" t="str">
        <f t="shared" si="19"/>
        <v>tank 1</v>
      </c>
      <c r="G225" s="4">
        <f>IFERROR(INDEX('Date Key'!$I$2:$I$19, MATCH(B225,'Date Key'!$B$2:$B$19, 0)), "")</f>
        <v>4</v>
      </c>
      <c r="H225" s="4">
        <v>90</v>
      </c>
      <c r="I225" s="11">
        <v>0.14998469543924089</v>
      </c>
      <c r="J225" s="11">
        <v>9.0350646556875483E-2</v>
      </c>
      <c r="K225" s="11">
        <v>0.17413287491151785</v>
      </c>
      <c r="L225" s="11">
        <v>6.4438533155994699</v>
      </c>
      <c r="M225" s="11">
        <v>88.41723136495645</v>
      </c>
      <c r="N225" s="11">
        <v>0.41446821690763425</v>
      </c>
      <c r="O225" s="11">
        <v>0.99</v>
      </c>
      <c r="P225" s="11">
        <v>7.3</v>
      </c>
      <c r="Q225" s="11">
        <v>123.8738738738739</v>
      </c>
      <c r="R225" s="11">
        <v>11.400000000000002</v>
      </c>
      <c r="S225" s="11">
        <v>0.55103785103785108</v>
      </c>
      <c r="T225" s="4">
        <f t="shared" si="18"/>
        <v>1</v>
      </c>
      <c r="U225" s="4" t="str">
        <f>IFERROR(INDEX('Date Key'!$G$2:$G$19, MATCH(B225,'Date Key'!$B$2:$B$19, 0)), "")</f>
        <v>No</v>
      </c>
      <c r="V225" s="4" t="str">
        <f>IFERROR(INDEX('Date Key'!$D$2:$D$19, MATCH(B225,'Date Key'!$B$2:$B$19, 0)), "")</f>
        <v>Upper</v>
      </c>
      <c r="W225" s="4" t="str">
        <f>IFERROR(INDEX('Date Key'!$H$2:$H$19, MATCH(B225,'Date Key'!$B$2:$B$19, 0)), "")</f>
        <v>No</v>
      </c>
      <c r="X225" s="4">
        <f t="shared" si="20"/>
        <v>0.54500000000000004</v>
      </c>
      <c r="Y225" s="4">
        <f t="shared" si="21"/>
        <v>1</v>
      </c>
    </row>
    <row r="226" spans="1:25" x14ac:dyDescent="0.35">
      <c r="A226" s="4">
        <v>11</v>
      </c>
      <c r="B226" s="41">
        <v>45259</v>
      </c>
      <c r="C226" s="4" t="s">
        <v>7</v>
      </c>
      <c r="D226" s="4">
        <v>15</v>
      </c>
      <c r="E226" s="4" t="s">
        <v>83</v>
      </c>
      <c r="F226" s="4" t="str">
        <f t="shared" si="19"/>
        <v>tank 1</v>
      </c>
      <c r="G226" s="4">
        <f>IFERROR(INDEX('Date Key'!$I$2:$I$19, MATCH(B226,'Date Key'!$B$2:$B$19, 0)), "")</f>
        <v>4</v>
      </c>
      <c r="H226" s="4">
        <v>0</v>
      </c>
      <c r="I226" s="11">
        <v>0.14998469543924089</v>
      </c>
      <c r="J226" s="11">
        <v>0.10540908764968807</v>
      </c>
      <c r="K226" s="11">
        <v>3.3977146324198612E-2</v>
      </c>
      <c r="L226" s="11">
        <v>6.6087782633479017</v>
      </c>
      <c r="M226" s="11">
        <v>98.654404646660197</v>
      </c>
      <c r="N226" s="11">
        <v>0.28937092941312759</v>
      </c>
      <c r="O226" s="11">
        <v>0.96</v>
      </c>
      <c r="P226" s="11">
        <v>7.22</v>
      </c>
      <c r="Q226" s="11">
        <v>123.8738738738739</v>
      </c>
      <c r="R226" s="11">
        <v>14.733333333333338</v>
      </c>
      <c r="S226" s="11">
        <v>0.36788766788766791</v>
      </c>
      <c r="T226" s="4">
        <f t="shared" si="18"/>
        <v>1</v>
      </c>
      <c r="U226" s="4" t="str">
        <f>IFERROR(INDEX('Date Key'!$G$2:$G$19, MATCH(B226,'Date Key'!$B$2:$B$19, 0)), "")</f>
        <v>No</v>
      </c>
      <c r="V226" s="4" t="str">
        <f>IFERROR(INDEX('Date Key'!$D$2:$D$19, MATCH(B226,'Date Key'!$B$2:$B$19, 0)), "")</f>
        <v>Upper</v>
      </c>
      <c r="W226" s="4" t="str">
        <f>IFERROR(INDEX('Date Key'!$H$2:$H$19, MATCH(B226,'Date Key'!$B$2:$B$19, 0)), "")</f>
        <v>No</v>
      </c>
      <c r="X226" s="4">
        <f t="shared" si="20"/>
        <v>0.54500000000000004</v>
      </c>
      <c r="Y226" s="4">
        <f t="shared" si="21"/>
        <v>1</v>
      </c>
    </row>
    <row r="227" spans="1:25" x14ac:dyDescent="0.35">
      <c r="A227" s="4">
        <v>11</v>
      </c>
      <c r="B227" s="41">
        <v>45259</v>
      </c>
      <c r="C227" s="4" t="s">
        <v>7</v>
      </c>
      <c r="D227" s="4">
        <v>16</v>
      </c>
      <c r="E227" s="4" t="s">
        <v>88</v>
      </c>
      <c r="F227" s="4" t="str">
        <f t="shared" si="19"/>
        <v>tank 2</v>
      </c>
      <c r="G227" s="4">
        <f>IFERROR(INDEX('Date Key'!$I$2:$I$19, MATCH(B227,'Date Key'!$B$2:$B$19, 0)), "")</f>
        <v>4</v>
      </c>
      <c r="H227" s="4">
        <v>90</v>
      </c>
      <c r="I227" s="11">
        <v>0.68564432200795844</v>
      </c>
      <c r="J227" s="11">
        <v>9.0350646556875483E-2</v>
      </c>
      <c r="K227" s="11">
        <v>0.41622004247143296</v>
      </c>
      <c r="L227" s="11">
        <v>6.5263157894736858</v>
      </c>
      <c r="M227" s="11">
        <v>86.602129719264298</v>
      </c>
      <c r="N227" s="11">
        <v>1.192215011036267</v>
      </c>
      <c r="O227" s="11">
        <v>0.9</v>
      </c>
      <c r="P227" s="11">
        <v>7.35</v>
      </c>
      <c r="Q227" s="11">
        <v>113.63636363636364</v>
      </c>
      <c r="R227" s="11">
        <v>19.400000000000009</v>
      </c>
      <c r="S227" s="11">
        <v>0.7952380952380953</v>
      </c>
      <c r="T227" s="4">
        <f t="shared" si="18"/>
        <v>2</v>
      </c>
      <c r="U227" s="4" t="str">
        <f>IFERROR(INDEX('Date Key'!$G$2:$G$19, MATCH(B227,'Date Key'!$B$2:$B$19, 0)), "")</f>
        <v>No</v>
      </c>
      <c r="V227" s="4" t="str">
        <f>IFERROR(INDEX('Date Key'!$D$2:$D$19, MATCH(B227,'Date Key'!$B$2:$B$19, 0)), "")</f>
        <v>Upper</v>
      </c>
      <c r="W227" s="4" t="str">
        <f>IFERROR(INDEX('Date Key'!$H$2:$H$19, MATCH(B227,'Date Key'!$B$2:$B$19, 0)), "")</f>
        <v>No</v>
      </c>
      <c r="X227" s="4">
        <f t="shared" si="20"/>
        <v>0.54500000000000004</v>
      </c>
      <c r="Y227" s="4">
        <f t="shared" si="21"/>
        <v>1</v>
      </c>
    </row>
    <row r="228" spans="1:25" x14ac:dyDescent="0.35">
      <c r="A228" s="4">
        <v>11</v>
      </c>
      <c r="B228" s="41">
        <v>45259</v>
      </c>
      <c r="C228" s="4" t="s">
        <v>7</v>
      </c>
      <c r="D228" s="4">
        <v>17</v>
      </c>
      <c r="E228" s="4" t="s">
        <v>95</v>
      </c>
      <c r="F228" s="4" t="str">
        <f t="shared" si="19"/>
        <v>tank 2</v>
      </c>
      <c r="G228" s="4">
        <f>IFERROR(INDEX('Date Key'!$I$2:$I$19, MATCH(B228,'Date Key'!$B$2:$B$19, 0)), "")</f>
        <v>4</v>
      </c>
      <c r="H228" s="4">
        <v>120</v>
      </c>
      <c r="I228" s="11">
        <v>0</v>
      </c>
      <c r="J228" s="11">
        <v>0.10540908764968807</v>
      </c>
      <c r="K228" s="11">
        <v>0.60309434725452515</v>
      </c>
      <c r="L228" s="11">
        <v>6.5263157894736858</v>
      </c>
      <c r="M228" s="11">
        <v>87.023233301064849</v>
      </c>
      <c r="N228" s="11">
        <v>0.70850343490421319</v>
      </c>
      <c r="O228" s="11">
        <v>1.1299999999999999</v>
      </c>
      <c r="P228" s="11">
        <v>7.39</v>
      </c>
      <c r="Q228" s="11">
        <v>113.63636363636364</v>
      </c>
      <c r="R228" s="11">
        <v>17.733333333333341</v>
      </c>
      <c r="S228" s="11">
        <v>0.72808302808302816</v>
      </c>
      <c r="T228" s="4">
        <f t="shared" si="18"/>
        <v>2</v>
      </c>
      <c r="U228" s="4" t="str">
        <f>IFERROR(INDEX('Date Key'!$G$2:$G$19, MATCH(B228,'Date Key'!$B$2:$B$19, 0)), "")</f>
        <v>No</v>
      </c>
      <c r="V228" s="4" t="str">
        <f>IFERROR(INDEX('Date Key'!$D$2:$D$19, MATCH(B228,'Date Key'!$B$2:$B$19, 0)), "")</f>
        <v>Upper</v>
      </c>
      <c r="W228" s="4" t="str">
        <f>IFERROR(INDEX('Date Key'!$H$2:$H$19, MATCH(B228,'Date Key'!$B$2:$B$19, 0)), "")</f>
        <v>No</v>
      </c>
      <c r="X228" s="4">
        <f t="shared" si="20"/>
        <v>0.54500000000000004</v>
      </c>
      <c r="Y228" s="4">
        <f t="shared" si="21"/>
        <v>1</v>
      </c>
    </row>
    <row r="229" spans="1:25" x14ac:dyDescent="0.35">
      <c r="A229" s="4">
        <v>11</v>
      </c>
      <c r="B229" s="41">
        <v>45259</v>
      </c>
      <c r="C229" s="4" t="s">
        <v>7</v>
      </c>
      <c r="D229" s="4">
        <v>18</v>
      </c>
      <c r="E229" s="4" t="s">
        <v>87</v>
      </c>
      <c r="F229" s="4" t="str">
        <f t="shared" si="19"/>
        <v>tank 2</v>
      </c>
      <c r="G229" s="4">
        <f>IFERROR(INDEX('Date Key'!$I$2:$I$19, MATCH(B229,'Date Key'!$B$2:$B$19, 0)), "")</f>
        <v>4</v>
      </c>
      <c r="H229" s="4">
        <v>180</v>
      </c>
      <c r="I229" s="11">
        <v>0.29996939087848179</v>
      </c>
      <c r="J229" s="11">
        <v>9.5370126921146339E-2</v>
      </c>
      <c r="K229" s="11">
        <v>0.95136009707756086</v>
      </c>
      <c r="L229" s="11">
        <v>7.4687440623218695</v>
      </c>
      <c r="M229" s="11">
        <v>97.071636011616647</v>
      </c>
      <c r="N229" s="11">
        <v>1.346699614877189</v>
      </c>
      <c r="O229" s="11">
        <v>1.83</v>
      </c>
      <c r="P229" s="11">
        <v>7.52</v>
      </c>
      <c r="Q229" s="11">
        <v>103.21100917431194</v>
      </c>
      <c r="R229" s="11">
        <v>25.733333333333313</v>
      </c>
      <c r="S229" s="11">
        <v>1.0211233211233213</v>
      </c>
      <c r="T229" s="4">
        <f t="shared" si="18"/>
        <v>2</v>
      </c>
      <c r="U229" s="4" t="str">
        <f>IFERROR(INDEX('Date Key'!$G$2:$G$19, MATCH(B229,'Date Key'!$B$2:$B$19, 0)), "")</f>
        <v>No</v>
      </c>
      <c r="V229" s="4" t="str">
        <f>IFERROR(INDEX('Date Key'!$D$2:$D$19, MATCH(B229,'Date Key'!$B$2:$B$19, 0)), "")</f>
        <v>Upper</v>
      </c>
      <c r="W229" s="4" t="str">
        <f>IFERROR(INDEX('Date Key'!$H$2:$H$19, MATCH(B229,'Date Key'!$B$2:$B$19, 0)), "")</f>
        <v>No</v>
      </c>
      <c r="X229" s="4">
        <f t="shared" si="20"/>
        <v>0.54500000000000004</v>
      </c>
      <c r="Y229" s="4">
        <f t="shared" si="21"/>
        <v>1</v>
      </c>
    </row>
    <row r="230" spans="1:25" x14ac:dyDescent="0.35">
      <c r="A230" s="4">
        <v>11</v>
      </c>
      <c r="B230" s="41">
        <v>45259</v>
      </c>
      <c r="C230" s="4" t="s">
        <v>7</v>
      </c>
      <c r="D230" s="4">
        <v>19</v>
      </c>
      <c r="E230" s="4" t="s">
        <v>220</v>
      </c>
      <c r="F230" s="4" t="str">
        <f t="shared" si="19"/>
        <v>tank 2</v>
      </c>
      <c r="G230" s="4">
        <f>IFERROR(INDEX('Date Key'!$I$2:$I$19, MATCH(B230,'Date Key'!$B$2:$B$19, 0)), "")</f>
        <v>4</v>
      </c>
      <c r="H230" s="4">
        <v>30</v>
      </c>
      <c r="I230" s="11">
        <v>1.6284052647689009</v>
      </c>
      <c r="J230" s="11">
        <v>0.11042856801395894</v>
      </c>
      <c r="K230" s="11">
        <v>4.6718576195773083E-2</v>
      </c>
      <c r="L230" s="11">
        <v>7.716131483944519</v>
      </c>
      <c r="M230" s="11">
        <v>54.394966118102609</v>
      </c>
      <c r="N230" s="11">
        <v>1.785552408978633</v>
      </c>
      <c r="O230" s="11">
        <v>0.96</v>
      </c>
      <c r="P230" s="11">
        <v>7.24</v>
      </c>
      <c r="Q230" s="11">
        <v>163.04347826086959</v>
      </c>
      <c r="R230" s="11">
        <v>17.733333333333341</v>
      </c>
      <c r="S230" s="11">
        <v>1.1615384615384616</v>
      </c>
      <c r="T230" s="4">
        <f t="shared" si="18"/>
        <v>2</v>
      </c>
      <c r="U230" s="4" t="str">
        <f>IFERROR(INDEX('Date Key'!$G$2:$G$19, MATCH(B230,'Date Key'!$B$2:$B$19, 0)), "")</f>
        <v>No</v>
      </c>
      <c r="V230" s="4" t="str">
        <f>IFERROR(INDEX('Date Key'!$D$2:$D$19, MATCH(B230,'Date Key'!$B$2:$B$19, 0)), "")</f>
        <v>Upper</v>
      </c>
      <c r="W230" s="4" t="str">
        <f>IFERROR(INDEX('Date Key'!$H$2:$H$19, MATCH(B230,'Date Key'!$B$2:$B$19, 0)), "")</f>
        <v>No</v>
      </c>
      <c r="X230" s="4">
        <f t="shared" si="20"/>
        <v>0.54500000000000004</v>
      </c>
      <c r="Y230" s="4">
        <f t="shared" si="21"/>
        <v>1</v>
      </c>
    </row>
    <row r="231" spans="1:25" x14ac:dyDescent="0.35">
      <c r="A231" s="4">
        <v>11</v>
      </c>
      <c r="B231" s="41">
        <v>45259</v>
      </c>
      <c r="C231" s="4" t="s">
        <v>7</v>
      </c>
      <c r="D231" s="4">
        <v>20</v>
      </c>
      <c r="E231" s="4" t="s">
        <v>91</v>
      </c>
      <c r="F231" s="4" t="str">
        <f t="shared" si="19"/>
        <v>tank 2</v>
      </c>
      <c r="G231" s="4">
        <f>IFERROR(INDEX('Date Key'!$I$2:$I$19, MATCH(B231,'Date Key'!$B$2:$B$19, 0)), "")</f>
        <v>4</v>
      </c>
      <c r="H231" s="4">
        <v>60</v>
      </c>
      <c r="I231" s="11">
        <v>0.32139577594123048</v>
      </c>
      <c r="J231" s="11">
        <v>8.5331166192604641E-2</v>
      </c>
      <c r="K231" s="11">
        <v>0.1826271614925675</v>
      </c>
      <c r="L231" s="11">
        <v>11.144214326429793</v>
      </c>
      <c r="M231" s="11">
        <v>80.648596321393995</v>
      </c>
      <c r="N231" s="11">
        <v>0.58935410362640261</v>
      </c>
      <c r="O231" s="11">
        <v>0.98</v>
      </c>
      <c r="P231" s="11">
        <v>7.25</v>
      </c>
      <c r="Q231" s="11">
        <v>123.8738738738739</v>
      </c>
      <c r="R231" s="11">
        <v>10.066666666666668</v>
      </c>
      <c r="S231" s="11">
        <v>0.72808302808302816</v>
      </c>
      <c r="T231" s="4">
        <f t="shared" si="18"/>
        <v>2</v>
      </c>
      <c r="U231" s="4" t="str">
        <f>IFERROR(INDEX('Date Key'!$G$2:$G$19, MATCH(B231,'Date Key'!$B$2:$B$19, 0)), "")</f>
        <v>No</v>
      </c>
      <c r="V231" s="4" t="str">
        <f>IFERROR(INDEX('Date Key'!$D$2:$D$19, MATCH(B231,'Date Key'!$B$2:$B$19, 0)), "")</f>
        <v>Upper</v>
      </c>
      <c r="W231" s="4" t="str">
        <f>IFERROR(INDEX('Date Key'!$H$2:$H$19, MATCH(B231,'Date Key'!$B$2:$B$19, 0)), "")</f>
        <v>No</v>
      </c>
      <c r="X231" s="4">
        <f t="shared" si="20"/>
        <v>0.54500000000000004</v>
      </c>
      <c r="Y231" s="4">
        <f t="shared" si="21"/>
        <v>1</v>
      </c>
    </row>
    <row r="232" spans="1:25" s="27" customFormat="1" x14ac:dyDescent="0.35">
      <c r="A232" s="27">
        <v>11</v>
      </c>
      <c r="B232" s="42">
        <v>45259</v>
      </c>
      <c r="C232" s="27" t="s">
        <v>7</v>
      </c>
      <c r="D232" s="27">
        <v>21</v>
      </c>
      <c r="E232" s="27" t="s">
        <v>92</v>
      </c>
      <c r="F232" s="27" t="str">
        <f t="shared" si="19"/>
        <v>tank 2</v>
      </c>
      <c r="G232" s="27">
        <f>IFERROR(INDEX('Date Key'!$I$2:$I$19, MATCH(B232,'Date Key'!$B$2:$B$19, 0)), "")</f>
        <v>4</v>
      </c>
      <c r="H232" s="27">
        <v>0</v>
      </c>
      <c r="I232" s="28">
        <v>0.34282216100397922</v>
      </c>
      <c r="J232" s="28">
        <v>0.11042856801395894</v>
      </c>
      <c r="K232" s="28">
        <v>2.1235716452624124E-2</v>
      </c>
      <c r="L232" s="28">
        <v>35.129013870416124</v>
      </c>
      <c r="M232" s="28">
        <v>67.478218780251694</v>
      </c>
      <c r="N232" s="28">
        <v>0.47448644547056229</v>
      </c>
      <c r="O232" s="28">
        <v>0.97</v>
      </c>
      <c r="P232" s="28">
        <v>7.34</v>
      </c>
      <c r="Q232" s="28">
        <v>153.50877192982455</v>
      </c>
      <c r="R232" s="28">
        <v>17.400000000000009</v>
      </c>
      <c r="S232" s="28">
        <v>1.1737484737484738</v>
      </c>
      <c r="T232" s="27">
        <f t="shared" si="18"/>
        <v>2</v>
      </c>
      <c r="U232" s="27" t="str">
        <f>IFERROR(INDEX('Date Key'!$G$2:$G$19, MATCH(B232,'Date Key'!$B$2:$B$19, 0)), "")</f>
        <v>No</v>
      </c>
      <c r="V232" s="27" t="str">
        <f>IFERROR(INDEX('Date Key'!$D$2:$D$19, MATCH(B232,'Date Key'!$B$2:$B$19, 0)), "")</f>
        <v>Upper</v>
      </c>
      <c r="W232" s="27" t="str">
        <f>IFERROR(INDEX('Date Key'!$H$2:$H$19, MATCH(B232,'Date Key'!$B$2:$B$19, 0)), "")</f>
        <v>No</v>
      </c>
      <c r="X232" s="27">
        <f t="shared" si="20"/>
        <v>0.54500000000000004</v>
      </c>
      <c r="Y232" s="27">
        <f t="shared" si="21"/>
        <v>1</v>
      </c>
    </row>
    <row r="233" spans="1:25" x14ac:dyDescent="0.35">
      <c r="A233" s="4">
        <v>12</v>
      </c>
      <c r="B233" s="41">
        <v>45266</v>
      </c>
      <c r="C233" s="4" t="s">
        <v>7</v>
      </c>
      <c r="D233" s="4">
        <v>1</v>
      </c>
      <c r="E233" s="4" t="s">
        <v>221</v>
      </c>
      <c r="F233" s="4" t="str">
        <f t="shared" si="19"/>
        <v>in</v>
      </c>
      <c r="G233" s="4">
        <f>IFERROR(INDEX('Date Key'!$I$2:$I$19, MATCH(B233,'Date Key'!$B$2:$B$19, 0)), "")</f>
        <v>4</v>
      </c>
      <c r="H233" s="4">
        <v>0</v>
      </c>
      <c r="I233" s="11">
        <v>0.57851239669421495</v>
      </c>
      <c r="J233" s="11">
        <v>5.0305425799496949E-2</v>
      </c>
      <c r="K233" s="11">
        <v>1.8377938333163735</v>
      </c>
      <c r="L233" s="11">
        <v>1.4850536535513541</v>
      </c>
      <c r="M233" s="11">
        <v>126.50390624999999</v>
      </c>
      <c r="N233" s="11">
        <v>2.4666116558100852</v>
      </c>
      <c r="O233" s="11">
        <v>7.64</v>
      </c>
      <c r="P233" s="11">
        <v>8.0299999999999994</v>
      </c>
      <c r="Q233" s="11">
        <v>133.92857142857144</v>
      </c>
      <c r="R233" s="11">
        <v>29.066666666666649</v>
      </c>
      <c r="S233" s="11">
        <v>0.87606837606837595</v>
      </c>
      <c r="T233" s="4">
        <f t="shared" si="18"/>
        <v>0</v>
      </c>
      <c r="U233" s="4" t="str">
        <f>IFERROR(INDEX('Date Key'!$G$2:$G$19, MATCH(B233,'Date Key'!$B$2:$B$19, 0)), "")</f>
        <v>No</v>
      </c>
      <c r="V233" s="4" t="str">
        <f>IFERROR(INDEX('Date Key'!$D$2:$D$19, MATCH(B233,'Date Key'!$B$2:$B$19, 0)), "")</f>
        <v>Upper</v>
      </c>
      <c r="W233" s="4" t="str">
        <f>IFERROR(INDEX('Date Key'!$H$2:$H$19, MATCH(B233,'Date Key'!$B$2:$B$19, 0)), "")</f>
        <v>No</v>
      </c>
      <c r="X233" s="4">
        <f t="shared" si="20"/>
        <v>0.54500000000000004</v>
      </c>
      <c r="Y233" s="4">
        <f t="shared" si="21"/>
        <v>1</v>
      </c>
    </row>
    <row r="234" spans="1:25" x14ac:dyDescent="0.35">
      <c r="A234" s="4">
        <v>12</v>
      </c>
      <c r="B234" s="41">
        <v>45266</v>
      </c>
      <c r="C234" s="4" t="s">
        <v>7</v>
      </c>
      <c r="D234" s="4">
        <v>2</v>
      </c>
      <c r="E234" s="4" t="s">
        <v>222</v>
      </c>
      <c r="F234" s="4" t="str">
        <f t="shared" si="19"/>
        <v>in</v>
      </c>
      <c r="G234" s="4">
        <f>IFERROR(INDEX('Date Key'!$I$2:$I$19, MATCH(B234,'Date Key'!$B$2:$B$19, 0)), "")</f>
        <v>4</v>
      </c>
      <c r="H234" s="4">
        <v>30</v>
      </c>
      <c r="I234" s="11">
        <v>1.1998775635139272</v>
      </c>
      <c r="J234" s="11">
        <v>6.5397053539346037E-2</v>
      </c>
      <c r="K234" s="11">
        <v>0.7821308639462704</v>
      </c>
      <c r="L234" s="11">
        <v>1.3662493612672457</v>
      </c>
      <c r="M234" s="11">
        <v>96.005859374999986</v>
      </c>
      <c r="N234" s="11">
        <v>2.0474054809995437</v>
      </c>
      <c r="O234" s="11">
        <v>7.25</v>
      </c>
      <c r="P234" s="11">
        <v>8.0399999999999991</v>
      </c>
      <c r="Q234" s="11">
        <v>133.92857142857144</v>
      </c>
      <c r="R234" s="11">
        <v>22.066666666666642</v>
      </c>
      <c r="S234" s="11">
        <v>0.91269841269841268</v>
      </c>
      <c r="T234" s="4">
        <f t="shared" si="18"/>
        <v>0</v>
      </c>
      <c r="U234" s="4" t="str">
        <f>IFERROR(INDEX('Date Key'!$G$2:$G$19, MATCH(B234,'Date Key'!$B$2:$B$19, 0)), "")</f>
        <v>No</v>
      </c>
      <c r="V234" s="4" t="str">
        <f>IFERROR(INDEX('Date Key'!$D$2:$D$19, MATCH(B234,'Date Key'!$B$2:$B$19, 0)), "")</f>
        <v>Upper</v>
      </c>
      <c r="W234" s="4" t="str">
        <f>IFERROR(INDEX('Date Key'!$H$2:$H$19, MATCH(B234,'Date Key'!$B$2:$B$19, 0)), "")</f>
        <v>No</v>
      </c>
      <c r="X234" s="4">
        <f t="shared" si="20"/>
        <v>0.54500000000000004</v>
      </c>
      <c r="Y234" s="4">
        <f t="shared" si="21"/>
        <v>1</v>
      </c>
    </row>
    <row r="235" spans="1:25" x14ac:dyDescent="0.35">
      <c r="A235" s="4">
        <v>12</v>
      </c>
      <c r="B235" s="41">
        <v>45266</v>
      </c>
      <c r="C235" s="4" t="s">
        <v>7</v>
      </c>
      <c r="D235" s="4">
        <v>3</v>
      </c>
      <c r="E235" s="4" t="s">
        <v>223</v>
      </c>
      <c r="F235" s="4" t="str">
        <f t="shared" si="19"/>
        <v>in</v>
      </c>
      <c r="G235" s="4">
        <f>IFERROR(INDEX('Date Key'!$I$2:$I$19, MATCH(B235,'Date Key'!$B$2:$B$19, 0)), "")</f>
        <v>4</v>
      </c>
      <c r="H235" s="4">
        <v>90</v>
      </c>
      <c r="I235" s="11">
        <v>0.44995408631772271</v>
      </c>
      <c r="J235" s="11">
        <v>7.0427596119295735E-2</v>
      </c>
      <c r="K235" s="11">
        <v>1.0086496387503816</v>
      </c>
      <c r="L235" s="11">
        <v>2.0671946857434853</v>
      </c>
      <c r="M235" s="11">
        <v>110.52246093749999</v>
      </c>
      <c r="N235" s="11">
        <v>1.5290313211874</v>
      </c>
      <c r="O235" s="11">
        <v>6.3</v>
      </c>
      <c r="P235" s="11">
        <v>7.8</v>
      </c>
      <c r="Q235" s="11">
        <v>113.63636363636364</v>
      </c>
      <c r="R235" s="11">
        <v>32.066666666666649</v>
      </c>
      <c r="S235" s="11">
        <v>1.3583638583638584</v>
      </c>
      <c r="T235" s="4">
        <f t="shared" si="18"/>
        <v>0</v>
      </c>
      <c r="U235" s="4" t="str">
        <f>IFERROR(INDEX('Date Key'!$G$2:$G$19, MATCH(B235,'Date Key'!$B$2:$B$19, 0)), "")</f>
        <v>No</v>
      </c>
      <c r="V235" s="4" t="str">
        <f>IFERROR(INDEX('Date Key'!$D$2:$D$19, MATCH(B235,'Date Key'!$B$2:$B$19, 0)), "")</f>
        <v>Upper</v>
      </c>
      <c r="W235" s="4" t="str">
        <f>IFERROR(INDEX('Date Key'!$H$2:$H$19, MATCH(B235,'Date Key'!$B$2:$B$19, 0)), "")</f>
        <v>No</v>
      </c>
      <c r="X235" s="4">
        <f t="shared" si="20"/>
        <v>0.54500000000000004</v>
      </c>
      <c r="Y235" s="4">
        <f t="shared" si="21"/>
        <v>1</v>
      </c>
    </row>
    <row r="236" spans="1:25" x14ac:dyDescent="0.35">
      <c r="A236" s="4">
        <v>12</v>
      </c>
      <c r="B236" s="41">
        <v>45266</v>
      </c>
      <c r="C236" s="4" t="s">
        <v>7</v>
      </c>
      <c r="D236" s="4">
        <v>4</v>
      </c>
      <c r="E236" s="4" t="s">
        <v>224</v>
      </c>
      <c r="F236" s="4" t="str">
        <f t="shared" si="19"/>
        <v>in</v>
      </c>
      <c r="G236" s="4">
        <f>IFERROR(INDEX('Date Key'!$I$2:$I$19, MATCH(B236,'Date Key'!$B$2:$B$19, 0)), "")</f>
        <v>4</v>
      </c>
      <c r="H236" s="4">
        <v>180</v>
      </c>
      <c r="I236" s="11">
        <v>0.25711662075298441</v>
      </c>
      <c r="J236" s="11">
        <v>6.5397053539346037E-2</v>
      </c>
      <c r="K236" s="11">
        <v>1.1625114480512875</v>
      </c>
      <c r="L236" s="11">
        <v>2.5542922841083291</v>
      </c>
      <c r="M236" s="11">
        <v>112.7197265625</v>
      </c>
      <c r="N236" s="11">
        <v>1.4850251223436179</v>
      </c>
      <c r="O236" s="11">
        <v>6.12</v>
      </c>
      <c r="P236" s="11">
        <v>7.93</v>
      </c>
      <c r="Q236" s="11">
        <v>123.8738738738739</v>
      </c>
      <c r="R236" s="11">
        <v>48.733333333333334</v>
      </c>
      <c r="S236" s="11">
        <v>1.9993894993894994</v>
      </c>
      <c r="T236" s="4">
        <f t="shared" si="18"/>
        <v>0</v>
      </c>
      <c r="U236" s="4" t="str">
        <f>IFERROR(INDEX('Date Key'!$G$2:$G$19, MATCH(B236,'Date Key'!$B$2:$B$19, 0)), "")</f>
        <v>No</v>
      </c>
      <c r="V236" s="4" t="str">
        <f>IFERROR(INDEX('Date Key'!$D$2:$D$19, MATCH(B236,'Date Key'!$B$2:$B$19, 0)), "")</f>
        <v>Upper</v>
      </c>
      <c r="W236" s="4" t="str">
        <f>IFERROR(INDEX('Date Key'!$H$2:$H$19, MATCH(B236,'Date Key'!$B$2:$B$19, 0)), "")</f>
        <v>No</v>
      </c>
      <c r="X236" s="4">
        <f t="shared" si="20"/>
        <v>0.54500000000000004</v>
      </c>
      <c r="Y236" s="4">
        <f t="shared" si="21"/>
        <v>1</v>
      </c>
    </row>
    <row r="237" spans="1:25" x14ac:dyDescent="0.35">
      <c r="A237" s="4">
        <v>12</v>
      </c>
      <c r="B237" s="41">
        <v>45266</v>
      </c>
      <c r="C237" s="4" t="s">
        <v>7</v>
      </c>
      <c r="D237" s="4">
        <v>5</v>
      </c>
      <c r="E237" s="4" t="s">
        <v>225</v>
      </c>
      <c r="F237" s="4" t="str">
        <f t="shared" si="19"/>
        <v>in</v>
      </c>
      <c r="G237" s="4">
        <f>IFERROR(INDEX('Date Key'!$I$2:$I$19, MATCH(B237,'Date Key'!$B$2:$B$19, 0)), "")</f>
        <v>4</v>
      </c>
      <c r="H237" s="4">
        <v>60</v>
      </c>
      <c r="I237" s="11">
        <v>0.64279155188246095</v>
      </c>
      <c r="J237" s="11">
        <v>6.5397053539346037E-2</v>
      </c>
      <c r="K237" s="11">
        <v>0.82487025541874415</v>
      </c>
      <c r="L237" s="11">
        <v>1.7939448134900355</v>
      </c>
      <c r="M237" s="11">
        <v>103.28613281249999</v>
      </c>
      <c r="N237" s="11">
        <v>1.5330588608405511</v>
      </c>
      <c r="O237" s="11">
        <v>6.2</v>
      </c>
      <c r="P237" s="11">
        <v>8.0500000000000007</v>
      </c>
      <c r="Q237" s="11">
        <v>123.8738738738739</v>
      </c>
      <c r="R237" s="11">
        <v>25.733333333333313</v>
      </c>
      <c r="S237" s="11">
        <v>1.0714285714285716</v>
      </c>
      <c r="T237" s="4">
        <f t="shared" si="18"/>
        <v>0</v>
      </c>
      <c r="U237" s="4" t="str">
        <f>IFERROR(INDEX('Date Key'!$G$2:$G$19, MATCH(B237,'Date Key'!$B$2:$B$19, 0)), "")</f>
        <v>No</v>
      </c>
      <c r="V237" s="4" t="str">
        <f>IFERROR(INDEX('Date Key'!$D$2:$D$19, MATCH(B237,'Date Key'!$B$2:$B$19, 0)), "")</f>
        <v>Upper</v>
      </c>
      <c r="W237" s="4" t="str">
        <f>IFERROR(INDEX('Date Key'!$H$2:$H$19, MATCH(B237,'Date Key'!$B$2:$B$19, 0)), "")</f>
        <v>No</v>
      </c>
      <c r="X237" s="4">
        <f t="shared" si="20"/>
        <v>0.54500000000000004</v>
      </c>
      <c r="Y237" s="4">
        <f t="shared" si="21"/>
        <v>1</v>
      </c>
    </row>
    <row r="238" spans="1:25" x14ac:dyDescent="0.35">
      <c r="A238" s="4">
        <v>12</v>
      </c>
      <c r="B238" s="41">
        <v>45266</v>
      </c>
      <c r="C238" s="4" t="s">
        <v>7</v>
      </c>
      <c r="D238" s="4">
        <v>6</v>
      </c>
      <c r="E238" s="4" t="s">
        <v>226</v>
      </c>
      <c r="F238" s="4" t="str">
        <f t="shared" si="19"/>
        <v>in</v>
      </c>
      <c r="G238" s="4">
        <f>IFERROR(INDEX('Date Key'!$I$2:$I$19, MATCH(B238,'Date Key'!$B$2:$B$19, 0)), "")</f>
        <v>4</v>
      </c>
      <c r="H238" s="4">
        <v>150</v>
      </c>
      <c r="I238" s="11">
        <v>0</v>
      </c>
      <c r="J238" s="11">
        <v>6.5397053539346037E-2</v>
      </c>
      <c r="K238" s="11">
        <v>0.99582782130863956</v>
      </c>
      <c r="L238" s="11">
        <v>2.42360756259581</v>
      </c>
      <c r="M238" s="11">
        <v>103.59375</v>
      </c>
      <c r="N238" s="11">
        <v>1.0612248748479856</v>
      </c>
      <c r="O238" s="11">
        <v>6.8</v>
      </c>
      <c r="P238" s="11">
        <v>7.94</v>
      </c>
      <c r="Q238" s="11">
        <v>113.63636363636364</v>
      </c>
      <c r="R238" s="11">
        <v>41.733333333333327</v>
      </c>
      <c r="S238" s="11">
        <v>1.7612942612942613</v>
      </c>
      <c r="T238" s="4">
        <f t="shared" si="18"/>
        <v>0</v>
      </c>
      <c r="U238" s="4" t="str">
        <f>IFERROR(INDEX('Date Key'!$G$2:$G$19, MATCH(B238,'Date Key'!$B$2:$B$19, 0)), "")</f>
        <v>No</v>
      </c>
      <c r="V238" s="4" t="str">
        <f>IFERROR(INDEX('Date Key'!$D$2:$D$19, MATCH(B238,'Date Key'!$B$2:$B$19, 0)), "")</f>
        <v>Upper</v>
      </c>
      <c r="W238" s="4" t="str">
        <f>IFERROR(INDEX('Date Key'!$H$2:$H$19, MATCH(B238,'Date Key'!$B$2:$B$19, 0)), "")</f>
        <v>No</v>
      </c>
      <c r="X238" s="4">
        <f t="shared" si="20"/>
        <v>0.54500000000000004</v>
      </c>
      <c r="Y238" s="4">
        <f t="shared" si="21"/>
        <v>1</v>
      </c>
    </row>
    <row r="239" spans="1:25" x14ac:dyDescent="0.35">
      <c r="A239" s="4">
        <v>12</v>
      </c>
      <c r="B239" s="41">
        <v>45266</v>
      </c>
      <c r="C239" s="4" t="s">
        <v>7</v>
      </c>
      <c r="D239" s="4">
        <v>7</v>
      </c>
      <c r="E239" s="4" t="s">
        <v>227</v>
      </c>
      <c r="F239" s="4" t="str">
        <f t="shared" si="19"/>
        <v>in</v>
      </c>
      <c r="G239" s="4">
        <f>IFERROR(INDEX('Date Key'!$I$2:$I$19, MATCH(B239,'Date Key'!$B$2:$B$19, 0)), "")</f>
        <v>4</v>
      </c>
      <c r="H239" s="4">
        <v>120</v>
      </c>
      <c r="I239" s="11">
        <v>0.21426385062748698</v>
      </c>
      <c r="J239" s="11">
        <v>6.5397053539346037E-2</v>
      </c>
      <c r="K239" s="11">
        <v>0.86333570774397084</v>
      </c>
      <c r="L239" s="11">
        <v>2.0434338272866635</v>
      </c>
      <c r="M239" s="11">
        <v>90.5712890625</v>
      </c>
      <c r="N239" s="11">
        <v>1.1429966119108039</v>
      </c>
      <c r="O239" s="11">
        <v>6.23</v>
      </c>
      <c r="P239" s="11">
        <v>8.01</v>
      </c>
      <c r="Q239" s="11">
        <v>123.8738738738739</v>
      </c>
      <c r="R239" s="11">
        <v>38.73333333333332</v>
      </c>
      <c r="S239" s="11">
        <v>1.6514041514041511</v>
      </c>
      <c r="T239" s="4">
        <f t="shared" si="18"/>
        <v>0</v>
      </c>
      <c r="U239" s="4" t="str">
        <f>IFERROR(INDEX('Date Key'!$G$2:$G$19, MATCH(B239,'Date Key'!$B$2:$B$19, 0)), "")</f>
        <v>No</v>
      </c>
      <c r="V239" s="4" t="str">
        <f>IFERROR(INDEX('Date Key'!$D$2:$D$19, MATCH(B239,'Date Key'!$B$2:$B$19, 0)), "")</f>
        <v>Upper</v>
      </c>
      <c r="W239" s="4" t="str">
        <f>IFERROR(INDEX('Date Key'!$H$2:$H$19, MATCH(B239,'Date Key'!$B$2:$B$19, 0)), "")</f>
        <v>No</v>
      </c>
      <c r="X239" s="4">
        <f t="shared" si="20"/>
        <v>0.54500000000000004</v>
      </c>
      <c r="Y239" s="4">
        <f t="shared" si="21"/>
        <v>1</v>
      </c>
    </row>
    <row r="240" spans="1:25" x14ac:dyDescent="0.35">
      <c r="A240" s="4">
        <v>12</v>
      </c>
      <c r="B240" s="41">
        <v>45266</v>
      </c>
      <c r="C240" s="4" t="s">
        <v>7</v>
      </c>
      <c r="D240" s="4">
        <v>8</v>
      </c>
      <c r="E240" s="4" t="s">
        <v>228</v>
      </c>
      <c r="F240" s="4" t="str">
        <f t="shared" si="19"/>
        <v>tank 1</v>
      </c>
      <c r="G240" s="4">
        <f>IFERROR(INDEX('Date Key'!$I$2:$I$19, MATCH(B240,'Date Key'!$B$2:$B$19, 0)), "")</f>
        <v>4</v>
      </c>
      <c r="H240" s="4">
        <v>150</v>
      </c>
      <c r="I240" s="11">
        <v>0.23569023569023567</v>
      </c>
      <c r="J240" s="11">
        <v>0.16600790513833993</v>
      </c>
      <c r="K240" s="11">
        <v>0.30772361860181124</v>
      </c>
      <c r="L240" s="11">
        <v>1.3187276443536025</v>
      </c>
      <c r="M240" s="11">
        <v>84.873046874999986</v>
      </c>
      <c r="N240" s="11">
        <v>0.70942175943038688</v>
      </c>
      <c r="O240" s="11">
        <v>1.64</v>
      </c>
      <c r="P240" s="11">
        <v>7.25</v>
      </c>
      <c r="Q240" s="11">
        <v>123.8738738738739</v>
      </c>
      <c r="R240" s="11">
        <v>26.399999999999977</v>
      </c>
      <c r="S240" s="11">
        <v>0.94932844932844929</v>
      </c>
      <c r="T240" s="4">
        <f t="shared" si="18"/>
        <v>1</v>
      </c>
      <c r="U240" s="4" t="str">
        <f>IFERROR(INDEX('Date Key'!$G$2:$G$19, MATCH(B240,'Date Key'!$B$2:$B$19, 0)), "")</f>
        <v>No</v>
      </c>
      <c r="V240" s="4" t="str">
        <f>IFERROR(INDEX('Date Key'!$D$2:$D$19, MATCH(B240,'Date Key'!$B$2:$B$19, 0)), "")</f>
        <v>Upper</v>
      </c>
      <c r="W240" s="4" t="str">
        <f>IFERROR(INDEX('Date Key'!$H$2:$H$19, MATCH(B240,'Date Key'!$B$2:$B$19, 0)), "")</f>
        <v>No</v>
      </c>
      <c r="X240" s="4">
        <f t="shared" si="20"/>
        <v>0.54500000000000004</v>
      </c>
      <c r="Y240" s="4">
        <f t="shared" si="21"/>
        <v>1</v>
      </c>
    </row>
    <row r="241" spans="1:25" x14ac:dyDescent="0.35">
      <c r="A241" s="4">
        <v>12</v>
      </c>
      <c r="B241" s="41">
        <v>45266</v>
      </c>
      <c r="C241" s="4" t="s">
        <v>7</v>
      </c>
      <c r="D241" s="4">
        <v>9</v>
      </c>
      <c r="E241" s="4" t="s">
        <v>229</v>
      </c>
      <c r="F241" s="4" t="str">
        <f t="shared" si="19"/>
        <v>tank 1</v>
      </c>
      <c r="G241" s="4">
        <f>IFERROR(INDEX('Date Key'!$I$2:$I$19, MATCH(B241,'Date Key'!$B$2:$B$19, 0)), "")</f>
        <v>4</v>
      </c>
      <c r="H241" s="4">
        <v>60</v>
      </c>
      <c r="I241" s="11">
        <v>4.2852770125497402E-2</v>
      </c>
      <c r="J241" s="11">
        <v>0.14588573481854117</v>
      </c>
      <c r="K241" s="11">
        <v>0.11112241782843187</v>
      </c>
      <c r="L241" s="11">
        <v>1.152401635155851</v>
      </c>
      <c r="M241" s="11">
        <v>94.599609375</v>
      </c>
      <c r="N241" s="11">
        <v>0.29986092277247045</v>
      </c>
      <c r="O241" s="11">
        <v>0.73</v>
      </c>
      <c r="P241" s="11">
        <v>7.08</v>
      </c>
      <c r="Q241" s="11">
        <v>133.92857142857144</v>
      </c>
      <c r="R241" s="11">
        <v>18.733333333333341</v>
      </c>
      <c r="S241" s="11">
        <v>0.74175824175824179</v>
      </c>
      <c r="T241" s="4">
        <f t="shared" si="18"/>
        <v>1</v>
      </c>
      <c r="U241" s="4" t="str">
        <f>IFERROR(INDEX('Date Key'!$G$2:$G$19, MATCH(B241,'Date Key'!$B$2:$B$19, 0)), "")</f>
        <v>No</v>
      </c>
      <c r="V241" s="4" t="str">
        <f>IFERROR(INDEX('Date Key'!$D$2:$D$19, MATCH(B241,'Date Key'!$B$2:$B$19, 0)), "")</f>
        <v>Upper</v>
      </c>
      <c r="W241" s="4" t="str">
        <f>IFERROR(INDEX('Date Key'!$H$2:$H$19, MATCH(B241,'Date Key'!$B$2:$B$19, 0)), "")</f>
        <v>No</v>
      </c>
      <c r="X241" s="4">
        <f t="shared" si="20"/>
        <v>0.54500000000000004</v>
      </c>
      <c r="Y241" s="4">
        <f t="shared" si="21"/>
        <v>1</v>
      </c>
    </row>
    <row r="242" spans="1:25" x14ac:dyDescent="0.35">
      <c r="A242" s="4">
        <v>12</v>
      </c>
      <c r="B242" s="41">
        <v>45266</v>
      </c>
      <c r="C242" s="4" t="s">
        <v>7</v>
      </c>
      <c r="D242" s="4">
        <v>10</v>
      </c>
      <c r="E242" s="4" t="s">
        <v>230</v>
      </c>
      <c r="F242" s="4" t="str">
        <f t="shared" si="19"/>
        <v>tank 1</v>
      </c>
      <c r="G242" s="4">
        <f>IFERROR(INDEX('Date Key'!$I$2:$I$19, MATCH(B242,'Date Key'!$B$2:$B$19, 0)), "")</f>
        <v>4</v>
      </c>
      <c r="H242" s="4">
        <v>0</v>
      </c>
      <c r="I242" s="11">
        <v>0.44995408631772271</v>
      </c>
      <c r="J242" s="11">
        <v>6.0366510959396345E-2</v>
      </c>
      <c r="K242" s="11">
        <v>1.709575658898952E-2</v>
      </c>
      <c r="L242" s="11">
        <v>1.0454777721001534</v>
      </c>
      <c r="M242" s="11">
        <v>88.7841796875</v>
      </c>
      <c r="N242" s="11">
        <v>0.52741635386610863</v>
      </c>
      <c r="O242" s="11">
        <v>1.1599999999999999</v>
      </c>
      <c r="P242" s="11">
        <v>7.04</v>
      </c>
      <c r="Q242" s="11">
        <v>133.92857142857144</v>
      </c>
      <c r="R242" s="11">
        <v>21.399999999999974</v>
      </c>
      <c r="S242" s="11">
        <v>0.70512820512820507</v>
      </c>
      <c r="T242" s="4">
        <f t="shared" si="18"/>
        <v>1</v>
      </c>
      <c r="U242" s="4" t="str">
        <f>IFERROR(INDEX('Date Key'!$G$2:$G$19, MATCH(B242,'Date Key'!$B$2:$B$19, 0)), "")</f>
        <v>No</v>
      </c>
      <c r="V242" s="4" t="str">
        <f>IFERROR(INDEX('Date Key'!$D$2:$D$19, MATCH(B242,'Date Key'!$B$2:$B$19, 0)), "")</f>
        <v>Upper</v>
      </c>
      <c r="W242" s="4" t="str">
        <f>IFERROR(INDEX('Date Key'!$H$2:$H$19, MATCH(B242,'Date Key'!$B$2:$B$19, 0)), "")</f>
        <v>No</v>
      </c>
      <c r="X242" s="4">
        <f t="shared" si="20"/>
        <v>0.54500000000000004</v>
      </c>
      <c r="Y242" s="4">
        <f t="shared" si="21"/>
        <v>1</v>
      </c>
    </row>
    <row r="243" spans="1:25" x14ac:dyDescent="0.35">
      <c r="A243" s="4">
        <v>12</v>
      </c>
      <c r="B243" s="41">
        <v>45266</v>
      </c>
      <c r="C243" s="4" t="s">
        <v>7</v>
      </c>
      <c r="D243" s="4">
        <v>11</v>
      </c>
      <c r="E243" s="4" t="s">
        <v>231</v>
      </c>
      <c r="F243" s="4" t="str">
        <f t="shared" si="19"/>
        <v>tank 1</v>
      </c>
      <c r="G243" s="4">
        <f>IFERROR(INDEX('Date Key'!$I$2:$I$19, MATCH(B243,'Date Key'!$B$2:$B$19, 0)), "")</f>
        <v>4</v>
      </c>
      <c r="H243" s="4">
        <v>30</v>
      </c>
      <c r="I243" s="11">
        <v>0</v>
      </c>
      <c r="J243" s="11">
        <v>6.5397053539346037E-2</v>
      </c>
      <c r="K243" s="11">
        <v>0</v>
      </c>
      <c r="L243" s="11">
        <v>0.98607562595809906</v>
      </c>
      <c r="M243" s="11">
        <v>87.612304687499986</v>
      </c>
      <c r="N243" s="11">
        <v>6.5397053539346037E-2</v>
      </c>
      <c r="O243" s="11">
        <v>1.06</v>
      </c>
      <c r="P243" s="11">
        <v>7.04</v>
      </c>
      <c r="Q243" s="11">
        <v>133.92857142857144</v>
      </c>
      <c r="R243" s="11">
        <v>19.400000000000009</v>
      </c>
      <c r="S243" s="11">
        <v>0.62576312576312576</v>
      </c>
      <c r="T243" s="4">
        <f t="shared" si="18"/>
        <v>1</v>
      </c>
      <c r="U243" s="4" t="str">
        <f>IFERROR(INDEX('Date Key'!$G$2:$G$19, MATCH(B243,'Date Key'!$B$2:$B$19, 0)), "")</f>
        <v>No</v>
      </c>
      <c r="V243" s="4" t="str">
        <f>IFERROR(INDEX('Date Key'!$D$2:$D$19, MATCH(B243,'Date Key'!$B$2:$B$19, 0)), "")</f>
        <v>Upper</v>
      </c>
      <c r="W243" s="4" t="str">
        <f>IFERROR(INDEX('Date Key'!$H$2:$H$19, MATCH(B243,'Date Key'!$B$2:$B$19, 0)), "")</f>
        <v>No</v>
      </c>
      <c r="X243" s="4">
        <f t="shared" si="20"/>
        <v>0.54500000000000004</v>
      </c>
      <c r="Y243" s="4">
        <f t="shared" si="21"/>
        <v>1</v>
      </c>
    </row>
    <row r="244" spans="1:25" x14ac:dyDescent="0.35">
      <c r="A244" s="4">
        <v>12</v>
      </c>
      <c r="B244" s="41">
        <v>45266</v>
      </c>
      <c r="C244" s="4" t="s">
        <v>7</v>
      </c>
      <c r="D244" s="4">
        <v>12</v>
      </c>
      <c r="E244" s="4" t="s">
        <v>232</v>
      </c>
      <c r="F244" s="4" t="str">
        <f t="shared" si="19"/>
        <v>tank 1</v>
      </c>
      <c r="G244" s="4">
        <f>IFERROR(INDEX('Date Key'!$I$2:$I$19, MATCH(B244,'Date Key'!$B$2:$B$19, 0)), "")</f>
        <v>4</v>
      </c>
      <c r="H244" s="4">
        <v>120</v>
      </c>
      <c r="I244" s="11">
        <v>0</v>
      </c>
      <c r="J244" s="11">
        <v>0.11570247933884299</v>
      </c>
      <c r="K244" s="11">
        <v>0.13676605271191616</v>
      </c>
      <c r="L244" s="11">
        <v>0.95043433827286672</v>
      </c>
      <c r="M244" s="11">
        <v>64.8046875</v>
      </c>
      <c r="N244" s="11">
        <v>0.25246853205075914</v>
      </c>
      <c r="O244" s="11">
        <v>0.93</v>
      </c>
      <c r="P244" s="11">
        <v>7.19</v>
      </c>
      <c r="Q244" s="11">
        <v>113.63636363636364</v>
      </c>
      <c r="R244" s="11">
        <v>20.399999999999974</v>
      </c>
      <c r="S244" s="11">
        <v>0.76617826617826612</v>
      </c>
      <c r="T244" s="4">
        <f t="shared" si="18"/>
        <v>1</v>
      </c>
      <c r="U244" s="4" t="str">
        <f>IFERROR(INDEX('Date Key'!$G$2:$G$19, MATCH(B244,'Date Key'!$B$2:$B$19, 0)), "")</f>
        <v>No</v>
      </c>
      <c r="V244" s="4" t="str">
        <f>IFERROR(INDEX('Date Key'!$D$2:$D$19, MATCH(B244,'Date Key'!$B$2:$B$19, 0)), "")</f>
        <v>Upper</v>
      </c>
      <c r="W244" s="4" t="str">
        <f>IFERROR(INDEX('Date Key'!$H$2:$H$19, MATCH(B244,'Date Key'!$B$2:$B$19, 0)), "")</f>
        <v>No</v>
      </c>
      <c r="X244" s="4">
        <f t="shared" si="20"/>
        <v>0.54500000000000004</v>
      </c>
      <c r="Y244" s="4">
        <f t="shared" si="21"/>
        <v>1</v>
      </c>
    </row>
    <row r="245" spans="1:25" x14ac:dyDescent="0.35">
      <c r="A245" s="4">
        <v>12</v>
      </c>
      <c r="B245" s="41">
        <v>45266</v>
      </c>
      <c r="C245" s="4" t="s">
        <v>7</v>
      </c>
      <c r="D245" s="4">
        <v>13</v>
      </c>
      <c r="E245" s="4" t="s">
        <v>233</v>
      </c>
      <c r="F245" s="4" t="str">
        <f t="shared" si="19"/>
        <v>tank 1</v>
      </c>
      <c r="G245" s="4">
        <f>IFERROR(INDEX('Date Key'!$I$2:$I$19, MATCH(B245,'Date Key'!$B$2:$B$19, 0)), "")</f>
        <v>4</v>
      </c>
      <c r="H245" s="4">
        <v>180</v>
      </c>
      <c r="I245" s="11">
        <v>0</v>
      </c>
      <c r="J245" s="11">
        <v>9.0549766439094487E-2</v>
      </c>
      <c r="K245" s="11">
        <v>0.17523150503714258</v>
      </c>
      <c r="L245" s="11">
        <v>0.97419519672968824</v>
      </c>
      <c r="M245" s="11">
        <v>52.998046874999993</v>
      </c>
      <c r="N245" s="11">
        <v>0.26578127147623709</v>
      </c>
      <c r="O245" s="11">
        <v>0.85</v>
      </c>
      <c r="P245" s="11">
        <v>7.25</v>
      </c>
      <c r="Q245" s="11">
        <v>113.63636363636364</v>
      </c>
      <c r="R245" s="11">
        <v>31.733333333333317</v>
      </c>
      <c r="S245" s="11">
        <v>1.1996336996336996</v>
      </c>
      <c r="T245" s="4">
        <f t="shared" si="18"/>
        <v>1</v>
      </c>
      <c r="U245" s="4" t="str">
        <f>IFERROR(INDEX('Date Key'!$G$2:$G$19, MATCH(B245,'Date Key'!$B$2:$B$19, 0)), "")</f>
        <v>No</v>
      </c>
      <c r="V245" s="4" t="str">
        <f>IFERROR(INDEX('Date Key'!$D$2:$D$19, MATCH(B245,'Date Key'!$B$2:$B$19, 0)), "")</f>
        <v>Upper</v>
      </c>
      <c r="W245" s="4" t="str">
        <f>IFERROR(INDEX('Date Key'!$H$2:$H$19, MATCH(B245,'Date Key'!$B$2:$B$19, 0)), "")</f>
        <v>No</v>
      </c>
      <c r="X245" s="4">
        <f t="shared" si="20"/>
        <v>0.54500000000000004</v>
      </c>
      <c r="Y245" s="4">
        <f t="shared" si="21"/>
        <v>1</v>
      </c>
    </row>
    <row r="246" spans="1:25" x14ac:dyDescent="0.35">
      <c r="A246" s="4">
        <v>12</v>
      </c>
      <c r="B246" s="41">
        <v>45266</v>
      </c>
      <c r="C246" s="4" t="s">
        <v>7</v>
      </c>
      <c r="D246" s="4">
        <v>14</v>
      </c>
      <c r="E246" s="4" t="s">
        <v>234</v>
      </c>
      <c r="F246" s="4" t="str">
        <f t="shared" si="19"/>
        <v>tank 1</v>
      </c>
      <c r="G246" s="4">
        <f>IFERROR(INDEX('Date Key'!$I$2:$I$19, MATCH(B246,'Date Key'!$B$2:$B$19, 0)), "")</f>
        <v>4</v>
      </c>
      <c r="H246" s="4">
        <v>90</v>
      </c>
      <c r="I246" s="11">
        <v>0.19283746556473827</v>
      </c>
      <c r="J246" s="11">
        <v>0.12073302191879269</v>
      </c>
      <c r="K246" s="11">
        <v>0.11967029612292664</v>
      </c>
      <c r="L246" s="11">
        <v>0.79598875830352589</v>
      </c>
      <c r="M246" s="11">
        <v>69.462890624999986</v>
      </c>
      <c r="N246" s="11">
        <v>0.43324078360645757</v>
      </c>
      <c r="O246" s="11">
        <v>1.1200000000000001</v>
      </c>
      <c r="P246" s="11">
        <v>7.08</v>
      </c>
      <c r="Q246" s="11">
        <v>133.92857142857144</v>
      </c>
      <c r="R246" s="11">
        <v>18.066666666666674</v>
      </c>
      <c r="S246" s="11">
        <v>0.6501831501831502</v>
      </c>
      <c r="T246" s="4">
        <f t="shared" si="18"/>
        <v>1</v>
      </c>
      <c r="U246" s="4" t="str">
        <f>IFERROR(INDEX('Date Key'!$G$2:$G$19, MATCH(B246,'Date Key'!$B$2:$B$19, 0)), "")</f>
        <v>No</v>
      </c>
      <c r="V246" s="4" t="str">
        <f>IFERROR(INDEX('Date Key'!$D$2:$D$19, MATCH(B246,'Date Key'!$B$2:$B$19, 0)), "")</f>
        <v>Upper</v>
      </c>
      <c r="W246" s="4" t="str">
        <f>IFERROR(INDEX('Date Key'!$H$2:$H$19, MATCH(B246,'Date Key'!$B$2:$B$19, 0)), "")</f>
        <v>No</v>
      </c>
      <c r="X246" s="4">
        <f t="shared" si="20"/>
        <v>0.54500000000000004</v>
      </c>
      <c r="Y246" s="4">
        <f t="shared" si="21"/>
        <v>1</v>
      </c>
    </row>
    <row r="247" spans="1:25" x14ac:dyDescent="0.35">
      <c r="A247" s="4">
        <v>12</v>
      </c>
      <c r="B247" s="41">
        <v>45266</v>
      </c>
      <c r="C247" s="4" t="s">
        <v>7</v>
      </c>
      <c r="D247" s="4">
        <v>15</v>
      </c>
      <c r="E247" s="4" t="s">
        <v>235</v>
      </c>
      <c r="F247" s="4" t="str">
        <f t="shared" si="19"/>
        <v>tank 2</v>
      </c>
      <c r="G247" s="4">
        <f>IFERROR(INDEX('Date Key'!$I$2:$I$19, MATCH(B247,'Date Key'!$B$2:$B$19, 0)), "")</f>
        <v>4</v>
      </c>
      <c r="H247" s="4">
        <v>30</v>
      </c>
      <c r="I247" s="11">
        <v>0.36424854606672796</v>
      </c>
      <c r="J247" s="11">
        <v>3.5213798059647868E-2</v>
      </c>
      <c r="K247" s="11">
        <v>0</v>
      </c>
      <c r="L247" s="11">
        <v>1.6870209504343381</v>
      </c>
      <c r="M247" s="11">
        <v>33.7646484375</v>
      </c>
      <c r="N247" s="11">
        <v>0.39946234412637582</v>
      </c>
      <c r="O247" s="11">
        <v>0.54</v>
      </c>
      <c r="P247" s="11">
        <v>7.02</v>
      </c>
      <c r="Q247" s="11">
        <v>172.41379310344831</v>
      </c>
      <c r="R247" s="11">
        <v>30.066666666666649</v>
      </c>
      <c r="S247" s="11">
        <v>2.872405372405372</v>
      </c>
      <c r="T247" s="4">
        <f t="shared" si="18"/>
        <v>2</v>
      </c>
      <c r="U247" s="4" t="str">
        <f>IFERROR(INDEX('Date Key'!$G$2:$G$19, MATCH(B247,'Date Key'!$B$2:$B$19, 0)), "")</f>
        <v>No</v>
      </c>
      <c r="V247" s="4" t="str">
        <f>IFERROR(INDEX('Date Key'!$D$2:$D$19, MATCH(B247,'Date Key'!$B$2:$B$19, 0)), "")</f>
        <v>Upper</v>
      </c>
      <c r="W247" s="4" t="str">
        <f>IFERROR(INDEX('Date Key'!$H$2:$H$19, MATCH(B247,'Date Key'!$B$2:$B$19, 0)), "")</f>
        <v>No</v>
      </c>
      <c r="X247" s="4">
        <f t="shared" si="20"/>
        <v>0.54500000000000004</v>
      </c>
      <c r="Y247" s="4">
        <f t="shared" si="21"/>
        <v>1</v>
      </c>
    </row>
    <row r="248" spans="1:25" x14ac:dyDescent="0.35">
      <c r="A248" s="4">
        <v>12</v>
      </c>
      <c r="B248" s="41">
        <v>45266</v>
      </c>
      <c r="C248" s="4" t="s">
        <v>7</v>
      </c>
      <c r="D248" s="4">
        <v>16</v>
      </c>
      <c r="E248" s="4" t="s">
        <v>236</v>
      </c>
      <c r="F248" s="4" t="str">
        <f t="shared" si="19"/>
        <v>tank 2</v>
      </c>
      <c r="G248" s="4">
        <f>IFERROR(INDEX('Date Key'!$I$2:$I$19, MATCH(B248,'Date Key'!$B$2:$B$19, 0)), "")</f>
        <v>4</v>
      </c>
      <c r="H248" s="4">
        <v>60</v>
      </c>
      <c r="I248" s="11">
        <v>0</v>
      </c>
      <c r="J248" s="11">
        <v>5.0305425799496949E-2</v>
      </c>
      <c r="K248" s="11">
        <v>9.8300600386689738E-2</v>
      </c>
      <c r="L248" s="11">
        <v>1.1999233520694945</v>
      </c>
      <c r="M248" s="11">
        <v>39.287109374999993</v>
      </c>
      <c r="N248" s="11">
        <v>0.14860602618618668</v>
      </c>
      <c r="O248" s="11">
        <v>0.67</v>
      </c>
      <c r="P248" s="11">
        <v>7.01</v>
      </c>
      <c r="Q248" s="11">
        <v>133.92857142857144</v>
      </c>
      <c r="R248" s="11">
        <v>19.733333333333341</v>
      </c>
      <c r="S248" s="11">
        <v>2.0299145299145298</v>
      </c>
      <c r="T248" s="4">
        <f t="shared" si="18"/>
        <v>2</v>
      </c>
      <c r="U248" s="4" t="str">
        <f>IFERROR(INDEX('Date Key'!$G$2:$G$19, MATCH(B248,'Date Key'!$B$2:$B$19, 0)), "")</f>
        <v>No</v>
      </c>
      <c r="V248" s="4" t="str">
        <f>IFERROR(INDEX('Date Key'!$D$2:$D$19, MATCH(B248,'Date Key'!$B$2:$B$19, 0)), "")</f>
        <v>Upper</v>
      </c>
      <c r="W248" s="4" t="str">
        <f>IFERROR(INDEX('Date Key'!$H$2:$H$19, MATCH(B248,'Date Key'!$B$2:$B$19, 0)), "")</f>
        <v>No</v>
      </c>
      <c r="X248" s="4">
        <f t="shared" si="20"/>
        <v>0.54500000000000004</v>
      </c>
      <c r="Y248" s="4">
        <f t="shared" si="21"/>
        <v>1</v>
      </c>
    </row>
    <row r="249" spans="1:25" x14ac:dyDescent="0.35">
      <c r="A249" s="4">
        <v>12</v>
      </c>
      <c r="B249" s="41">
        <v>45266</v>
      </c>
      <c r="C249" s="4" t="s">
        <v>7</v>
      </c>
      <c r="D249" s="4">
        <v>17</v>
      </c>
      <c r="E249" s="4" t="s">
        <v>237</v>
      </c>
      <c r="F249" s="4" t="str">
        <f t="shared" si="19"/>
        <v>tank 2</v>
      </c>
      <c r="G249" s="4">
        <f>IFERROR(INDEX('Date Key'!$I$2:$I$19, MATCH(B249,'Date Key'!$B$2:$B$19, 0)), "")</f>
        <v>4</v>
      </c>
      <c r="H249" s="4">
        <v>180</v>
      </c>
      <c r="I249" s="11">
        <v>0</v>
      </c>
      <c r="J249" s="11">
        <v>2.0122170319798779E-2</v>
      </c>
      <c r="K249" s="11">
        <v>0.2521624096875954</v>
      </c>
      <c r="L249" s="11">
        <v>0.84351047521716904</v>
      </c>
      <c r="M249" s="11">
        <v>41.103515624999993</v>
      </c>
      <c r="N249" s="11">
        <v>0.27228458000739419</v>
      </c>
      <c r="O249" s="11">
        <v>2.02</v>
      </c>
      <c r="P249" s="11">
        <v>7.35</v>
      </c>
      <c r="Q249" s="11">
        <v>113.63636363636364</v>
      </c>
      <c r="R249" s="11">
        <v>33.066666666666649</v>
      </c>
      <c r="S249" s="11">
        <v>1.2545787545787546</v>
      </c>
      <c r="T249" s="4">
        <f t="shared" si="18"/>
        <v>2</v>
      </c>
      <c r="U249" s="4" t="str">
        <f>IFERROR(INDEX('Date Key'!$G$2:$G$19, MATCH(B249,'Date Key'!$B$2:$B$19, 0)), "")</f>
        <v>No</v>
      </c>
      <c r="V249" s="4" t="str">
        <f>IFERROR(INDEX('Date Key'!$D$2:$D$19, MATCH(B249,'Date Key'!$B$2:$B$19, 0)), "")</f>
        <v>Upper</v>
      </c>
      <c r="W249" s="4" t="str">
        <f>IFERROR(INDEX('Date Key'!$H$2:$H$19, MATCH(B249,'Date Key'!$B$2:$B$19, 0)), "")</f>
        <v>No</v>
      </c>
      <c r="X249" s="4">
        <f t="shared" si="20"/>
        <v>0.54500000000000004</v>
      </c>
      <c r="Y249" s="4">
        <f t="shared" si="21"/>
        <v>1</v>
      </c>
    </row>
    <row r="250" spans="1:25" x14ac:dyDescent="0.35">
      <c r="A250" s="4">
        <v>12</v>
      </c>
      <c r="B250" s="41">
        <v>45266</v>
      </c>
      <c r="C250" s="4" t="s">
        <v>7</v>
      </c>
      <c r="D250" s="4">
        <v>18</v>
      </c>
      <c r="E250" s="4" t="s">
        <v>238</v>
      </c>
      <c r="F250" s="4" t="str">
        <f t="shared" si="19"/>
        <v>tank 2</v>
      </c>
      <c r="G250" s="4">
        <f>IFERROR(INDEX('Date Key'!$I$2:$I$19, MATCH(B250,'Date Key'!$B$2:$B$19, 0)), "")</f>
        <v>4</v>
      </c>
      <c r="H250" s="4">
        <v>90</v>
      </c>
      <c r="I250" s="11">
        <v>0</v>
      </c>
      <c r="J250" s="11">
        <v>2.5152712899748474E-2</v>
      </c>
      <c r="K250" s="11">
        <v>8.5478782944947596E-2</v>
      </c>
      <c r="L250" s="11">
        <v>0.57026060296372005</v>
      </c>
      <c r="M250" s="11">
        <v>27.158203125</v>
      </c>
      <c r="N250" s="11">
        <v>0.11063149584469607</v>
      </c>
      <c r="O250" s="11">
        <v>0.85</v>
      </c>
      <c r="P250" s="11">
        <v>7.12</v>
      </c>
      <c r="Q250" s="11">
        <v>123.8738738738739</v>
      </c>
      <c r="R250" s="11">
        <v>19.066666666666677</v>
      </c>
      <c r="S250" s="11">
        <v>1.3339438339438339</v>
      </c>
      <c r="T250" s="4">
        <f t="shared" si="18"/>
        <v>2</v>
      </c>
      <c r="U250" s="4" t="str">
        <f>IFERROR(INDEX('Date Key'!$G$2:$G$19, MATCH(B250,'Date Key'!$B$2:$B$19, 0)), "")</f>
        <v>No</v>
      </c>
      <c r="V250" s="4" t="str">
        <f>IFERROR(INDEX('Date Key'!$D$2:$D$19, MATCH(B250,'Date Key'!$B$2:$B$19, 0)), "")</f>
        <v>Upper</v>
      </c>
      <c r="W250" s="4" t="str">
        <f>IFERROR(INDEX('Date Key'!$H$2:$H$19, MATCH(B250,'Date Key'!$B$2:$B$19, 0)), "")</f>
        <v>No</v>
      </c>
      <c r="X250" s="4">
        <f t="shared" si="20"/>
        <v>0.54500000000000004</v>
      </c>
      <c r="Y250" s="4">
        <f t="shared" si="21"/>
        <v>1</v>
      </c>
    </row>
    <row r="251" spans="1:25" x14ac:dyDescent="0.35">
      <c r="A251" s="4">
        <v>12</v>
      </c>
      <c r="B251" s="41">
        <v>45266</v>
      </c>
      <c r="C251" s="4" t="s">
        <v>7</v>
      </c>
      <c r="D251" s="4">
        <v>19</v>
      </c>
      <c r="E251" s="4" t="s">
        <v>239</v>
      </c>
      <c r="F251" s="4" t="str">
        <f t="shared" si="19"/>
        <v>tank 2</v>
      </c>
      <c r="G251" s="4">
        <f>IFERROR(INDEX('Date Key'!$I$2:$I$19, MATCH(B251,'Date Key'!$B$2:$B$19, 0)), "")</f>
        <v>4</v>
      </c>
      <c r="H251" s="4">
        <v>0</v>
      </c>
      <c r="I251" s="11">
        <v>0.6642179369452097</v>
      </c>
      <c r="J251" s="11">
        <v>3.5213798059647868E-2</v>
      </c>
      <c r="K251" s="11">
        <v>0</v>
      </c>
      <c r="L251" s="11">
        <v>1.2236842105263157</v>
      </c>
      <c r="M251" s="11">
        <v>25.766601562499996</v>
      </c>
      <c r="N251" s="11">
        <v>0.69943173500485756</v>
      </c>
      <c r="O251" s="11">
        <v>1.2</v>
      </c>
      <c r="P251" s="11">
        <v>7.1</v>
      </c>
      <c r="Q251" s="11">
        <v>163.04347826086959</v>
      </c>
      <c r="R251" s="11">
        <v>22.733333333333309</v>
      </c>
      <c r="S251" s="11">
        <v>2.7991452991452994</v>
      </c>
      <c r="T251" s="4">
        <f t="shared" si="18"/>
        <v>2</v>
      </c>
      <c r="U251" s="4" t="str">
        <f>IFERROR(INDEX('Date Key'!$G$2:$G$19, MATCH(B251,'Date Key'!$B$2:$B$19, 0)), "")</f>
        <v>No</v>
      </c>
      <c r="V251" s="4" t="str">
        <f>IFERROR(INDEX('Date Key'!$D$2:$D$19, MATCH(B251,'Date Key'!$B$2:$B$19, 0)), "")</f>
        <v>Upper</v>
      </c>
      <c r="W251" s="4" t="str">
        <f>IFERROR(INDEX('Date Key'!$H$2:$H$19, MATCH(B251,'Date Key'!$B$2:$B$19, 0)), "")</f>
        <v>No</v>
      </c>
      <c r="X251" s="4">
        <f t="shared" si="20"/>
        <v>0.54500000000000004</v>
      </c>
      <c r="Y251" s="4">
        <f t="shared" si="21"/>
        <v>1</v>
      </c>
    </row>
    <row r="252" spans="1:25" x14ac:dyDescent="0.35">
      <c r="A252" s="4">
        <v>12</v>
      </c>
      <c r="B252" s="41">
        <v>45266</v>
      </c>
      <c r="C252" s="4" t="s">
        <v>7</v>
      </c>
      <c r="D252" s="4">
        <v>20</v>
      </c>
      <c r="E252" s="4" t="s">
        <v>240</v>
      </c>
      <c r="F252" s="4" t="str">
        <f t="shared" si="19"/>
        <v>tank 2</v>
      </c>
      <c r="G252" s="4">
        <f>IFERROR(INDEX('Date Key'!$I$2:$I$19, MATCH(B252,'Date Key'!$B$2:$B$19, 0)), "")</f>
        <v>4</v>
      </c>
      <c r="H252" s="4">
        <v>120</v>
      </c>
      <c r="I252" s="11">
        <v>0</v>
      </c>
      <c r="J252" s="11">
        <v>3.5213798059647868E-2</v>
      </c>
      <c r="K252" s="11">
        <v>0.26071028798209012</v>
      </c>
      <c r="L252" s="11">
        <v>0.87915176290240138</v>
      </c>
      <c r="M252" s="11">
        <v>48.911132812499993</v>
      </c>
      <c r="N252" s="11">
        <v>0.29592408604173798</v>
      </c>
      <c r="O252" s="11">
        <v>1.1000000000000001</v>
      </c>
      <c r="P252" s="11">
        <v>7.25</v>
      </c>
      <c r="Q252" s="11">
        <v>113.63636363636364</v>
      </c>
      <c r="R252" s="11">
        <v>23.399999999999977</v>
      </c>
      <c r="S252" s="11">
        <v>1.169108669108669</v>
      </c>
      <c r="T252" s="4">
        <f t="shared" si="18"/>
        <v>2</v>
      </c>
      <c r="U252" s="4" t="str">
        <f>IFERROR(INDEX('Date Key'!$G$2:$G$19, MATCH(B252,'Date Key'!$B$2:$B$19, 0)), "")</f>
        <v>No</v>
      </c>
      <c r="V252" s="4" t="str">
        <f>IFERROR(INDEX('Date Key'!$D$2:$D$19, MATCH(B252,'Date Key'!$B$2:$B$19, 0)), "")</f>
        <v>Upper</v>
      </c>
      <c r="W252" s="4" t="str">
        <f>IFERROR(INDEX('Date Key'!$H$2:$H$19, MATCH(B252,'Date Key'!$B$2:$B$19, 0)), "")</f>
        <v>No</v>
      </c>
      <c r="X252" s="4">
        <f t="shared" si="20"/>
        <v>0.54500000000000004</v>
      </c>
      <c r="Y252" s="4">
        <f t="shared" si="21"/>
        <v>1</v>
      </c>
    </row>
    <row r="253" spans="1:25" s="27" customFormat="1" x14ac:dyDescent="0.35">
      <c r="A253" s="27">
        <v>12</v>
      </c>
      <c r="B253" s="42">
        <v>45266</v>
      </c>
      <c r="C253" s="27" t="s">
        <v>7</v>
      </c>
      <c r="D253" s="27">
        <v>21</v>
      </c>
      <c r="E253" s="27" t="s">
        <v>241</v>
      </c>
      <c r="F253" s="27" t="str">
        <f t="shared" si="19"/>
        <v>tank 2</v>
      </c>
      <c r="G253" s="27">
        <f>IFERROR(INDEX('Date Key'!$I$2:$I$19, MATCH(B253,'Date Key'!$B$2:$B$19, 0)), "")</f>
        <v>4</v>
      </c>
      <c r="H253" s="27">
        <v>150</v>
      </c>
      <c r="I253" s="28">
        <v>0</v>
      </c>
      <c r="J253" s="28">
        <v>3.5213798059647868E-2</v>
      </c>
      <c r="K253" s="28">
        <v>0.36328482751602725</v>
      </c>
      <c r="L253" s="28">
        <v>0.96231476750127742</v>
      </c>
      <c r="M253" s="28">
        <v>54.6240234375</v>
      </c>
      <c r="N253" s="28">
        <v>0.39849862557567511</v>
      </c>
      <c r="O253" s="28">
        <v>0.84</v>
      </c>
      <c r="P253" s="28">
        <v>7.3</v>
      </c>
      <c r="Q253" s="28">
        <v>113.63636363636364</v>
      </c>
      <c r="R253" s="28">
        <v>29.066666666666649</v>
      </c>
      <c r="S253" s="28">
        <v>1.1568986568986568</v>
      </c>
      <c r="T253" s="27">
        <f t="shared" si="18"/>
        <v>2</v>
      </c>
      <c r="U253" s="27" t="str">
        <f>IFERROR(INDEX('Date Key'!$G$2:$G$19, MATCH(B253,'Date Key'!$B$2:$B$19, 0)), "")</f>
        <v>No</v>
      </c>
      <c r="V253" s="27" t="str">
        <f>IFERROR(INDEX('Date Key'!$D$2:$D$19, MATCH(B253,'Date Key'!$B$2:$B$19, 0)), "")</f>
        <v>Upper</v>
      </c>
      <c r="W253" s="27" t="str">
        <f>IFERROR(INDEX('Date Key'!$H$2:$H$19, MATCH(B253,'Date Key'!$B$2:$B$19, 0)), "")</f>
        <v>No</v>
      </c>
      <c r="X253" s="27">
        <f t="shared" si="20"/>
        <v>0.54500000000000004</v>
      </c>
      <c r="Y253" s="27">
        <f t="shared" si="21"/>
        <v>1</v>
      </c>
    </row>
    <row r="254" spans="1:25" x14ac:dyDescent="0.35">
      <c r="A254" s="4">
        <v>13</v>
      </c>
      <c r="B254" s="41">
        <v>45313</v>
      </c>
      <c r="C254" s="4" t="s">
        <v>7</v>
      </c>
      <c r="D254" s="4">
        <v>1</v>
      </c>
      <c r="E254" s="4" t="s">
        <v>242</v>
      </c>
      <c r="F254" s="4" t="str">
        <f t="shared" si="19"/>
        <v>in</v>
      </c>
      <c r="G254" s="4">
        <f>IFERROR(INDEX('Date Key'!$I$2:$I$19, MATCH(B254,'Date Key'!$B$2:$B$19, 0)), "")</f>
        <v>5</v>
      </c>
      <c r="H254" s="4">
        <v>120</v>
      </c>
      <c r="I254" s="11">
        <v>0.54352268083367394</v>
      </c>
      <c r="J254" s="11">
        <v>4.0631305453439848E-2</v>
      </c>
      <c r="K254" s="11">
        <v>2.2169224857020144</v>
      </c>
      <c r="L254" s="11">
        <v>0.13337157607916245</v>
      </c>
      <c r="M254" s="11">
        <v>126.14437604924456</v>
      </c>
      <c r="N254" s="11">
        <v>2.8010764719891283</v>
      </c>
      <c r="O254" s="11"/>
      <c r="P254" s="11">
        <v>7.33</v>
      </c>
      <c r="Q254" s="11">
        <v>113.63636363636364</v>
      </c>
      <c r="R254" s="11">
        <v>36.73333333333332</v>
      </c>
      <c r="S254" s="11">
        <v>6.1050061050061104E-2</v>
      </c>
      <c r="T254" s="4">
        <f t="shared" ref="T254:T318" si="22">IFERROR(INDEX($AB$3:$AB$5, MATCH(F254, $AA$3:$AA$5, 0)), "")</f>
        <v>0</v>
      </c>
      <c r="U254" s="4" t="str">
        <f>IFERROR(INDEX('Date Key'!$G$2:$G$19, MATCH(B254,'Date Key'!$B$2:$B$19, 0)), "")</f>
        <v>Yes</v>
      </c>
      <c r="V254" s="4" t="str">
        <f>IFERROR(INDEX('Date Key'!$D$2:$D$19, MATCH(B254,'Date Key'!$B$2:$B$19, 0)), "")</f>
        <v>Lower</v>
      </c>
      <c r="W254" s="4" t="s">
        <v>8</v>
      </c>
      <c r="X254" s="4">
        <f>IFERROR(INDEX($AB$8:$AB$10, MATCH(C254, $AA$8:$AA$10, 0)), "")</f>
        <v>0.54500000000000004</v>
      </c>
      <c r="Y254" s="4">
        <f>IFERROR(INDEX($AC$8:$AC$10, MATCH(C254, $AA$8:$AA$10, 0)), "")</f>
        <v>1</v>
      </c>
    </row>
    <row r="255" spans="1:25" x14ac:dyDescent="0.35">
      <c r="A255" s="4">
        <v>13</v>
      </c>
      <c r="B255" s="41">
        <v>45313</v>
      </c>
      <c r="C255" s="4" t="s">
        <v>7</v>
      </c>
      <c r="D255" s="4">
        <v>2</v>
      </c>
      <c r="E255" s="4" t="s">
        <v>243</v>
      </c>
      <c r="F255" s="4" t="str">
        <f t="shared" si="19"/>
        <v>in</v>
      </c>
      <c r="G255" s="4">
        <f>IFERROR(INDEX('Date Key'!$I$2:$I$19, MATCH(B255,'Date Key'!$B$2:$B$19, 0)), "")</f>
        <v>5</v>
      </c>
      <c r="H255" s="4">
        <v>0</v>
      </c>
      <c r="I255" s="11">
        <v>0.87726467783680695</v>
      </c>
      <c r="J255" s="11">
        <v>4.0631305453439848E-2</v>
      </c>
      <c r="K255" s="11">
        <v>2.207428170988087</v>
      </c>
      <c r="L255" s="11">
        <v>9.3360103255413732E-2</v>
      </c>
      <c r="M255" s="11">
        <v>123.50867375489648</v>
      </c>
      <c r="N255" s="11">
        <v>3.1253241542783337</v>
      </c>
      <c r="O255" s="11"/>
      <c r="P255" s="11">
        <v>7.23</v>
      </c>
      <c r="Q255" s="11">
        <v>92.592592592592609</v>
      </c>
      <c r="R255" s="11">
        <v>33.73333333333332</v>
      </c>
      <c r="S255" s="11">
        <v>8.5470085470085458E-2</v>
      </c>
      <c r="T255" s="4">
        <f t="shared" si="22"/>
        <v>0</v>
      </c>
      <c r="U255" s="4" t="str">
        <f>IFERROR(INDEX('Date Key'!$G$2:$G$19, MATCH(B255,'Date Key'!$B$2:$B$19, 0)), "")</f>
        <v>Yes</v>
      </c>
      <c r="V255" s="4" t="str">
        <f>IFERROR(INDEX('Date Key'!$D$2:$D$19, MATCH(B255,'Date Key'!$B$2:$B$19, 0)), "")</f>
        <v>Lower</v>
      </c>
      <c r="W255" s="4" t="s">
        <v>8</v>
      </c>
      <c r="X255" s="4">
        <f t="shared" ref="X255:X275" si="23">IFERROR(INDEX($AB$8:$AB$10, MATCH(C255, $AA$8:$AA$10, 0)), "")</f>
        <v>0.54500000000000004</v>
      </c>
      <c r="Y255" s="4">
        <f t="shared" ref="Y255:Y275" si="24">IFERROR(INDEX($AC$8:$AC$10, MATCH(C255, $AA$8:$AA$10, 0)), "")</f>
        <v>1</v>
      </c>
    </row>
    <row r="256" spans="1:25" x14ac:dyDescent="0.35">
      <c r="A256" s="4">
        <v>13</v>
      </c>
      <c r="B256" s="41">
        <v>45313</v>
      </c>
      <c r="C256" s="4" t="s">
        <v>7</v>
      </c>
      <c r="D256" s="4">
        <v>3</v>
      </c>
      <c r="E256" s="4" t="s">
        <v>244</v>
      </c>
      <c r="F256" s="4" t="str">
        <f t="shared" si="19"/>
        <v>in</v>
      </c>
      <c r="G256" s="4">
        <f>IFERROR(INDEX('Date Key'!$I$2:$I$19, MATCH(B256,'Date Key'!$B$2:$B$19, 0)), "")</f>
        <v>5</v>
      </c>
      <c r="H256" s="4">
        <v>60</v>
      </c>
      <c r="I256" s="11">
        <v>0.65794850837760532</v>
      </c>
      <c r="J256" s="11">
        <v>4.643577766107411E-2</v>
      </c>
      <c r="K256" s="11">
        <v>2.1219793385627419</v>
      </c>
      <c r="L256" s="11">
        <v>0.12003441847124621</v>
      </c>
      <c r="M256" s="11">
        <v>125.45607162842754</v>
      </c>
      <c r="N256" s="11">
        <v>2.8263636246014214</v>
      </c>
      <c r="O256" s="11"/>
      <c r="P256" s="11">
        <v>7.2</v>
      </c>
      <c r="Q256" s="11">
        <v>81.775700934579433</v>
      </c>
      <c r="R256" s="11">
        <v>32.066666666666649</v>
      </c>
      <c r="S256" s="11">
        <v>6.7155067155067125E-2</v>
      </c>
      <c r="T256" s="4">
        <f t="shared" si="22"/>
        <v>0</v>
      </c>
      <c r="U256" s="4" t="str">
        <f>IFERROR(INDEX('Date Key'!$G$2:$G$19, MATCH(B256,'Date Key'!$B$2:$B$19, 0)), "")</f>
        <v>Yes</v>
      </c>
      <c r="V256" s="4" t="str">
        <f>IFERROR(INDEX('Date Key'!$D$2:$D$19, MATCH(B256,'Date Key'!$B$2:$B$19, 0)), "")</f>
        <v>Lower</v>
      </c>
      <c r="W256" s="4" t="s">
        <v>8</v>
      </c>
      <c r="X256" s="4">
        <f t="shared" si="23"/>
        <v>0.54500000000000004</v>
      </c>
      <c r="Y256" s="4">
        <f t="shared" si="24"/>
        <v>1</v>
      </c>
    </row>
    <row r="257" spans="1:25" x14ac:dyDescent="0.35">
      <c r="A257" s="4">
        <v>13</v>
      </c>
      <c r="B257" s="41">
        <v>45313</v>
      </c>
      <c r="C257" s="4" t="s">
        <v>7</v>
      </c>
      <c r="D257" s="4">
        <v>4</v>
      </c>
      <c r="E257" s="4" t="s">
        <v>245</v>
      </c>
      <c r="F257" s="4" t="str">
        <f t="shared" si="19"/>
        <v>in</v>
      </c>
      <c r="G257" s="4">
        <f>IFERROR(INDEX('Date Key'!$I$2:$I$19, MATCH(B257,'Date Key'!$B$2:$B$19, 0)), "")</f>
        <v>5</v>
      </c>
      <c r="H257" s="4">
        <v>180</v>
      </c>
      <c r="I257" s="11">
        <v>0.40049039640375977</v>
      </c>
      <c r="J257" s="11">
        <v>4.0631305453439848E-2</v>
      </c>
      <c r="K257" s="11">
        <v>2.440038881479305</v>
      </c>
      <c r="L257" s="11">
        <v>0.14670873368707871</v>
      </c>
      <c r="M257" s="11">
        <v>120.35254616675992</v>
      </c>
      <c r="N257" s="11">
        <v>2.8811605833365048</v>
      </c>
      <c r="O257" s="11"/>
      <c r="P257" s="11">
        <v>7.15</v>
      </c>
      <c r="Q257" s="11">
        <v>87.209302325581405</v>
      </c>
      <c r="R257" s="11">
        <v>31.066666666666649</v>
      </c>
      <c r="S257" s="11">
        <v>8.5470085470085458E-2</v>
      </c>
      <c r="T257" s="4">
        <f t="shared" si="22"/>
        <v>0</v>
      </c>
      <c r="U257" s="4" t="str">
        <f>IFERROR(INDEX('Date Key'!$G$2:$G$19, MATCH(B257,'Date Key'!$B$2:$B$19, 0)), "")</f>
        <v>Yes</v>
      </c>
      <c r="V257" s="4" t="str">
        <f>IFERROR(INDEX('Date Key'!$D$2:$D$19, MATCH(B257,'Date Key'!$B$2:$B$19, 0)), "")</f>
        <v>Lower</v>
      </c>
      <c r="W257" s="4" t="s">
        <v>8</v>
      </c>
      <c r="X257" s="4">
        <f t="shared" si="23"/>
        <v>0.54500000000000004</v>
      </c>
      <c r="Y257" s="4">
        <f t="shared" si="24"/>
        <v>1</v>
      </c>
    </row>
    <row r="258" spans="1:25" x14ac:dyDescent="0.35">
      <c r="A258" s="4">
        <v>13</v>
      </c>
      <c r="B258" s="41">
        <v>45313</v>
      </c>
      <c r="C258" s="4" t="s">
        <v>7</v>
      </c>
      <c r="D258" s="4">
        <v>5</v>
      </c>
      <c r="E258" s="4" t="s">
        <v>246</v>
      </c>
      <c r="F258" s="4" t="str">
        <f t="shared" si="19"/>
        <v>in</v>
      </c>
      <c r="G258" s="4">
        <f>IFERROR(INDEX('Date Key'!$I$2:$I$19, MATCH(B258,'Date Key'!$B$2:$B$19, 0)), "")</f>
        <v>5</v>
      </c>
      <c r="H258" s="4">
        <v>30</v>
      </c>
      <c r="I258" s="11">
        <v>0.68655496526358795</v>
      </c>
      <c r="J258" s="11">
        <v>4.0631305453439848E-2</v>
      </c>
      <c r="K258" s="11">
        <v>2.254899744557723</v>
      </c>
      <c r="L258" s="11">
        <v>0.12003441847124621</v>
      </c>
      <c r="M258" s="11">
        <v>127.06771124790151</v>
      </c>
      <c r="N258" s="11">
        <v>2.982086015274751</v>
      </c>
      <c r="O258" s="11"/>
      <c r="P258" s="11">
        <v>7.18</v>
      </c>
      <c r="Q258" s="11">
        <v>97.926267281105993</v>
      </c>
      <c r="R258" s="11">
        <v>31.066666666666649</v>
      </c>
      <c r="S258" s="11">
        <v>4.8840048840048882E-2</v>
      </c>
      <c r="T258" s="4">
        <f t="shared" si="22"/>
        <v>0</v>
      </c>
      <c r="U258" s="4" t="str">
        <f>IFERROR(INDEX('Date Key'!$G$2:$G$19, MATCH(B258,'Date Key'!$B$2:$B$19, 0)), "")</f>
        <v>Yes</v>
      </c>
      <c r="V258" s="4" t="str">
        <f>IFERROR(INDEX('Date Key'!$D$2:$D$19, MATCH(B258,'Date Key'!$B$2:$B$19, 0)), "")</f>
        <v>Lower</v>
      </c>
      <c r="W258" s="4" t="s">
        <v>8</v>
      </c>
      <c r="X258" s="4">
        <f t="shared" si="23"/>
        <v>0.54500000000000004</v>
      </c>
      <c r="Y258" s="4">
        <f t="shared" si="24"/>
        <v>1</v>
      </c>
    </row>
    <row r="259" spans="1:25" x14ac:dyDescent="0.35">
      <c r="A259" s="4">
        <v>13</v>
      </c>
      <c r="B259" s="41">
        <v>45313</v>
      </c>
      <c r="C259" s="4" t="s">
        <v>7</v>
      </c>
      <c r="D259" s="4">
        <v>6</v>
      </c>
      <c r="E259" s="4" t="s">
        <v>407</v>
      </c>
      <c r="F259" s="4" t="str">
        <f t="shared" ref="F259:F322" si="25">MID(E259, SEARCH(" ", E259) + 1, LEN(E259))</f>
        <v>in</v>
      </c>
      <c r="G259" s="4">
        <f>IFERROR(INDEX('Date Key'!$I$2:$I$19, MATCH(B259,'Date Key'!$B$2:$B$19, 0)), "")</f>
        <v>5</v>
      </c>
      <c r="H259" s="4">
        <v>90</v>
      </c>
      <c r="I259" s="11">
        <v>0.61027108023430054</v>
      </c>
      <c r="J259" s="11">
        <v>4.0631305453439848E-2</v>
      </c>
      <c r="K259" s="11">
        <v>2.0602662929222144</v>
      </c>
      <c r="L259" s="11">
        <v>0.12003441847124621</v>
      </c>
      <c r="M259" s="11">
        <v>121.9641857862339</v>
      </c>
      <c r="N259" s="11">
        <v>2.7111686786099547</v>
      </c>
      <c r="O259" s="11"/>
      <c r="P259" s="11">
        <v>7.26</v>
      </c>
      <c r="Q259" s="11">
        <v>103.21100917431194</v>
      </c>
      <c r="R259" s="11">
        <v>23.066666666666642</v>
      </c>
      <c r="S259" s="11">
        <v>6.1050061050061104E-2</v>
      </c>
      <c r="T259" s="4">
        <f t="shared" si="22"/>
        <v>0</v>
      </c>
      <c r="U259" s="4" t="str">
        <f>IFERROR(INDEX('Date Key'!$G$2:$G$19, MATCH(B259,'Date Key'!$B$2:$B$19, 0)), "")</f>
        <v>Yes</v>
      </c>
      <c r="V259" s="4" t="str">
        <f>IFERROR(INDEX('Date Key'!$D$2:$D$19, MATCH(B259,'Date Key'!$B$2:$B$19, 0)), "")</f>
        <v>Lower</v>
      </c>
      <c r="W259" s="4" t="s">
        <v>8</v>
      </c>
      <c r="X259" s="4">
        <f t="shared" si="23"/>
        <v>0.54500000000000004</v>
      </c>
      <c r="Y259" s="4">
        <f t="shared" si="24"/>
        <v>1</v>
      </c>
    </row>
    <row r="260" spans="1:25" x14ac:dyDescent="0.35">
      <c r="A260" s="4">
        <v>13</v>
      </c>
      <c r="B260" s="41">
        <v>45313</v>
      </c>
      <c r="C260" s="4" t="s">
        <v>7</v>
      </c>
      <c r="D260" s="4">
        <v>7</v>
      </c>
      <c r="E260" s="4" t="s">
        <v>247</v>
      </c>
      <c r="F260" s="4" t="str">
        <f t="shared" si="25"/>
        <v>in</v>
      </c>
      <c r="G260" s="4">
        <f>IFERROR(INDEX('Date Key'!$I$2:$I$19, MATCH(B260,'Date Key'!$B$2:$B$19, 0)), "")</f>
        <v>5</v>
      </c>
      <c r="H260" s="4">
        <v>150</v>
      </c>
      <c r="I260" s="11">
        <v>0.44816782454706444</v>
      </c>
      <c r="J260" s="11">
        <v>4.0631305453439848E-2</v>
      </c>
      <c r="K260" s="11">
        <v>2.2881298460564685</v>
      </c>
      <c r="L260" s="11">
        <v>0.13337157607916245</v>
      </c>
      <c r="M260" s="11">
        <v>118.8752098489088</v>
      </c>
      <c r="N260" s="11">
        <v>2.7769289760569729</v>
      </c>
      <c r="O260" s="11"/>
      <c r="P260" s="11">
        <v>7.27</v>
      </c>
      <c r="Q260" s="11">
        <v>97.926267281105993</v>
      </c>
      <c r="R260" s="11">
        <v>34.399999999999984</v>
      </c>
      <c r="S260" s="11">
        <v>9.1575091575091569E-2</v>
      </c>
      <c r="T260" s="4">
        <f t="shared" si="22"/>
        <v>0</v>
      </c>
      <c r="U260" s="4" t="str">
        <f>IFERROR(INDEX('Date Key'!$G$2:$G$19, MATCH(B260,'Date Key'!$B$2:$B$19, 0)), "")</f>
        <v>Yes</v>
      </c>
      <c r="V260" s="4" t="str">
        <f>IFERROR(INDEX('Date Key'!$D$2:$D$19, MATCH(B260,'Date Key'!$B$2:$B$19, 0)), "")</f>
        <v>Lower</v>
      </c>
      <c r="W260" s="4" t="s">
        <v>8</v>
      </c>
      <c r="X260" s="4">
        <f t="shared" si="23"/>
        <v>0.54500000000000004</v>
      </c>
      <c r="Y260" s="4">
        <f t="shared" si="24"/>
        <v>1</v>
      </c>
    </row>
    <row r="261" spans="1:25" x14ac:dyDescent="0.35">
      <c r="A261" s="4">
        <v>13</v>
      </c>
      <c r="B261" s="41">
        <v>45313</v>
      </c>
      <c r="C261" s="4" t="s">
        <v>7</v>
      </c>
      <c r="D261" s="4">
        <v>8</v>
      </c>
      <c r="E261" s="4" t="s">
        <v>248</v>
      </c>
      <c r="F261" s="4" t="str">
        <f t="shared" si="25"/>
        <v>tank 1</v>
      </c>
      <c r="G261" s="4">
        <f>IFERROR(INDEX('Date Key'!$I$2:$I$19, MATCH(B261,'Date Key'!$B$2:$B$19, 0)), "")</f>
        <v>5</v>
      </c>
      <c r="H261" s="4">
        <v>60</v>
      </c>
      <c r="I261" s="11">
        <v>0.62934205149162237</v>
      </c>
      <c r="J261" s="11">
        <v>0.19735205505956493</v>
      </c>
      <c r="K261" s="11">
        <v>1.4241472070890882</v>
      </c>
      <c r="L261" s="11">
        <v>0.22673167933457619</v>
      </c>
      <c r="M261" s="11">
        <v>116.1387800783436</v>
      </c>
      <c r="N261" s="11">
        <v>2.2508413136402754</v>
      </c>
      <c r="O261" s="11"/>
      <c r="P261" s="11">
        <v>7.04</v>
      </c>
      <c r="Q261" s="11">
        <v>113.63636363636364</v>
      </c>
      <c r="R261" s="11">
        <v>33.73333333333332</v>
      </c>
      <c r="S261" s="11">
        <v>0.17704517704517703</v>
      </c>
      <c r="T261" s="4">
        <f t="shared" si="22"/>
        <v>1</v>
      </c>
      <c r="U261" s="4" t="str">
        <f>IFERROR(INDEX('Date Key'!$G$2:$G$19, MATCH(B261,'Date Key'!$B$2:$B$19, 0)), "")</f>
        <v>Yes</v>
      </c>
      <c r="V261" s="4" t="str">
        <f>IFERROR(INDEX('Date Key'!$D$2:$D$19, MATCH(B261,'Date Key'!$B$2:$B$19, 0)), "")</f>
        <v>Lower</v>
      </c>
      <c r="W261" s="4" t="s">
        <v>8</v>
      </c>
      <c r="X261" s="4">
        <f t="shared" si="23"/>
        <v>0.54500000000000004</v>
      </c>
      <c r="Y261" s="4">
        <f t="shared" si="24"/>
        <v>1</v>
      </c>
    </row>
    <row r="262" spans="1:25" x14ac:dyDescent="0.35">
      <c r="A262" s="4">
        <v>13</v>
      </c>
      <c r="B262" s="41">
        <v>45313</v>
      </c>
      <c r="C262" s="4" t="s">
        <v>7</v>
      </c>
      <c r="D262" s="4">
        <v>9</v>
      </c>
      <c r="E262" s="4" t="s">
        <v>249</v>
      </c>
      <c r="F262" s="4" t="str">
        <f t="shared" si="25"/>
        <v>tank 1</v>
      </c>
      <c r="G262" s="4">
        <f>IFERROR(INDEX('Date Key'!$I$2:$I$19, MATCH(B262,'Date Key'!$B$2:$B$19, 0)), "")</f>
        <v>5</v>
      </c>
      <c r="H262" s="4">
        <v>0</v>
      </c>
      <c r="I262" s="11">
        <v>0.19070971257321889</v>
      </c>
      <c r="J262" s="11">
        <v>3.4826833245805586E-2</v>
      </c>
      <c r="K262" s="11">
        <v>9.4943147139272557E-2</v>
      </c>
      <c r="L262" s="11">
        <v>0.42678904345331992</v>
      </c>
      <c r="M262" s="11">
        <v>39.65304980414102</v>
      </c>
      <c r="N262" s="11">
        <v>0.32047969295829704</v>
      </c>
      <c r="O262" s="11"/>
      <c r="P262" s="11">
        <v>7.19</v>
      </c>
      <c r="Q262" s="11">
        <v>190.67796610169495</v>
      </c>
      <c r="R262" s="11">
        <v>21.733333333333309</v>
      </c>
      <c r="S262" s="11">
        <v>0.40293040293040294</v>
      </c>
      <c r="T262" s="4">
        <f t="shared" si="22"/>
        <v>1</v>
      </c>
      <c r="U262" s="4" t="str">
        <f>IFERROR(INDEX('Date Key'!$G$2:$G$19, MATCH(B262,'Date Key'!$B$2:$B$19, 0)), "")</f>
        <v>Yes</v>
      </c>
      <c r="V262" s="4" t="str">
        <f>IFERROR(INDEX('Date Key'!$D$2:$D$19, MATCH(B262,'Date Key'!$B$2:$B$19, 0)), "")</f>
        <v>Lower</v>
      </c>
      <c r="W262" s="4" t="s">
        <v>8</v>
      </c>
      <c r="X262" s="4">
        <f t="shared" si="23"/>
        <v>0.54500000000000004</v>
      </c>
      <c r="Y262" s="4">
        <f t="shared" si="24"/>
        <v>1</v>
      </c>
    </row>
    <row r="263" spans="1:25" x14ac:dyDescent="0.35">
      <c r="A263" s="4">
        <v>13</v>
      </c>
      <c r="B263" s="41">
        <v>45313</v>
      </c>
      <c r="C263" s="4" t="s">
        <v>7</v>
      </c>
      <c r="D263" s="4">
        <v>10</v>
      </c>
      <c r="E263" s="4" t="s">
        <v>250</v>
      </c>
      <c r="F263" s="4" t="str">
        <f t="shared" si="25"/>
        <v>tank 1</v>
      </c>
      <c r="G263" s="4">
        <f>IFERROR(INDEX('Date Key'!$I$2:$I$19, MATCH(B263,'Date Key'!$B$2:$B$19, 0)), "")</f>
        <v>5</v>
      </c>
      <c r="H263" s="4">
        <v>150</v>
      </c>
      <c r="I263" s="11">
        <v>0.58166462334831759</v>
      </c>
      <c r="J263" s="11">
        <v>0.24959230492827333</v>
      </c>
      <c r="K263" s="11">
        <v>1.4478829938739066</v>
      </c>
      <c r="L263" s="11">
        <v>0.1733830489029112</v>
      </c>
      <c r="M263" s="11">
        <v>120.83939563514271</v>
      </c>
      <c r="N263" s="11">
        <v>2.2791399221504975</v>
      </c>
      <c r="O263" s="11"/>
      <c r="P263" s="11">
        <v>7.31</v>
      </c>
      <c r="Q263" s="11">
        <v>103.21100917431194</v>
      </c>
      <c r="R263" s="11">
        <v>43.399999999999991</v>
      </c>
      <c r="S263" s="11">
        <v>9.768009768009768E-2</v>
      </c>
      <c r="T263" s="4">
        <f t="shared" si="22"/>
        <v>1</v>
      </c>
      <c r="U263" s="4" t="str">
        <f>IFERROR(INDEX('Date Key'!$G$2:$G$19, MATCH(B263,'Date Key'!$B$2:$B$19, 0)), "")</f>
        <v>Yes</v>
      </c>
      <c r="V263" s="4" t="str">
        <f>IFERROR(INDEX('Date Key'!$D$2:$D$19, MATCH(B263,'Date Key'!$B$2:$B$19, 0)), "")</f>
        <v>Lower</v>
      </c>
      <c r="W263" s="4" t="s">
        <v>8</v>
      </c>
      <c r="X263" s="4">
        <f t="shared" si="23"/>
        <v>0.54500000000000004</v>
      </c>
      <c r="Y263" s="4">
        <f t="shared" si="24"/>
        <v>1</v>
      </c>
    </row>
    <row r="264" spans="1:25" x14ac:dyDescent="0.35">
      <c r="A264" s="4">
        <v>13</v>
      </c>
      <c r="B264" s="41">
        <v>45313</v>
      </c>
      <c r="C264" s="4" t="s">
        <v>7</v>
      </c>
      <c r="D264" s="4">
        <v>11</v>
      </c>
      <c r="E264" s="4" t="s">
        <v>251</v>
      </c>
      <c r="F264" s="4" t="str">
        <f t="shared" si="25"/>
        <v>tank 1</v>
      </c>
      <c r="G264" s="4">
        <f>IFERROR(INDEX('Date Key'!$I$2:$I$19, MATCH(B264,'Date Key'!$B$2:$B$19, 0)), "")</f>
        <v>5</v>
      </c>
      <c r="H264" s="4">
        <v>90</v>
      </c>
      <c r="I264" s="11">
        <v>0.67701947963492692</v>
      </c>
      <c r="J264" s="11">
        <v>0.24959230492827333</v>
      </c>
      <c r="K264" s="11">
        <v>1.3956642629473064</v>
      </c>
      <c r="L264" s="11">
        <v>0.18672020651082746</v>
      </c>
      <c r="M264" s="11">
        <v>120.47006155567991</v>
      </c>
      <c r="N264" s="11">
        <v>2.3222760475105066</v>
      </c>
      <c r="O264" s="11"/>
      <c r="P264" s="11">
        <v>7.17</v>
      </c>
      <c r="Q264" s="11">
        <v>113.63636363636364</v>
      </c>
      <c r="R264" s="11">
        <v>38.399999999999991</v>
      </c>
      <c r="S264" s="11">
        <v>0.12210012210012212</v>
      </c>
      <c r="T264" s="4">
        <f t="shared" si="22"/>
        <v>1</v>
      </c>
      <c r="U264" s="4" t="str">
        <f>IFERROR(INDEX('Date Key'!$G$2:$G$19, MATCH(B264,'Date Key'!$B$2:$B$19, 0)), "")</f>
        <v>Yes</v>
      </c>
      <c r="V264" s="4" t="str">
        <f>IFERROR(INDEX('Date Key'!$D$2:$D$19, MATCH(B264,'Date Key'!$B$2:$B$19, 0)), "")</f>
        <v>Lower</v>
      </c>
      <c r="W264" s="4" t="s">
        <v>8</v>
      </c>
      <c r="X264" s="4">
        <f t="shared" si="23"/>
        <v>0.54500000000000004</v>
      </c>
      <c r="Y264" s="4">
        <f t="shared" si="24"/>
        <v>1</v>
      </c>
    </row>
    <row r="265" spans="1:25" x14ac:dyDescent="0.35">
      <c r="A265" s="4">
        <v>13</v>
      </c>
      <c r="B265" s="41">
        <v>45313</v>
      </c>
      <c r="C265" s="4" t="s">
        <v>7</v>
      </c>
      <c r="D265" s="4">
        <v>12</v>
      </c>
      <c r="E265" s="4" t="s">
        <v>252</v>
      </c>
      <c r="F265" s="4" t="str">
        <f t="shared" si="25"/>
        <v>tank 1</v>
      </c>
      <c r="G265" s="4">
        <f>IFERROR(INDEX('Date Key'!$I$2:$I$19, MATCH(B265,'Date Key'!$B$2:$B$19, 0)), "")</f>
        <v>5</v>
      </c>
      <c r="H265" s="4">
        <v>120</v>
      </c>
      <c r="I265" s="11">
        <v>0.76283885029287557</v>
      </c>
      <c r="J265" s="11">
        <v>0.26700572155117613</v>
      </c>
      <c r="K265" s="11">
        <v>1.4241472070890882</v>
      </c>
      <c r="L265" s="11">
        <v>0.1733830489029112</v>
      </c>
      <c r="M265" s="11">
        <v>126.1275881365417</v>
      </c>
      <c r="N265" s="11">
        <v>2.4539917789331396</v>
      </c>
      <c r="O265" s="11"/>
      <c r="P265" s="11">
        <v>7.39</v>
      </c>
      <c r="Q265" s="11">
        <v>108.4474885844749</v>
      </c>
      <c r="R265" s="11">
        <v>42.733333333333327</v>
      </c>
      <c r="S265" s="11">
        <v>0.12210012210012212</v>
      </c>
      <c r="T265" s="4">
        <f t="shared" si="22"/>
        <v>1</v>
      </c>
      <c r="U265" s="4" t="str">
        <f>IFERROR(INDEX('Date Key'!$G$2:$G$19, MATCH(B265,'Date Key'!$B$2:$B$19, 0)), "")</f>
        <v>Yes</v>
      </c>
      <c r="V265" s="4" t="str">
        <f>IFERROR(INDEX('Date Key'!$D$2:$D$19, MATCH(B265,'Date Key'!$B$2:$B$19, 0)), "")</f>
        <v>Lower</v>
      </c>
      <c r="W265" s="4" t="s">
        <v>8</v>
      </c>
      <c r="X265" s="4">
        <f t="shared" si="23"/>
        <v>0.54500000000000004</v>
      </c>
      <c r="Y265" s="4">
        <f t="shared" si="24"/>
        <v>1</v>
      </c>
    </row>
    <row r="266" spans="1:25" x14ac:dyDescent="0.35">
      <c r="A266" s="4">
        <v>13</v>
      </c>
      <c r="B266" s="41">
        <v>45313</v>
      </c>
      <c r="C266" s="4" t="s">
        <v>7</v>
      </c>
      <c r="D266" s="4">
        <v>13</v>
      </c>
      <c r="E266" s="4" t="s">
        <v>253</v>
      </c>
      <c r="F266" s="4" t="str">
        <f t="shared" si="25"/>
        <v>tank 1</v>
      </c>
      <c r="G266" s="4">
        <f>IFERROR(INDEX('Date Key'!$I$2:$I$19, MATCH(B266,'Date Key'!$B$2:$B$19, 0)), "")</f>
        <v>5</v>
      </c>
      <c r="H266" s="4">
        <v>30</v>
      </c>
      <c r="I266" s="11">
        <v>0.45770331017572541</v>
      </c>
      <c r="J266" s="11">
        <v>6.9653666491611171E-2</v>
      </c>
      <c r="K266" s="11">
        <v>0.78328096389899859</v>
      </c>
      <c r="L266" s="11">
        <v>0.33342894019790625</v>
      </c>
      <c r="M266" s="11">
        <v>84.862898712926693</v>
      </c>
      <c r="N266" s="11">
        <v>1.3106379405663353</v>
      </c>
      <c r="O266" s="11"/>
      <c r="P266" s="11">
        <v>7.11</v>
      </c>
      <c r="Q266" s="11">
        <v>153.50877192982455</v>
      </c>
      <c r="R266" s="11">
        <v>27.399999999999981</v>
      </c>
      <c r="S266" s="11">
        <v>0.37240537240537241</v>
      </c>
      <c r="T266" s="4">
        <f t="shared" si="22"/>
        <v>1</v>
      </c>
      <c r="U266" s="4" t="str">
        <f>IFERROR(INDEX('Date Key'!$G$2:$G$19, MATCH(B266,'Date Key'!$B$2:$B$19, 0)), "")</f>
        <v>Yes</v>
      </c>
      <c r="V266" s="4" t="str">
        <f>IFERROR(INDEX('Date Key'!$D$2:$D$19, MATCH(B266,'Date Key'!$B$2:$B$19, 0)), "")</f>
        <v>Lower</v>
      </c>
      <c r="W266" s="4" t="s">
        <v>8</v>
      </c>
      <c r="X266" s="4">
        <f t="shared" si="23"/>
        <v>0.54500000000000004</v>
      </c>
      <c r="Y266" s="4">
        <f t="shared" si="24"/>
        <v>1</v>
      </c>
    </row>
    <row r="267" spans="1:25" x14ac:dyDescent="0.35">
      <c r="A267" s="4">
        <v>13</v>
      </c>
      <c r="B267" s="41">
        <v>45313</v>
      </c>
      <c r="C267" s="4" t="s">
        <v>7</v>
      </c>
      <c r="D267" s="4">
        <v>14</v>
      </c>
      <c r="E267" s="4" t="s">
        <v>254</v>
      </c>
      <c r="F267" s="4" t="str">
        <f t="shared" si="25"/>
        <v>tank 1</v>
      </c>
      <c r="G267" s="4">
        <f>IFERROR(INDEX('Date Key'!$I$2:$I$19, MATCH(B267,'Date Key'!$B$2:$B$19, 0)), "")</f>
        <v>5</v>
      </c>
      <c r="H267" s="4">
        <v>180</v>
      </c>
      <c r="I267" s="11">
        <v>0.50538073831903008</v>
      </c>
      <c r="J267" s="11">
        <v>0.24959230492827333</v>
      </c>
      <c r="K267" s="11">
        <v>1.5713090851549609</v>
      </c>
      <c r="L267" s="11">
        <v>0.18672020651082746</v>
      </c>
      <c r="M267" s="11">
        <v>120.35254616675992</v>
      </c>
      <c r="N267" s="11">
        <v>2.3262821284022643</v>
      </c>
      <c r="O267" s="11"/>
      <c r="P267" s="11">
        <v>7.45</v>
      </c>
      <c r="Q267" s="11">
        <v>97.926267281105993</v>
      </c>
      <c r="R267" s="11">
        <v>39.066666666666656</v>
      </c>
      <c r="S267" s="11">
        <v>0.1098901098901099</v>
      </c>
      <c r="T267" s="4">
        <f t="shared" si="22"/>
        <v>1</v>
      </c>
      <c r="U267" s="4" t="str">
        <f>IFERROR(INDEX('Date Key'!$G$2:$G$19, MATCH(B267,'Date Key'!$B$2:$B$19, 0)), "")</f>
        <v>Yes</v>
      </c>
      <c r="V267" s="4" t="str">
        <f>IFERROR(INDEX('Date Key'!$D$2:$D$19, MATCH(B267,'Date Key'!$B$2:$B$19, 0)), "")</f>
        <v>Lower</v>
      </c>
      <c r="W267" s="4" t="s">
        <v>8</v>
      </c>
      <c r="X267" s="4">
        <f t="shared" si="23"/>
        <v>0.54500000000000004</v>
      </c>
      <c r="Y267" s="4">
        <f t="shared" si="24"/>
        <v>1</v>
      </c>
    </row>
    <row r="268" spans="1:25" x14ac:dyDescent="0.35">
      <c r="A268" s="4">
        <v>13</v>
      </c>
      <c r="B268" s="41">
        <v>45313</v>
      </c>
      <c r="C268" s="4" t="s">
        <v>7</v>
      </c>
      <c r="D268" s="4">
        <v>15</v>
      </c>
      <c r="E268" s="4" t="s">
        <v>255</v>
      </c>
      <c r="F268" s="4" t="str">
        <f t="shared" si="25"/>
        <v>tank 2</v>
      </c>
      <c r="G268" s="4">
        <f>IFERROR(INDEX('Date Key'!$I$2:$I$19, MATCH(B268,'Date Key'!$B$2:$B$19, 0)), "")</f>
        <v>5</v>
      </c>
      <c r="H268" s="4">
        <v>180</v>
      </c>
      <c r="I268" s="11">
        <v>0.5244517095763519</v>
      </c>
      <c r="J268" s="11">
        <v>9.2871555322148219E-2</v>
      </c>
      <c r="K268" s="11">
        <v>2.1409679679905964</v>
      </c>
      <c r="L268" s="11">
        <v>0.10669726086332998</v>
      </c>
      <c r="M268" s="11">
        <v>125.77504196978175</v>
      </c>
      <c r="N268" s="11">
        <v>2.7582912328890963</v>
      </c>
      <c r="O268" s="11"/>
      <c r="P268" s="11">
        <v>7.28</v>
      </c>
      <c r="Q268" s="11">
        <v>87.209302325581405</v>
      </c>
      <c r="R268" s="11">
        <v>32.066666666666649</v>
      </c>
      <c r="S268" s="11">
        <v>1.221001221001222E-2</v>
      </c>
      <c r="T268" s="4">
        <f t="shared" si="22"/>
        <v>2</v>
      </c>
      <c r="U268" s="4" t="str">
        <f>IFERROR(INDEX('Date Key'!$G$2:$G$19, MATCH(B268,'Date Key'!$B$2:$B$19, 0)), "")</f>
        <v>Yes</v>
      </c>
      <c r="V268" s="4" t="str">
        <f>IFERROR(INDEX('Date Key'!$D$2:$D$19, MATCH(B268,'Date Key'!$B$2:$B$19, 0)), "")</f>
        <v>Lower</v>
      </c>
      <c r="W268" s="4" t="s">
        <v>8</v>
      </c>
      <c r="X268" s="4">
        <f t="shared" si="23"/>
        <v>0.54500000000000004</v>
      </c>
      <c r="Y268" s="4">
        <f t="shared" si="24"/>
        <v>1</v>
      </c>
    </row>
    <row r="269" spans="1:25" x14ac:dyDescent="0.35">
      <c r="A269" s="4">
        <v>13</v>
      </c>
      <c r="B269" s="41">
        <v>45313</v>
      </c>
      <c r="C269" s="4" t="s">
        <v>7</v>
      </c>
      <c r="D269" s="4">
        <v>16</v>
      </c>
      <c r="E269" s="4" t="s">
        <v>256</v>
      </c>
      <c r="F269" s="4" t="str">
        <f t="shared" si="25"/>
        <v>tank 2</v>
      </c>
      <c r="G269" s="4">
        <f>IFERROR(INDEX('Date Key'!$I$2:$I$19, MATCH(B269,'Date Key'!$B$2:$B$19, 0)), "")</f>
        <v>5</v>
      </c>
      <c r="H269" s="4">
        <v>90</v>
      </c>
      <c r="I269" s="11">
        <v>0.6484130227489443</v>
      </c>
      <c r="J269" s="11">
        <v>8.1262610906879695E-2</v>
      </c>
      <c r="K269" s="11">
        <v>1.9083572574993783</v>
      </c>
      <c r="L269" s="11">
        <v>0.18672020651082746</v>
      </c>
      <c r="M269" s="11">
        <v>126.88304420817012</v>
      </c>
      <c r="N269" s="11">
        <v>2.6380328911552025</v>
      </c>
      <c r="O269" s="11"/>
      <c r="P269" s="11">
        <v>7.32</v>
      </c>
      <c r="Q269" s="11">
        <v>97.926267281105993</v>
      </c>
      <c r="R269" s="11">
        <v>34.399999999999984</v>
      </c>
      <c r="S269" s="11">
        <v>0.17094017094017092</v>
      </c>
      <c r="T269" s="4">
        <f t="shared" si="22"/>
        <v>2</v>
      </c>
      <c r="U269" s="4" t="str">
        <f>IFERROR(INDEX('Date Key'!$G$2:$G$19, MATCH(B269,'Date Key'!$B$2:$B$19, 0)), "")</f>
        <v>Yes</v>
      </c>
      <c r="V269" s="4" t="str">
        <f>IFERROR(INDEX('Date Key'!$D$2:$D$19, MATCH(B269,'Date Key'!$B$2:$B$19, 0)), "")</f>
        <v>Lower</v>
      </c>
      <c r="W269" s="4" t="s">
        <v>8</v>
      </c>
      <c r="X269" s="4">
        <f t="shared" si="23"/>
        <v>0.54500000000000004</v>
      </c>
      <c r="Y269" s="4">
        <f t="shared" si="24"/>
        <v>1</v>
      </c>
    </row>
    <row r="270" spans="1:25" x14ac:dyDescent="0.35">
      <c r="A270" s="4">
        <v>13</v>
      </c>
      <c r="B270" s="41">
        <v>45313</v>
      </c>
      <c r="C270" s="4" t="s">
        <v>7</v>
      </c>
      <c r="D270" s="4">
        <v>17</v>
      </c>
      <c r="E270" s="4" t="s">
        <v>257</v>
      </c>
      <c r="F270" s="4" t="str">
        <f t="shared" si="25"/>
        <v>tank 2</v>
      </c>
      <c r="G270" s="4">
        <f>IFERROR(INDEX('Date Key'!$I$2:$I$19, MATCH(B270,'Date Key'!$B$2:$B$19, 0)), "")</f>
        <v>5</v>
      </c>
      <c r="H270" s="4">
        <v>30</v>
      </c>
      <c r="I270" s="11">
        <v>0.38141942514643778</v>
      </c>
      <c r="J270" s="11">
        <v>3.4826833245805586E-2</v>
      </c>
      <c r="K270" s="11">
        <v>0.90670705518005279</v>
      </c>
      <c r="L270" s="11">
        <v>0.84024092929872363</v>
      </c>
      <c r="M270" s="11">
        <v>72.255176273083379</v>
      </c>
      <c r="N270" s="11">
        <v>1.3229533135722962</v>
      </c>
      <c r="O270" s="11"/>
      <c r="P270" s="11">
        <v>7.38</v>
      </c>
      <c r="Q270" s="11">
        <v>153.50877192982455</v>
      </c>
      <c r="R270" s="11">
        <v>45.399999999999991</v>
      </c>
      <c r="S270" s="11">
        <v>0.9218559218559218</v>
      </c>
      <c r="T270" s="4">
        <f t="shared" si="22"/>
        <v>2</v>
      </c>
      <c r="U270" s="4" t="str">
        <f>IFERROR(INDEX('Date Key'!$G$2:$G$19, MATCH(B270,'Date Key'!$B$2:$B$19, 0)), "")</f>
        <v>Yes</v>
      </c>
      <c r="V270" s="4" t="str">
        <f>IFERROR(INDEX('Date Key'!$D$2:$D$19, MATCH(B270,'Date Key'!$B$2:$B$19, 0)), "")</f>
        <v>Lower</v>
      </c>
      <c r="W270" s="4" t="s">
        <v>8</v>
      </c>
      <c r="X270" s="4">
        <f t="shared" si="23"/>
        <v>0.54500000000000004</v>
      </c>
      <c r="Y270" s="4">
        <f t="shared" si="24"/>
        <v>1</v>
      </c>
    </row>
    <row r="271" spans="1:25" x14ac:dyDescent="0.35">
      <c r="A271" s="4">
        <v>13</v>
      </c>
      <c r="B271" s="41">
        <v>45313</v>
      </c>
      <c r="C271" s="4" t="s">
        <v>7</v>
      </c>
      <c r="D271" s="4">
        <v>18</v>
      </c>
      <c r="E271" s="4" t="s">
        <v>258</v>
      </c>
      <c r="F271" s="4" t="str">
        <f t="shared" si="25"/>
        <v>tank 2</v>
      </c>
      <c r="G271" s="4">
        <f>IFERROR(INDEX('Date Key'!$I$2:$I$19, MATCH(B271,'Date Key'!$B$2:$B$19, 0)), "")</f>
        <v>5</v>
      </c>
      <c r="H271" s="4">
        <v>0</v>
      </c>
      <c r="I271" s="11">
        <v>0.18117422694455795</v>
      </c>
      <c r="J271" s="11">
        <v>2.3217888830537055E-2</v>
      </c>
      <c r="K271" s="11">
        <v>6.1713045640527167E-2</v>
      </c>
      <c r="L271" s="11">
        <v>1.080309766241216</v>
      </c>
      <c r="M271" s="11">
        <v>19.222160044767769</v>
      </c>
      <c r="N271" s="11">
        <v>0.26610516141562218</v>
      </c>
      <c r="O271" s="11"/>
      <c r="P271" s="11">
        <v>7.38</v>
      </c>
      <c r="Q271" s="11">
        <v>212.65560165975103</v>
      </c>
      <c r="R271" s="11">
        <v>82.73333333333332</v>
      </c>
      <c r="S271" s="11">
        <v>1.2332112332112333</v>
      </c>
      <c r="T271" s="4">
        <f t="shared" si="22"/>
        <v>2</v>
      </c>
      <c r="U271" s="4" t="str">
        <f>IFERROR(INDEX('Date Key'!$G$2:$G$19, MATCH(B271,'Date Key'!$B$2:$B$19, 0)), "")</f>
        <v>Yes</v>
      </c>
      <c r="V271" s="4" t="str">
        <f>IFERROR(INDEX('Date Key'!$D$2:$D$19, MATCH(B271,'Date Key'!$B$2:$B$19, 0)), "")</f>
        <v>Lower</v>
      </c>
      <c r="W271" s="4" t="s">
        <v>8</v>
      </c>
      <c r="X271" s="4">
        <f t="shared" si="23"/>
        <v>0.54500000000000004</v>
      </c>
      <c r="Y271" s="4">
        <f t="shared" si="24"/>
        <v>1</v>
      </c>
    </row>
    <row r="272" spans="1:25" x14ac:dyDescent="0.35">
      <c r="A272" s="4">
        <v>13</v>
      </c>
      <c r="B272" s="41">
        <v>45313</v>
      </c>
      <c r="C272" s="4" t="s">
        <v>7</v>
      </c>
      <c r="D272" s="4">
        <v>19</v>
      </c>
      <c r="E272" s="4" t="s">
        <v>259</v>
      </c>
      <c r="F272" s="4" t="str">
        <f t="shared" si="25"/>
        <v>tank 2</v>
      </c>
      <c r="G272" s="4">
        <f>IFERROR(INDEX('Date Key'!$I$2:$I$19, MATCH(B272,'Date Key'!$B$2:$B$19, 0)), "")</f>
        <v>5</v>
      </c>
      <c r="H272" s="4">
        <v>120</v>
      </c>
      <c r="I272" s="11">
        <v>0.43863233891840347</v>
      </c>
      <c r="J272" s="11">
        <v>8.1262610906879695E-2</v>
      </c>
      <c r="K272" s="11">
        <v>1.8608856839297425</v>
      </c>
      <c r="L272" s="11">
        <v>0.1733830489029112</v>
      </c>
      <c r="M272" s="11">
        <v>124.33128147733632</v>
      </c>
      <c r="N272" s="11">
        <v>2.3807806337550259</v>
      </c>
      <c r="O272" s="11"/>
      <c r="P272" s="11">
        <v>7.44</v>
      </c>
      <c r="Q272" s="11">
        <v>97.926267281105993</v>
      </c>
      <c r="R272" s="11">
        <v>33.399999999999984</v>
      </c>
      <c r="S272" s="11">
        <v>7.9365079365079347E-2</v>
      </c>
      <c r="T272" s="4">
        <f t="shared" si="22"/>
        <v>2</v>
      </c>
      <c r="U272" s="4" t="str">
        <f>IFERROR(INDEX('Date Key'!$G$2:$G$19, MATCH(B272,'Date Key'!$B$2:$B$19, 0)), "")</f>
        <v>Yes</v>
      </c>
      <c r="V272" s="4" t="str">
        <f>IFERROR(INDEX('Date Key'!$D$2:$D$19, MATCH(B272,'Date Key'!$B$2:$B$19, 0)), "")</f>
        <v>Lower</v>
      </c>
      <c r="W272" s="4" t="s">
        <v>8</v>
      </c>
      <c r="X272" s="4">
        <f t="shared" si="23"/>
        <v>0.54500000000000004</v>
      </c>
      <c r="Y272" s="4">
        <f t="shared" si="24"/>
        <v>1</v>
      </c>
    </row>
    <row r="273" spans="1:25" x14ac:dyDescent="0.35">
      <c r="A273" s="4">
        <v>13</v>
      </c>
      <c r="B273" s="41">
        <v>45313</v>
      </c>
      <c r="C273" s="4" t="s">
        <v>7</v>
      </c>
      <c r="D273" s="4">
        <v>20</v>
      </c>
      <c r="E273" s="4" t="s">
        <v>260</v>
      </c>
      <c r="F273" s="4" t="str">
        <f t="shared" si="25"/>
        <v>tank 2</v>
      </c>
      <c r="G273" s="4">
        <f>IFERROR(INDEX('Date Key'!$I$2:$I$19, MATCH(B273,'Date Key'!$B$2:$B$19, 0)), "")</f>
        <v>5</v>
      </c>
      <c r="H273" s="4">
        <v>60</v>
      </c>
      <c r="I273" s="11">
        <v>0.43863233891840347</v>
      </c>
      <c r="J273" s="11">
        <v>7.545813869924542E-2</v>
      </c>
      <c r="K273" s="11">
        <v>1.7849311662183243</v>
      </c>
      <c r="L273" s="11">
        <v>0.40011472823748739</v>
      </c>
      <c r="M273" s="11">
        <v>119.71460548405149</v>
      </c>
      <c r="N273" s="11">
        <v>2.2990216438359732</v>
      </c>
      <c r="O273" s="11"/>
      <c r="P273" s="11">
        <v>7.45</v>
      </c>
      <c r="Q273" s="11">
        <v>113.63636363636364</v>
      </c>
      <c r="R273" s="11">
        <v>36.73333333333332</v>
      </c>
      <c r="S273" s="11">
        <v>0.3785103785103785</v>
      </c>
      <c r="T273" s="4">
        <f t="shared" si="22"/>
        <v>2</v>
      </c>
      <c r="U273" s="4" t="str">
        <f>IFERROR(INDEX('Date Key'!$G$2:$G$19, MATCH(B273,'Date Key'!$B$2:$B$19, 0)), "")</f>
        <v>Yes</v>
      </c>
      <c r="V273" s="4" t="str">
        <f>IFERROR(INDEX('Date Key'!$D$2:$D$19, MATCH(B273,'Date Key'!$B$2:$B$19, 0)), "")</f>
        <v>Lower</v>
      </c>
      <c r="W273" s="4" t="s">
        <v>8</v>
      </c>
      <c r="X273" s="4">
        <f t="shared" si="23"/>
        <v>0.54500000000000004</v>
      </c>
      <c r="Y273" s="4">
        <f t="shared" si="24"/>
        <v>1</v>
      </c>
    </row>
    <row r="274" spans="1:25" s="27" customFormat="1" x14ac:dyDescent="0.35">
      <c r="A274" s="27">
        <v>13</v>
      </c>
      <c r="B274" s="42">
        <v>45313</v>
      </c>
      <c r="C274" s="27" t="s">
        <v>7</v>
      </c>
      <c r="D274" s="27">
        <v>21</v>
      </c>
      <c r="E274" s="27" t="s">
        <v>261</v>
      </c>
      <c r="F274" s="27" t="str">
        <f t="shared" si="25"/>
        <v>tank 2</v>
      </c>
      <c r="G274" s="27">
        <f>IFERROR(INDEX('Date Key'!$I$2:$I$19, MATCH(B274,'Date Key'!$B$2:$B$19, 0)), "")</f>
        <v>5</v>
      </c>
      <c r="H274" s="27">
        <v>150</v>
      </c>
      <c r="I274" s="28">
        <v>0.3909549107750987</v>
      </c>
      <c r="J274" s="28">
        <v>8.1262610906879695E-2</v>
      </c>
      <c r="K274" s="28">
        <v>2.0270361914234689</v>
      </c>
      <c r="L274" s="28">
        <v>0.12003441847124621</v>
      </c>
      <c r="M274" s="28">
        <v>127.08449916060437</v>
      </c>
      <c r="N274" s="28">
        <v>2.4992537131054471</v>
      </c>
      <c r="O274" s="28"/>
      <c r="P274" s="28">
        <v>7.43</v>
      </c>
      <c r="Q274" s="28">
        <v>97.926267281105993</v>
      </c>
      <c r="R274" s="28">
        <v>30.733333333333317</v>
      </c>
      <c r="S274" s="28">
        <v>3.6630036630036659E-2</v>
      </c>
      <c r="T274" s="27">
        <f t="shared" si="22"/>
        <v>2</v>
      </c>
      <c r="U274" s="27" t="str">
        <f>IFERROR(INDEX('Date Key'!$G$2:$G$19, MATCH(B274,'Date Key'!$B$2:$B$19, 0)), "")</f>
        <v>Yes</v>
      </c>
      <c r="V274" s="27" t="str">
        <f>IFERROR(INDEX('Date Key'!$D$2:$D$19, MATCH(B274,'Date Key'!$B$2:$B$19, 0)), "")</f>
        <v>Lower</v>
      </c>
      <c r="W274" s="27" t="s">
        <v>8</v>
      </c>
      <c r="X274" s="27">
        <f t="shared" si="23"/>
        <v>0.54500000000000004</v>
      </c>
      <c r="Y274" s="27">
        <f t="shared" si="24"/>
        <v>1</v>
      </c>
    </row>
    <row r="275" spans="1:25" x14ac:dyDescent="0.35">
      <c r="A275" s="4">
        <v>14</v>
      </c>
      <c r="B275" s="41">
        <v>45322</v>
      </c>
      <c r="C275" s="4" t="s">
        <v>7</v>
      </c>
      <c r="D275" s="4">
        <v>1</v>
      </c>
      <c r="E275" s="4" t="s">
        <v>262</v>
      </c>
      <c r="F275" s="4" t="str">
        <f t="shared" si="25"/>
        <v>in</v>
      </c>
      <c r="G275" s="4">
        <f>IFERROR(INDEX('Date Key'!$I$2:$I$19, MATCH(B275,'Date Key'!$B$2:$B$19, 0)), "")</f>
        <v>5</v>
      </c>
      <c r="H275" s="4">
        <v>180</v>
      </c>
      <c r="I275" s="11">
        <v>0.15256777005857514</v>
      </c>
      <c r="J275" s="11">
        <v>1.7413416622902793E-2</v>
      </c>
      <c r="K275" s="11">
        <v>2.9907091348870858</v>
      </c>
      <c r="L275" s="11">
        <v>1.7738419618528609</v>
      </c>
      <c r="M275" s="11">
        <v>106.09960828203694</v>
      </c>
      <c r="N275" s="11">
        <v>3.1606903215685636</v>
      </c>
      <c r="O275" s="11"/>
      <c r="P275" s="11">
        <v>7.89</v>
      </c>
      <c r="Q275" s="11">
        <v>123.8738738738739</v>
      </c>
      <c r="R275" s="11">
        <v>36.73333333333332</v>
      </c>
      <c r="S275" s="11">
        <v>2.0604395604395607</v>
      </c>
      <c r="T275" s="4">
        <f t="shared" si="22"/>
        <v>0</v>
      </c>
      <c r="U275" s="4" t="str">
        <f>IFERROR(INDEX('Date Key'!$G$2:$G$19, MATCH(B275,'Date Key'!$B$2:$B$19, 0)), "")</f>
        <v>No</v>
      </c>
      <c r="V275" s="4" t="str">
        <f>IFERROR(INDEX('Date Key'!$D$2:$D$19, MATCH(B275,'Date Key'!$B$2:$B$19, 0)), "")</f>
        <v>Lower</v>
      </c>
      <c r="W275" s="4" t="s">
        <v>8</v>
      </c>
      <c r="X275" s="4">
        <f t="shared" si="23"/>
        <v>0.54500000000000004</v>
      </c>
      <c r="Y275" s="4">
        <f t="shared" si="24"/>
        <v>1</v>
      </c>
    </row>
    <row r="276" spans="1:25" x14ac:dyDescent="0.35">
      <c r="A276" s="4">
        <v>14</v>
      </c>
      <c r="B276" s="41">
        <v>45322</v>
      </c>
      <c r="C276" s="4" t="s">
        <v>7</v>
      </c>
      <c r="D276" s="4">
        <v>2</v>
      </c>
      <c r="E276" s="4" t="s">
        <v>263</v>
      </c>
      <c r="F276" s="4" t="str">
        <f t="shared" si="25"/>
        <v>in</v>
      </c>
      <c r="G276" s="4">
        <f>IFERROR(INDEX('Date Key'!$I$2:$I$19, MATCH(B276,'Date Key'!$B$2:$B$19, 0)), "")</f>
        <v>5</v>
      </c>
      <c r="H276" s="4">
        <v>90</v>
      </c>
      <c r="I276" s="11">
        <v>0.12396131317259229</v>
      </c>
      <c r="J276" s="11">
        <v>1.7413416622902793E-2</v>
      </c>
      <c r="K276" s="11">
        <v>2.6773967493274857</v>
      </c>
      <c r="L276" s="11">
        <v>1.547110282518285</v>
      </c>
      <c r="M276" s="11">
        <v>99.770565193061003</v>
      </c>
      <c r="N276" s="11">
        <v>2.8187714791229808</v>
      </c>
      <c r="O276" s="11"/>
      <c r="P276" s="11">
        <v>7.73</v>
      </c>
      <c r="Q276" s="11">
        <v>133.92857142857144</v>
      </c>
      <c r="R276" s="11">
        <v>32.066666666666649</v>
      </c>
      <c r="S276" s="11">
        <v>1.7307692307692306</v>
      </c>
      <c r="T276" s="4">
        <f t="shared" si="22"/>
        <v>0</v>
      </c>
      <c r="U276" s="4" t="str">
        <f>IFERROR(INDEX('Date Key'!$G$2:$G$19, MATCH(B276,'Date Key'!$B$2:$B$19, 0)), "")</f>
        <v>No</v>
      </c>
      <c r="V276" s="4" t="str">
        <f>IFERROR(INDEX('Date Key'!$D$2:$D$19, MATCH(B276,'Date Key'!$B$2:$B$19, 0)), "")</f>
        <v>Lower</v>
      </c>
      <c r="W276" s="4" t="s">
        <v>8</v>
      </c>
      <c r="X276" s="4">
        <f t="shared" ref="X276:X296" si="26">IFERROR(INDEX($AB$8:$AB$10, MATCH(C276, $AA$8:$AA$10, 0)), "")</f>
        <v>0.54500000000000004</v>
      </c>
      <c r="Y276" s="4">
        <f t="shared" ref="Y276:Y296" si="27">IFERROR(INDEX($AC$8:$AC$10, MATCH(C276, $AA$8:$AA$10, 0)), "")</f>
        <v>1</v>
      </c>
    </row>
    <row r="277" spans="1:25" x14ac:dyDescent="0.35">
      <c r="A277" s="4">
        <v>14</v>
      </c>
      <c r="B277" s="41">
        <v>45322</v>
      </c>
      <c r="C277" s="4" t="s">
        <v>7</v>
      </c>
      <c r="D277" s="4">
        <v>3</v>
      </c>
      <c r="E277" s="4" t="s">
        <v>264</v>
      </c>
      <c r="F277" s="4" t="str">
        <f t="shared" si="25"/>
        <v>in</v>
      </c>
      <c r="G277" s="4">
        <f>IFERROR(INDEX('Date Key'!$I$2:$I$19, MATCH(B277,'Date Key'!$B$2:$B$19, 0)), "")</f>
        <v>5</v>
      </c>
      <c r="H277" s="4">
        <v>0</v>
      </c>
      <c r="I277" s="11">
        <v>0.13349679880125323</v>
      </c>
      <c r="J277" s="11">
        <v>2.3217888830537055E-2</v>
      </c>
      <c r="K277" s="11">
        <v>1.642516445509415</v>
      </c>
      <c r="L277" s="11">
        <v>0.98694966298580222</v>
      </c>
      <c r="M277" s="11">
        <v>96.026860660324573</v>
      </c>
      <c r="N277" s="11">
        <v>1.7992311331412052</v>
      </c>
      <c r="O277" s="11"/>
      <c r="P277" s="11">
        <v>8.0299999999999994</v>
      </c>
      <c r="Q277" s="11">
        <v>133.92857142857144</v>
      </c>
      <c r="R277" s="11">
        <v>26.066666666666645</v>
      </c>
      <c r="S277" s="11">
        <v>1.101953601953602</v>
      </c>
      <c r="T277" s="4">
        <f t="shared" si="22"/>
        <v>0</v>
      </c>
      <c r="U277" s="4" t="str">
        <f>IFERROR(INDEX('Date Key'!$G$2:$G$19, MATCH(B277,'Date Key'!$B$2:$B$19, 0)), "")</f>
        <v>No</v>
      </c>
      <c r="V277" s="4" t="str">
        <f>IFERROR(INDEX('Date Key'!$D$2:$D$19, MATCH(B277,'Date Key'!$B$2:$B$19, 0)), "")</f>
        <v>Lower</v>
      </c>
      <c r="W277" s="4" t="s">
        <v>8</v>
      </c>
      <c r="X277" s="4">
        <f t="shared" si="26"/>
        <v>0.54500000000000004</v>
      </c>
      <c r="Y277" s="4">
        <f t="shared" si="27"/>
        <v>1</v>
      </c>
    </row>
    <row r="278" spans="1:25" x14ac:dyDescent="0.35">
      <c r="A278" s="4">
        <v>14</v>
      </c>
      <c r="B278" s="41">
        <v>45322</v>
      </c>
      <c r="C278" s="4" t="s">
        <v>7</v>
      </c>
      <c r="D278" s="4">
        <v>4</v>
      </c>
      <c r="E278" s="4" t="s">
        <v>265</v>
      </c>
      <c r="F278" s="4" t="str">
        <f t="shared" si="25"/>
        <v>in</v>
      </c>
      <c r="G278" s="4">
        <f>IFERROR(INDEX('Date Key'!$I$2:$I$19, MATCH(B278,'Date Key'!$B$2:$B$19, 0)), "")</f>
        <v>5</v>
      </c>
      <c r="H278" s="4">
        <v>30</v>
      </c>
      <c r="I278" s="11">
        <v>9.5354856286609446E-2</v>
      </c>
      <c r="J278" s="11">
        <v>2.3217888830537055E-2</v>
      </c>
      <c r="K278" s="11">
        <v>2.1647037547754144</v>
      </c>
      <c r="L278" s="11">
        <v>1.2536928151441273</v>
      </c>
      <c r="M278" s="11">
        <v>102.08729714605485</v>
      </c>
      <c r="N278" s="11">
        <v>2.283276499892561</v>
      </c>
      <c r="O278" s="11"/>
      <c r="P278" s="11">
        <v>7.93</v>
      </c>
      <c r="Q278" s="11">
        <v>128.92376681614348</v>
      </c>
      <c r="R278" s="11">
        <v>22.399999999999974</v>
      </c>
      <c r="S278" s="11">
        <v>1.2240537240537239</v>
      </c>
      <c r="T278" s="4">
        <f t="shared" si="22"/>
        <v>0</v>
      </c>
      <c r="U278" s="4" t="str">
        <f>IFERROR(INDEX('Date Key'!$G$2:$G$19, MATCH(B278,'Date Key'!$B$2:$B$19, 0)), "")</f>
        <v>No</v>
      </c>
      <c r="V278" s="4" t="str">
        <f>IFERROR(INDEX('Date Key'!$D$2:$D$19, MATCH(B278,'Date Key'!$B$2:$B$19, 0)), "")</f>
        <v>Lower</v>
      </c>
      <c r="W278" s="4" t="s">
        <v>8</v>
      </c>
      <c r="X278" s="4">
        <f t="shared" si="26"/>
        <v>0.54500000000000004</v>
      </c>
      <c r="Y278" s="4">
        <f t="shared" si="27"/>
        <v>1</v>
      </c>
    </row>
    <row r="279" spans="1:25" x14ac:dyDescent="0.35">
      <c r="A279" s="4">
        <v>14</v>
      </c>
      <c r="B279" s="41">
        <v>45322</v>
      </c>
      <c r="C279" s="4" t="s">
        <v>7</v>
      </c>
      <c r="D279" s="4">
        <v>5</v>
      </c>
      <c r="E279" s="4" t="s">
        <v>266</v>
      </c>
      <c r="F279" s="4" t="str">
        <f t="shared" si="25"/>
        <v>in</v>
      </c>
      <c r="G279" s="4">
        <f>IFERROR(INDEX('Date Key'!$I$2:$I$19, MATCH(B279,'Date Key'!$B$2:$B$19, 0)), "")</f>
        <v>5</v>
      </c>
      <c r="H279" s="4">
        <v>150</v>
      </c>
      <c r="I279" s="11">
        <v>0.13349679880125323</v>
      </c>
      <c r="J279" s="11">
        <v>1.7413416622902793E-2</v>
      </c>
      <c r="K279" s="11">
        <v>2.8103171553224673</v>
      </c>
      <c r="L279" s="11">
        <v>1.6538075433816148</v>
      </c>
      <c r="M279" s="11">
        <v>101.0800223838836</v>
      </c>
      <c r="N279" s="11">
        <v>2.9612273707466232</v>
      </c>
      <c r="O279" s="11"/>
      <c r="P279" s="11">
        <v>7.8</v>
      </c>
      <c r="Q279" s="11">
        <v>123.8738738738739</v>
      </c>
      <c r="R279" s="11">
        <v>30.733333333333317</v>
      </c>
      <c r="S279" s="11">
        <v>1.9078144078144077</v>
      </c>
      <c r="T279" s="4">
        <f t="shared" si="22"/>
        <v>0</v>
      </c>
      <c r="U279" s="4" t="str">
        <f>IFERROR(INDEX('Date Key'!$G$2:$G$19, MATCH(B279,'Date Key'!$B$2:$B$19, 0)), "")</f>
        <v>No</v>
      </c>
      <c r="V279" s="4" t="str">
        <f>IFERROR(INDEX('Date Key'!$D$2:$D$19, MATCH(B279,'Date Key'!$B$2:$B$19, 0)), "")</f>
        <v>Lower</v>
      </c>
      <c r="W279" s="4" t="s">
        <v>8</v>
      </c>
      <c r="X279" s="4">
        <f t="shared" si="26"/>
        <v>0.54500000000000004</v>
      </c>
      <c r="Y279" s="4">
        <f t="shared" si="27"/>
        <v>1</v>
      </c>
    </row>
    <row r="280" spans="1:25" x14ac:dyDescent="0.35">
      <c r="A280" s="4">
        <v>14</v>
      </c>
      <c r="B280" s="41">
        <v>45322</v>
      </c>
      <c r="C280" s="4" t="s">
        <v>7</v>
      </c>
      <c r="D280" s="4">
        <v>6</v>
      </c>
      <c r="E280" s="4" t="s">
        <v>267</v>
      </c>
      <c r="F280" s="4" t="str">
        <f t="shared" si="25"/>
        <v>in</v>
      </c>
      <c r="G280" s="4">
        <f>IFERROR(INDEX('Date Key'!$I$2:$I$19, MATCH(B280,'Date Key'!$B$2:$B$19, 0)), "")</f>
        <v>5</v>
      </c>
      <c r="H280" s="4">
        <v>120</v>
      </c>
      <c r="I280" s="11">
        <v>0.13349679880125323</v>
      </c>
      <c r="J280" s="11">
        <v>2.3217888830537055E-2</v>
      </c>
      <c r="K280" s="11">
        <v>2.7818342111806857</v>
      </c>
      <c r="L280" s="11">
        <v>1.613796070557866</v>
      </c>
      <c r="M280" s="11">
        <v>99.451594851706787</v>
      </c>
      <c r="N280" s="11">
        <v>2.9385488988124759</v>
      </c>
      <c r="O280" s="11"/>
      <c r="P280" s="11">
        <v>7.83</v>
      </c>
      <c r="Q280" s="11">
        <v>123.8738738738739</v>
      </c>
      <c r="R280" s="11">
        <v>32.066666666666649</v>
      </c>
      <c r="S280" s="11">
        <v>1.8406593406593406</v>
      </c>
      <c r="T280" s="4">
        <f t="shared" si="22"/>
        <v>0</v>
      </c>
      <c r="U280" s="4" t="str">
        <f>IFERROR(INDEX('Date Key'!$G$2:$G$19, MATCH(B280,'Date Key'!$B$2:$B$19, 0)), "")</f>
        <v>No</v>
      </c>
      <c r="V280" s="4" t="str">
        <f>IFERROR(INDEX('Date Key'!$D$2:$D$19, MATCH(B280,'Date Key'!$B$2:$B$19, 0)), "")</f>
        <v>Lower</v>
      </c>
      <c r="W280" s="4" t="s">
        <v>8</v>
      </c>
      <c r="X280" s="4">
        <f t="shared" si="26"/>
        <v>0.54500000000000004</v>
      </c>
      <c r="Y280" s="4">
        <f t="shared" si="27"/>
        <v>1</v>
      </c>
    </row>
    <row r="281" spans="1:25" x14ac:dyDescent="0.35">
      <c r="A281" s="4">
        <v>14</v>
      </c>
      <c r="B281" s="41">
        <v>45322</v>
      </c>
      <c r="C281" s="4" t="s">
        <v>7</v>
      </c>
      <c r="D281" s="4">
        <v>7</v>
      </c>
      <c r="E281" s="4" t="s">
        <v>268</v>
      </c>
      <c r="F281" s="4" t="str">
        <f t="shared" si="25"/>
        <v>in</v>
      </c>
      <c r="G281" s="4">
        <f>IFERROR(INDEX('Date Key'!$I$2:$I$19, MATCH(B281,'Date Key'!$B$2:$B$19, 0)), "")</f>
        <v>5</v>
      </c>
      <c r="H281" s="4">
        <v>60</v>
      </c>
      <c r="I281" s="11">
        <v>0.13349679880125323</v>
      </c>
      <c r="J281" s="11">
        <v>2.3217888830537055E-2</v>
      </c>
      <c r="K281" s="11">
        <v>2.4637746682641226</v>
      </c>
      <c r="L281" s="11">
        <v>1.413738706439122</v>
      </c>
      <c r="M281" s="11">
        <v>100.24062674874091</v>
      </c>
      <c r="N281" s="11">
        <v>2.6204893558959128</v>
      </c>
      <c r="O281" s="11"/>
      <c r="P281" s="11">
        <v>7.84</v>
      </c>
      <c r="Q281" s="11">
        <v>128.92376681614348</v>
      </c>
      <c r="R281" s="11">
        <v>29.399999999999981</v>
      </c>
      <c r="S281" s="11">
        <v>1.529304029304029</v>
      </c>
      <c r="T281" s="4">
        <f t="shared" si="22"/>
        <v>0</v>
      </c>
      <c r="U281" s="4" t="str">
        <f>IFERROR(INDEX('Date Key'!$G$2:$G$19, MATCH(B281,'Date Key'!$B$2:$B$19, 0)), "")</f>
        <v>No</v>
      </c>
      <c r="V281" s="4" t="str">
        <f>IFERROR(INDEX('Date Key'!$D$2:$D$19, MATCH(B281,'Date Key'!$B$2:$B$19, 0)), "")</f>
        <v>Lower</v>
      </c>
      <c r="W281" s="4" t="s">
        <v>8</v>
      </c>
      <c r="X281" s="4">
        <f t="shared" si="26"/>
        <v>0.54500000000000004</v>
      </c>
      <c r="Y281" s="4">
        <f t="shared" si="27"/>
        <v>1</v>
      </c>
    </row>
    <row r="282" spans="1:25" x14ac:dyDescent="0.35">
      <c r="A282" s="4">
        <v>14</v>
      </c>
      <c r="B282" s="41">
        <v>45322</v>
      </c>
      <c r="C282" s="4" t="s">
        <v>7</v>
      </c>
      <c r="D282" s="4">
        <v>8</v>
      </c>
      <c r="E282" s="4" t="s">
        <v>269</v>
      </c>
      <c r="F282" s="4" t="str">
        <f t="shared" si="25"/>
        <v>tank 1</v>
      </c>
      <c r="G282" s="4">
        <f>IFERROR(INDEX('Date Key'!$I$2:$I$19, MATCH(B282,'Date Key'!$B$2:$B$19, 0)), "")</f>
        <v>5</v>
      </c>
      <c r="H282" s="4">
        <v>150</v>
      </c>
      <c r="I282" s="11">
        <v>0.30513554011715027</v>
      </c>
      <c r="J282" s="11">
        <v>0.29602808258934743</v>
      </c>
      <c r="K282" s="11">
        <v>1.6282749734385247</v>
      </c>
      <c r="L282" s="11">
        <v>1.2003441847124623</v>
      </c>
      <c r="M282" s="11">
        <v>98.763290430889768</v>
      </c>
      <c r="N282" s="11">
        <v>2.2294385961450223</v>
      </c>
      <c r="O282" s="11"/>
      <c r="P282" s="11">
        <v>7.24</v>
      </c>
      <c r="Q282" s="11">
        <v>123.8738738738739</v>
      </c>
      <c r="R282" s="11">
        <v>29.733333333333313</v>
      </c>
      <c r="S282" s="11">
        <v>1.3156288156288156</v>
      </c>
      <c r="T282" s="4">
        <f t="shared" si="22"/>
        <v>1</v>
      </c>
      <c r="U282" s="4" t="str">
        <f>IFERROR(INDEX('Date Key'!$G$2:$G$19, MATCH(B282,'Date Key'!$B$2:$B$19, 0)), "")</f>
        <v>No</v>
      </c>
      <c r="V282" s="4" t="str">
        <f>IFERROR(INDEX('Date Key'!$D$2:$D$19, MATCH(B282,'Date Key'!$B$2:$B$19, 0)), "")</f>
        <v>Lower</v>
      </c>
      <c r="W282" s="4" t="s">
        <v>8</v>
      </c>
      <c r="X282" s="4">
        <f t="shared" si="26"/>
        <v>0.54500000000000004</v>
      </c>
      <c r="Y282" s="4">
        <f t="shared" si="27"/>
        <v>1</v>
      </c>
    </row>
    <row r="283" spans="1:25" x14ac:dyDescent="0.35">
      <c r="A283" s="4">
        <v>14</v>
      </c>
      <c r="B283" s="41">
        <v>45322</v>
      </c>
      <c r="C283" s="4" t="s">
        <v>7</v>
      </c>
      <c r="D283" s="4">
        <v>9</v>
      </c>
      <c r="E283" s="4" t="s">
        <v>270</v>
      </c>
      <c r="F283" s="4" t="str">
        <f t="shared" si="25"/>
        <v>tank 1</v>
      </c>
      <c r="G283" s="4">
        <f>IFERROR(INDEX('Date Key'!$I$2:$I$19, MATCH(B283,'Date Key'!$B$2:$B$19, 0)), "")</f>
        <v>5</v>
      </c>
      <c r="H283" s="4">
        <v>0</v>
      </c>
      <c r="I283" s="11">
        <v>0.26699359760250646</v>
      </c>
      <c r="J283" s="11">
        <v>2.9022361038171313E-2</v>
      </c>
      <c r="K283" s="11">
        <v>0.11867893392409072</v>
      </c>
      <c r="L283" s="11">
        <v>0.52014914670873358</v>
      </c>
      <c r="M283" s="11">
        <v>81.052042529378852</v>
      </c>
      <c r="N283" s="11">
        <v>0.41469489256476849</v>
      </c>
      <c r="O283" s="11"/>
      <c r="P283" s="11">
        <v>6.99</v>
      </c>
      <c r="Q283" s="11">
        <v>153.50877192982455</v>
      </c>
      <c r="R283" s="11">
        <v>23.066666666666642</v>
      </c>
      <c r="S283" s="11">
        <v>0.1800976800976801</v>
      </c>
      <c r="T283" s="4">
        <f t="shared" si="22"/>
        <v>1</v>
      </c>
      <c r="U283" s="4" t="str">
        <f>IFERROR(INDEX('Date Key'!$G$2:$G$19, MATCH(B283,'Date Key'!$B$2:$B$19, 0)), "")</f>
        <v>No</v>
      </c>
      <c r="V283" s="4" t="str">
        <f>IFERROR(INDEX('Date Key'!$D$2:$D$19, MATCH(B283,'Date Key'!$B$2:$B$19, 0)), "")</f>
        <v>Lower</v>
      </c>
      <c r="W283" s="4" t="s">
        <v>8</v>
      </c>
      <c r="X283" s="4">
        <f t="shared" si="26"/>
        <v>0.54500000000000004</v>
      </c>
      <c r="Y283" s="4">
        <f t="shared" si="27"/>
        <v>1</v>
      </c>
    </row>
    <row r="284" spans="1:25" x14ac:dyDescent="0.35">
      <c r="A284" s="4">
        <v>14</v>
      </c>
      <c r="B284" s="41">
        <v>45322</v>
      </c>
      <c r="C284" s="4" t="s">
        <v>7</v>
      </c>
      <c r="D284" s="4">
        <v>10</v>
      </c>
      <c r="E284" s="4" t="s">
        <v>271</v>
      </c>
      <c r="F284" s="4" t="str">
        <f t="shared" si="25"/>
        <v>tank 1</v>
      </c>
      <c r="G284" s="4">
        <f>IFERROR(INDEX('Date Key'!$I$2:$I$19, MATCH(B284,'Date Key'!$B$2:$B$19, 0)), "")</f>
        <v>5</v>
      </c>
      <c r="H284" s="4">
        <v>180</v>
      </c>
      <c r="I284" s="11">
        <v>0.28606456885982834</v>
      </c>
      <c r="J284" s="11">
        <v>0.24959230492827333</v>
      </c>
      <c r="K284" s="11">
        <v>1.7896783235752878</v>
      </c>
      <c r="L284" s="11">
        <v>1.2937042879678762</v>
      </c>
      <c r="M284" s="11">
        <v>99.703413542249578</v>
      </c>
      <c r="N284" s="11">
        <v>2.3253351973633896</v>
      </c>
      <c r="O284" s="11"/>
      <c r="P284" s="11">
        <v>7.4</v>
      </c>
      <c r="Q284" s="11">
        <v>123.8738738738739</v>
      </c>
      <c r="R284" s="11">
        <v>33.066666666666649</v>
      </c>
      <c r="S284" s="11">
        <v>1.4865689865689866</v>
      </c>
      <c r="T284" s="4">
        <f t="shared" si="22"/>
        <v>1</v>
      </c>
      <c r="U284" s="4" t="str">
        <f>IFERROR(INDEX('Date Key'!$G$2:$G$19, MATCH(B284,'Date Key'!$B$2:$B$19, 0)), "")</f>
        <v>No</v>
      </c>
      <c r="V284" s="4" t="str">
        <f>IFERROR(INDEX('Date Key'!$D$2:$D$19, MATCH(B284,'Date Key'!$B$2:$B$19, 0)), "")</f>
        <v>Lower</v>
      </c>
      <c r="W284" s="4" t="s">
        <v>8</v>
      </c>
      <c r="X284" s="4">
        <f t="shared" si="26"/>
        <v>0.54500000000000004</v>
      </c>
      <c r="Y284" s="4">
        <f t="shared" si="27"/>
        <v>1</v>
      </c>
    </row>
    <row r="285" spans="1:25" x14ac:dyDescent="0.35">
      <c r="A285" s="4">
        <v>14</v>
      </c>
      <c r="B285" s="41">
        <v>45322</v>
      </c>
      <c r="C285" s="4" t="s">
        <v>7</v>
      </c>
      <c r="D285" s="4">
        <v>11</v>
      </c>
      <c r="E285" s="4" t="s">
        <v>272</v>
      </c>
      <c r="F285" s="4" t="str">
        <f t="shared" si="25"/>
        <v>tank 1</v>
      </c>
      <c r="G285" s="4">
        <f>IFERROR(INDEX('Date Key'!$I$2:$I$19, MATCH(B285,'Date Key'!$B$2:$B$19, 0)), "")</f>
        <v>5</v>
      </c>
      <c r="H285" s="4">
        <v>120</v>
      </c>
      <c r="I285" s="11">
        <v>0.35281296826045494</v>
      </c>
      <c r="J285" s="11">
        <v>0.26120124934354189</v>
      </c>
      <c r="K285" s="11">
        <v>1.5760562425119244</v>
      </c>
      <c r="L285" s="11">
        <v>1.0936469238491322</v>
      </c>
      <c r="M285" s="11">
        <v>99.283715724678217</v>
      </c>
      <c r="N285" s="11">
        <v>2.1900704601159213</v>
      </c>
      <c r="O285" s="11"/>
      <c r="P285" s="11">
        <v>7.29</v>
      </c>
      <c r="Q285" s="11">
        <v>123.8738738738739</v>
      </c>
      <c r="R285" s="11">
        <v>28.733333333333313</v>
      </c>
      <c r="S285" s="11">
        <v>1.169108669108669</v>
      </c>
      <c r="T285" s="4">
        <f t="shared" si="22"/>
        <v>1</v>
      </c>
      <c r="U285" s="4" t="str">
        <f>IFERROR(INDEX('Date Key'!$G$2:$G$19, MATCH(B285,'Date Key'!$B$2:$B$19, 0)), "")</f>
        <v>No</v>
      </c>
      <c r="V285" s="4" t="str">
        <f>IFERROR(INDEX('Date Key'!$D$2:$D$19, MATCH(B285,'Date Key'!$B$2:$B$19, 0)), "")</f>
        <v>Lower</v>
      </c>
      <c r="W285" s="4" t="s">
        <v>8</v>
      </c>
      <c r="X285" s="4">
        <f t="shared" si="26"/>
        <v>0.54500000000000004</v>
      </c>
      <c r="Y285" s="4">
        <f t="shared" si="27"/>
        <v>1</v>
      </c>
    </row>
    <row r="286" spans="1:25" x14ac:dyDescent="0.35">
      <c r="A286" s="4">
        <v>14</v>
      </c>
      <c r="B286" s="41">
        <v>45322</v>
      </c>
      <c r="C286" s="4" t="s">
        <v>7</v>
      </c>
      <c r="D286" s="4">
        <v>12</v>
      </c>
      <c r="E286" s="4" t="s">
        <v>273</v>
      </c>
      <c r="F286" s="4" t="str">
        <f t="shared" si="25"/>
        <v>tank 1</v>
      </c>
      <c r="G286" s="4">
        <f>IFERROR(INDEX('Date Key'!$I$2:$I$19, MATCH(B286,'Date Key'!$B$2:$B$19, 0)), "")</f>
        <v>5</v>
      </c>
      <c r="H286" s="4">
        <v>90</v>
      </c>
      <c r="I286" s="11">
        <v>0.33374199700313312</v>
      </c>
      <c r="J286" s="11">
        <v>0.22056994389010195</v>
      </c>
      <c r="K286" s="11">
        <v>1.3481926893776701</v>
      </c>
      <c r="L286" s="11">
        <v>0.92026387494622097</v>
      </c>
      <c r="M286" s="11">
        <v>96.983771684387236</v>
      </c>
      <c r="N286" s="11">
        <v>1.9025046302709052</v>
      </c>
      <c r="O286" s="11"/>
      <c r="P286" s="11">
        <v>7.19</v>
      </c>
      <c r="Q286" s="11">
        <v>128.92376681614348</v>
      </c>
      <c r="R286" s="11">
        <v>26.733333333333313</v>
      </c>
      <c r="S286" s="11">
        <v>0.98595848595848601</v>
      </c>
      <c r="T286" s="4">
        <f t="shared" si="22"/>
        <v>1</v>
      </c>
      <c r="U286" s="4" t="str">
        <f>IFERROR(INDEX('Date Key'!$G$2:$G$19, MATCH(B286,'Date Key'!$B$2:$B$19, 0)), "")</f>
        <v>No</v>
      </c>
      <c r="V286" s="4" t="str">
        <f>IFERROR(INDEX('Date Key'!$D$2:$D$19, MATCH(B286,'Date Key'!$B$2:$B$19, 0)), "")</f>
        <v>Lower</v>
      </c>
      <c r="W286" s="4" t="s">
        <v>8</v>
      </c>
      <c r="X286" s="4">
        <f t="shared" si="26"/>
        <v>0.54500000000000004</v>
      </c>
      <c r="Y286" s="4">
        <f t="shared" si="27"/>
        <v>1</v>
      </c>
    </row>
    <row r="287" spans="1:25" x14ac:dyDescent="0.35">
      <c r="A287" s="4">
        <v>14</v>
      </c>
      <c r="B287" s="41">
        <v>45322</v>
      </c>
      <c r="C287" s="4" t="s">
        <v>7</v>
      </c>
      <c r="D287" s="4">
        <v>13</v>
      </c>
      <c r="E287" s="4" t="s">
        <v>274</v>
      </c>
      <c r="F287" s="4" t="str">
        <f t="shared" si="25"/>
        <v>tank 1</v>
      </c>
      <c r="G287" s="4">
        <f>IFERROR(INDEX('Date Key'!$I$2:$I$19, MATCH(B287,'Date Key'!$B$2:$B$19, 0)), "")</f>
        <v>5</v>
      </c>
      <c r="H287" s="4">
        <v>30</v>
      </c>
      <c r="I287" s="11">
        <v>0.38141942514643778</v>
      </c>
      <c r="J287" s="11">
        <v>5.8044722076342627E-2</v>
      </c>
      <c r="K287" s="11">
        <v>0.4177498474127993</v>
      </c>
      <c r="L287" s="11">
        <v>0.60017209235623115</v>
      </c>
      <c r="M287" s="11">
        <v>83.100167879127042</v>
      </c>
      <c r="N287" s="11">
        <v>0.85721399463557968</v>
      </c>
      <c r="O287" s="11"/>
      <c r="P287" s="11">
        <v>7.02</v>
      </c>
      <c r="Q287" s="11">
        <v>143.80530973451326</v>
      </c>
      <c r="R287" s="11">
        <v>22.066666666666642</v>
      </c>
      <c r="S287" s="11">
        <v>0.5219780219780219</v>
      </c>
      <c r="T287" s="4">
        <f t="shared" si="22"/>
        <v>1</v>
      </c>
      <c r="U287" s="4" t="str">
        <f>IFERROR(INDEX('Date Key'!$G$2:$G$19, MATCH(B287,'Date Key'!$B$2:$B$19, 0)), "")</f>
        <v>No</v>
      </c>
      <c r="V287" s="4" t="str">
        <f>IFERROR(INDEX('Date Key'!$D$2:$D$19, MATCH(B287,'Date Key'!$B$2:$B$19, 0)), "")</f>
        <v>Lower</v>
      </c>
      <c r="W287" s="4" t="s">
        <v>8</v>
      </c>
      <c r="X287" s="4">
        <f t="shared" si="26"/>
        <v>0.54500000000000004</v>
      </c>
      <c r="Y287" s="4">
        <f t="shared" si="27"/>
        <v>1</v>
      </c>
    </row>
    <row r="288" spans="1:25" x14ac:dyDescent="0.35">
      <c r="A288" s="4">
        <v>14</v>
      </c>
      <c r="B288" s="41">
        <v>45322</v>
      </c>
      <c r="C288" s="4" t="s">
        <v>7</v>
      </c>
      <c r="D288" s="4">
        <v>14</v>
      </c>
      <c r="E288" s="4" t="s">
        <v>275</v>
      </c>
      <c r="F288" s="4" t="str">
        <f t="shared" si="25"/>
        <v>tank 1</v>
      </c>
      <c r="G288" s="4">
        <f>IFERROR(INDEX('Date Key'!$I$2:$I$19, MATCH(B288,'Date Key'!$B$2:$B$19, 0)), "")</f>
        <v>5</v>
      </c>
      <c r="H288" s="4">
        <v>60</v>
      </c>
      <c r="I288" s="11">
        <v>0.37188393951777687</v>
      </c>
      <c r="J288" s="11">
        <v>0.15091627739849084</v>
      </c>
      <c r="K288" s="11">
        <v>0.92094852725094389</v>
      </c>
      <c r="L288" s="11">
        <v>0.78689229886705858</v>
      </c>
      <c r="M288" s="11">
        <v>92.887520984890884</v>
      </c>
      <c r="N288" s="11">
        <v>1.4437487441672117</v>
      </c>
      <c r="O288" s="11"/>
      <c r="P288" s="11">
        <v>7.15</v>
      </c>
      <c r="Q288" s="11">
        <v>133.92857142857144</v>
      </c>
      <c r="R288" s="11">
        <v>24.733333333333309</v>
      </c>
      <c r="S288" s="11">
        <v>0.81501831501831501</v>
      </c>
      <c r="T288" s="4">
        <f t="shared" si="22"/>
        <v>1</v>
      </c>
      <c r="U288" s="4" t="str">
        <f>IFERROR(INDEX('Date Key'!$G$2:$G$19, MATCH(B288,'Date Key'!$B$2:$B$19, 0)), "")</f>
        <v>No</v>
      </c>
      <c r="V288" s="4" t="str">
        <f>IFERROR(INDEX('Date Key'!$D$2:$D$19, MATCH(B288,'Date Key'!$B$2:$B$19, 0)), "")</f>
        <v>Lower</v>
      </c>
      <c r="W288" s="4" t="s">
        <v>8</v>
      </c>
      <c r="X288" s="4">
        <f t="shared" si="26"/>
        <v>0.54500000000000004</v>
      </c>
      <c r="Y288" s="4">
        <f t="shared" si="27"/>
        <v>1</v>
      </c>
    </row>
    <row r="289" spans="1:25" x14ac:dyDescent="0.35">
      <c r="A289" s="4">
        <v>14</v>
      </c>
      <c r="B289" s="41">
        <v>45322</v>
      </c>
      <c r="C289" s="4" t="s">
        <v>7</v>
      </c>
      <c r="D289" s="4">
        <v>15</v>
      </c>
      <c r="E289" s="4" t="s">
        <v>276</v>
      </c>
      <c r="F289" s="4" t="str">
        <f t="shared" si="25"/>
        <v>tank 2</v>
      </c>
      <c r="G289" s="4">
        <f>IFERROR(INDEX('Date Key'!$I$2:$I$19, MATCH(B289,'Date Key'!$B$2:$B$19, 0)), "")</f>
        <v>5</v>
      </c>
      <c r="H289" s="4">
        <v>60</v>
      </c>
      <c r="I289" s="11">
        <v>0.12396131317259229</v>
      </c>
      <c r="J289" s="11">
        <v>9.8676027529782467E-2</v>
      </c>
      <c r="K289" s="11">
        <v>1.3909171055903429</v>
      </c>
      <c r="L289" s="11">
        <v>0.73354366843539365</v>
      </c>
      <c r="M289" s="11">
        <v>97.974258533855647</v>
      </c>
      <c r="N289" s="11">
        <v>1.6135544462927176</v>
      </c>
      <c r="O289" s="11"/>
      <c r="P289" s="11">
        <v>7.4</v>
      </c>
      <c r="Q289" s="11">
        <v>118.77828054298644</v>
      </c>
      <c r="R289" s="11">
        <v>24.733333333333309</v>
      </c>
      <c r="S289" s="11">
        <v>0.69902319902319898</v>
      </c>
      <c r="T289" s="4">
        <f t="shared" si="22"/>
        <v>2</v>
      </c>
      <c r="U289" s="4" t="str">
        <f>IFERROR(INDEX('Date Key'!$G$2:$G$19, MATCH(B289,'Date Key'!$B$2:$B$19, 0)), "")</f>
        <v>No</v>
      </c>
      <c r="V289" s="4" t="str">
        <f>IFERROR(INDEX('Date Key'!$D$2:$D$19, MATCH(B289,'Date Key'!$B$2:$B$19, 0)), "")</f>
        <v>Lower</v>
      </c>
      <c r="W289" s="4" t="s">
        <v>8</v>
      </c>
      <c r="X289" s="4">
        <f t="shared" si="26"/>
        <v>0.54500000000000004</v>
      </c>
      <c r="Y289" s="4">
        <f t="shared" si="27"/>
        <v>1</v>
      </c>
    </row>
    <row r="290" spans="1:25" x14ac:dyDescent="0.35">
      <c r="A290" s="4">
        <v>14</v>
      </c>
      <c r="B290" s="41">
        <v>45322</v>
      </c>
      <c r="C290" s="4" t="s">
        <v>7</v>
      </c>
      <c r="D290" s="4">
        <v>16</v>
      </c>
      <c r="E290" s="4" t="s">
        <v>277</v>
      </c>
      <c r="F290" s="4" t="str">
        <f t="shared" si="25"/>
        <v>tank 2</v>
      </c>
      <c r="G290" s="4">
        <f>IFERROR(INDEX('Date Key'!$I$2:$I$19, MATCH(B290,'Date Key'!$B$2:$B$19, 0)), "")</f>
        <v>5</v>
      </c>
      <c r="H290" s="4">
        <v>120</v>
      </c>
      <c r="I290" s="11">
        <v>4.7677428143304723E-2</v>
      </c>
      <c r="J290" s="11">
        <v>5.8044722076342627E-2</v>
      </c>
      <c r="K290" s="11">
        <v>2.378325835838778</v>
      </c>
      <c r="L290" s="11">
        <v>1.0136239782016345</v>
      </c>
      <c r="M290" s="11">
        <v>102.6077224398433</v>
      </c>
      <c r="N290" s="11">
        <v>2.4840479860584255</v>
      </c>
      <c r="O290" s="11"/>
      <c r="P290" s="11">
        <v>7.54</v>
      </c>
      <c r="Q290" s="11">
        <v>113.63636363636364</v>
      </c>
      <c r="R290" s="11">
        <v>30.733333333333317</v>
      </c>
      <c r="S290" s="11">
        <v>1.0714285714285716</v>
      </c>
      <c r="T290" s="4">
        <f t="shared" si="22"/>
        <v>2</v>
      </c>
      <c r="U290" s="4" t="str">
        <f>IFERROR(INDEX('Date Key'!$G$2:$G$19, MATCH(B290,'Date Key'!$B$2:$B$19, 0)), "")</f>
        <v>No</v>
      </c>
      <c r="V290" s="4" t="str">
        <f>IFERROR(INDEX('Date Key'!$D$2:$D$19, MATCH(B290,'Date Key'!$B$2:$B$19, 0)), "")</f>
        <v>Lower</v>
      </c>
      <c r="W290" s="4" t="s">
        <v>8</v>
      </c>
      <c r="X290" s="4">
        <f t="shared" si="26"/>
        <v>0.54500000000000004</v>
      </c>
      <c r="Y290" s="4">
        <f t="shared" si="27"/>
        <v>1</v>
      </c>
    </row>
    <row r="291" spans="1:25" x14ac:dyDescent="0.35">
      <c r="A291" s="4">
        <v>14</v>
      </c>
      <c r="B291" s="41">
        <v>45322</v>
      </c>
      <c r="C291" s="4" t="s">
        <v>7</v>
      </c>
      <c r="D291" s="4">
        <v>17</v>
      </c>
      <c r="E291" s="4" t="s">
        <v>278</v>
      </c>
      <c r="F291" s="4" t="str">
        <f t="shared" si="25"/>
        <v>tank 2</v>
      </c>
      <c r="G291" s="4">
        <f>IFERROR(INDEX('Date Key'!$I$2:$I$19, MATCH(B291,'Date Key'!$B$2:$B$19, 0)), "")</f>
        <v>5</v>
      </c>
      <c r="H291" s="4">
        <v>180</v>
      </c>
      <c r="I291" s="11">
        <v>4.7677428143304723E-2</v>
      </c>
      <c r="J291" s="11">
        <v>5.8044722076342627E-2</v>
      </c>
      <c r="K291" s="11">
        <v>2.6489138051857046</v>
      </c>
      <c r="L291" s="11">
        <v>1.1203212390649646</v>
      </c>
      <c r="M291" s="11">
        <v>105.66312255176273</v>
      </c>
      <c r="N291" s="11">
        <v>2.7546359554053521</v>
      </c>
      <c r="O291" s="11"/>
      <c r="P291" s="11">
        <v>7.58</v>
      </c>
      <c r="Q291" s="11">
        <v>108.4474885844749</v>
      </c>
      <c r="R291" s="11">
        <v>33.066666666666649</v>
      </c>
      <c r="S291" s="11">
        <v>1.3095238095238095</v>
      </c>
      <c r="T291" s="4">
        <f t="shared" si="22"/>
        <v>2</v>
      </c>
      <c r="U291" s="4" t="str">
        <f>IFERROR(INDEX('Date Key'!$G$2:$G$19, MATCH(B291,'Date Key'!$B$2:$B$19, 0)), "")</f>
        <v>No</v>
      </c>
      <c r="V291" s="4" t="str">
        <f>IFERROR(INDEX('Date Key'!$D$2:$D$19, MATCH(B291,'Date Key'!$B$2:$B$19, 0)), "")</f>
        <v>Lower</v>
      </c>
      <c r="W291" s="4" t="s">
        <v>8</v>
      </c>
      <c r="X291" s="4">
        <f t="shared" si="26"/>
        <v>0.54500000000000004</v>
      </c>
      <c r="Y291" s="4">
        <f t="shared" si="27"/>
        <v>1</v>
      </c>
    </row>
    <row r="292" spans="1:25" x14ac:dyDescent="0.35">
      <c r="A292" s="4">
        <v>14</v>
      </c>
      <c r="B292" s="41">
        <v>45322</v>
      </c>
      <c r="C292" s="4" t="s">
        <v>7</v>
      </c>
      <c r="D292" s="4">
        <v>18</v>
      </c>
      <c r="E292" s="4" t="s">
        <v>279</v>
      </c>
      <c r="F292" s="4" t="str">
        <f t="shared" si="25"/>
        <v>tank 2</v>
      </c>
      <c r="G292" s="4">
        <f>IFERROR(INDEX('Date Key'!$I$2:$I$19, MATCH(B292,'Date Key'!$B$2:$B$19, 0)), "")</f>
        <v>5</v>
      </c>
      <c r="H292" s="4">
        <v>150</v>
      </c>
      <c r="I292" s="11">
        <v>5.7212913771965676E-2</v>
      </c>
      <c r="J292" s="11">
        <v>5.2240249868708358E-2</v>
      </c>
      <c r="K292" s="11">
        <v>2.6299251757578501</v>
      </c>
      <c r="L292" s="11">
        <v>1.1069840814570484</v>
      </c>
      <c r="M292" s="11">
        <v>105.99888080581981</v>
      </c>
      <c r="N292" s="11">
        <v>2.7393783393985243</v>
      </c>
      <c r="O292" s="11"/>
      <c r="P292" s="11">
        <v>7.58</v>
      </c>
      <c r="Q292" s="11">
        <v>113.63636363636364</v>
      </c>
      <c r="R292" s="11">
        <v>34.066666666666649</v>
      </c>
      <c r="S292" s="11">
        <v>1.2362637362637361</v>
      </c>
      <c r="T292" s="4">
        <f t="shared" si="22"/>
        <v>2</v>
      </c>
      <c r="U292" s="4" t="str">
        <f>IFERROR(INDEX('Date Key'!$G$2:$G$19, MATCH(B292,'Date Key'!$B$2:$B$19, 0)), "")</f>
        <v>No</v>
      </c>
      <c r="V292" s="4" t="str">
        <f>IFERROR(INDEX('Date Key'!$D$2:$D$19, MATCH(B292,'Date Key'!$B$2:$B$19, 0)), "")</f>
        <v>Lower</v>
      </c>
      <c r="W292" s="4" t="s">
        <v>8</v>
      </c>
      <c r="X292" s="4">
        <f t="shared" si="26"/>
        <v>0.54500000000000004</v>
      </c>
      <c r="Y292" s="4">
        <f t="shared" si="27"/>
        <v>1</v>
      </c>
    </row>
    <row r="293" spans="1:25" x14ac:dyDescent="0.35">
      <c r="A293" s="4">
        <v>14</v>
      </c>
      <c r="B293" s="41">
        <v>45322</v>
      </c>
      <c r="C293" s="4" t="s">
        <v>7</v>
      </c>
      <c r="D293" s="4">
        <v>19</v>
      </c>
      <c r="E293" s="4" t="s">
        <v>280</v>
      </c>
      <c r="F293" s="4" t="str">
        <f t="shared" si="25"/>
        <v>tank 2</v>
      </c>
      <c r="G293" s="4">
        <f>IFERROR(INDEX('Date Key'!$I$2:$I$19, MATCH(B293,'Date Key'!$B$2:$B$19, 0)), "")</f>
        <v>5</v>
      </c>
      <c r="H293" s="4">
        <v>30</v>
      </c>
      <c r="I293" s="11">
        <v>0.26699359760250646</v>
      </c>
      <c r="J293" s="11">
        <v>3.4826833245805586E-2</v>
      </c>
      <c r="K293" s="11">
        <v>0.60288898433438087</v>
      </c>
      <c r="L293" s="11">
        <v>0.84024092929872363</v>
      </c>
      <c r="M293" s="11">
        <v>69.820928931169561</v>
      </c>
      <c r="N293" s="11">
        <v>0.90470941518269288</v>
      </c>
      <c r="O293" s="11"/>
      <c r="P293" s="11">
        <v>7.32</v>
      </c>
      <c r="Q293" s="11">
        <v>153.50877192982455</v>
      </c>
      <c r="R293" s="11">
        <v>38.066666666666656</v>
      </c>
      <c r="S293" s="11">
        <v>0.79670329670329676</v>
      </c>
      <c r="T293" s="4">
        <f t="shared" si="22"/>
        <v>2</v>
      </c>
      <c r="U293" s="4" t="str">
        <f>IFERROR(INDEX('Date Key'!$G$2:$G$19, MATCH(B293,'Date Key'!$B$2:$B$19, 0)), "")</f>
        <v>No</v>
      </c>
      <c r="V293" s="4" t="str">
        <f>IFERROR(INDEX('Date Key'!$D$2:$D$19, MATCH(B293,'Date Key'!$B$2:$B$19, 0)), "")</f>
        <v>Lower</v>
      </c>
      <c r="W293" s="4" t="s">
        <v>8</v>
      </c>
      <c r="X293" s="4">
        <f t="shared" si="26"/>
        <v>0.54500000000000004</v>
      </c>
      <c r="Y293" s="4">
        <f t="shared" si="27"/>
        <v>1</v>
      </c>
    </row>
    <row r="294" spans="1:25" x14ac:dyDescent="0.35">
      <c r="A294" s="4">
        <v>14</v>
      </c>
      <c r="B294" s="41">
        <v>45322</v>
      </c>
      <c r="C294" s="4" t="s">
        <v>7</v>
      </c>
      <c r="D294" s="4">
        <v>20</v>
      </c>
      <c r="E294" s="4" t="s">
        <v>281</v>
      </c>
      <c r="F294" s="4" t="str">
        <f t="shared" si="25"/>
        <v>tank 2</v>
      </c>
      <c r="G294" s="4">
        <f>IFERROR(INDEX('Date Key'!$I$2:$I$19, MATCH(B294,'Date Key'!$B$2:$B$19, 0)), "")</f>
        <v>5</v>
      </c>
      <c r="H294" s="4">
        <v>90</v>
      </c>
      <c r="I294" s="11">
        <v>7.6283885029287568E-2</v>
      </c>
      <c r="J294" s="11">
        <v>6.3849194283976909E-2</v>
      </c>
      <c r="K294" s="11">
        <v>2.1552094400614874</v>
      </c>
      <c r="L294" s="11">
        <v>0.92026387494622097</v>
      </c>
      <c r="M294" s="11">
        <v>102.85954113038612</v>
      </c>
      <c r="N294" s="11">
        <v>2.2953425193747519</v>
      </c>
      <c r="O294" s="11"/>
      <c r="P294" s="11">
        <v>7.45</v>
      </c>
      <c r="Q294" s="11">
        <v>118.77828054298644</v>
      </c>
      <c r="R294" s="11">
        <v>24.066666666666642</v>
      </c>
      <c r="S294" s="11">
        <v>0.96764346764346765</v>
      </c>
      <c r="T294" s="4">
        <f t="shared" si="22"/>
        <v>2</v>
      </c>
      <c r="U294" s="4" t="str">
        <f>IFERROR(INDEX('Date Key'!$G$2:$G$19, MATCH(B294,'Date Key'!$B$2:$B$19, 0)), "")</f>
        <v>No</v>
      </c>
      <c r="V294" s="4" t="str">
        <f>IFERROR(INDEX('Date Key'!$D$2:$D$19, MATCH(B294,'Date Key'!$B$2:$B$19, 0)), "")</f>
        <v>Lower</v>
      </c>
      <c r="W294" s="4" t="s">
        <v>8</v>
      </c>
      <c r="X294" s="4">
        <f t="shared" si="26"/>
        <v>0.54500000000000004</v>
      </c>
      <c r="Y294" s="4">
        <f t="shared" si="27"/>
        <v>1</v>
      </c>
    </row>
    <row r="295" spans="1:25" s="27" customFormat="1" x14ac:dyDescent="0.35">
      <c r="A295" s="27">
        <v>14</v>
      </c>
      <c r="B295" s="42">
        <v>45322</v>
      </c>
      <c r="C295" s="27" t="s">
        <v>7</v>
      </c>
      <c r="D295" s="27">
        <v>21</v>
      </c>
      <c r="E295" s="27" t="s">
        <v>282</v>
      </c>
      <c r="F295" s="27" t="str">
        <f t="shared" si="25"/>
        <v>tank 2</v>
      </c>
      <c r="G295" s="27">
        <f>IFERROR(INDEX('Date Key'!$I$2:$I$19, MATCH(B295,'Date Key'!$B$2:$B$19, 0)), "")</f>
        <v>5</v>
      </c>
      <c r="H295" s="27">
        <v>0</v>
      </c>
      <c r="I295" s="28">
        <v>0.23838714071652367</v>
      </c>
      <c r="J295" s="28">
        <v>1.7413416622902793E-2</v>
      </c>
      <c r="K295" s="28">
        <v>9.4943147139272557E-2</v>
      </c>
      <c r="L295" s="28">
        <v>0.84024092929872363</v>
      </c>
      <c r="M295" s="28">
        <v>31.82988248461108</v>
      </c>
      <c r="N295" s="28">
        <v>0.35074370447869901</v>
      </c>
      <c r="O295" s="28"/>
      <c r="P295" s="28">
        <v>7.15</v>
      </c>
      <c r="Q295" s="28">
        <v>186.17021276595744</v>
      </c>
      <c r="R295" s="28">
        <v>59.066666666666656</v>
      </c>
      <c r="S295" s="28">
        <v>0.80891330891330893</v>
      </c>
      <c r="T295" s="27">
        <f t="shared" si="22"/>
        <v>2</v>
      </c>
      <c r="U295" s="27" t="str">
        <f>IFERROR(INDEX('Date Key'!$G$2:$G$19, MATCH(B295,'Date Key'!$B$2:$B$19, 0)), "")</f>
        <v>No</v>
      </c>
      <c r="V295" s="27" t="str">
        <f>IFERROR(INDEX('Date Key'!$D$2:$D$19, MATCH(B295,'Date Key'!$B$2:$B$19, 0)), "")</f>
        <v>Lower</v>
      </c>
      <c r="W295" s="27" t="s">
        <v>8</v>
      </c>
      <c r="X295" s="27">
        <f t="shared" si="26"/>
        <v>0.54500000000000004</v>
      </c>
      <c r="Y295" s="27">
        <f t="shared" si="27"/>
        <v>1</v>
      </c>
    </row>
    <row r="296" spans="1:25" x14ac:dyDescent="0.35">
      <c r="A296" s="4">
        <v>15</v>
      </c>
      <c r="B296" s="41">
        <v>45330</v>
      </c>
      <c r="C296" s="4" t="s">
        <v>7</v>
      </c>
      <c r="D296" s="4">
        <v>1</v>
      </c>
      <c r="E296" s="4" t="s">
        <v>283</v>
      </c>
      <c r="F296" s="4" t="str">
        <f t="shared" si="25"/>
        <v>in</v>
      </c>
      <c r="G296" s="4">
        <f>IFERROR(INDEX('Date Key'!$I$2:$I$19, MATCH(B296,'Date Key'!$B$2:$B$19, 0)), "")</f>
        <v>5</v>
      </c>
      <c r="H296" s="4">
        <v>30</v>
      </c>
      <c r="I296" s="11">
        <v>4.7677428143304723E-2</v>
      </c>
      <c r="J296" s="11">
        <v>1.7413416622902793E-2</v>
      </c>
      <c r="K296" s="11">
        <v>1.1488120803851978</v>
      </c>
      <c r="L296" s="11">
        <v>0.10669726086332998</v>
      </c>
      <c r="M296" s="11">
        <v>125.97649692221601</v>
      </c>
      <c r="N296" s="11">
        <v>1.2139029251514053</v>
      </c>
      <c r="O296" s="11"/>
      <c r="P296" s="11">
        <v>7.39</v>
      </c>
      <c r="Q296" s="11">
        <v>118.77828054298644</v>
      </c>
      <c r="R296" s="11">
        <v>37.066666666666656</v>
      </c>
      <c r="S296" s="11">
        <v>0.11294261294261296</v>
      </c>
      <c r="T296" s="4">
        <f t="shared" si="22"/>
        <v>0</v>
      </c>
      <c r="U296" s="4" t="str">
        <f>IFERROR(INDEX('Date Key'!$G$2:$G$19, MATCH(B296,'Date Key'!$B$2:$B$19, 0)), "")</f>
        <v>No</v>
      </c>
      <c r="V296" s="4" t="str">
        <f>IFERROR(INDEX('Date Key'!$D$2:$D$19, MATCH(B296,'Date Key'!$B$2:$B$19, 0)), "")</f>
        <v>Lower</v>
      </c>
      <c r="W296" s="4" t="s">
        <v>8</v>
      </c>
      <c r="X296" s="4">
        <f t="shared" si="26"/>
        <v>0.54500000000000004</v>
      </c>
      <c r="Y296" s="4">
        <f t="shared" si="27"/>
        <v>1</v>
      </c>
    </row>
    <row r="297" spans="1:25" x14ac:dyDescent="0.35">
      <c r="A297" s="4">
        <v>15</v>
      </c>
      <c r="B297" s="41">
        <v>45330</v>
      </c>
      <c r="C297" s="4" t="s">
        <v>7</v>
      </c>
      <c r="D297" s="4">
        <v>2</v>
      </c>
      <c r="E297" s="4" t="s">
        <v>284</v>
      </c>
      <c r="F297" s="4" t="str">
        <f t="shared" si="25"/>
        <v>in</v>
      </c>
      <c r="G297" s="4">
        <f>IFERROR(INDEX('Date Key'!$I$2:$I$19, MATCH(B297,'Date Key'!$B$2:$B$19, 0)), "")</f>
        <v>5</v>
      </c>
      <c r="H297" s="4">
        <v>0</v>
      </c>
      <c r="I297" s="11">
        <v>0</v>
      </c>
      <c r="J297" s="11">
        <v>2.3217888830537055E-2</v>
      </c>
      <c r="K297" s="11">
        <v>1.158306395099125</v>
      </c>
      <c r="L297" s="11">
        <v>0.12003441847124621</v>
      </c>
      <c r="M297" s="11">
        <v>131.96978175713485</v>
      </c>
      <c r="N297" s="11">
        <v>1.181524283929662</v>
      </c>
      <c r="O297" s="11"/>
      <c r="P297" s="11">
        <v>7.34</v>
      </c>
      <c r="Q297" s="11">
        <v>108.4474885844749</v>
      </c>
      <c r="R297" s="11">
        <v>37.066666666666656</v>
      </c>
      <c r="S297" s="11">
        <v>0.10683760683760685</v>
      </c>
      <c r="T297" s="4">
        <f t="shared" si="22"/>
        <v>0</v>
      </c>
      <c r="U297" s="4" t="str">
        <f>IFERROR(INDEX('Date Key'!$G$2:$G$19, MATCH(B297,'Date Key'!$B$2:$B$19, 0)), "")</f>
        <v>No</v>
      </c>
      <c r="V297" s="4" t="str">
        <f>IFERROR(INDEX('Date Key'!$D$2:$D$19, MATCH(B297,'Date Key'!$B$2:$B$19, 0)), "")</f>
        <v>Lower</v>
      </c>
      <c r="W297" s="4" t="s">
        <v>8</v>
      </c>
      <c r="X297" s="4">
        <f t="shared" ref="X297:X317" si="28">IFERROR(INDEX($AB$8:$AB$10, MATCH(C297, $AA$8:$AA$10, 0)), "")</f>
        <v>0.54500000000000004</v>
      </c>
      <c r="Y297" s="4">
        <f t="shared" ref="Y297:Y317" si="29">IFERROR(INDEX($AC$8:$AC$10, MATCH(C297, $AA$8:$AA$10, 0)), "")</f>
        <v>1</v>
      </c>
    </row>
    <row r="298" spans="1:25" x14ac:dyDescent="0.35">
      <c r="A298" s="4">
        <v>15</v>
      </c>
      <c r="B298" s="41">
        <v>45330</v>
      </c>
      <c r="C298" s="4" t="s">
        <v>7</v>
      </c>
      <c r="D298" s="4">
        <v>3</v>
      </c>
      <c r="E298" s="4" t="s">
        <v>285</v>
      </c>
      <c r="F298" s="4" t="str">
        <f t="shared" si="25"/>
        <v>in</v>
      </c>
      <c r="G298" s="4">
        <f>IFERROR(INDEX('Date Key'!$I$2:$I$19, MATCH(B298,'Date Key'!$B$2:$B$19, 0)), "")</f>
        <v>5</v>
      </c>
      <c r="H298" s="4">
        <v>180</v>
      </c>
      <c r="I298" s="11">
        <v>0</v>
      </c>
      <c r="J298" s="11">
        <v>4.0631305453439848E-2</v>
      </c>
      <c r="K298" s="11">
        <v>1.7801840088613605</v>
      </c>
      <c r="L298" s="11">
        <v>1.133658396672881</v>
      </c>
      <c r="M298" s="11">
        <v>102.59093452714045</v>
      </c>
      <c r="N298" s="11">
        <v>1.8208153143148005</v>
      </c>
      <c r="O298" s="11"/>
      <c r="P298" s="11">
        <v>7.91</v>
      </c>
      <c r="Q298" s="11">
        <v>123.8738738738739</v>
      </c>
      <c r="R298" s="11">
        <v>28.399999999999981</v>
      </c>
      <c r="S298" s="11">
        <v>1.5476190476190472</v>
      </c>
      <c r="T298" s="4">
        <f t="shared" si="22"/>
        <v>0</v>
      </c>
      <c r="U298" s="4" t="str">
        <f>IFERROR(INDEX('Date Key'!$G$2:$G$19, MATCH(B298,'Date Key'!$B$2:$B$19, 0)), "")</f>
        <v>No</v>
      </c>
      <c r="V298" s="4" t="str">
        <f>IFERROR(INDEX('Date Key'!$D$2:$D$19, MATCH(B298,'Date Key'!$B$2:$B$19, 0)), "")</f>
        <v>Lower</v>
      </c>
      <c r="W298" s="4" t="s">
        <v>8</v>
      </c>
      <c r="X298" s="4">
        <f t="shared" si="28"/>
        <v>0.54500000000000004</v>
      </c>
      <c r="Y298" s="4">
        <f t="shared" si="29"/>
        <v>1</v>
      </c>
    </row>
    <row r="299" spans="1:25" x14ac:dyDescent="0.35">
      <c r="A299" s="4">
        <v>15</v>
      </c>
      <c r="B299" s="41">
        <v>45330</v>
      </c>
      <c r="C299" s="4" t="s">
        <v>7</v>
      </c>
      <c r="D299" s="4">
        <v>4</v>
      </c>
      <c r="E299" s="4" t="s">
        <v>286</v>
      </c>
      <c r="F299" s="4" t="str">
        <f t="shared" si="25"/>
        <v>in</v>
      </c>
      <c r="G299" s="4">
        <f>IFERROR(INDEX('Date Key'!$I$2:$I$19, MATCH(B299,'Date Key'!$B$2:$B$19, 0)), "")</f>
        <v>5</v>
      </c>
      <c r="H299" s="4">
        <v>90</v>
      </c>
      <c r="I299" s="11">
        <v>0</v>
      </c>
      <c r="J299" s="11">
        <v>2.9022361038171313E-2</v>
      </c>
      <c r="K299" s="11">
        <v>1.0491217758889619</v>
      </c>
      <c r="L299" s="11">
        <v>0.69353219561164481</v>
      </c>
      <c r="M299" s="11">
        <v>92.283156127588143</v>
      </c>
      <c r="N299" s="11">
        <v>1.0781441369271332</v>
      </c>
      <c r="O299" s="11"/>
      <c r="P299" s="11">
        <v>7.98</v>
      </c>
      <c r="Q299" s="11">
        <v>128.92376681614348</v>
      </c>
      <c r="R299" s="11">
        <v>21.733333333333309</v>
      </c>
      <c r="S299" s="11">
        <v>0.9004884004884004</v>
      </c>
      <c r="T299" s="4">
        <f t="shared" si="22"/>
        <v>0</v>
      </c>
      <c r="U299" s="4" t="str">
        <f>IFERROR(INDEX('Date Key'!$G$2:$G$19, MATCH(B299,'Date Key'!$B$2:$B$19, 0)), "")</f>
        <v>No</v>
      </c>
      <c r="V299" s="4" t="str">
        <f>IFERROR(INDEX('Date Key'!$D$2:$D$19, MATCH(B299,'Date Key'!$B$2:$B$19, 0)), "")</f>
        <v>Lower</v>
      </c>
      <c r="W299" s="4" t="s">
        <v>8</v>
      </c>
      <c r="X299" s="4">
        <f t="shared" si="28"/>
        <v>0.54500000000000004</v>
      </c>
      <c r="Y299" s="4">
        <f t="shared" si="29"/>
        <v>1</v>
      </c>
    </row>
    <row r="300" spans="1:25" x14ac:dyDescent="0.35">
      <c r="A300" s="4">
        <v>15</v>
      </c>
      <c r="B300" s="41">
        <v>45330</v>
      </c>
      <c r="C300" s="4" t="s">
        <v>7</v>
      </c>
      <c r="D300" s="4">
        <v>5</v>
      </c>
      <c r="E300" s="4" t="s">
        <v>287</v>
      </c>
      <c r="F300" s="4" t="str">
        <f t="shared" si="25"/>
        <v>in</v>
      </c>
      <c r="G300" s="4">
        <f>IFERROR(INDEX('Date Key'!$I$2:$I$19, MATCH(B300,'Date Key'!$B$2:$B$19, 0)), "")</f>
        <v>5</v>
      </c>
      <c r="H300" s="4">
        <v>60</v>
      </c>
      <c r="I300" s="11">
        <v>0</v>
      </c>
      <c r="J300" s="11">
        <v>2.3217888830537055E-2</v>
      </c>
      <c r="K300" s="11">
        <v>1.0063973596762892</v>
      </c>
      <c r="L300" s="11">
        <v>0.36010325541373872</v>
      </c>
      <c r="M300" s="11">
        <v>107.94627867935087</v>
      </c>
      <c r="N300" s="11">
        <v>1.0296152485068262</v>
      </c>
      <c r="O300" s="11"/>
      <c r="P300" s="11">
        <v>7.77</v>
      </c>
      <c r="Q300" s="11">
        <v>103.21100917431194</v>
      </c>
      <c r="R300" s="11">
        <v>28.733333333333313</v>
      </c>
      <c r="S300" s="11">
        <v>0.53418803418803418</v>
      </c>
      <c r="T300" s="4">
        <f t="shared" si="22"/>
        <v>0</v>
      </c>
      <c r="U300" s="4" t="str">
        <f>IFERROR(INDEX('Date Key'!$G$2:$G$19, MATCH(B300,'Date Key'!$B$2:$B$19, 0)), "")</f>
        <v>No</v>
      </c>
      <c r="V300" s="4" t="str">
        <f>IFERROR(INDEX('Date Key'!$D$2:$D$19, MATCH(B300,'Date Key'!$B$2:$B$19, 0)), "")</f>
        <v>Lower</v>
      </c>
      <c r="W300" s="4" t="s">
        <v>8</v>
      </c>
      <c r="X300" s="4">
        <f t="shared" si="28"/>
        <v>0.54500000000000004</v>
      </c>
      <c r="Y300" s="4">
        <f t="shared" si="29"/>
        <v>1</v>
      </c>
    </row>
    <row r="301" spans="1:25" x14ac:dyDescent="0.35">
      <c r="A301" s="4">
        <v>15</v>
      </c>
      <c r="B301" s="41">
        <v>45330</v>
      </c>
      <c r="C301" s="4" t="s">
        <v>7</v>
      </c>
      <c r="D301" s="4">
        <v>6</v>
      </c>
      <c r="E301" s="4" t="s">
        <v>288</v>
      </c>
      <c r="F301" s="4" t="str">
        <f t="shared" si="25"/>
        <v>in</v>
      </c>
      <c r="G301" s="4">
        <f>IFERROR(INDEX('Date Key'!$I$2:$I$19, MATCH(B301,'Date Key'!$B$2:$B$19, 0)), "")</f>
        <v>5</v>
      </c>
      <c r="H301" s="4">
        <v>150</v>
      </c>
      <c r="I301" s="11">
        <v>0</v>
      </c>
      <c r="J301" s="11">
        <v>3.4826833245805586E-2</v>
      </c>
      <c r="K301" s="11">
        <v>1.3766756335194521</v>
      </c>
      <c r="L301" s="11">
        <v>0.92026387494622097</v>
      </c>
      <c r="M301" s="11">
        <v>88.102965864577499</v>
      </c>
      <c r="N301" s="11">
        <v>1.4115024667652576</v>
      </c>
      <c r="O301" s="11"/>
      <c r="P301" s="11">
        <v>7.94</v>
      </c>
      <c r="Q301" s="11">
        <v>133.92857142857144</v>
      </c>
      <c r="R301" s="11">
        <v>21.066666666666642</v>
      </c>
      <c r="S301" s="11">
        <v>1.2973137973137974</v>
      </c>
      <c r="T301" s="4">
        <f t="shared" si="22"/>
        <v>0</v>
      </c>
      <c r="U301" s="4" t="str">
        <f>IFERROR(INDEX('Date Key'!$G$2:$G$19, MATCH(B301,'Date Key'!$B$2:$B$19, 0)), "")</f>
        <v>No</v>
      </c>
      <c r="V301" s="4" t="str">
        <f>IFERROR(INDEX('Date Key'!$D$2:$D$19, MATCH(B301,'Date Key'!$B$2:$B$19, 0)), "")</f>
        <v>Lower</v>
      </c>
      <c r="W301" s="4" t="s">
        <v>8</v>
      </c>
      <c r="X301" s="4">
        <f t="shared" si="28"/>
        <v>0.54500000000000004</v>
      </c>
      <c r="Y301" s="4">
        <f t="shared" si="29"/>
        <v>1</v>
      </c>
    </row>
    <row r="302" spans="1:25" x14ac:dyDescent="0.35">
      <c r="A302" s="4">
        <v>15</v>
      </c>
      <c r="B302" s="41">
        <v>45330</v>
      </c>
      <c r="C302" s="4" t="s">
        <v>7</v>
      </c>
      <c r="D302" s="4">
        <v>7</v>
      </c>
      <c r="E302" s="4" t="s">
        <v>289</v>
      </c>
      <c r="F302" s="4" t="str">
        <f t="shared" si="25"/>
        <v>in</v>
      </c>
      <c r="G302" s="4">
        <f>IFERROR(INDEX('Date Key'!$I$2:$I$19, MATCH(B302,'Date Key'!$B$2:$B$19, 0)), "")</f>
        <v>5</v>
      </c>
      <c r="H302" s="4">
        <v>120</v>
      </c>
      <c r="I302" s="11">
        <v>0</v>
      </c>
      <c r="J302" s="11">
        <v>3.4826833245805586E-2</v>
      </c>
      <c r="K302" s="11">
        <v>1.2010308113117978</v>
      </c>
      <c r="L302" s="11">
        <v>0.86691524451455604</v>
      </c>
      <c r="M302" s="11">
        <v>92.199216564073865</v>
      </c>
      <c r="N302" s="11">
        <v>1.2358576445576033</v>
      </c>
      <c r="O302" s="11"/>
      <c r="P302" s="11">
        <v>8.01</v>
      </c>
      <c r="Q302" s="11">
        <v>133.92857142857144</v>
      </c>
      <c r="R302" s="11">
        <v>22.733333333333309</v>
      </c>
      <c r="S302" s="11">
        <v>1.095848595848596</v>
      </c>
      <c r="T302" s="4">
        <f t="shared" si="22"/>
        <v>0</v>
      </c>
      <c r="U302" s="4" t="str">
        <f>IFERROR(INDEX('Date Key'!$G$2:$G$19, MATCH(B302,'Date Key'!$B$2:$B$19, 0)), "")</f>
        <v>No</v>
      </c>
      <c r="V302" s="4" t="str">
        <f>IFERROR(INDEX('Date Key'!$D$2:$D$19, MATCH(B302,'Date Key'!$B$2:$B$19, 0)), "")</f>
        <v>Lower</v>
      </c>
      <c r="W302" s="4" t="s">
        <v>8</v>
      </c>
      <c r="X302" s="4">
        <f t="shared" si="28"/>
        <v>0.54500000000000004</v>
      </c>
      <c r="Y302" s="4">
        <f t="shared" si="29"/>
        <v>1</v>
      </c>
    </row>
    <row r="303" spans="1:25" x14ac:dyDescent="0.35">
      <c r="A303" s="4">
        <v>15</v>
      </c>
      <c r="B303" s="41">
        <v>45330</v>
      </c>
      <c r="C303" s="4" t="s">
        <v>7</v>
      </c>
      <c r="D303" s="4">
        <v>8</v>
      </c>
      <c r="E303" s="4" t="s">
        <v>290</v>
      </c>
      <c r="F303" s="4" t="str">
        <f t="shared" si="25"/>
        <v>tank 1</v>
      </c>
      <c r="G303" s="4">
        <f>IFERROR(INDEX('Date Key'!$I$2:$I$19, MATCH(B303,'Date Key'!$B$2:$B$19, 0)), "")</f>
        <v>5</v>
      </c>
      <c r="H303" s="4">
        <v>60</v>
      </c>
      <c r="I303" s="11">
        <v>0.11442582754393135</v>
      </c>
      <c r="J303" s="11">
        <v>0.10448049973741672</v>
      </c>
      <c r="K303" s="11">
        <v>0.53168162397992635</v>
      </c>
      <c r="L303" s="11">
        <v>0.22673167933457619</v>
      </c>
      <c r="M303" s="11">
        <v>112.98265249020706</v>
      </c>
      <c r="N303" s="11">
        <v>0.75058795126127442</v>
      </c>
      <c r="O303" s="11"/>
      <c r="P303" s="11">
        <v>7.04</v>
      </c>
      <c r="Q303" s="11">
        <v>113.63636363636364</v>
      </c>
      <c r="R303" s="11">
        <v>27.066666666666645</v>
      </c>
      <c r="S303" s="11">
        <v>0.22893772893772896</v>
      </c>
      <c r="T303" s="4">
        <f t="shared" si="22"/>
        <v>1</v>
      </c>
      <c r="U303" s="4" t="str">
        <f>IFERROR(INDEX('Date Key'!$G$2:$G$19, MATCH(B303,'Date Key'!$B$2:$B$19, 0)), "")</f>
        <v>No</v>
      </c>
      <c r="V303" s="4" t="str">
        <f>IFERROR(INDEX('Date Key'!$D$2:$D$19, MATCH(B303,'Date Key'!$B$2:$B$19, 0)), "")</f>
        <v>Lower</v>
      </c>
      <c r="W303" s="4" t="s">
        <v>8</v>
      </c>
      <c r="X303" s="4">
        <f t="shared" si="28"/>
        <v>0.54500000000000004</v>
      </c>
      <c r="Y303" s="4">
        <f t="shared" si="29"/>
        <v>1</v>
      </c>
    </row>
    <row r="304" spans="1:25" x14ac:dyDescent="0.35">
      <c r="A304" s="4">
        <v>15</v>
      </c>
      <c r="B304" s="41">
        <v>45330</v>
      </c>
      <c r="C304" s="4" t="s">
        <v>7</v>
      </c>
      <c r="D304" s="4">
        <v>9</v>
      </c>
      <c r="E304" s="4" t="s">
        <v>291</v>
      </c>
      <c r="F304" s="4" t="str">
        <f t="shared" si="25"/>
        <v>tank 1</v>
      </c>
      <c r="G304" s="4">
        <f>IFERROR(INDEX('Date Key'!$I$2:$I$19, MATCH(B304,'Date Key'!$B$2:$B$19, 0)), "")</f>
        <v>5</v>
      </c>
      <c r="H304" s="4">
        <v>30</v>
      </c>
      <c r="I304" s="11">
        <v>0.13349679880125323</v>
      </c>
      <c r="J304" s="11">
        <v>7.545813869924542E-2</v>
      </c>
      <c r="K304" s="11">
        <v>0.29432375613174488</v>
      </c>
      <c r="L304" s="11">
        <v>0.36010325541373872</v>
      </c>
      <c r="M304" s="11">
        <v>115.60156687185227</v>
      </c>
      <c r="N304" s="11">
        <v>0.50327869363224353</v>
      </c>
      <c r="O304" s="11"/>
      <c r="P304" s="11">
        <v>6.87</v>
      </c>
      <c r="Q304" s="11">
        <v>123.8738738738739</v>
      </c>
      <c r="R304" s="11">
        <v>29.733333333333313</v>
      </c>
      <c r="S304" s="11">
        <v>0.43650793650793657</v>
      </c>
      <c r="T304" s="4">
        <f t="shared" si="22"/>
        <v>1</v>
      </c>
      <c r="U304" s="4" t="str">
        <f>IFERROR(INDEX('Date Key'!$G$2:$G$19, MATCH(B304,'Date Key'!$B$2:$B$19, 0)), "")</f>
        <v>No</v>
      </c>
      <c r="V304" s="4" t="str">
        <f>IFERROR(INDEX('Date Key'!$D$2:$D$19, MATCH(B304,'Date Key'!$B$2:$B$19, 0)), "")</f>
        <v>Lower</v>
      </c>
      <c r="W304" s="4" t="s">
        <v>8</v>
      </c>
      <c r="X304" s="4">
        <f t="shared" si="28"/>
        <v>0.54500000000000004</v>
      </c>
      <c r="Y304" s="4">
        <f t="shared" si="29"/>
        <v>1</v>
      </c>
    </row>
    <row r="305" spans="1:25" x14ac:dyDescent="0.35">
      <c r="A305" s="4">
        <v>15</v>
      </c>
      <c r="B305" s="41">
        <v>45330</v>
      </c>
      <c r="C305" s="4" t="s">
        <v>7</v>
      </c>
      <c r="D305" s="4">
        <v>10</v>
      </c>
      <c r="E305" s="4" t="s">
        <v>292</v>
      </c>
      <c r="F305" s="4" t="str">
        <f t="shared" si="25"/>
        <v>tank 1</v>
      </c>
      <c r="G305" s="4">
        <f>IFERROR(INDEX('Date Key'!$I$2:$I$19, MATCH(B305,'Date Key'!$B$2:$B$19, 0)), "")</f>
        <v>5</v>
      </c>
      <c r="H305" s="4">
        <v>150</v>
      </c>
      <c r="I305" s="11">
        <v>8.5819370657948493E-2</v>
      </c>
      <c r="J305" s="11">
        <v>0.15672074960612511</v>
      </c>
      <c r="K305" s="11">
        <v>0.55541741076474449</v>
      </c>
      <c r="L305" s="11">
        <v>0.57349777714039862</v>
      </c>
      <c r="M305" s="11">
        <v>90.285394515948525</v>
      </c>
      <c r="N305" s="11">
        <v>0.79795753102881806</v>
      </c>
      <c r="O305" s="11"/>
      <c r="P305" s="11">
        <v>7.23</v>
      </c>
      <c r="Q305" s="11">
        <v>123.8738738738739</v>
      </c>
      <c r="R305" s="11">
        <v>20.066666666666638</v>
      </c>
      <c r="S305" s="11">
        <v>0.85164835164835173</v>
      </c>
      <c r="T305" s="4">
        <f t="shared" si="22"/>
        <v>1</v>
      </c>
      <c r="U305" s="4" t="str">
        <f>IFERROR(INDEX('Date Key'!$G$2:$G$19, MATCH(B305,'Date Key'!$B$2:$B$19, 0)), "")</f>
        <v>No</v>
      </c>
      <c r="V305" s="4" t="str">
        <f>IFERROR(INDEX('Date Key'!$D$2:$D$19, MATCH(B305,'Date Key'!$B$2:$B$19, 0)), "")</f>
        <v>Lower</v>
      </c>
      <c r="W305" s="4" t="s">
        <v>8</v>
      </c>
      <c r="X305" s="4">
        <f t="shared" si="28"/>
        <v>0.54500000000000004</v>
      </c>
      <c r="Y305" s="4">
        <f t="shared" si="29"/>
        <v>1</v>
      </c>
    </row>
    <row r="306" spans="1:25" x14ac:dyDescent="0.35">
      <c r="A306" s="4">
        <v>15</v>
      </c>
      <c r="B306" s="41">
        <v>45330</v>
      </c>
      <c r="C306" s="4" t="s">
        <v>7</v>
      </c>
      <c r="D306" s="4">
        <v>11</v>
      </c>
      <c r="E306" s="4" t="s">
        <v>293</v>
      </c>
      <c r="F306" s="4" t="str">
        <f t="shared" si="25"/>
        <v>tank 1</v>
      </c>
      <c r="G306" s="4">
        <f>IFERROR(INDEX('Date Key'!$I$2:$I$19, MATCH(B306,'Date Key'!$B$2:$B$19, 0)), "")</f>
        <v>5</v>
      </c>
      <c r="H306" s="4">
        <v>120</v>
      </c>
      <c r="I306" s="11">
        <v>0.12396131317259229</v>
      </c>
      <c r="J306" s="11">
        <v>0.16252522181375939</v>
      </c>
      <c r="K306" s="11">
        <v>0.46047426362547195</v>
      </c>
      <c r="L306" s="11">
        <v>0.50681198910081726</v>
      </c>
      <c r="M306" s="11">
        <v>100.96250699496363</v>
      </c>
      <c r="N306" s="11">
        <v>0.74696079861182363</v>
      </c>
      <c r="O306" s="11"/>
      <c r="P306" s="11">
        <v>7.19</v>
      </c>
      <c r="Q306" s="11">
        <v>128.92376681614348</v>
      </c>
      <c r="R306" s="11">
        <v>23.733333333333309</v>
      </c>
      <c r="S306" s="11">
        <v>0.60744810744810751</v>
      </c>
      <c r="T306" s="4">
        <f t="shared" si="22"/>
        <v>1</v>
      </c>
      <c r="U306" s="4" t="str">
        <f>IFERROR(INDEX('Date Key'!$G$2:$G$19, MATCH(B306,'Date Key'!$B$2:$B$19, 0)), "")</f>
        <v>No</v>
      </c>
      <c r="V306" s="4" t="str">
        <f>IFERROR(INDEX('Date Key'!$D$2:$D$19, MATCH(B306,'Date Key'!$B$2:$B$19, 0)), "")</f>
        <v>Lower</v>
      </c>
      <c r="W306" s="4" t="s">
        <v>8</v>
      </c>
      <c r="X306" s="4">
        <f t="shared" si="28"/>
        <v>0.54500000000000004</v>
      </c>
      <c r="Y306" s="4">
        <f t="shared" si="29"/>
        <v>1</v>
      </c>
    </row>
    <row r="307" spans="1:25" x14ac:dyDescent="0.35">
      <c r="A307" s="4">
        <v>15</v>
      </c>
      <c r="B307" s="41">
        <v>45330</v>
      </c>
      <c r="C307" s="4" t="s">
        <v>7</v>
      </c>
      <c r="D307" s="4">
        <v>12</v>
      </c>
      <c r="E307" s="4" t="s">
        <v>294</v>
      </c>
      <c r="F307" s="4" t="str">
        <f t="shared" si="25"/>
        <v>tank 1</v>
      </c>
      <c r="G307" s="4">
        <f>IFERROR(INDEX('Date Key'!$I$2:$I$19, MATCH(B307,'Date Key'!$B$2:$B$19, 0)), "")</f>
        <v>5</v>
      </c>
      <c r="H307" s="4">
        <v>180</v>
      </c>
      <c r="I307" s="11">
        <v>7.6283885029287568E-2</v>
      </c>
      <c r="J307" s="11">
        <v>0.16252522181375939</v>
      </c>
      <c r="K307" s="11">
        <v>0.73106223297239858</v>
      </c>
      <c r="L307" s="11">
        <v>0.65352072278789619</v>
      </c>
      <c r="M307" s="11">
        <v>86.759932848349195</v>
      </c>
      <c r="N307" s="11">
        <v>0.96987133981544549</v>
      </c>
      <c r="O307" s="11"/>
      <c r="P307" s="11">
        <v>7.34</v>
      </c>
      <c r="Q307" s="11">
        <v>123.8738738738739</v>
      </c>
      <c r="R307" s="11">
        <v>22.733333333333309</v>
      </c>
      <c r="S307" s="11">
        <v>0.99206349206349209</v>
      </c>
      <c r="T307" s="4">
        <f t="shared" si="22"/>
        <v>1</v>
      </c>
      <c r="U307" s="4" t="str">
        <f>IFERROR(INDEX('Date Key'!$G$2:$G$19, MATCH(B307,'Date Key'!$B$2:$B$19, 0)), "")</f>
        <v>No</v>
      </c>
      <c r="V307" s="4" t="str">
        <f>IFERROR(INDEX('Date Key'!$D$2:$D$19, MATCH(B307,'Date Key'!$B$2:$B$19, 0)), "")</f>
        <v>Lower</v>
      </c>
      <c r="W307" s="4" t="s">
        <v>8</v>
      </c>
      <c r="X307" s="4">
        <f t="shared" si="28"/>
        <v>0.54500000000000004</v>
      </c>
      <c r="Y307" s="4">
        <f t="shared" si="29"/>
        <v>1</v>
      </c>
    </row>
    <row r="308" spans="1:25" x14ac:dyDescent="0.35">
      <c r="A308" s="4">
        <v>15</v>
      </c>
      <c r="B308" s="41">
        <v>45330</v>
      </c>
      <c r="C308" s="4" t="s">
        <v>7</v>
      </c>
      <c r="D308" s="4">
        <v>13</v>
      </c>
      <c r="E308" s="4" t="s">
        <v>295</v>
      </c>
      <c r="F308" s="4" t="str">
        <f t="shared" si="25"/>
        <v>tank 1</v>
      </c>
      <c r="G308" s="4">
        <f>IFERROR(INDEX('Date Key'!$I$2:$I$19, MATCH(B308,'Date Key'!$B$2:$B$19, 0)), "")</f>
        <v>5</v>
      </c>
      <c r="H308" s="4">
        <v>0</v>
      </c>
      <c r="I308" s="11">
        <v>4.7677428143304723E-2</v>
      </c>
      <c r="J308" s="11">
        <v>2.3217888830537055E-2</v>
      </c>
      <c r="K308" s="11">
        <v>6.1713045640527167E-2</v>
      </c>
      <c r="L308" s="11">
        <v>0.50681198910081726</v>
      </c>
      <c r="M308" s="11">
        <v>75.780637940682723</v>
      </c>
      <c r="N308" s="11">
        <v>0.13260836261436892</v>
      </c>
      <c r="O308" s="11"/>
      <c r="P308" s="11">
        <v>6.88</v>
      </c>
      <c r="Q308" s="11">
        <v>138.88888888888889</v>
      </c>
      <c r="R308" s="11">
        <v>20.733333333333306</v>
      </c>
      <c r="S308" s="11">
        <v>0.6562881562881564</v>
      </c>
      <c r="T308" s="4">
        <f t="shared" si="22"/>
        <v>1</v>
      </c>
      <c r="U308" s="4" t="str">
        <f>IFERROR(INDEX('Date Key'!$G$2:$G$19, MATCH(B308,'Date Key'!$B$2:$B$19, 0)), "")</f>
        <v>No</v>
      </c>
      <c r="V308" s="4" t="str">
        <f>IFERROR(INDEX('Date Key'!$D$2:$D$19, MATCH(B308,'Date Key'!$B$2:$B$19, 0)), "")</f>
        <v>Lower</v>
      </c>
      <c r="W308" s="4" t="s">
        <v>8</v>
      </c>
      <c r="X308" s="4">
        <f t="shared" si="28"/>
        <v>0.54500000000000004</v>
      </c>
      <c r="Y308" s="4">
        <f t="shared" si="29"/>
        <v>1</v>
      </c>
    </row>
    <row r="309" spans="1:25" x14ac:dyDescent="0.35">
      <c r="A309" s="4">
        <v>15</v>
      </c>
      <c r="B309" s="41">
        <v>45330</v>
      </c>
      <c r="C309" s="4" t="s">
        <v>7</v>
      </c>
      <c r="D309" s="4">
        <v>14</v>
      </c>
      <c r="E309" s="4" t="s">
        <v>296</v>
      </c>
      <c r="F309" s="4" t="str">
        <f t="shared" si="25"/>
        <v>tank 1</v>
      </c>
      <c r="G309" s="4">
        <f>IFERROR(INDEX('Date Key'!$I$2:$I$19, MATCH(B309,'Date Key'!$B$2:$B$19, 0)), "")</f>
        <v>5</v>
      </c>
      <c r="H309" s="4">
        <v>90</v>
      </c>
      <c r="I309" s="11">
        <v>0.31467102574581118</v>
      </c>
      <c r="J309" s="11">
        <v>0.20896099947483343</v>
      </c>
      <c r="K309" s="11">
        <v>0.5221873092659991</v>
      </c>
      <c r="L309" s="11">
        <v>0.38677757062957124</v>
      </c>
      <c r="M309" s="11">
        <v>115.48405148293229</v>
      </c>
      <c r="N309" s="11">
        <v>1.0458193344866435</v>
      </c>
      <c r="O309" s="11"/>
      <c r="P309" s="11">
        <v>7.08</v>
      </c>
      <c r="Q309" s="11">
        <v>113.63636363636364</v>
      </c>
      <c r="R309" s="11">
        <v>25.066666666666645</v>
      </c>
      <c r="S309" s="11">
        <v>0.39377289377289376</v>
      </c>
      <c r="T309" s="4">
        <f t="shared" si="22"/>
        <v>1</v>
      </c>
      <c r="U309" s="4" t="str">
        <f>IFERROR(INDEX('Date Key'!$G$2:$G$19, MATCH(B309,'Date Key'!$B$2:$B$19, 0)), "")</f>
        <v>No</v>
      </c>
      <c r="V309" s="4" t="str">
        <f>IFERROR(INDEX('Date Key'!$D$2:$D$19, MATCH(B309,'Date Key'!$B$2:$B$19, 0)), "")</f>
        <v>Lower</v>
      </c>
      <c r="W309" s="4" t="s">
        <v>8</v>
      </c>
      <c r="X309" s="4">
        <f t="shared" si="28"/>
        <v>0.54500000000000004</v>
      </c>
      <c r="Y309" s="4">
        <f t="shared" si="29"/>
        <v>1</v>
      </c>
    </row>
    <row r="310" spans="1:25" x14ac:dyDescent="0.35">
      <c r="A310" s="4">
        <v>15</v>
      </c>
      <c r="B310" s="41">
        <v>45330</v>
      </c>
      <c r="C310" s="4" t="s">
        <v>7</v>
      </c>
      <c r="D310" s="4">
        <v>15</v>
      </c>
      <c r="E310" s="4" t="s">
        <v>297</v>
      </c>
      <c r="F310" s="4" t="str">
        <f t="shared" si="25"/>
        <v>tank 2</v>
      </c>
      <c r="G310" s="4">
        <f>IFERROR(INDEX('Date Key'!$I$2:$I$19, MATCH(B310,'Date Key'!$B$2:$B$19, 0)), "")</f>
        <v>5</v>
      </c>
      <c r="H310" s="4">
        <v>0</v>
      </c>
      <c r="I310" s="11">
        <v>0.17163874131589699</v>
      </c>
      <c r="J310" s="11">
        <v>4.0631305453439848E-2</v>
      </c>
      <c r="K310" s="11">
        <v>3.7977258855709024E-2</v>
      </c>
      <c r="L310" s="11">
        <v>1.2937042879678762</v>
      </c>
      <c r="M310" s="11">
        <v>83.687744823726931</v>
      </c>
      <c r="N310" s="11">
        <v>0.25024730562504588</v>
      </c>
      <c r="O310" s="11"/>
      <c r="P310" s="11">
        <v>6.84</v>
      </c>
      <c r="Q310" s="11">
        <v>153.50877192982455</v>
      </c>
      <c r="R310" s="11">
        <v>42.066666666666656</v>
      </c>
      <c r="S310" s="11">
        <v>1.6575091575091572</v>
      </c>
      <c r="T310" s="4">
        <f t="shared" si="22"/>
        <v>2</v>
      </c>
      <c r="U310" s="4" t="str">
        <f>IFERROR(INDEX('Date Key'!$G$2:$G$19, MATCH(B310,'Date Key'!$B$2:$B$19, 0)), "")</f>
        <v>No</v>
      </c>
      <c r="V310" s="4" t="str">
        <f>IFERROR(INDEX('Date Key'!$D$2:$D$19, MATCH(B310,'Date Key'!$B$2:$B$19, 0)), "")</f>
        <v>Lower</v>
      </c>
      <c r="W310" s="4" t="s">
        <v>8</v>
      </c>
      <c r="X310" s="4">
        <f t="shared" si="28"/>
        <v>0.54500000000000004</v>
      </c>
      <c r="Y310" s="4">
        <f t="shared" si="29"/>
        <v>1</v>
      </c>
    </row>
    <row r="311" spans="1:25" x14ac:dyDescent="0.35">
      <c r="A311" s="4">
        <v>15</v>
      </c>
      <c r="B311" s="41">
        <v>45330</v>
      </c>
      <c r="C311" s="4" t="s">
        <v>7</v>
      </c>
      <c r="D311" s="4">
        <v>16</v>
      </c>
      <c r="E311" s="4" t="s">
        <v>298</v>
      </c>
      <c r="F311" s="4" t="str">
        <f t="shared" si="25"/>
        <v>tank 2</v>
      </c>
      <c r="G311" s="4">
        <f>IFERROR(INDEX('Date Key'!$I$2:$I$19, MATCH(B311,'Date Key'!$B$2:$B$19, 0)), "")</f>
        <v>5</v>
      </c>
      <c r="H311" s="4">
        <v>90</v>
      </c>
      <c r="I311" s="11">
        <v>5.7212913771965676E-2</v>
      </c>
      <c r="J311" s="11">
        <v>5.8044722076342627E-2</v>
      </c>
      <c r="K311" s="11">
        <v>0.9256956846079073</v>
      </c>
      <c r="L311" s="11">
        <v>0.42678904345331992</v>
      </c>
      <c r="M311" s="11">
        <v>115.50083939563515</v>
      </c>
      <c r="N311" s="11">
        <v>1.0409533204562156</v>
      </c>
      <c r="O311" s="11"/>
      <c r="P311" s="11">
        <v>7.24</v>
      </c>
      <c r="Q311" s="11">
        <v>113.63636363636364</v>
      </c>
      <c r="R311" s="11">
        <v>24.066666666666642</v>
      </c>
      <c r="S311" s="11">
        <v>0.40598290598290598</v>
      </c>
      <c r="T311" s="4">
        <f t="shared" si="22"/>
        <v>2</v>
      </c>
      <c r="U311" s="4" t="str">
        <f>IFERROR(INDEX('Date Key'!$G$2:$G$19, MATCH(B311,'Date Key'!$B$2:$B$19, 0)), "")</f>
        <v>No</v>
      </c>
      <c r="V311" s="4" t="str">
        <f>IFERROR(INDEX('Date Key'!$D$2:$D$19, MATCH(B311,'Date Key'!$B$2:$B$19, 0)), "")</f>
        <v>Lower</v>
      </c>
      <c r="W311" s="4" t="s">
        <v>8</v>
      </c>
      <c r="X311" s="4">
        <f t="shared" si="28"/>
        <v>0.54500000000000004</v>
      </c>
      <c r="Y311" s="4">
        <f t="shared" si="29"/>
        <v>1</v>
      </c>
    </row>
    <row r="312" spans="1:25" x14ac:dyDescent="0.35">
      <c r="A312" s="4">
        <v>15</v>
      </c>
      <c r="B312" s="41">
        <v>45330</v>
      </c>
      <c r="C312" s="4" t="s">
        <v>7</v>
      </c>
      <c r="D312" s="4">
        <v>17</v>
      </c>
      <c r="E312" s="4" t="s">
        <v>299</v>
      </c>
      <c r="F312" s="4" t="str">
        <f t="shared" si="25"/>
        <v>tank 2</v>
      </c>
      <c r="G312" s="4">
        <f>IFERROR(INDEX('Date Key'!$I$2:$I$19, MATCH(B312,'Date Key'!$B$2:$B$19, 0)), "")</f>
        <v>5</v>
      </c>
      <c r="H312" s="4">
        <v>150</v>
      </c>
      <c r="I312" s="11">
        <v>5.7212913771965676E-2</v>
      </c>
      <c r="J312" s="11">
        <v>6.9653666491611171E-2</v>
      </c>
      <c r="K312" s="11">
        <v>1.1155819788864525</v>
      </c>
      <c r="L312" s="11">
        <v>0.58683493474831483</v>
      </c>
      <c r="M312" s="11">
        <v>101.13038612199216</v>
      </c>
      <c r="N312" s="11">
        <v>1.2424485591500294</v>
      </c>
      <c r="O312" s="11"/>
      <c r="P312" s="11">
        <v>7.32</v>
      </c>
      <c r="Q312" s="11">
        <v>123.8738738738739</v>
      </c>
      <c r="R312" s="11">
        <v>20.733333333333306</v>
      </c>
      <c r="S312" s="11">
        <v>0.74786324786324787</v>
      </c>
      <c r="T312" s="4">
        <f t="shared" si="22"/>
        <v>2</v>
      </c>
      <c r="U312" s="4" t="str">
        <f>IFERROR(INDEX('Date Key'!$G$2:$G$19, MATCH(B312,'Date Key'!$B$2:$B$19, 0)), "")</f>
        <v>No</v>
      </c>
      <c r="V312" s="4" t="str">
        <f>IFERROR(INDEX('Date Key'!$D$2:$D$19, MATCH(B312,'Date Key'!$B$2:$B$19, 0)), "")</f>
        <v>Lower</v>
      </c>
      <c r="W312" s="4" t="s">
        <v>8</v>
      </c>
      <c r="X312" s="4">
        <f t="shared" si="28"/>
        <v>0.54500000000000004</v>
      </c>
      <c r="Y312" s="4">
        <f t="shared" si="29"/>
        <v>1</v>
      </c>
    </row>
    <row r="313" spans="1:25" x14ac:dyDescent="0.35">
      <c r="A313" s="4">
        <v>15</v>
      </c>
      <c r="B313" s="41">
        <v>45330</v>
      </c>
      <c r="C313" s="4" t="s">
        <v>7</v>
      </c>
      <c r="D313" s="4">
        <v>18</v>
      </c>
      <c r="E313" s="4" t="s">
        <v>300</v>
      </c>
      <c r="F313" s="4" t="str">
        <f t="shared" si="25"/>
        <v>tank 2</v>
      </c>
      <c r="G313" s="4">
        <f>IFERROR(INDEX('Date Key'!$I$2:$I$19, MATCH(B313,'Date Key'!$B$2:$B$19, 0)), "")</f>
        <v>5</v>
      </c>
      <c r="H313" s="4">
        <v>180</v>
      </c>
      <c r="I313" s="11">
        <v>2.8606456885982838E-2</v>
      </c>
      <c r="J313" s="11">
        <v>9.2871555322148219E-2</v>
      </c>
      <c r="K313" s="11">
        <v>1.3007211158080341</v>
      </c>
      <c r="L313" s="11">
        <v>0.65352072278789619</v>
      </c>
      <c r="M313" s="11">
        <v>101.0800223838836</v>
      </c>
      <c r="N313" s="11">
        <v>1.4221991280161652</v>
      </c>
      <c r="O313" s="11"/>
      <c r="P313" s="11">
        <v>7.36</v>
      </c>
      <c r="Q313" s="11">
        <v>123.8738738738739</v>
      </c>
      <c r="R313" s="11">
        <v>32.399999999999984</v>
      </c>
      <c r="S313" s="11">
        <v>0.79670329670329676</v>
      </c>
      <c r="T313" s="4">
        <f t="shared" si="22"/>
        <v>2</v>
      </c>
      <c r="U313" s="4" t="str">
        <f>IFERROR(INDEX('Date Key'!$G$2:$G$19, MATCH(B313,'Date Key'!$B$2:$B$19, 0)), "")</f>
        <v>No</v>
      </c>
      <c r="V313" s="4" t="str">
        <f>IFERROR(INDEX('Date Key'!$D$2:$D$19, MATCH(B313,'Date Key'!$B$2:$B$19, 0)), "")</f>
        <v>Lower</v>
      </c>
      <c r="W313" s="4" t="s">
        <v>8</v>
      </c>
      <c r="X313" s="4">
        <f t="shared" si="28"/>
        <v>0.54500000000000004</v>
      </c>
      <c r="Y313" s="4">
        <f t="shared" si="29"/>
        <v>1</v>
      </c>
    </row>
    <row r="314" spans="1:25" x14ac:dyDescent="0.35">
      <c r="A314" s="4">
        <v>15</v>
      </c>
      <c r="B314" s="41">
        <v>45330</v>
      </c>
      <c r="C314" s="4" t="s">
        <v>7</v>
      </c>
      <c r="D314" s="4">
        <v>19</v>
      </c>
      <c r="E314" s="4" t="s">
        <v>301</v>
      </c>
      <c r="F314" s="4" t="str">
        <f t="shared" si="25"/>
        <v>tank 2</v>
      </c>
      <c r="G314" s="4">
        <f>IFERROR(INDEX('Date Key'!$I$2:$I$19, MATCH(B314,'Date Key'!$B$2:$B$19, 0)), "")</f>
        <v>5</v>
      </c>
      <c r="H314" s="4">
        <v>30</v>
      </c>
      <c r="I314" s="11">
        <v>7.6283885029287568E-2</v>
      </c>
      <c r="J314" s="11">
        <v>6.3849194283976909E-2</v>
      </c>
      <c r="K314" s="11">
        <v>0.81176390804078036</v>
      </c>
      <c r="L314" s="11">
        <v>0.65352072278789619</v>
      </c>
      <c r="M314" s="11">
        <v>128.54504756575267</v>
      </c>
      <c r="N314" s="11">
        <v>0.95189698735404482</v>
      </c>
      <c r="O314" s="11"/>
      <c r="P314" s="11">
        <v>7.03</v>
      </c>
      <c r="Q314" s="11">
        <v>108.4474885844749</v>
      </c>
      <c r="R314" s="11">
        <v>34.066666666666649</v>
      </c>
      <c r="S314" s="11">
        <v>0.8211233211233212</v>
      </c>
      <c r="T314" s="4">
        <f t="shared" si="22"/>
        <v>2</v>
      </c>
      <c r="U314" s="4" t="str">
        <f>IFERROR(INDEX('Date Key'!$G$2:$G$19, MATCH(B314,'Date Key'!$B$2:$B$19, 0)), "")</f>
        <v>No</v>
      </c>
      <c r="V314" s="4" t="str">
        <f>IFERROR(INDEX('Date Key'!$D$2:$D$19, MATCH(B314,'Date Key'!$B$2:$B$19, 0)), "")</f>
        <v>Lower</v>
      </c>
      <c r="W314" s="4" t="s">
        <v>8</v>
      </c>
      <c r="X314" s="4">
        <f t="shared" si="28"/>
        <v>0.54500000000000004</v>
      </c>
      <c r="Y314" s="4">
        <f t="shared" si="29"/>
        <v>1</v>
      </c>
    </row>
    <row r="315" spans="1:25" x14ac:dyDescent="0.35">
      <c r="A315" s="4">
        <v>15</v>
      </c>
      <c r="B315" s="41">
        <v>45330</v>
      </c>
      <c r="C315" s="4" t="s">
        <v>7</v>
      </c>
      <c r="D315" s="4">
        <v>20</v>
      </c>
      <c r="E315" s="4" t="s">
        <v>302</v>
      </c>
      <c r="F315" s="4" t="str">
        <f t="shared" si="25"/>
        <v>tank 2</v>
      </c>
      <c r="G315" s="4">
        <f>IFERROR(INDEX('Date Key'!$I$2:$I$19, MATCH(B315,'Date Key'!$B$2:$B$19, 0)), "")</f>
        <v>5</v>
      </c>
      <c r="H315" s="4">
        <v>60</v>
      </c>
      <c r="I315" s="11">
        <v>4.7677428143304723E-2</v>
      </c>
      <c r="J315" s="11">
        <v>8.1262610906879695E-2</v>
      </c>
      <c r="K315" s="11">
        <v>1.0443746185319982</v>
      </c>
      <c r="L315" s="11">
        <v>0.33342894019790625</v>
      </c>
      <c r="M315" s="11">
        <v>136.36821488528258</v>
      </c>
      <c r="N315" s="11">
        <v>1.1733146575821827</v>
      </c>
      <c r="O315" s="11"/>
      <c r="P315" s="11">
        <v>7.16</v>
      </c>
      <c r="Q315" s="11">
        <v>103.21100917431194</v>
      </c>
      <c r="R315" s="11">
        <v>34.73333333333332</v>
      </c>
      <c r="S315" s="11">
        <v>0.36324786324786323</v>
      </c>
      <c r="T315" s="4">
        <f t="shared" si="22"/>
        <v>2</v>
      </c>
      <c r="U315" s="4" t="str">
        <f>IFERROR(INDEX('Date Key'!$G$2:$G$19, MATCH(B315,'Date Key'!$B$2:$B$19, 0)), "")</f>
        <v>No</v>
      </c>
      <c r="V315" s="4" t="str">
        <f>IFERROR(INDEX('Date Key'!$D$2:$D$19, MATCH(B315,'Date Key'!$B$2:$B$19, 0)), "")</f>
        <v>Lower</v>
      </c>
      <c r="W315" s="4" t="s">
        <v>8</v>
      </c>
      <c r="X315" s="4">
        <f t="shared" si="28"/>
        <v>0.54500000000000004</v>
      </c>
      <c r="Y315" s="4">
        <f t="shared" si="29"/>
        <v>1</v>
      </c>
    </row>
    <row r="316" spans="1:25" s="27" customFormat="1" x14ac:dyDescent="0.35">
      <c r="A316" s="27">
        <v>15</v>
      </c>
      <c r="B316" s="42">
        <v>45330</v>
      </c>
      <c r="C316" s="27" t="s">
        <v>7</v>
      </c>
      <c r="D316" s="27">
        <v>21</v>
      </c>
      <c r="E316" s="27" t="s">
        <v>303</v>
      </c>
      <c r="F316" s="27" t="str">
        <f t="shared" si="25"/>
        <v>tank 2</v>
      </c>
      <c r="G316" s="27">
        <f>IFERROR(INDEX('Date Key'!$I$2:$I$19, MATCH(B316,'Date Key'!$B$2:$B$19, 0)), "")</f>
        <v>5</v>
      </c>
      <c r="H316" s="27">
        <v>120</v>
      </c>
      <c r="I316" s="28">
        <v>3.8141942514643784E-2</v>
      </c>
      <c r="J316" s="28">
        <v>6.9653666491611171E-2</v>
      </c>
      <c r="K316" s="28">
        <v>0.99690304496236182</v>
      </c>
      <c r="L316" s="28">
        <v>0.49347483149290111</v>
      </c>
      <c r="M316" s="28">
        <v>106.45215444879686</v>
      </c>
      <c r="N316" s="28">
        <v>1.1046986539686168</v>
      </c>
      <c r="O316" s="28"/>
      <c r="P316" s="28">
        <v>7.28</v>
      </c>
      <c r="Q316" s="28">
        <v>118.77828054298644</v>
      </c>
      <c r="R316" s="28">
        <v>19.066666666666677</v>
      </c>
      <c r="S316" s="28">
        <v>0.58302808302808307</v>
      </c>
      <c r="T316" s="27">
        <f t="shared" si="22"/>
        <v>2</v>
      </c>
      <c r="U316" s="27" t="str">
        <f>IFERROR(INDEX('Date Key'!$G$2:$G$19, MATCH(B316,'Date Key'!$B$2:$B$19, 0)), "")</f>
        <v>No</v>
      </c>
      <c r="V316" s="27" t="str">
        <f>IFERROR(INDEX('Date Key'!$D$2:$D$19, MATCH(B316,'Date Key'!$B$2:$B$19, 0)), "")</f>
        <v>Lower</v>
      </c>
      <c r="W316" s="27" t="s">
        <v>8</v>
      </c>
      <c r="X316" s="27">
        <f t="shared" si="28"/>
        <v>0.54500000000000004</v>
      </c>
      <c r="Y316" s="27">
        <f t="shared" si="29"/>
        <v>1</v>
      </c>
    </row>
    <row r="317" spans="1:25" x14ac:dyDescent="0.35">
      <c r="A317" s="4">
        <v>16</v>
      </c>
      <c r="B317" s="41">
        <v>45371</v>
      </c>
      <c r="C317" s="4" t="s">
        <v>6</v>
      </c>
      <c r="D317" s="4">
        <v>1</v>
      </c>
      <c r="E317" s="4" t="s">
        <v>79</v>
      </c>
      <c r="F317" s="4" t="str">
        <f t="shared" si="25"/>
        <v>in</v>
      </c>
      <c r="G317" s="4">
        <f>IFERROR(INDEX('Date Key'!$I$2:$I$19, MATCH(B317,'Date Key'!$B$2:$B$19, 0)), "")</f>
        <v>6</v>
      </c>
      <c r="H317" s="4">
        <v>60</v>
      </c>
      <c r="I317" s="11">
        <v>5.7212913771965676E-2</v>
      </c>
      <c r="J317" s="11">
        <v>5.8044722076342627E-2</v>
      </c>
      <c r="K317" s="11">
        <v>4.5335352759002649</v>
      </c>
      <c r="L317" s="11">
        <v>0.48013767388498485</v>
      </c>
      <c r="M317" s="11">
        <v>109.42361499720201</v>
      </c>
      <c r="N317" s="11">
        <v>4.6487929117485729</v>
      </c>
      <c r="O317" s="11"/>
      <c r="P317" s="11">
        <v>8.39</v>
      </c>
      <c r="Q317" s="11">
        <v>143.80530973451326</v>
      </c>
      <c r="R317" s="11">
        <v>21.733333333333309</v>
      </c>
      <c r="S317" s="11">
        <v>0.99816849816849818</v>
      </c>
      <c r="T317" s="4">
        <f t="shared" si="22"/>
        <v>0</v>
      </c>
      <c r="U317" s="4" t="str">
        <f>IFERROR(INDEX('Date Key'!$G$2:$G$19, MATCH(B317,'Date Key'!$B$2:$B$19, 0)), "")</f>
        <v>No</v>
      </c>
      <c r="V317" s="4" t="s">
        <v>9</v>
      </c>
      <c r="W317" s="4" t="s">
        <v>8</v>
      </c>
      <c r="X317" s="4">
        <f t="shared" si="28"/>
        <v>0.218</v>
      </c>
      <c r="Y317" s="4">
        <f t="shared" si="29"/>
        <v>2.5</v>
      </c>
    </row>
    <row r="318" spans="1:25" x14ac:dyDescent="0.35">
      <c r="A318" s="4">
        <v>16</v>
      </c>
      <c r="B318" s="41">
        <v>45371</v>
      </c>
      <c r="C318" s="4" t="s">
        <v>6</v>
      </c>
      <c r="D318" s="4">
        <v>2</v>
      </c>
      <c r="E318" s="4" t="s">
        <v>219</v>
      </c>
      <c r="F318" s="4" t="str">
        <f t="shared" si="25"/>
        <v>in</v>
      </c>
      <c r="G318" s="4">
        <f>IFERROR(INDEX('Date Key'!$I$2:$I$19, MATCH(B318,'Date Key'!$B$2:$B$19, 0)), "")</f>
        <v>6</v>
      </c>
      <c r="H318" s="4">
        <v>90</v>
      </c>
      <c r="I318" s="11">
        <v>2.8606456885982838E-2</v>
      </c>
      <c r="J318" s="11">
        <v>5.2240249868708358E-2</v>
      </c>
      <c r="K318" s="11">
        <v>5.3120690824422994</v>
      </c>
      <c r="L318" s="11">
        <v>0.58683493474831483</v>
      </c>
      <c r="M318" s="11">
        <v>109.1382204812535</v>
      </c>
      <c r="N318" s="11">
        <v>5.3929157891969908</v>
      </c>
      <c r="O318" s="11"/>
      <c r="P318" s="11">
        <v>8.15</v>
      </c>
      <c r="Q318" s="11">
        <v>143.80530973451326</v>
      </c>
      <c r="R318" s="11">
        <v>21.399999999999974</v>
      </c>
      <c r="S318" s="11">
        <v>1.1813186813186811</v>
      </c>
      <c r="T318" s="4">
        <f t="shared" si="22"/>
        <v>0</v>
      </c>
      <c r="U318" s="4" t="str">
        <f>IFERROR(INDEX('Date Key'!$G$2:$G$19, MATCH(B318,'Date Key'!$B$2:$B$19, 0)), "")</f>
        <v>No</v>
      </c>
      <c r="V318" s="4" t="s">
        <v>9</v>
      </c>
      <c r="W318" s="4" t="s">
        <v>8</v>
      </c>
      <c r="X318" s="4">
        <f t="shared" ref="X318:X338" si="30">IFERROR(INDEX($AB$8:$AB$10, MATCH(C318, $AA$8:$AA$10, 0)), "")</f>
        <v>0.218</v>
      </c>
      <c r="Y318" s="4">
        <f t="shared" ref="Y318:Y338" si="31">IFERROR(INDEX($AC$8:$AC$10, MATCH(C318, $AA$8:$AA$10, 0)), "")</f>
        <v>2.5</v>
      </c>
    </row>
    <row r="319" spans="1:25" x14ac:dyDescent="0.35">
      <c r="A319" s="4">
        <v>16</v>
      </c>
      <c r="B319" s="41">
        <v>45371</v>
      </c>
      <c r="C319" s="4" t="s">
        <v>6</v>
      </c>
      <c r="D319" s="4">
        <v>3</v>
      </c>
      <c r="E319" s="4" t="s">
        <v>78</v>
      </c>
      <c r="F319" s="4" t="str">
        <f t="shared" si="25"/>
        <v>in</v>
      </c>
      <c r="G319" s="4">
        <f>IFERROR(INDEX('Date Key'!$I$2:$I$19, MATCH(B319,'Date Key'!$B$2:$B$19, 0)), "")</f>
        <v>6</v>
      </c>
      <c r="H319" s="4">
        <v>30</v>
      </c>
      <c r="I319" s="11">
        <v>1.9070971257321892E-2</v>
      </c>
      <c r="J319" s="11">
        <v>7.545813869924542E-2</v>
      </c>
      <c r="K319" s="11">
        <v>5.1744015190903552</v>
      </c>
      <c r="L319" s="11">
        <v>0.40011472823748739</v>
      </c>
      <c r="M319" s="11">
        <v>125.54001119194179</v>
      </c>
      <c r="N319" s="11">
        <v>5.2689306290469222</v>
      </c>
      <c r="O319" s="11"/>
      <c r="P319" s="11">
        <v>8.2799999999999994</v>
      </c>
      <c r="Q319" s="11">
        <v>143.80530973451326</v>
      </c>
      <c r="R319" s="11">
        <v>24.733333333333309</v>
      </c>
      <c r="S319" s="11">
        <v>0.82722832722832729</v>
      </c>
      <c r="T319" s="4">
        <f t="shared" ref="T319:T379" si="32">IFERROR(INDEX($AB$3:$AB$5, MATCH(F319, $AA$3:$AA$5, 0)), "")</f>
        <v>0</v>
      </c>
      <c r="U319" s="4" t="str">
        <f>IFERROR(INDEX('Date Key'!$G$2:$G$19, MATCH(B319,'Date Key'!$B$2:$B$19, 0)), "")</f>
        <v>No</v>
      </c>
      <c r="V319" s="4" t="s">
        <v>9</v>
      </c>
      <c r="W319" s="4" t="s">
        <v>8</v>
      </c>
      <c r="X319" s="4">
        <f t="shared" si="30"/>
        <v>0.218</v>
      </c>
      <c r="Y319" s="4">
        <f t="shared" si="31"/>
        <v>2.5</v>
      </c>
    </row>
    <row r="320" spans="1:25" x14ac:dyDescent="0.35">
      <c r="A320" s="4">
        <v>16</v>
      </c>
      <c r="B320" s="41">
        <v>45371</v>
      </c>
      <c r="C320" s="4" t="s">
        <v>6</v>
      </c>
      <c r="D320" s="4">
        <v>4</v>
      </c>
      <c r="E320" s="4" t="s">
        <v>85</v>
      </c>
      <c r="F320" s="4" t="str">
        <f t="shared" si="25"/>
        <v>in</v>
      </c>
      <c r="G320" s="4">
        <f>IFERROR(INDEX('Date Key'!$I$2:$I$19, MATCH(B320,'Date Key'!$B$2:$B$19, 0)), "")</f>
        <v>6</v>
      </c>
      <c r="H320" s="4">
        <v>180</v>
      </c>
      <c r="I320" s="11">
        <v>7.6283885029287568E-2</v>
      </c>
      <c r="J320" s="11">
        <v>5.8044722076342627E-2</v>
      </c>
      <c r="K320" s="11">
        <v>9.3898772520740543</v>
      </c>
      <c r="L320" s="11">
        <v>0.80022945647497479</v>
      </c>
      <c r="M320" s="11">
        <v>116.47453833240067</v>
      </c>
      <c r="N320" s="11">
        <v>9.5242058591796841</v>
      </c>
      <c r="O320" s="11"/>
      <c r="P320" s="11">
        <v>8.0299999999999994</v>
      </c>
      <c r="Q320" s="11">
        <v>153.5087719298246</v>
      </c>
      <c r="R320" s="11">
        <v>31.066666666666649</v>
      </c>
      <c r="S320" s="11">
        <v>1.6391941391941389</v>
      </c>
      <c r="T320" s="4">
        <f t="shared" si="32"/>
        <v>0</v>
      </c>
      <c r="U320" s="4" t="str">
        <f>IFERROR(INDEX('Date Key'!$G$2:$G$19, MATCH(B320,'Date Key'!$B$2:$B$19, 0)), "")</f>
        <v>No</v>
      </c>
      <c r="V320" s="4" t="s">
        <v>9</v>
      </c>
      <c r="W320" s="4" t="s">
        <v>8</v>
      </c>
      <c r="X320" s="4">
        <f t="shared" si="30"/>
        <v>0.218</v>
      </c>
      <c r="Y320" s="4">
        <f t="shared" si="31"/>
        <v>2.5</v>
      </c>
    </row>
    <row r="321" spans="1:25" x14ac:dyDescent="0.35">
      <c r="A321" s="4">
        <v>16</v>
      </c>
      <c r="B321" s="41">
        <v>45371</v>
      </c>
      <c r="C321" s="4" t="s">
        <v>6</v>
      </c>
      <c r="D321" s="4">
        <v>5</v>
      </c>
      <c r="E321" s="4" t="s">
        <v>304</v>
      </c>
      <c r="F321" s="4" t="str">
        <f t="shared" si="25"/>
        <v>in</v>
      </c>
      <c r="G321" s="4">
        <f>IFERROR(INDEX('Date Key'!$I$2:$I$19, MATCH(B321,'Date Key'!$B$2:$B$19, 0)), "")</f>
        <v>6</v>
      </c>
      <c r="H321" s="4">
        <v>0</v>
      </c>
      <c r="I321" s="11">
        <v>0</v>
      </c>
      <c r="J321" s="11">
        <v>4.643577766107411E-2</v>
      </c>
      <c r="K321" s="11">
        <v>3.522390758867012</v>
      </c>
      <c r="L321" s="11">
        <v>0.29341746737415741</v>
      </c>
      <c r="M321" s="11">
        <v>141.52210408505874</v>
      </c>
      <c r="N321" s="11">
        <v>3.568826536528086</v>
      </c>
      <c r="O321" s="11"/>
      <c r="P321" s="11">
        <v>8.35</v>
      </c>
      <c r="Q321" s="11">
        <v>212.65560165975111</v>
      </c>
      <c r="R321" s="11">
        <v>44.066666666666663</v>
      </c>
      <c r="S321" s="11">
        <v>0.51587301587301582</v>
      </c>
      <c r="T321" s="4">
        <f t="shared" si="32"/>
        <v>0</v>
      </c>
      <c r="U321" s="4" t="str">
        <f>IFERROR(INDEX('Date Key'!$G$2:$G$19, MATCH(B321,'Date Key'!$B$2:$B$19, 0)), "")</f>
        <v>No</v>
      </c>
      <c r="V321" s="4" t="s">
        <v>9</v>
      </c>
      <c r="W321" s="4" t="s">
        <v>8</v>
      </c>
      <c r="X321" s="4">
        <f t="shared" si="30"/>
        <v>0.218</v>
      </c>
      <c r="Y321" s="4">
        <f t="shared" si="31"/>
        <v>2.5</v>
      </c>
    </row>
    <row r="322" spans="1:25" x14ac:dyDescent="0.35">
      <c r="A322" s="4">
        <v>16</v>
      </c>
      <c r="B322" s="41">
        <v>45371</v>
      </c>
      <c r="C322" s="4" t="s">
        <v>6</v>
      </c>
      <c r="D322" s="4">
        <v>6</v>
      </c>
      <c r="E322" s="4" t="s">
        <v>77</v>
      </c>
      <c r="F322" s="4" t="str">
        <f t="shared" si="25"/>
        <v>in</v>
      </c>
      <c r="G322" s="4">
        <f>IFERROR(INDEX('Date Key'!$I$2:$I$19, MATCH(B322,'Date Key'!$B$2:$B$19, 0)), "")</f>
        <v>6</v>
      </c>
      <c r="H322" s="4">
        <v>120</v>
      </c>
      <c r="I322" s="11">
        <v>1.9070971257321892E-2</v>
      </c>
      <c r="J322" s="11">
        <v>5.2240249868708358E-2</v>
      </c>
      <c r="K322" s="11">
        <v>6.2947306553337716</v>
      </c>
      <c r="L322" s="11">
        <v>0.61350924996414735</v>
      </c>
      <c r="M322" s="11">
        <v>110.73307218802462</v>
      </c>
      <c r="N322" s="11">
        <v>6.3660418764598017</v>
      </c>
      <c r="O322" s="11"/>
      <c r="P322" s="11">
        <v>8.1199999999999992</v>
      </c>
      <c r="Q322" s="11">
        <v>138.88888888888889</v>
      </c>
      <c r="R322" s="11">
        <v>28.733333333333313</v>
      </c>
      <c r="S322" s="11">
        <v>1.3949938949938951</v>
      </c>
      <c r="T322" s="4">
        <f t="shared" si="32"/>
        <v>0</v>
      </c>
      <c r="U322" s="4" t="str">
        <f>IFERROR(INDEX('Date Key'!$G$2:$G$19, MATCH(B322,'Date Key'!$B$2:$B$19, 0)), "")</f>
        <v>No</v>
      </c>
      <c r="V322" s="4" t="s">
        <v>9</v>
      </c>
      <c r="W322" s="4" t="s">
        <v>8</v>
      </c>
      <c r="X322" s="4">
        <f t="shared" si="30"/>
        <v>0.218</v>
      </c>
      <c r="Y322" s="4">
        <f t="shared" si="31"/>
        <v>2.5</v>
      </c>
    </row>
    <row r="323" spans="1:25" x14ac:dyDescent="0.35">
      <c r="A323" s="4">
        <v>16</v>
      </c>
      <c r="B323" s="41">
        <v>45371</v>
      </c>
      <c r="C323" s="4" t="s">
        <v>6</v>
      </c>
      <c r="D323" s="4">
        <v>7</v>
      </c>
      <c r="E323" s="4" t="s">
        <v>81</v>
      </c>
      <c r="F323" s="4" t="str">
        <f t="shared" ref="F323:F379" si="33">MID(E323, SEARCH(" ", E323) + 1, LEN(E323))</f>
        <v>in</v>
      </c>
      <c r="G323" s="4">
        <f>IFERROR(INDEX('Date Key'!$I$2:$I$19, MATCH(B323,'Date Key'!$B$2:$B$19, 0)), "")</f>
        <v>6</v>
      </c>
      <c r="H323" s="4">
        <v>150</v>
      </c>
      <c r="I323" s="11">
        <v>3.8141942514643784E-2</v>
      </c>
      <c r="J323" s="11">
        <v>5.8044722076342627E-2</v>
      </c>
      <c r="K323" s="11">
        <v>7.9230056287722954</v>
      </c>
      <c r="L323" s="11">
        <v>0.74688082604330985</v>
      </c>
      <c r="M323" s="11">
        <v>110.43088975937326</v>
      </c>
      <c r="N323" s="11">
        <v>8.0191922933632824</v>
      </c>
      <c r="O323" s="11"/>
      <c r="P323" s="11">
        <v>8.07</v>
      </c>
      <c r="Q323" s="11">
        <v>133.92857142857139</v>
      </c>
      <c r="R323" s="11">
        <v>28.399999999999981</v>
      </c>
      <c r="S323" s="11">
        <v>1.6086691086691083</v>
      </c>
      <c r="T323" s="4">
        <f t="shared" si="32"/>
        <v>0</v>
      </c>
      <c r="U323" s="4" t="str">
        <f>IFERROR(INDEX('Date Key'!$G$2:$G$19, MATCH(B323,'Date Key'!$B$2:$B$19, 0)), "")</f>
        <v>No</v>
      </c>
      <c r="V323" s="4" t="s">
        <v>9</v>
      </c>
      <c r="W323" s="4" t="s">
        <v>8</v>
      </c>
      <c r="X323" s="4">
        <f t="shared" si="30"/>
        <v>0.218</v>
      </c>
      <c r="Y323" s="4">
        <f t="shared" si="31"/>
        <v>2.5</v>
      </c>
    </row>
    <row r="324" spans="1:25" x14ac:dyDescent="0.35">
      <c r="A324" s="4">
        <v>16</v>
      </c>
      <c r="B324" s="41">
        <v>45371</v>
      </c>
      <c r="C324" s="4" t="s">
        <v>6</v>
      </c>
      <c r="D324" s="4">
        <v>8</v>
      </c>
      <c r="E324" s="4" t="s">
        <v>86</v>
      </c>
      <c r="F324" s="4" t="str">
        <f t="shared" si="33"/>
        <v>tank 1</v>
      </c>
      <c r="G324" s="4">
        <f>IFERROR(INDEX('Date Key'!$I$2:$I$19, MATCH(B324,'Date Key'!$B$2:$B$19, 0)), "")</f>
        <v>6</v>
      </c>
      <c r="H324" s="4">
        <v>150</v>
      </c>
      <c r="I324" s="11">
        <v>4.7677428143304723E-2</v>
      </c>
      <c r="J324" s="11">
        <v>3.4826833245805586E-2</v>
      </c>
      <c r="K324" s="11">
        <v>0.22311639577729053</v>
      </c>
      <c r="L324" s="11">
        <v>0.26674315215832489</v>
      </c>
      <c r="M324" s="11">
        <v>54.745383324006724</v>
      </c>
      <c r="N324" s="11">
        <v>0.30562065716640086</v>
      </c>
      <c r="O324" s="11"/>
      <c r="P324" s="11">
        <v>7.01</v>
      </c>
      <c r="Q324" s="11">
        <v>233.73983739837408</v>
      </c>
      <c r="R324" s="11">
        <v>32.399999999999984</v>
      </c>
      <c r="S324" s="11">
        <v>0.42429792429792434</v>
      </c>
      <c r="T324" s="4">
        <f t="shared" si="32"/>
        <v>1</v>
      </c>
      <c r="U324" s="4" t="str">
        <f>IFERROR(INDEX('Date Key'!$G$2:$G$19, MATCH(B324,'Date Key'!$B$2:$B$19, 0)), "")</f>
        <v>No</v>
      </c>
      <c r="V324" s="4" t="s">
        <v>9</v>
      </c>
      <c r="W324" s="4" t="s">
        <v>8</v>
      </c>
      <c r="X324" s="4">
        <f t="shared" si="30"/>
        <v>0.218</v>
      </c>
      <c r="Y324" s="4">
        <f t="shared" si="31"/>
        <v>2.5</v>
      </c>
    </row>
    <row r="325" spans="1:25" x14ac:dyDescent="0.35">
      <c r="A325" s="4">
        <v>16</v>
      </c>
      <c r="B325" s="41">
        <v>45371</v>
      </c>
      <c r="C325" s="4" t="s">
        <v>6</v>
      </c>
      <c r="D325" s="4">
        <v>9</v>
      </c>
      <c r="E325" s="4" t="s">
        <v>90</v>
      </c>
      <c r="F325" s="4" t="str">
        <f t="shared" si="33"/>
        <v>tank 1</v>
      </c>
      <c r="G325" s="4">
        <f>IFERROR(INDEX('Date Key'!$I$2:$I$19, MATCH(B325,'Date Key'!$B$2:$B$19, 0)), "")</f>
        <v>6</v>
      </c>
      <c r="H325" s="4">
        <v>60</v>
      </c>
      <c r="I325" s="11">
        <v>0</v>
      </c>
      <c r="J325" s="11">
        <v>0</v>
      </c>
      <c r="K325" s="11">
        <v>0</v>
      </c>
      <c r="L325" s="11">
        <v>0.24006883694249243</v>
      </c>
      <c r="M325" s="11">
        <v>17.341913822048124</v>
      </c>
      <c r="N325" s="11">
        <v>0</v>
      </c>
      <c r="O325" s="11"/>
      <c r="P325" s="11">
        <v>7.14</v>
      </c>
      <c r="Q325" s="11">
        <v>190.67796610169486</v>
      </c>
      <c r="R325" s="11">
        <v>27.733333333333313</v>
      </c>
      <c r="S325" s="11">
        <v>0.39377289377289376</v>
      </c>
      <c r="T325" s="4">
        <f t="shared" si="32"/>
        <v>1</v>
      </c>
      <c r="U325" s="4" t="str">
        <f>IFERROR(INDEX('Date Key'!$G$2:$G$19, MATCH(B325,'Date Key'!$B$2:$B$19, 0)), "")</f>
        <v>No</v>
      </c>
      <c r="V325" s="4" t="s">
        <v>9</v>
      </c>
      <c r="W325" s="4" t="s">
        <v>8</v>
      </c>
      <c r="X325" s="4">
        <f t="shared" si="30"/>
        <v>0.218</v>
      </c>
      <c r="Y325" s="4">
        <f t="shared" si="31"/>
        <v>2.5</v>
      </c>
    </row>
    <row r="326" spans="1:25" x14ac:dyDescent="0.35">
      <c r="A326" s="4">
        <v>16</v>
      </c>
      <c r="B326" s="41">
        <v>45371</v>
      </c>
      <c r="C326" s="4" t="s">
        <v>6</v>
      </c>
      <c r="D326" s="4">
        <v>10</v>
      </c>
      <c r="E326" s="4" t="s">
        <v>83</v>
      </c>
      <c r="F326" s="4" t="str">
        <f t="shared" si="33"/>
        <v>tank 1</v>
      </c>
      <c r="G326" s="4">
        <f>IFERROR(INDEX('Date Key'!$I$2:$I$19, MATCH(B326,'Date Key'!$B$2:$B$19, 0)), "")</f>
        <v>6</v>
      </c>
      <c r="H326" s="4">
        <v>30</v>
      </c>
      <c r="I326" s="11">
        <v>0</v>
      </c>
      <c r="J326" s="11">
        <v>0</v>
      </c>
      <c r="K326" s="11">
        <v>0</v>
      </c>
      <c r="L326" s="11">
        <v>0.24006883694249243</v>
      </c>
      <c r="M326" s="11">
        <v>15.243424734191384</v>
      </c>
      <c r="N326" s="11">
        <v>0</v>
      </c>
      <c r="O326" s="11"/>
      <c r="P326" s="11">
        <v>7.08</v>
      </c>
      <c r="Q326" s="11">
        <v>233.73983739837408</v>
      </c>
      <c r="R326" s="11">
        <v>33.066666666666649</v>
      </c>
      <c r="S326" s="11">
        <v>0.37545787545787546</v>
      </c>
      <c r="T326" s="4">
        <f t="shared" si="32"/>
        <v>1</v>
      </c>
      <c r="U326" s="4" t="str">
        <f>IFERROR(INDEX('Date Key'!$G$2:$G$19, MATCH(B326,'Date Key'!$B$2:$B$19, 0)), "")</f>
        <v>No</v>
      </c>
      <c r="V326" s="4" t="s">
        <v>9</v>
      </c>
      <c r="W326" s="4" t="s">
        <v>8</v>
      </c>
      <c r="X326" s="4">
        <f t="shared" si="30"/>
        <v>0.218</v>
      </c>
      <c r="Y326" s="4">
        <f t="shared" si="31"/>
        <v>2.5</v>
      </c>
    </row>
    <row r="327" spans="1:25" x14ac:dyDescent="0.35">
      <c r="A327" s="4">
        <v>16</v>
      </c>
      <c r="B327" s="41">
        <v>45371</v>
      </c>
      <c r="C327" s="4" t="s">
        <v>6</v>
      </c>
      <c r="D327" s="4">
        <v>11</v>
      </c>
      <c r="E327" s="4" t="s">
        <v>93</v>
      </c>
      <c r="F327" s="4" t="str">
        <f t="shared" si="33"/>
        <v>tank 1</v>
      </c>
      <c r="G327" s="4">
        <f>IFERROR(INDEX('Date Key'!$I$2:$I$19, MATCH(B327,'Date Key'!$B$2:$B$19, 0)), "")</f>
        <v>6</v>
      </c>
      <c r="H327" s="4">
        <v>180</v>
      </c>
      <c r="I327" s="11">
        <v>0.10489034191527041</v>
      </c>
      <c r="J327" s="11">
        <v>0.23217888830537051</v>
      </c>
      <c r="K327" s="11">
        <v>0</v>
      </c>
      <c r="L327" s="11">
        <v>0.21339452172665996</v>
      </c>
      <c r="M327" s="11">
        <v>66.799104644655856</v>
      </c>
      <c r="N327" s="11">
        <v>0.33706923022064095</v>
      </c>
      <c r="O327" s="11"/>
      <c r="P327" s="11">
        <v>7.03</v>
      </c>
      <c r="Q327" s="11">
        <v>190.67796610169498</v>
      </c>
      <c r="R327" s="11">
        <v>30.399999999999981</v>
      </c>
      <c r="S327" s="11">
        <v>0.36935286935286932</v>
      </c>
      <c r="T327" s="4">
        <f t="shared" si="32"/>
        <v>1</v>
      </c>
      <c r="U327" s="4" t="str">
        <f>IFERROR(INDEX('Date Key'!$G$2:$G$19, MATCH(B327,'Date Key'!$B$2:$B$19, 0)), "")</f>
        <v>No</v>
      </c>
      <c r="V327" s="4" t="s">
        <v>9</v>
      </c>
      <c r="W327" s="4" t="s">
        <v>8</v>
      </c>
      <c r="X327" s="4">
        <f t="shared" si="30"/>
        <v>0.218</v>
      </c>
      <c r="Y327" s="4">
        <f t="shared" si="31"/>
        <v>2.5</v>
      </c>
    </row>
    <row r="328" spans="1:25" x14ac:dyDescent="0.35">
      <c r="A328" s="4">
        <v>16</v>
      </c>
      <c r="B328" s="41">
        <v>45371</v>
      </c>
      <c r="C328" s="4" t="s">
        <v>6</v>
      </c>
      <c r="D328" s="4">
        <v>12</v>
      </c>
      <c r="E328" s="4" t="s">
        <v>80</v>
      </c>
      <c r="F328" s="4" t="str">
        <f t="shared" si="33"/>
        <v>tank 1</v>
      </c>
      <c r="G328" s="4">
        <f>IFERROR(INDEX('Date Key'!$I$2:$I$19, MATCH(B328,'Date Key'!$B$2:$B$19, 0)), "")</f>
        <v>6</v>
      </c>
      <c r="H328" s="4">
        <v>120</v>
      </c>
      <c r="I328" s="11">
        <v>0</v>
      </c>
      <c r="J328" s="11">
        <v>0</v>
      </c>
      <c r="K328" s="11">
        <v>0</v>
      </c>
      <c r="L328" s="11">
        <v>0.21339452172665996</v>
      </c>
      <c r="M328" s="11">
        <v>33.72691662003357</v>
      </c>
      <c r="N328" s="11">
        <v>0</v>
      </c>
      <c r="O328" s="11"/>
      <c r="P328" s="11">
        <v>7.11</v>
      </c>
      <c r="Q328" s="11">
        <v>216.94214876033038</v>
      </c>
      <c r="R328" s="11">
        <v>35.066666666666656</v>
      </c>
      <c r="S328" s="11">
        <v>0.38766788766788768</v>
      </c>
      <c r="T328" s="4">
        <f t="shared" si="32"/>
        <v>1</v>
      </c>
      <c r="U328" s="4" t="str">
        <f>IFERROR(INDEX('Date Key'!$G$2:$G$19, MATCH(B328,'Date Key'!$B$2:$B$19, 0)), "")</f>
        <v>No</v>
      </c>
      <c r="V328" s="4" t="s">
        <v>9</v>
      </c>
      <c r="W328" s="4" t="s">
        <v>8</v>
      </c>
      <c r="X328" s="4">
        <f t="shared" si="30"/>
        <v>0.218</v>
      </c>
      <c r="Y328" s="4">
        <f t="shared" si="31"/>
        <v>2.5</v>
      </c>
    </row>
    <row r="329" spans="1:25" x14ac:dyDescent="0.35">
      <c r="A329" s="4">
        <v>16</v>
      </c>
      <c r="B329" s="41">
        <v>45371</v>
      </c>
      <c r="C329" s="4" t="s">
        <v>6</v>
      </c>
      <c r="D329" s="4">
        <v>13</v>
      </c>
      <c r="E329" s="4" t="s">
        <v>89</v>
      </c>
      <c r="F329" s="4" t="str">
        <f t="shared" si="33"/>
        <v>tank 1</v>
      </c>
      <c r="G329" s="4">
        <f>IFERROR(INDEX('Date Key'!$I$2:$I$19, MATCH(B329,'Date Key'!$B$2:$B$19, 0)), "")</f>
        <v>6</v>
      </c>
      <c r="H329" s="4">
        <v>90</v>
      </c>
      <c r="I329" s="11">
        <v>0</v>
      </c>
      <c r="J329" s="11">
        <v>0</v>
      </c>
      <c r="K329" s="11">
        <v>0</v>
      </c>
      <c r="L329" s="11">
        <v>0.26674315215832489</v>
      </c>
      <c r="M329" s="11">
        <v>20.716284275321769</v>
      </c>
      <c r="N329" s="11">
        <v>0</v>
      </c>
      <c r="O329" s="11"/>
      <c r="P329" s="11">
        <v>7.05</v>
      </c>
      <c r="Q329" s="11">
        <v>216.94214876033055</v>
      </c>
      <c r="R329" s="11">
        <v>31.733333333333317</v>
      </c>
      <c r="S329" s="11">
        <v>0.55250305250305243</v>
      </c>
      <c r="T329" s="4">
        <f t="shared" si="32"/>
        <v>1</v>
      </c>
      <c r="U329" s="4" t="str">
        <f>IFERROR(INDEX('Date Key'!$G$2:$G$19, MATCH(B329,'Date Key'!$B$2:$B$19, 0)), "")</f>
        <v>No</v>
      </c>
      <c r="V329" s="4" t="s">
        <v>9</v>
      </c>
      <c r="W329" s="4" t="s">
        <v>8</v>
      </c>
      <c r="X329" s="4">
        <f t="shared" si="30"/>
        <v>0.218</v>
      </c>
      <c r="Y329" s="4">
        <f t="shared" si="31"/>
        <v>2.5</v>
      </c>
    </row>
    <row r="330" spans="1:25" x14ac:dyDescent="0.35">
      <c r="A330" s="4">
        <v>16</v>
      </c>
      <c r="B330" s="41">
        <v>45371</v>
      </c>
      <c r="C330" s="4" t="s">
        <v>6</v>
      </c>
      <c r="D330" s="4">
        <v>14</v>
      </c>
      <c r="E330" s="4" t="s">
        <v>408</v>
      </c>
      <c r="F330" s="4" t="str">
        <f t="shared" si="33"/>
        <v>tank 1</v>
      </c>
      <c r="G330" s="4">
        <f>IFERROR(INDEX('Date Key'!$I$2:$I$19, MATCH(B330,'Date Key'!$B$2:$B$19, 0)), "")</f>
        <v>6</v>
      </c>
      <c r="H330" s="4">
        <v>0</v>
      </c>
      <c r="I330" s="11">
        <v>9.9073695681787211</v>
      </c>
      <c r="J330" s="11">
        <v>0</v>
      </c>
      <c r="K330" s="11">
        <v>0</v>
      </c>
      <c r="L330" s="11">
        <v>0.49347483149290111</v>
      </c>
      <c r="M330" s="11">
        <v>18.382764409625072</v>
      </c>
      <c r="N330" s="11">
        <v>9.9073695681787211</v>
      </c>
      <c r="O330" s="11"/>
      <c r="P330" s="11">
        <v>7.29</v>
      </c>
      <c r="Q330" s="11">
        <v>241.93548387096777</v>
      </c>
      <c r="R330" s="11">
        <v>37.399999999999991</v>
      </c>
      <c r="S330" s="11">
        <v>0.94932844932844929</v>
      </c>
      <c r="T330" s="4">
        <f t="shared" si="32"/>
        <v>1</v>
      </c>
      <c r="U330" s="4" t="str">
        <f>IFERROR(INDEX('Date Key'!$G$2:$G$19, MATCH(B330,'Date Key'!$B$2:$B$19, 0)), "")</f>
        <v>No</v>
      </c>
      <c r="V330" s="4" t="s">
        <v>9</v>
      </c>
      <c r="W330" s="4" t="s">
        <v>8</v>
      </c>
      <c r="X330" s="4">
        <f t="shared" si="30"/>
        <v>0.218</v>
      </c>
      <c r="Y330" s="4">
        <f t="shared" si="31"/>
        <v>2.5</v>
      </c>
    </row>
    <row r="331" spans="1:25" x14ac:dyDescent="0.35">
      <c r="A331" s="4">
        <v>16</v>
      </c>
      <c r="B331" s="41">
        <v>45371</v>
      </c>
      <c r="C331" s="4" t="s">
        <v>6</v>
      </c>
      <c r="D331" s="4">
        <v>15</v>
      </c>
      <c r="E331" s="4" t="s">
        <v>455</v>
      </c>
      <c r="F331" s="4" t="str">
        <f t="shared" si="33"/>
        <v>tank 2</v>
      </c>
      <c r="G331" s="4">
        <f>IFERROR(INDEX('Date Key'!$I$2:$I$19, MATCH(B331,'Date Key'!$B$2:$B$19, 0)), "")</f>
        <v>6</v>
      </c>
      <c r="H331" s="4">
        <v>0</v>
      </c>
      <c r="I331" s="11">
        <v>2.3361939790219317</v>
      </c>
      <c r="J331" s="11">
        <v>0</v>
      </c>
      <c r="K331" s="11">
        <v>0</v>
      </c>
      <c r="L331" s="11">
        <v>0.73354366843539365</v>
      </c>
      <c r="M331" s="11">
        <v>3.4583100167879128</v>
      </c>
      <c r="N331" s="11">
        <v>2.3361939790219317</v>
      </c>
      <c r="O331" s="11"/>
      <c r="P331" s="11">
        <v>7.11</v>
      </c>
      <c r="Q331" s="11">
        <v>250</v>
      </c>
      <c r="R331" s="11">
        <v>43.066666666666663</v>
      </c>
      <c r="S331" s="11">
        <v>1.9566544566544566</v>
      </c>
      <c r="T331" s="4">
        <f t="shared" si="32"/>
        <v>2</v>
      </c>
      <c r="U331" s="4" t="str">
        <f>IFERROR(INDEX('Date Key'!$G$2:$G$19, MATCH(B331,'Date Key'!$B$2:$B$19, 0)), "")</f>
        <v>No</v>
      </c>
      <c r="V331" s="4" t="s">
        <v>9</v>
      </c>
      <c r="W331" s="4" t="s">
        <v>8</v>
      </c>
      <c r="X331" s="4">
        <f t="shared" si="30"/>
        <v>0.218</v>
      </c>
      <c r="Y331" s="4">
        <f t="shared" si="31"/>
        <v>2.5</v>
      </c>
    </row>
    <row r="332" spans="1:25" x14ac:dyDescent="0.35">
      <c r="A332" s="4">
        <v>16</v>
      </c>
      <c r="B332" s="41">
        <v>45371</v>
      </c>
      <c r="C332" s="4" t="s">
        <v>6</v>
      </c>
      <c r="D332" s="4">
        <v>16</v>
      </c>
      <c r="E332" s="4" t="s">
        <v>94</v>
      </c>
      <c r="F332" s="4" t="str">
        <f t="shared" si="33"/>
        <v>tank 2</v>
      </c>
      <c r="G332" s="4">
        <f>IFERROR(INDEX('Date Key'!$I$2:$I$19, MATCH(B332,'Date Key'!$B$2:$B$19, 0)), "")</f>
        <v>6</v>
      </c>
      <c r="H332" s="4">
        <v>180</v>
      </c>
      <c r="I332" s="11">
        <v>6.6748399400626615E-2</v>
      </c>
      <c r="J332" s="11">
        <v>0.44694435998783827</v>
      </c>
      <c r="K332" s="11">
        <v>0.78328096389899859</v>
      </c>
      <c r="L332" s="11">
        <v>0.53348630431664978</v>
      </c>
      <c r="M332" s="11">
        <v>63.911583659764965</v>
      </c>
      <c r="N332" s="11">
        <v>1.2969737232874636</v>
      </c>
      <c r="O332" s="11"/>
      <c r="P332" s="11">
        <v>6.99</v>
      </c>
      <c r="Q332" s="11">
        <v>181.62393162393155</v>
      </c>
      <c r="R332" s="11">
        <v>33.73333333333332</v>
      </c>
      <c r="S332" s="11">
        <v>1.0775335775335777</v>
      </c>
      <c r="T332" s="4">
        <f t="shared" si="32"/>
        <v>2</v>
      </c>
      <c r="U332" s="4" t="str">
        <f>IFERROR(INDEX('Date Key'!$G$2:$G$19, MATCH(B332,'Date Key'!$B$2:$B$19, 0)), "")</f>
        <v>No</v>
      </c>
      <c r="V332" s="4" t="s">
        <v>9</v>
      </c>
      <c r="W332" s="4" t="s">
        <v>8</v>
      </c>
      <c r="X332" s="4">
        <f t="shared" si="30"/>
        <v>0.218</v>
      </c>
      <c r="Y332" s="4">
        <f t="shared" si="31"/>
        <v>2.5</v>
      </c>
    </row>
    <row r="333" spans="1:25" x14ac:dyDescent="0.35">
      <c r="A333" s="4">
        <v>16</v>
      </c>
      <c r="B333" s="41">
        <v>45371</v>
      </c>
      <c r="C333" s="4" t="s">
        <v>6</v>
      </c>
      <c r="D333" s="4">
        <v>17</v>
      </c>
      <c r="E333" s="4" t="s">
        <v>92</v>
      </c>
      <c r="F333" s="4" t="str">
        <f t="shared" si="33"/>
        <v>tank 2</v>
      </c>
      <c r="G333" s="4">
        <f>IFERROR(INDEX('Date Key'!$I$2:$I$19, MATCH(B333,'Date Key'!$B$2:$B$19, 0)), "")</f>
        <v>6</v>
      </c>
      <c r="H333" s="4">
        <v>30</v>
      </c>
      <c r="I333" s="11">
        <v>0</v>
      </c>
      <c r="J333" s="11">
        <v>2.9022361038171313E-2</v>
      </c>
      <c r="K333" s="11">
        <v>1.8988629427854512E-2</v>
      </c>
      <c r="L333" s="11">
        <v>0.61350924996414735</v>
      </c>
      <c r="M333" s="11">
        <v>5.5735870173475099</v>
      </c>
      <c r="N333" s="11">
        <v>4.8010990466025825E-2</v>
      </c>
      <c r="O333" s="11"/>
      <c r="P333" s="11">
        <v>6.99</v>
      </c>
      <c r="Q333" s="11">
        <v>233.73983739837388</v>
      </c>
      <c r="R333" s="11">
        <v>39.399999999999991</v>
      </c>
      <c r="S333" s="11">
        <v>1.2362637362637361</v>
      </c>
      <c r="T333" s="4">
        <f t="shared" si="32"/>
        <v>2</v>
      </c>
      <c r="U333" s="4" t="str">
        <f>IFERROR(INDEX('Date Key'!$G$2:$G$19, MATCH(B333,'Date Key'!$B$2:$B$19, 0)), "")</f>
        <v>No</v>
      </c>
      <c r="V333" s="4" t="s">
        <v>9</v>
      </c>
      <c r="W333" s="4" t="s">
        <v>8</v>
      </c>
      <c r="X333" s="4">
        <f t="shared" si="30"/>
        <v>0.218</v>
      </c>
      <c r="Y333" s="4">
        <f t="shared" si="31"/>
        <v>2.5</v>
      </c>
    </row>
    <row r="334" spans="1:25" x14ac:dyDescent="0.35">
      <c r="A334" s="4">
        <v>16</v>
      </c>
      <c r="B334" s="41">
        <v>45371</v>
      </c>
      <c r="C334" s="4" t="s">
        <v>6</v>
      </c>
      <c r="D334" s="4">
        <v>18</v>
      </c>
      <c r="E334" s="4" t="s">
        <v>88</v>
      </c>
      <c r="F334" s="4" t="str">
        <f t="shared" si="33"/>
        <v>tank 2</v>
      </c>
      <c r="G334" s="4">
        <f>IFERROR(INDEX('Date Key'!$I$2:$I$19, MATCH(B334,'Date Key'!$B$2:$B$19, 0)), "")</f>
        <v>6</v>
      </c>
      <c r="H334" s="4">
        <v>120</v>
      </c>
      <c r="I334" s="11">
        <v>0</v>
      </c>
      <c r="J334" s="11">
        <v>0.12189391636031954</v>
      </c>
      <c r="K334" s="11">
        <v>0.11867893392409072</v>
      </c>
      <c r="L334" s="11">
        <v>0.57349777714039862</v>
      </c>
      <c r="M334" s="11">
        <v>26.323447118074991</v>
      </c>
      <c r="N334" s="11">
        <v>0.24057285028441028</v>
      </c>
      <c r="O334" s="11"/>
      <c r="P334" s="11">
        <v>7.11</v>
      </c>
      <c r="Q334" s="11">
        <v>216.9421487603307</v>
      </c>
      <c r="R334" s="11">
        <v>35.73333333333332</v>
      </c>
      <c r="S334" s="11">
        <v>1.2240537240537239</v>
      </c>
      <c r="T334" s="4">
        <f t="shared" si="32"/>
        <v>2</v>
      </c>
      <c r="U334" s="4" t="str">
        <f>IFERROR(INDEX('Date Key'!$G$2:$G$19, MATCH(B334,'Date Key'!$B$2:$B$19, 0)), "")</f>
        <v>No</v>
      </c>
      <c r="V334" s="4" t="s">
        <v>9</v>
      </c>
      <c r="W334" s="4" t="s">
        <v>8</v>
      </c>
      <c r="X334" s="4">
        <f t="shared" si="30"/>
        <v>0.218</v>
      </c>
      <c r="Y334" s="4">
        <f t="shared" si="31"/>
        <v>2.5</v>
      </c>
    </row>
    <row r="335" spans="1:25" x14ac:dyDescent="0.35">
      <c r="A335" s="4">
        <v>16</v>
      </c>
      <c r="B335" s="41">
        <v>45371</v>
      </c>
      <c r="C335" s="4" t="s">
        <v>6</v>
      </c>
      <c r="D335" s="4">
        <v>19</v>
      </c>
      <c r="E335" s="4" t="s">
        <v>95</v>
      </c>
      <c r="F335" s="4" t="str">
        <f t="shared" si="33"/>
        <v>tank 2</v>
      </c>
      <c r="G335" s="4">
        <f>IFERROR(INDEX('Date Key'!$I$2:$I$19, MATCH(B335,'Date Key'!$B$2:$B$19, 0)), "")</f>
        <v>6</v>
      </c>
      <c r="H335" s="4">
        <v>150</v>
      </c>
      <c r="I335" s="11">
        <v>0</v>
      </c>
      <c r="J335" s="11">
        <v>0.33665938804278733</v>
      </c>
      <c r="K335" s="11">
        <v>0.46047426362547195</v>
      </c>
      <c r="L335" s="11">
        <v>0.58683493474831483</v>
      </c>
      <c r="M335" s="11">
        <v>49.709009513150527</v>
      </c>
      <c r="N335" s="11">
        <v>0.79713365166825922</v>
      </c>
      <c r="O335" s="11"/>
      <c r="P335" s="11">
        <v>7.07</v>
      </c>
      <c r="Q335" s="11">
        <v>190.67796610169498</v>
      </c>
      <c r="R335" s="11">
        <v>34.73333333333332</v>
      </c>
      <c r="S335" s="11">
        <v>1.1263736263736266</v>
      </c>
      <c r="T335" s="4">
        <f t="shared" si="32"/>
        <v>2</v>
      </c>
      <c r="U335" s="4" t="str">
        <f>IFERROR(INDEX('Date Key'!$G$2:$G$19, MATCH(B335,'Date Key'!$B$2:$B$19, 0)), "")</f>
        <v>No</v>
      </c>
      <c r="V335" s="4" t="s">
        <v>9</v>
      </c>
      <c r="W335" s="4" t="s">
        <v>8</v>
      </c>
      <c r="X335" s="4">
        <f t="shared" si="30"/>
        <v>0.218</v>
      </c>
      <c r="Y335" s="4">
        <f t="shared" si="31"/>
        <v>2.5</v>
      </c>
    </row>
    <row r="336" spans="1:25" x14ac:dyDescent="0.35">
      <c r="A336" s="4">
        <v>16</v>
      </c>
      <c r="B336" s="41">
        <v>45371</v>
      </c>
      <c r="C336" s="4" t="s">
        <v>6</v>
      </c>
      <c r="D336" s="4">
        <v>20</v>
      </c>
      <c r="E336" s="4" t="s">
        <v>91</v>
      </c>
      <c r="F336" s="4" t="str">
        <f t="shared" si="33"/>
        <v>tank 2</v>
      </c>
      <c r="G336" s="4">
        <f>IFERROR(INDEX('Date Key'!$I$2:$I$19, MATCH(B336,'Date Key'!$B$2:$B$19, 0)), "")</f>
        <v>6</v>
      </c>
      <c r="H336" s="4">
        <v>90</v>
      </c>
      <c r="I336" s="11">
        <v>0</v>
      </c>
      <c r="J336" s="11">
        <v>2.3217888830537055E-2</v>
      </c>
      <c r="K336" s="11">
        <v>0</v>
      </c>
      <c r="L336" s="11">
        <v>0.62684640757206367</v>
      </c>
      <c r="M336" s="11">
        <v>9.6698377168438707</v>
      </c>
      <c r="N336" s="11">
        <v>2.3217888830537055E-2</v>
      </c>
      <c r="O336" s="11"/>
      <c r="P336" s="11">
        <v>6.99</v>
      </c>
      <c r="Q336" s="11">
        <v>233.73983739837408</v>
      </c>
      <c r="R336" s="11">
        <v>39.399999999999991</v>
      </c>
      <c r="S336" s="11">
        <v>1.2484737484737485</v>
      </c>
      <c r="T336" s="4">
        <f t="shared" si="32"/>
        <v>2</v>
      </c>
      <c r="U336" s="4" t="str">
        <f>IFERROR(INDEX('Date Key'!$G$2:$G$19, MATCH(B336,'Date Key'!$B$2:$B$19, 0)), "")</f>
        <v>No</v>
      </c>
      <c r="V336" s="4" t="s">
        <v>9</v>
      </c>
      <c r="W336" s="4" t="s">
        <v>8</v>
      </c>
      <c r="X336" s="4">
        <f t="shared" si="30"/>
        <v>0.218</v>
      </c>
      <c r="Y336" s="4">
        <f t="shared" si="31"/>
        <v>2.5</v>
      </c>
    </row>
    <row r="337" spans="1:25" s="27" customFormat="1" x14ac:dyDescent="0.35">
      <c r="A337" s="27">
        <v>16</v>
      </c>
      <c r="B337" s="42">
        <v>45371</v>
      </c>
      <c r="C337" s="27" t="s">
        <v>6</v>
      </c>
      <c r="D337" s="27">
        <v>21</v>
      </c>
      <c r="E337" s="27" t="s">
        <v>220</v>
      </c>
      <c r="F337" s="27" t="str">
        <f t="shared" si="33"/>
        <v>tank 2</v>
      </c>
      <c r="G337" s="27">
        <f>IFERROR(INDEX('Date Key'!$I$2:$I$19, MATCH(B337,'Date Key'!$B$2:$B$19, 0)), "")</f>
        <v>6</v>
      </c>
      <c r="H337" s="27">
        <v>60</v>
      </c>
      <c r="I337" s="28">
        <v>0</v>
      </c>
      <c r="J337" s="28">
        <v>0</v>
      </c>
      <c r="K337" s="28">
        <v>0</v>
      </c>
      <c r="L337" s="28">
        <v>0.58683493474831483</v>
      </c>
      <c r="M337" s="28">
        <v>3.2400671516508113</v>
      </c>
      <c r="N337" s="28">
        <v>0</v>
      </c>
      <c r="O337" s="28"/>
      <c r="P337" s="28">
        <v>6.97</v>
      </c>
      <c r="Q337" s="28">
        <v>233.73983739837377</v>
      </c>
      <c r="R337" s="28">
        <v>40.733333333333327</v>
      </c>
      <c r="S337" s="28">
        <v>1.2545787545787546</v>
      </c>
      <c r="T337" s="27">
        <f t="shared" si="32"/>
        <v>2</v>
      </c>
      <c r="U337" s="27" t="str">
        <f>IFERROR(INDEX('Date Key'!$G$2:$G$19, MATCH(B337,'Date Key'!$B$2:$B$19, 0)), "")</f>
        <v>No</v>
      </c>
      <c r="V337" s="27" t="s">
        <v>9</v>
      </c>
      <c r="W337" s="27" t="s">
        <v>8</v>
      </c>
      <c r="X337" s="27">
        <f t="shared" si="30"/>
        <v>0.218</v>
      </c>
      <c r="Y337" s="27">
        <f t="shared" si="31"/>
        <v>2.5</v>
      </c>
    </row>
    <row r="338" spans="1:25" x14ac:dyDescent="0.35">
      <c r="A338" s="4">
        <v>17</v>
      </c>
      <c r="B338" s="41">
        <v>45392</v>
      </c>
      <c r="C338" s="4" t="s">
        <v>6</v>
      </c>
      <c r="D338" s="4">
        <v>1</v>
      </c>
      <c r="E338" s="4" t="s">
        <v>305</v>
      </c>
      <c r="F338" s="4" t="str">
        <f t="shared" si="33"/>
        <v>in</v>
      </c>
      <c r="G338" s="4">
        <f>IFERROR(INDEX('Date Key'!$I$2:$I$19, MATCH(B338,'Date Key'!$B$2:$B$19, 0)), "")</f>
        <v>6</v>
      </c>
      <c r="H338" s="4">
        <v>150</v>
      </c>
      <c r="I338" s="11">
        <v>0</v>
      </c>
      <c r="J338" s="11">
        <v>6.3849194283976909E-2</v>
      </c>
      <c r="K338" s="11">
        <v>10.723828469380836</v>
      </c>
      <c r="L338" s="11">
        <v>1.0669726086332996</v>
      </c>
      <c r="M338" s="11">
        <v>116.67599328483493</v>
      </c>
      <c r="N338" s="11">
        <v>10.787677663664812</v>
      </c>
      <c r="O338" s="11"/>
      <c r="P338" s="11">
        <v>7.96</v>
      </c>
      <c r="Q338" s="11">
        <v>153.50877192982455</v>
      </c>
      <c r="R338" s="11">
        <v>29.399999999999981</v>
      </c>
      <c r="S338" s="11">
        <v>2.0909645909645911</v>
      </c>
      <c r="T338" s="4">
        <f t="shared" si="32"/>
        <v>0</v>
      </c>
      <c r="U338" s="4" t="str">
        <f>IFERROR(INDEX('Date Key'!$G$2:$G$19, MATCH(B338,'Date Key'!$B$2:$B$19, 0)), "")</f>
        <v>No</v>
      </c>
      <c r="V338" s="4" t="s">
        <v>9</v>
      </c>
      <c r="W338" s="4" t="s">
        <v>8</v>
      </c>
      <c r="X338" s="4">
        <f t="shared" si="30"/>
        <v>0.218</v>
      </c>
      <c r="Y338" s="4">
        <f t="shared" si="31"/>
        <v>2.5</v>
      </c>
    </row>
    <row r="339" spans="1:25" x14ac:dyDescent="0.35">
      <c r="A339" s="4">
        <v>17</v>
      </c>
      <c r="B339" s="41">
        <v>45392</v>
      </c>
      <c r="C339" s="4" t="s">
        <v>6</v>
      </c>
      <c r="D339" s="4">
        <v>2</v>
      </c>
      <c r="E339" s="4" t="s">
        <v>306</v>
      </c>
      <c r="F339" s="4" t="str">
        <f t="shared" si="33"/>
        <v>in</v>
      </c>
      <c r="G339" s="4">
        <f>IFERROR(INDEX('Date Key'!$I$2:$I$19, MATCH(B339,'Date Key'!$B$2:$B$19, 0)), "")</f>
        <v>6</v>
      </c>
      <c r="H339" s="4">
        <v>120</v>
      </c>
      <c r="I339" s="11">
        <v>0</v>
      </c>
      <c r="J339" s="11">
        <v>6.9653666491611171E-2</v>
      </c>
      <c r="K339" s="11">
        <v>9.6889481655627634</v>
      </c>
      <c r="L339" s="11">
        <v>0.9336010325541374</v>
      </c>
      <c r="M339" s="11">
        <v>116.60884163402351</v>
      </c>
      <c r="N339" s="11">
        <v>9.7586018320543744</v>
      </c>
      <c r="O339" s="11"/>
      <c r="P339" s="11">
        <v>7.91</v>
      </c>
      <c r="Q339" s="11">
        <v>143.80530973451337</v>
      </c>
      <c r="R339" s="11">
        <v>28.066666666666645</v>
      </c>
      <c r="S339" s="11">
        <v>1.9810744810744811</v>
      </c>
      <c r="T339" s="4">
        <f t="shared" si="32"/>
        <v>0</v>
      </c>
      <c r="U339" s="4" t="str">
        <f>IFERROR(INDEX('Date Key'!$G$2:$G$19, MATCH(B339,'Date Key'!$B$2:$B$19, 0)), "")</f>
        <v>No</v>
      </c>
      <c r="V339" s="4" t="s">
        <v>9</v>
      </c>
      <c r="W339" s="4" t="s">
        <v>8</v>
      </c>
      <c r="X339" s="4">
        <f t="shared" ref="X339:X359" si="34">IFERROR(INDEX($AB$8:$AB$10, MATCH(C339, $AA$8:$AA$10, 0)), "")</f>
        <v>0.218</v>
      </c>
      <c r="Y339" s="4">
        <f t="shared" ref="Y339:Y379" si="35">IFERROR(INDEX($AC$8:$AC$10, MATCH(C339, $AA$8:$AA$10, 0)), "")</f>
        <v>2.5</v>
      </c>
    </row>
    <row r="340" spans="1:25" x14ac:dyDescent="0.35">
      <c r="A340" s="4">
        <v>17</v>
      </c>
      <c r="B340" s="41">
        <v>45392</v>
      </c>
      <c r="C340" s="4" t="s">
        <v>6</v>
      </c>
      <c r="D340" s="4">
        <v>3</v>
      </c>
      <c r="E340" s="4" t="s">
        <v>307</v>
      </c>
      <c r="F340" s="4" t="str">
        <f t="shared" si="33"/>
        <v>in</v>
      </c>
      <c r="G340" s="4">
        <f>IFERROR(INDEX('Date Key'!$I$2:$I$19, MATCH(B340,'Date Key'!$B$2:$B$19, 0)), "")</f>
        <v>6</v>
      </c>
      <c r="H340" s="4">
        <v>30</v>
      </c>
      <c r="I340" s="11">
        <v>0</v>
      </c>
      <c r="J340" s="11">
        <v>8.1262610906879695E-2</v>
      </c>
      <c r="K340" s="11">
        <v>7.9324999434862224</v>
      </c>
      <c r="L340" s="11">
        <v>0.58683493474831483</v>
      </c>
      <c r="M340" s="11">
        <v>126.93340794627868</v>
      </c>
      <c r="N340" s="11">
        <v>8.0137625543931019</v>
      </c>
      <c r="O340" s="11"/>
      <c r="P340" s="11">
        <v>8.48</v>
      </c>
      <c r="Q340" s="11">
        <v>128.92376681614354</v>
      </c>
      <c r="R340" s="11">
        <v>27.399999999999981</v>
      </c>
      <c r="S340" s="11">
        <v>0.98595848595848601</v>
      </c>
      <c r="T340" s="4">
        <f t="shared" si="32"/>
        <v>0</v>
      </c>
      <c r="U340" s="4" t="str">
        <f>IFERROR(INDEX('Date Key'!$G$2:$G$19, MATCH(B340,'Date Key'!$B$2:$B$19, 0)), "")</f>
        <v>No</v>
      </c>
      <c r="V340" s="4" t="s">
        <v>9</v>
      </c>
      <c r="W340" s="4" t="s">
        <v>8</v>
      </c>
      <c r="X340" s="4">
        <f t="shared" si="34"/>
        <v>0.218</v>
      </c>
      <c r="Y340" s="4">
        <f t="shared" si="35"/>
        <v>2.5</v>
      </c>
    </row>
    <row r="341" spans="1:25" x14ac:dyDescent="0.35">
      <c r="A341" s="4">
        <v>17</v>
      </c>
      <c r="B341" s="41">
        <v>45392</v>
      </c>
      <c r="C341" s="4" t="s">
        <v>6</v>
      </c>
      <c r="D341" s="4">
        <v>4</v>
      </c>
      <c r="E341" s="4" t="s">
        <v>308</v>
      </c>
      <c r="F341" s="4" t="str">
        <f t="shared" si="33"/>
        <v>in</v>
      </c>
      <c r="G341" s="4">
        <f>IFERROR(INDEX('Date Key'!$I$2:$I$19, MATCH(B341,'Date Key'!$B$2:$B$19, 0)), "")</f>
        <v>6</v>
      </c>
      <c r="H341" s="4">
        <v>60</v>
      </c>
      <c r="I341" s="11">
        <v>0</v>
      </c>
      <c r="J341" s="11">
        <v>8.1262610906879695E-2</v>
      </c>
      <c r="K341" s="11">
        <v>6.821665121956733</v>
      </c>
      <c r="L341" s="11">
        <v>0.66685788039581251</v>
      </c>
      <c r="M341" s="11">
        <v>109.97761611639619</v>
      </c>
      <c r="N341" s="11">
        <v>6.9029277328636125</v>
      </c>
      <c r="O341" s="11"/>
      <c r="P341" s="11">
        <v>8.2799999999999994</v>
      </c>
      <c r="Q341" s="11">
        <v>128.92376681614354</v>
      </c>
      <c r="R341" s="11">
        <v>28.066666666666645</v>
      </c>
      <c r="S341" s="11">
        <v>1.1996336996336996</v>
      </c>
      <c r="T341" s="4">
        <f t="shared" si="32"/>
        <v>0</v>
      </c>
      <c r="U341" s="4" t="str">
        <f>IFERROR(INDEX('Date Key'!$G$2:$G$19, MATCH(B341,'Date Key'!$B$2:$B$19, 0)), "")</f>
        <v>No</v>
      </c>
      <c r="V341" s="4" t="s">
        <v>9</v>
      </c>
      <c r="W341" s="4" t="s">
        <v>8</v>
      </c>
      <c r="X341" s="4">
        <f t="shared" si="34"/>
        <v>0.218</v>
      </c>
      <c r="Y341" s="4">
        <f t="shared" si="35"/>
        <v>2.5</v>
      </c>
    </row>
    <row r="342" spans="1:25" x14ac:dyDescent="0.35">
      <c r="A342" s="4">
        <v>17</v>
      </c>
      <c r="B342" s="41">
        <v>45392</v>
      </c>
      <c r="C342" s="4" t="s">
        <v>6</v>
      </c>
      <c r="D342" s="4">
        <v>5</v>
      </c>
      <c r="E342" s="4" t="s">
        <v>309</v>
      </c>
      <c r="F342" s="4" t="str">
        <f t="shared" si="33"/>
        <v>in</v>
      </c>
      <c r="G342" s="4">
        <f>IFERROR(INDEX('Date Key'!$I$2:$I$19, MATCH(B342,'Date Key'!$B$2:$B$19, 0)), "")</f>
        <v>6</v>
      </c>
      <c r="H342" s="4">
        <v>0</v>
      </c>
      <c r="I342" s="11">
        <v>0</v>
      </c>
      <c r="J342" s="11">
        <v>8.7067083114513957E-2</v>
      </c>
      <c r="K342" s="11">
        <v>5.7250717724981346</v>
      </c>
      <c r="L342" s="11">
        <v>0.42678904345331992</v>
      </c>
      <c r="M342" s="11">
        <v>138.66815892557361</v>
      </c>
      <c r="N342" s="11">
        <v>5.8121388556126483</v>
      </c>
      <c r="O342" s="11"/>
      <c r="P342" s="11">
        <v>8.4</v>
      </c>
      <c r="Q342" s="11">
        <v>123.87387387387386</v>
      </c>
      <c r="R342" s="11">
        <v>32.399999999999984</v>
      </c>
      <c r="S342" s="11">
        <v>0.63186813186813195</v>
      </c>
      <c r="T342" s="4">
        <f t="shared" si="32"/>
        <v>0</v>
      </c>
      <c r="U342" s="4" t="str">
        <f>IFERROR(INDEX('Date Key'!$G$2:$G$19, MATCH(B342,'Date Key'!$B$2:$B$19, 0)), "")</f>
        <v>No</v>
      </c>
      <c r="V342" s="4" t="s">
        <v>9</v>
      </c>
      <c r="W342" s="4" t="s">
        <v>8</v>
      </c>
      <c r="X342" s="4">
        <f t="shared" si="34"/>
        <v>0.218</v>
      </c>
      <c r="Y342" s="4">
        <f t="shared" si="35"/>
        <v>2.5</v>
      </c>
    </row>
    <row r="343" spans="1:25" x14ac:dyDescent="0.35">
      <c r="A343" s="4">
        <v>17</v>
      </c>
      <c r="B343" s="41">
        <v>45392</v>
      </c>
      <c r="C343" s="4" t="s">
        <v>6</v>
      </c>
      <c r="D343" s="4">
        <v>6</v>
      </c>
      <c r="E343" s="4" t="s">
        <v>310</v>
      </c>
      <c r="F343" s="4" t="str">
        <f t="shared" si="33"/>
        <v>in</v>
      </c>
      <c r="G343" s="4">
        <f>IFERROR(INDEX('Date Key'!$I$2:$I$19, MATCH(B343,'Date Key'!$B$2:$B$19, 0)), "")</f>
        <v>6</v>
      </c>
      <c r="H343" s="4">
        <v>90</v>
      </c>
      <c r="I343" s="11">
        <v>0</v>
      </c>
      <c r="J343" s="11">
        <v>8.1262610906879695E-2</v>
      </c>
      <c r="K343" s="11">
        <v>7.6856477609241143</v>
      </c>
      <c r="L343" s="11">
        <v>0.82690377169080742</v>
      </c>
      <c r="M343" s="11">
        <v>112.61331841074428</v>
      </c>
      <c r="N343" s="11">
        <v>7.7669103718309938</v>
      </c>
      <c r="O343" s="11"/>
      <c r="P343" s="11">
        <v>8.09</v>
      </c>
      <c r="Q343" s="11">
        <v>123.87387387387386</v>
      </c>
      <c r="R343" s="11">
        <v>28.066666666666645</v>
      </c>
      <c r="S343" s="11">
        <v>1.4438339438339438</v>
      </c>
      <c r="T343" s="4">
        <f t="shared" si="32"/>
        <v>0</v>
      </c>
      <c r="U343" s="4" t="str">
        <f>IFERROR(INDEX('Date Key'!$G$2:$G$19, MATCH(B343,'Date Key'!$B$2:$B$19, 0)), "")</f>
        <v>No</v>
      </c>
      <c r="V343" s="4" t="s">
        <v>9</v>
      </c>
      <c r="W343" s="4" t="s">
        <v>8</v>
      </c>
      <c r="X343" s="4">
        <f t="shared" si="34"/>
        <v>0.218</v>
      </c>
      <c r="Y343" s="4">
        <f t="shared" si="35"/>
        <v>2.5</v>
      </c>
    </row>
    <row r="344" spans="1:25" x14ac:dyDescent="0.35">
      <c r="A344" s="4">
        <v>17</v>
      </c>
      <c r="B344" s="41">
        <v>45392</v>
      </c>
      <c r="C344" s="4" t="s">
        <v>6</v>
      </c>
      <c r="D344" s="4">
        <v>7</v>
      </c>
      <c r="E344" s="4" t="s">
        <v>311</v>
      </c>
      <c r="F344" s="4" t="str">
        <f t="shared" si="33"/>
        <v>in</v>
      </c>
      <c r="G344" s="4">
        <f>IFERROR(INDEX('Date Key'!$I$2:$I$19, MATCH(B344,'Date Key'!$B$2:$B$19, 0)), "")</f>
        <v>6</v>
      </c>
      <c r="H344" s="4">
        <v>180</v>
      </c>
      <c r="I344" s="11">
        <v>0</v>
      </c>
      <c r="J344" s="11">
        <v>8.7067083114513957E-2</v>
      </c>
      <c r="K344" s="11">
        <v>11.355200397856997</v>
      </c>
      <c r="L344" s="11">
        <v>1.2670299727520435</v>
      </c>
      <c r="M344" s="11">
        <v>119.02630106323447</v>
      </c>
      <c r="N344" s="11">
        <v>11.442267480971511</v>
      </c>
      <c r="O344" s="11"/>
      <c r="P344" s="11">
        <v>7.86</v>
      </c>
      <c r="Q344" s="11">
        <v>143.80530973451317</v>
      </c>
      <c r="R344" s="11">
        <v>28.733333333333313</v>
      </c>
      <c r="S344" s="11">
        <v>2.1459096459096463</v>
      </c>
      <c r="T344" s="4">
        <f t="shared" si="32"/>
        <v>0</v>
      </c>
      <c r="U344" s="4" t="str">
        <f>IFERROR(INDEX('Date Key'!$G$2:$G$19, MATCH(B344,'Date Key'!$B$2:$B$19, 0)), "")</f>
        <v>No</v>
      </c>
      <c r="V344" s="4" t="s">
        <v>9</v>
      </c>
      <c r="W344" s="4" t="s">
        <v>8</v>
      </c>
      <c r="X344" s="4">
        <f t="shared" si="34"/>
        <v>0.218</v>
      </c>
      <c r="Y344" s="4">
        <f t="shared" si="35"/>
        <v>2.5</v>
      </c>
    </row>
    <row r="345" spans="1:25" x14ac:dyDescent="0.35">
      <c r="A345" s="4">
        <v>17</v>
      </c>
      <c r="B345" s="41">
        <v>45392</v>
      </c>
      <c r="C345" s="4" t="s">
        <v>6</v>
      </c>
      <c r="D345" s="4">
        <v>8</v>
      </c>
      <c r="E345" s="4" t="s">
        <v>409</v>
      </c>
      <c r="F345" s="4" t="str">
        <f t="shared" si="33"/>
        <v>tank 1</v>
      </c>
      <c r="G345" s="4">
        <f>IFERROR(INDEX('Date Key'!$I$2:$I$19, MATCH(B345,'Date Key'!$B$2:$B$19, 0)), "")</f>
        <v>6</v>
      </c>
      <c r="H345" s="4">
        <v>60</v>
      </c>
      <c r="I345" s="11">
        <v>0</v>
      </c>
      <c r="J345" s="11">
        <v>2.3217888830537055E-2</v>
      </c>
      <c r="K345" s="11">
        <v>5.2218730926599913E-2</v>
      </c>
      <c r="L345" s="11">
        <v>0.3467660978058224</v>
      </c>
      <c r="M345" s="11">
        <v>7.9238947957470618</v>
      </c>
      <c r="N345" s="11">
        <v>7.5436619757136975E-2</v>
      </c>
      <c r="O345" s="11"/>
      <c r="P345" s="11">
        <v>6.9</v>
      </c>
      <c r="Q345" s="11">
        <v>229.59183673469389</v>
      </c>
      <c r="R345" s="11">
        <v>30.066666666666649</v>
      </c>
      <c r="S345" s="11">
        <v>0.47924297924297915</v>
      </c>
      <c r="T345" s="4">
        <f t="shared" si="32"/>
        <v>1</v>
      </c>
      <c r="U345" s="4" t="str">
        <f>IFERROR(INDEX('Date Key'!$G$2:$G$19, MATCH(B345,'Date Key'!$B$2:$B$19, 0)), "")</f>
        <v>No</v>
      </c>
      <c r="V345" s="4" t="s">
        <v>9</v>
      </c>
      <c r="W345" s="4" t="s">
        <v>8</v>
      </c>
      <c r="X345" s="4">
        <f t="shared" si="34"/>
        <v>0.218</v>
      </c>
      <c r="Y345" s="4">
        <f t="shared" si="35"/>
        <v>2.5</v>
      </c>
    </row>
    <row r="346" spans="1:25" x14ac:dyDescent="0.35">
      <c r="A346" s="4">
        <v>17</v>
      </c>
      <c r="B346" s="41">
        <v>45392</v>
      </c>
      <c r="C346" s="4" t="s">
        <v>6</v>
      </c>
      <c r="D346" s="4">
        <v>9</v>
      </c>
      <c r="E346" s="4" t="s">
        <v>410</v>
      </c>
      <c r="F346" s="4" t="str">
        <f t="shared" si="33"/>
        <v>tank 1</v>
      </c>
      <c r="G346" s="4">
        <f>IFERROR(INDEX('Date Key'!$I$2:$I$19, MATCH(B346,'Date Key'!$B$2:$B$19, 0)), "")</f>
        <v>6</v>
      </c>
      <c r="H346" s="4">
        <v>0</v>
      </c>
      <c r="I346" s="11">
        <v>0</v>
      </c>
      <c r="J346" s="11">
        <v>1.1608944415268527E-2</v>
      </c>
      <c r="K346" s="11">
        <v>0</v>
      </c>
      <c r="L346" s="11">
        <v>0.30675462498207368</v>
      </c>
      <c r="M346" s="11">
        <v>5.1538891997761613</v>
      </c>
      <c r="N346" s="11">
        <v>1.1608944415268527E-2</v>
      </c>
      <c r="O346" s="11"/>
      <c r="P346" s="11">
        <v>6.96</v>
      </c>
      <c r="Q346" s="11">
        <v>241.93548387096791</v>
      </c>
      <c r="R346" s="11">
        <v>29.733333333333313</v>
      </c>
      <c r="S346" s="11">
        <v>0.46092796092796101</v>
      </c>
      <c r="T346" s="4">
        <f t="shared" si="32"/>
        <v>1</v>
      </c>
      <c r="U346" s="4" t="str">
        <f>IFERROR(INDEX('Date Key'!$G$2:$G$19, MATCH(B346,'Date Key'!$B$2:$B$19, 0)), "")</f>
        <v>No</v>
      </c>
      <c r="V346" s="4" t="s">
        <v>9</v>
      </c>
      <c r="W346" s="4" t="s">
        <v>8</v>
      </c>
      <c r="X346" s="4">
        <f t="shared" si="34"/>
        <v>0.218</v>
      </c>
      <c r="Y346" s="4">
        <f t="shared" si="35"/>
        <v>2.5</v>
      </c>
    </row>
    <row r="347" spans="1:25" x14ac:dyDescent="0.35">
      <c r="A347" s="4">
        <v>17</v>
      </c>
      <c r="B347" s="41">
        <v>45392</v>
      </c>
      <c r="C347" s="4" t="s">
        <v>6</v>
      </c>
      <c r="D347" s="4">
        <v>10</v>
      </c>
      <c r="E347" s="4" t="s">
        <v>411</v>
      </c>
      <c r="F347" s="4" t="str">
        <f t="shared" si="33"/>
        <v>tank 1</v>
      </c>
      <c r="G347" s="4">
        <f>IFERROR(INDEX('Date Key'!$I$2:$I$19, MATCH(B347,'Date Key'!$B$2:$B$19, 0)), "")</f>
        <v>6</v>
      </c>
      <c r="H347" s="4">
        <v>30</v>
      </c>
      <c r="I347" s="11">
        <v>0</v>
      </c>
      <c r="J347" s="11">
        <v>0</v>
      </c>
      <c r="K347" s="11">
        <v>0</v>
      </c>
      <c r="L347" s="11">
        <v>0.32009178258998999</v>
      </c>
      <c r="M347" s="11">
        <v>5.3385562395075548</v>
      </c>
      <c r="N347" s="11">
        <v>0</v>
      </c>
      <c r="O347" s="11"/>
      <c r="P347" s="11">
        <v>6.94</v>
      </c>
      <c r="Q347" s="11">
        <v>233.73983739837408</v>
      </c>
      <c r="R347" s="11">
        <v>31.066666666666649</v>
      </c>
      <c r="S347" s="11">
        <v>0.38156288156288154</v>
      </c>
      <c r="T347" s="4">
        <f t="shared" si="32"/>
        <v>1</v>
      </c>
      <c r="U347" s="4" t="str">
        <f>IFERROR(INDEX('Date Key'!$G$2:$G$19, MATCH(B347,'Date Key'!$B$2:$B$19, 0)), "")</f>
        <v>No</v>
      </c>
      <c r="V347" s="4" t="s">
        <v>9</v>
      </c>
      <c r="W347" s="4" t="s">
        <v>8</v>
      </c>
      <c r="X347" s="4">
        <f t="shared" si="34"/>
        <v>0.218</v>
      </c>
      <c r="Y347" s="4">
        <f t="shared" si="35"/>
        <v>2.5</v>
      </c>
    </row>
    <row r="348" spans="1:25" x14ac:dyDescent="0.35">
      <c r="A348" s="4">
        <v>17</v>
      </c>
      <c r="B348" s="41">
        <v>45392</v>
      </c>
      <c r="C348" s="4" t="s">
        <v>6</v>
      </c>
      <c r="D348" s="4">
        <v>11</v>
      </c>
      <c r="E348" s="4" t="s">
        <v>412</v>
      </c>
      <c r="F348" s="4" t="str">
        <f t="shared" si="33"/>
        <v>tank 1</v>
      </c>
      <c r="G348" s="4">
        <f>IFERROR(INDEX('Date Key'!$I$2:$I$19, MATCH(B348,'Date Key'!$B$2:$B$19, 0)), "")</f>
        <v>6</v>
      </c>
      <c r="H348" s="4">
        <v>120</v>
      </c>
      <c r="I348" s="11">
        <v>0</v>
      </c>
      <c r="J348" s="11">
        <v>0.31924597141988448</v>
      </c>
      <c r="K348" s="11">
        <v>0.60288898433438087</v>
      </c>
      <c r="L348" s="11">
        <v>0.32009178258998999</v>
      </c>
      <c r="M348" s="11">
        <v>49.104644655847785</v>
      </c>
      <c r="N348" s="11">
        <v>0.9221349557542653</v>
      </c>
      <c r="O348" s="11"/>
      <c r="P348" s="11">
        <v>6.87</v>
      </c>
      <c r="Q348" s="11">
        <v>208.33333333333334</v>
      </c>
      <c r="R348" s="11">
        <v>26.733333333333313</v>
      </c>
      <c r="S348" s="11">
        <v>0.50976800976800973</v>
      </c>
      <c r="T348" s="4">
        <f t="shared" si="32"/>
        <v>1</v>
      </c>
      <c r="U348" s="4" t="str">
        <f>IFERROR(INDEX('Date Key'!$G$2:$G$19, MATCH(B348,'Date Key'!$B$2:$B$19, 0)), "")</f>
        <v>No</v>
      </c>
      <c r="V348" s="4" t="s">
        <v>9</v>
      </c>
      <c r="W348" s="4" t="s">
        <v>8</v>
      </c>
      <c r="X348" s="4">
        <f t="shared" si="34"/>
        <v>0.218</v>
      </c>
      <c r="Y348" s="4">
        <f t="shared" si="35"/>
        <v>2.5</v>
      </c>
    </row>
    <row r="349" spans="1:25" x14ac:dyDescent="0.35">
      <c r="A349" s="4">
        <v>17</v>
      </c>
      <c r="B349" s="41">
        <v>45392</v>
      </c>
      <c r="C349" s="4" t="s">
        <v>6</v>
      </c>
      <c r="D349" s="4">
        <v>12</v>
      </c>
      <c r="E349" s="4" t="s">
        <v>413</v>
      </c>
      <c r="F349" s="4" t="str">
        <f t="shared" si="33"/>
        <v>tank 1</v>
      </c>
      <c r="G349" s="4">
        <f>IFERROR(INDEX('Date Key'!$I$2:$I$19, MATCH(B349,'Date Key'!$B$2:$B$19, 0)), "")</f>
        <v>6</v>
      </c>
      <c r="H349" s="4">
        <v>180</v>
      </c>
      <c r="I349" s="11">
        <v>0</v>
      </c>
      <c r="J349" s="11">
        <v>0.69653666491611166</v>
      </c>
      <c r="K349" s="11">
        <v>2.9717205054592313</v>
      </c>
      <c r="L349" s="11">
        <v>0.4668005162770687</v>
      </c>
      <c r="M349" s="11">
        <v>88.455512031337435</v>
      </c>
      <c r="N349" s="11">
        <v>3.6682571703753428</v>
      </c>
      <c r="O349" s="11"/>
      <c r="P349" s="11">
        <v>6.87</v>
      </c>
      <c r="Q349" s="11">
        <v>172.4137931034484</v>
      </c>
      <c r="R349" s="11">
        <v>28.066666666666645</v>
      </c>
      <c r="S349" s="11">
        <v>0.78449328449328448</v>
      </c>
      <c r="T349" s="4">
        <f t="shared" si="32"/>
        <v>1</v>
      </c>
      <c r="U349" s="4" t="str">
        <f>IFERROR(INDEX('Date Key'!$G$2:$G$19, MATCH(B349,'Date Key'!$B$2:$B$19, 0)), "")</f>
        <v>No</v>
      </c>
      <c r="V349" s="4" t="s">
        <v>9</v>
      </c>
      <c r="W349" s="4" t="s">
        <v>8</v>
      </c>
      <c r="X349" s="4">
        <f t="shared" si="34"/>
        <v>0.218</v>
      </c>
      <c r="Y349" s="4">
        <f t="shared" si="35"/>
        <v>2.5</v>
      </c>
    </row>
    <row r="350" spans="1:25" x14ac:dyDescent="0.35">
      <c r="A350" s="4">
        <v>17</v>
      </c>
      <c r="B350" s="41">
        <v>45392</v>
      </c>
      <c r="C350" s="4" t="s">
        <v>6</v>
      </c>
      <c r="D350" s="4">
        <v>13</v>
      </c>
      <c r="E350" s="4" t="s">
        <v>414</v>
      </c>
      <c r="F350" s="4" t="str">
        <f t="shared" si="33"/>
        <v>tank 1</v>
      </c>
      <c r="G350" s="4">
        <f>IFERROR(INDEX('Date Key'!$I$2:$I$19, MATCH(B350,'Date Key'!$B$2:$B$19, 0)), "")</f>
        <v>6</v>
      </c>
      <c r="H350" s="4">
        <v>90</v>
      </c>
      <c r="I350" s="11">
        <v>0</v>
      </c>
      <c r="J350" s="11">
        <v>1.7413416622902793E-2</v>
      </c>
      <c r="K350" s="11">
        <v>0</v>
      </c>
      <c r="L350" s="11">
        <v>0.3467660978058224</v>
      </c>
      <c r="M350" s="11">
        <v>11.701175153889199</v>
      </c>
      <c r="N350" s="11">
        <v>1.7413416622902793E-2</v>
      </c>
      <c r="O350" s="11"/>
      <c r="P350" s="11">
        <v>6.93</v>
      </c>
      <c r="Q350" s="11">
        <v>229.59183673469389</v>
      </c>
      <c r="R350" s="11">
        <v>28.066666666666645</v>
      </c>
      <c r="S350" s="11">
        <v>0.47313797313797307</v>
      </c>
      <c r="T350" s="4">
        <f t="shared" si="32"/>
        <v>1</v>
      </c>
      <c r="U350" s="4" t="str">
        <f>IFERROR(INDEX('Date Key'!$G$2:$G$19, MATCH(B350,'Date Key'!$B$2:$B$19, 0)), "")</f>
        <v>No</v>
      </c>
      <c r="V350" s="4" t="s">
        <v>9</v>
      </c>
      <c r="W350" s="4" t="s">
        <v>8</v>
      </c>
      <c r="X350" s="4">
        <f t="shared" si="34"/>
        <v>0.218</v>
      </c>
      <c r="Y350" s="4">
        <f t="shared" si="35"/>
        <v>2.5</v>
      </c>
    </row>
    <row r="351" spans="1:25" x14ac:dyDescent="0.35">
      <c r="A351" s="4">
        <v>17</v>
      </c>
      <c r="B351" s="41">
        <v>45392</v>
      </c>
      <c r="C351" s="4" t="s">
        <v>6</v>
      </c>
      <c r="D351" s="4">
        <v>14</v>
      </c>
      <c r="E351" s="4" t="s">
        <v>415</v>
      </c>
      <c r="F351" s="4" t="str">
        <f t="shared" si="33"/>
        <v>tank 1</v>
      </c>
      <c r="G351" s="4">
        <f>IFERROR(INDEX('Date Key'!$I$2:$I$19, MATCH(B351,'Date Key'!$B$2:$B$19, 0)), "")</f>
        <v>6</v>
      </c>
      <c r="H351" s="4">
        <v>150</v>
      </c>
      <c r="I351" s="11">
        <v>0</v>
      </c>
      <c r="J351" s="11">
        <v>0.52820697089471802</v>
      </c>
      <c r="K351" s="11">
        <v>1.9368402016411601</v>
      </c>
      <c r="L351" s="11">
        <v>0.40011472823748739</v>
      </c>
      <c r="M351" s="11">
        <v>73.984331281477338</v>
      </c>
      <c r="N351" s="11">
        <v>2.4650471725358782</v>
      </c>
      <c r="O351" s="11"/>
      <c r="P351" s="11">
        <v>6.96</v>
      </c>
      <c r="Q351" s="11">
        <v>172.41379310344831</v>
      </c>
      <c r="R351" s="11">
        <v>24.399999999999977</v>
      </c>
      <c r="S351" s="11">
        <v>0.6868131868131867</v>
      </c>
      <c r="T351" s="4">
        <f t="shared" si="32"/>
        <v>1</v>
      </c>
      <c r="U351" s="4" t="str">
        <f>IFERROR(INDEX('Date Key'!$G$2:$G$19, MATCH(B351,'Date Key'!$B$2:$B$19, 0)), "")</f>
        <v>No</v>
      </c>
      <c r="V351" s="4" t="s">
        <v>9</v>
      </c>
      <c r="W351" s="4" t="s">
        <v>8</v>
      </c>
      <c r="X351" s="4">
        <f t="shared" si="34"/>
        <v>0.218</v>
      </c>
      <c r="Y351" s="4">
        <f t="shared" si="35"/>
        <v>2.5</v>
      </c>
    </row>
    <row r="352" spans="1:25" x14ac:dyDescent="0.35">
      <c r="A352" s="4">
        <v>17</v>
      </c>
      <c r="B352" s="41">
        <v>45392</v>
      </c>
      <c r="C352" s="4" t="s">
        <v>6</v>
      </c>
      <c r="D352" s="4">
        <v>15</v>
      </c>
      <c r="E352" s="4" t="s">
        <v>416</v>
      </c>
      <c r="F352" s="4" t="str">
        <f t="shared" si="33"/>
        <v>tank 2</v>
      </c>
      <c r="G352" s="4">
        <f>IFERROR(INDEX('Date Key'!$I$2:$I$19, MATCH(B352,'Date Key'!$B$2:$B$19, 0)), "")</f>
        <v>6</v>
      </c>
      <c r="H352" s="4">
        <v>180</v>
      </c>
      <c r="I352" s="11">
        <v>0</v>
      </c>
      <c r="J352" s="11">
        <v>0.66170983167030595</v>
      </c>
      <c r="K352" s="11">
        <v>4.0066008092773027</v>
      </c>
      <c r="L352" s="11">
        <v>0.5468234619245661</v>
      </c>
      <c r="M352" s="11">
        <v>95.388919977616112</v>
      </c>
      <c r="N352" s="11">
        <v>4.6683106409476087</v>
      </c>
      <c r="O352" s="11"/>
      <c r="P352" s="11">
        <v>6.96</v>
      </c>
      <c r="Q352" s="11">
        <v>163.04347826086959</v>
      </c>
      <c r="R352" s="11">
        <v>26.066666666666645</v>
      </c>
      <c r="S352" s="11">
        <v>0.89438339438339431</v>
      </c>
      <c r="T352" s="4">
        <f t="shared" si="32"/>
        <v>2</v>
      </c>
      <c r="U352" s="4" t="str">
        <f>IFERROR(INDEX('Date Key'!$G$2:$G$19, MATCH(B352,'Date Key'!$B$2:$B$19, 0)), "")</f>
        <v>No</v>
      </c>
      <c r="V352" s="4" t="s">
        <v>9</v>
      </c>
      <c r="W352" s="4" t="s">
        <v>8</v>
      </c>
      <c r="X352" s="4">
        <f t="shared" si="34"/>
        <v>0.218</v>
      </c>
      <c r="Y352" s="4">
        <f t="shared" si="35"/>
        <v>2.5</v>
      </c>
    </row>
    <row r="353" spans="1:25" x14ac:dyDescent="0.35">
      <c r="A353" s="4">
        <v>17</v>
      </c>
      <c r="B353" s="41">
        <v>45392</v>
      </c>
      <c r="C353" s="4" t="s">
        <v>6</v>
      </c>
      <c r="D353" s="4">
        <v>16</v>
      </c>
      <c r="E353" s="4" t="s">
        <v>417</v>
      </c>
      <c r="F353" s="4" t="str">
        <f t="shared" si="33"/>
        <v>tank 2</v>
      </c>
      <c r="G353" s="4">
        <f>IFERROR(INDEX('Date Key'!$I$2:$I$19, MATCH(B353,'Date Key'!$B$2:$B$19, 0)), "")</f>
        <v>6</v>
      </c>
      <c r="H353" s="4">
        <v>0</v>
      </c>
      <c r="I353" s="11">
        <v>0</v>
      </c>
      <c r="J353" s="11">
        <v>3.4826833245805586E-2</v>
      </c>
      <c r="K353" s="11">
        <v>4.7471573569636279E-2</v>
      </c>
      <c r="L353" s="11">
        <v>0.69353219561164481</v>
      </c>
      <c r="M353" s="11">
        <v>6.3122551762730845</v>
      </c>
      <c r="N353" s="11">
        <v>8.2298406815441871E-2</v>
      </c>
      <c r="O353" s="11"/>
      <c r="P353" s="11">
        <v>6.94</v>
      </c>
      <c r="Q353" s="11">
        <v>225.40983606557381</v>
      </c>
      <c r="R353" s="11">
        <v>34.73333333333332</v>
      </c>
      <c r="S353" s="11">
        <v>1.169108669108669</v>
      </c>
      <c r="T353" s="4">
        <f t="shared" si="32"/>
        <v>2</v>
      </c>
      <c r="U353" s="4" t="str">
        <f>IFERROR(INDEX('Date Key'!$G$2:$G$19, MATCH(B353,'Date Key'!$B$2:$B$19, 0)), "")</f>
        <v>No</v>
      </c>
      <c r="V353" s="4" t="s">
        <v>9</v>
      </c>
      <c r="W353" s="4" t="s">
        <v>8</v>
      </c>
      <c r="X353" s="4">
        <f t="shared" si="34"/>
        <v>0.218</v>
      </c>
      <c r="Y353" s="4">
        <f t="shared" si="35"/>
        <v>2.5</v>
      </c>
    </row>
    <row r="354" spans="1:25" x14ac:dyDescent="0.35">
      <c r="A354" s="4">
        <v>17</v>
      </c>
      <c r="B354" s="41">
        <v>45392</v>
      </c>
      <c r="C354" s="4" t="s">
        <v>6</v>
      </c>
      <c r="D354" s="4">
        <v>17</v>
      </c>
      <c r="E354" s="4" t="s">
        <v>418</v>
      </c>
      <c r="F354" s="4" t="str">
        <f t="shared" si="33"/>
        <v>tank 2</v>
      </c>
      <c r="G354" s="4">
        <f>IFERROR(INDEX('Date Key'!$I$2:$I$19, MATCH(B354,'Date Key'!$B$2:$B$19, 0)), "")</f>
        <v>6</v>
      </c>
      <c r="H354" s="4">
        <v>150</v>
      </c>
      <c r="I354" s="11">
        <v>0</v>
      </c>
      <c r="J354" s="11">
        <v>0.53981591530998652</v>
      </c>
      <c r="K354" s="11">
        <v>2.5302348712616136</v>
      </c>
      <c r="L354" s="11">
        <v>0.57349777714039862</v>
      </c>
      <c r="M354" s="11">
        <v>77.996642417459427</v>
      </c>
      <c r="N354" s="11">
        <v>3.0700507865716</v>
      </c>
      <c r="O354" s="11"/>
      <c r="P354" s="11">
        <v>6.99</v>
      </c>
      <c r="Q354" s="11">
        <v>148.67841409691627</v>
      </c>
      <c r="R354" s="11">
        <v>26.399999999999977</v>
      </c>
      <c r="S354" s="11">
        <v>0.90659340659340659</v>
      </c>
      <c r="T354" s="4">
        <f t="shared" si="32"/>
        <v>2</v>
      </c>
      <c r="U354" s="4" t="str">
        <f>IFERROR(INDEX('Date Key'!$G$2:$G$19, MATCH(B354,'Date Key'!$B$2:$B$19, 0)), "")</f>
        <v>No</v>
      </c>
      <c r="V354" s="4" t="s">
        <v>9</v>
      </c>
      <c r="W354" s="4" t="s">
        <v>8</v>
      </c>
      <c r="X354" s="4">
        <f t="shared" si="34"/>
        <v>0.218</v>
      </c>
      <c r="Y354" s="4">
        <f t="shared" si="35"/>
        <v>2.5</v>
      </c>
    </row>
    <row r="355" spans="1:25" x14ac:dyDescent="0.35">
      <c r="A355" s="4">
        <v>17</v>
      </c>
      <c r="B355" s="41">
        <v>45392</v>
      </c>
      <c r="C355" s="4" t="s">
        <v>6</v>
      </c>
      <c r="D355" s="4">
        <v>18</v>
      </c>
      <c r="E355" s="4" t="s">
        <v>419</v>
      </c>
      <c r="F355" s="4" t="str">
        <f t="shared" si="33"/>
        <v>tank 2</v>
      </c>
      <c r="G355" s="4">
        <f>IFERROR(INDEX('Date Key'!$I$2:$I$19, MATCH(B355,'Date Key'!$B$2:$B$19, 0)), "")</f>
        <v>6</v>
      </c>
      <c r="H355" s="4">
        <v>30</v>
      </c>
      <c r="I355" s="11">
        <v>0</v>
      </c>
      <c r="J355" s="11">
        <v>1.7413416622902793E-2</v>
      </c>
      <c r="K355" s="11">
        <v>0</v>
      </c>
      <c r="L355" s="11">
        <v>0.69353219561164481</v>
      </c>
      <c r="M355" s="11">
        <v>3.4415221040850588</v>
      </c>
      <c r="N355" s="11">
        <v>1.7413416622902793E-2</v>
      </c>
      <c r="O355" s="11"/>
      <c r="P355" s="11">
        <v>6.98</v>
      </c>
      <c r="Q355" s="11">
        <v>229.59183673469389</v>
      </c>
      <c r="R355" s="11">
        <v>34.73333333333332</v>
      </c>
      <c r="S355" s="11">
        <v>1.1080586080586081</v>
      </c>
      <c r="T355" s="4">
        <f t="shared" si="32"/>
        <v>2</v>
      </c>
      <c r="U355" s="4" t="str">
        <f>IFERROR(INDEX('Date Key'!$G$2:$G$19, MATCH(B355,'Date Key'!$B$2:$B$19, 0)), "")</f>
        <v>No</v>
      </c>
      <c r="V355" s="4" t="s">
        <v>9</v>
      </c>
      <c r="W355" s="4" t="s">
        <v>8</v>
      </c>
      <c r="X355" s="4">
        <f t="shared" si="34"/>
        <v>0.218</v>
      </c>
      <c r="Y355" s="4">
        <f t="shared" si="35"/>
        <v>2.5</v>
      </c>
    </row>
    <row r="356" spans="1:25" x14ac:dyDescent="0.35">
      <c r="A356" s="4">
        <v>17</v>
      </c>
      <c r="B356" s="41">
        <v>45392</v>
      </c>
      <c r="C356" s="4" t="s">
        <v>6</v>
      </c>
      <c r="D356" s="4">
        <v>19</v>
      </c>
      <c r="E356" s="4" t="s">
        <v>420</v>
      </c>
      <c r="F356" s="4" t="str">
        <f t="shared" si="33"/>
        <v>tank 2</v>
      </c>
      <c r="G356" s="4">
        <f>IFERROR(INDEX('Date Key'!$I$2:$I$19, MATCH(B356,'Date Key'!$B$2:$B$19, 0)), "")</f>
        <v>6</v>
      </c>
      <c r="H356" s="4">
        <v>60</v>
      </c>
      <c r="I356" s="11">
        <v>0</v>
      </c>
      <c r="J356" s="11">
        <v>1.1608944415268527E-2</v>
      </c>
      <c r="K356" s="11">
        <v>0</v>
      </c>
      <c r="L356" s="11">
        <v>0.72020651082747744</v>
      </c>
      <c r="M356" s="11">
        <v>1.5109121432568551</v>
      </c>
      <c r="N356" s="11">
        <v>1.1608944415268527E-2</v>
      </c>
      <c r="O356" s="11"/>
      <c r="P356" s="11">
        <v>7.01</v>
      </c>
      <c r="Q356" s="11">
        <v>221.19341563786011</v>
      </c>
      <c r="R356" s="11">
        <v>34.73333333333332</v>
      </c>
      <c r="S356" s="11">
        <v>1.1446886446886446</v>
      </c>
      <c r="T356" s="4">
        <f t="shared" si="32"/>
        <v>2</v>
      </c>
      <c r="U356" s="4" t="str">
        <f>IFERROR(INDEX('Date Key'!$G$2:$G$19, MATCH(B356,'Date Key'!$B$2:$B$19, 0)), "")</f>
        <v>No</v>
      </c>
      <c r="V356" s="4" t="s">
        <v>9</v>
      </c>
      <c r="W356" s="4" t="s">
        <v>8</v>
      </c>
      <c r="X356" s="4">
        <f t="shared" si="34"/>
        <v>0.218</v>
      </c>
      <c r="Y356" s="4">
        <f t="shared" si="35"/>
        <v>2.5</v>
      </c>
    </row>
    <row r="357" spans="1:25" x14ac:dyDescent="0.35">
      <c r="A357" s="4">
        <v>17</v>
      </c>
      <c r="B357" s="41">
        <v>45392</v>
      </c>
      <c r="C357" s="4" t="s">
        <v>6</v>
      </c>
      <c r="D357" s="4">
        <v>20</v>
      </c>
      <c r="E357" s="4" t="s">
        <v>421</v>
      </c>
      <c r="F357" s="4" t="str">
        <f t="shared" si="33"/>
        <v>tank 2</v>
      </c>
      <c r="G357" s="4">
        <f>IFERROR(INDEX('Date Key'!$I$2:$I$19, MATCH(B357,'Date Key'!$B$2:$B$19, 0)), "")</f>
        <v>6</v>
      </c>
      <c r="H357" s="4">
        <v>120</v>
      </c>
      <c r="I357" s="11">
        <v>0</v>
      </c>
      <c r="J357" s="11">
        <v>0.32505044362751878</v>
      </c>
      <c r="K357" s="11">
        <v>1.0016502023193257</v>
      </c>
      <c r="L357" s="11">
        <v>0.64018356517997999</v>
      </c>
      <c r="M357" s="11">
        <v>49.776161163961945</v>
      </c>
      <c r="N357" s="11">
        <v>1.3267006459468444</v>
      </c>
      <c r="O357" s="11"/>
      <c r="P357" s="11">
        <v>7.03</v>
      </c>
      <c r="Q357" s="11">
        <v>190.67796610169486</v>
      </c>
      <c r="R357" s="11">
        <v>29.733333333333313</v>
      </c>
      <c r="S357" s="11">
        <v>0.96764346764346765</v>
      </c>
      <c r="T357" s="4">
        <f t="shared" si="32"/>
        <v>2</v>
      </c>
      <c r="U357" s="4" t="str">
        <f>IFERROR(INDEX('Date Key'!$G$2:$G$19, MATCH(B357,'Date Key'!$B$2:$B$19, 0)), "")</f>
        <v>No</v>
      </c>
      <c r="V357" s="4" t="s">
        <v>9</v>
      </c>
      <c r="W357" s="4" t="s">
        <v>8</v>
      </c>
      <c r="X357" s="4">
        <f t="shared" si="34"/>
        <v>0.218</v>
      </c>
      <c r="Y357" s="4">
        <f t="shared" si="35"/>
        <v>2.5</v>
      </c>
    </row>
    <row r="358" spans="1:25" s="27" customFormat="1" x14ac:dyDescent="0.35">
      <c r="A358" s="27">
        <v>17</v>
      </c>
      <c r="B358" s="42">
        <v>45392</v>
      </c>
      <c r="C358" s="27" t="s">
        <v>6</v>
      </c>
      <c r="D358" s="27">
        <v>21</v>
      </c>
      <c r="E358" s="27" t="s">
        <v>422</v>
      </c>
      <c r="F358" s="27" t="str">
        <f t="shared" si="33"/>
        <v>tank 2</v>
      </c>
      <c r="G358" s="27">
        <f>IFERROR(INDEX('Date Key'!$I$2:$I$19, MATCH(B358,'Date Key'!$B$2:$B$19, 0)), "")</f>
        <v>6</v>
      </c>
      <c r="H358" s="27">
        <v>90</v>
      </c>
      <c r="I358" s="28">
        <v>0</v>
      </c>
      <c r="J358" s="28">
        <v>2.3217888830537055E-2</v>
      </c>
      <c r="K358" s="28">
        <v>0</v>
      </c>
      <c r="L358" s="28">
        <v>0.70686935321956101</v>
      </c>
      <c r="M358" s="28">
        <v>12.120872971460548</v>
      </c>
      <c r="N358" s="28">
        <v>2.3217888830537055E-2</v>
      </c>
      <c r="O358" s="28"/>
      <c r="P358" s="28">
        <v>6.97</v>
      </c>
      <c r="Q358" s="28">
        <v>190.67796610169498</v>
      </c>
      <c r="R358" s="28">
        <v>33.399999999999984</v>
      </c>
      <c r="S358" s="28">
        <v>1.0836385836385838</v>
      </c>
      <c r="T358" s="27">
        <f t="shared" si="32"/>
        <v>2</v>
      </c>
      <c r="U358" s="27" t="str">
        <f>IFERROR(INDEX('Date Key'!$G$2:$G$19, MATCH(B358,'Date Key'!$B$2:$B$19, 0)), "")</f>
        <v>No</v>
      </c>
      <c r="V358" s="27" t="s">
        <v>9</v>
      </c>
      <c r="W358" s="27" t="s">
        <v>8</v>
      </c>
      <c r="X358" s="27">
        <f t="shared" si="34"/>
        <v>0.218</v>
      </c>
      <c r="Y358" s="27">
        <f t="shared" si="35"/>
        <v>2.5</v>
      </c>
    </row>
    <row r="359" spans="1:25" x14ac:dyDescent="0.35">
      <c r="A359" s="4">
        <v>18</v>
      </c>
      <c r="B359" s="41">
        <v>45400</v>
      </c>
      <c r="C359" s="4" t="s">
        <v>6</v>
      </c>
      <c r="D359" s="4">
        <v>1</v>
      </c>
      <c r="E359" s="4" t="s">
        <v>312</v>
      </c>
      <c r="F359" s="4" t="str">
        <f t="shared" si="33"/>
        <v>in</v>
      </c>
      <c r="G359" s="4">
        <f>IFERROR(INDEX('Date Key'!$I$2:$I$19, MATCH(B359,'Date Key'!$B$2:$B$19, 0)), "")</f>
        <v>6</v>
      </c>
      <c r="H359" s="4">
        <v>60</v>
      </c>
      <c r="I359" s="11">
        <v>0.38204393505253109</v>
      </c>
      <c r="J359" s="11">
        <v>0.3212884920303764</v>
      </c>
      <c r="K359" s="11">
        <v>8.5630278537376281</v>
      </c>
      <c r="L359" s="11">
        <v>0.97286694998365497</v>
      </c>
      <c r="M359" s="11">
        <v>141.62544169611309</v>
      </c>
      <c r="N359" s="11">
        <v>9.2663602808205354</v>
      </c>
      <c r="O359" s="11"/>
      <c r="P359" s="11">
        <v>7.75</v>
      </c>
      <c r="Q359" s="11">
        <v>97.926267281105993</v>
      </c>
      <c r="R359" s="11">
        <v>35.73333333333332</v>
      </c>
      <c r="S359" s="11">
        <v>0.90659340659340659</v>
      </c>
      <c r="T359" s="4">
        <f t="shared" si="32"/>
        <v>0</v>
      </c>
      <c r="U359" s="4" t="str">
        <f>IFERROR(INDEX('Date Key'!$G$2:$G$19, MATCH(B359,'Date Key'!$B$2:$B$19, 0)), "")</f>
        <v>Yes</v>
      </c>
      <c r="V359" s="4" t="s">
        <v>9</v>
      </c>
      <c r="W359" s="4" t="s">
        <v>8</v>
      </c>
      <c r="X359" s="4">
        <f t="shared" si="34"/>
        <v>0.218</v>
      </c>
      <c r="Y359" s="4">
        <f t="shared" si="35"/>
        <v>2.5</v>
      </c>
    </row>
    <row r="360" spans="1:25" x14ac:dyDescent="0.35">
      <c r="A360" s="4">
        <v>18</v>
      </c>
      <c r="B360" s="41">
        <v>45400</v>
      </c>
      <c r="C360" s="4" t="s">
        <v>6</v>
      </c>
      <c r="D360" s="4">
        <v>2</v>
      </c>
      <c r="E360" s="4" t="s">
        <v>50</v>
      </c>
      <c r="F360" s="4" t="str">
        <f t="shared" si="33"/>
        <v>in</v>
      </c>
      <c r="G360" s="4">
        <f>IFERROR(INDEX('Date Key'!$I$2:$I$19, MATCH(B360,'Date Key'!$B$2:$B$19, 0)), "")</f>
        <v>6</v>
      </c>
      <c r="H360" s="4">
        <v>0</v>
      </c>
      <c r="I360" s="11">
        <v>0.26743075453677173</v>
      </c>
      <c r="J360" s="11">
        <v>0.31544688308436958</v>
      </c>
      <c r="K360" s="11">
        <v>9.4371173438520923</v>
      </c>
      <c r="L360" s="11">
        <v>1.0640732265446224</v>
      </c>
      <c r="M360" s="11">
        <v>138.03886925795052</v>
      </c>
      <c r="N360" s="11">
        <v>10.019994981473234</v>
      </c>
      <c r="O360" s="11"/>
      <c r="P360" s="11">
        <v>7.61</v>
      </c>
      <c r="Q360" s="11">
        <v>113.63636363636364</v>
      </c>
      <c r="R360" s="11">
        <v>37.73333333333332</v>
      </c>
      <c r="S360" s="11">
        <v>1.0042735042735043</v>
      </c>
      <c r="T360" s="4">
        <f t="shared" si="32"/>
        <v>0</v>
      </c>
      <c r="U360" s="4" t="str">
        <f>IFERROR(INDEX('Date Key'!$G$2:$G$19, MATCH(B360,'Date Key'!$B$2:$B$19, 0)), "")</f>
        <v>Yes</v>
      </c>
      <c r="V360" s="4" t="s">
        <v>9</v>
      </c>
      <c r="W360" s="4" t="s">
        <v>8</v>
      </c>
      <c r="X360" s="4">
        <f t="shared" ref="X360:X379" si="36">IFERROR(INDEX($AB$8:$AB$10, MATCH(C360, $AA$8:$AA$10, 0)), "")</f>
        <v>0.218</v>
      </c>
      <c r="Y360" s="4">
        <f t="shared" si="35"/>
        <v>2.5</v>
      </c>
    </row>
    <row r="361" spans="1:25" x14ac:dyDescent="0.35">
      <c r="A361" s="4">
        <v>18</v>
      </c>
      <c r="B361" s="41">
        <v>45400</v>
      </c>
      <c r="C361" s="4" t="s">
        <v>6</v>
      </c>
      <c r="D361" s="4">
        <v>3</v>
      </c>
      <c r="E361" s="4" t="s">
        <v>313</v>
      </c>
      <c r="F361" s="4" t="str">
        <f t="shared" si="33"/>
        <v>in</v>
      </c>
      <c r="G361" s="4">
        <f>IFERROR(INDEX('Date Key'!$I$2:$I$19, MATCH(B361,'Date Key'!$B$2:$B$19, 0)), "")</f>
        <v>6</v>
      </c>
      <c r="H361" s="4">
        <v>90</v>
      </c>
      <c r="I361" s="11">
        <v>0.30563514804202485</v>
      </c>
      <c r="J361" s="11">
        <v>0.29792205624634899</v>
      </c>
      <c r="K361" s="11">
        <v>7.9023788205115801</v>
      </c>
      <c r="L361" s="11">
        <v>0.89686171951618177</v>
      </c>
      <c r="M361" s="11">
        <v>132.49116607773851</v>
      </c>
      <c r="N361" s="11">
        <v>8.5059360247999543</v>
      </c>
      <c r="O361" s="11"/>
      <c r="P361" s="11">
        <v>7.8</v>
      </c>
      <c r="Q361" s="11">
        <v>143.80530973451332</v>
      </c>
      <c r="R361" s="11">
        <v>37.399999999999991</v>
      </c>
      <c r="S361" s="11">
        <v>0.83333333333333337</v>
      </c>
      <c r="T361" s="4">
        <f t="shared" si="32"/>
        <v>0</v>
      </c>
      <c r="U361" s="4" t="str">
        <f>IFERROR(INDEX('Date Key'!$G$2:$G$19, MATCH(B361,'Date Key'!$B$2:$B$19, 0)), "")</f>
        <v>Yes</v>
      </c>
      <c r="V361" s="4" t="s">
        <v>9</v>
      </c>
      <c r="W361" s="4" t="s">
        <v>8</v>
      </c>
      <c r="X361" s="4">
        <f t="shared" si="36"/>
        <v>0.218</v>
      </c>
      <c r="Y361" s="4">
        <f t="shared" si="35"/>
        <v>2.5</v>
      </c>
    </row>
    <row r="362" spans="1:25" x14ac:dyDescent="0.35">
      <c r="A362" s="4">
        <v>18</v>
      </c>
      <c r="B362" s="41">
        <v>45400</v>
      </c>
      <c r="C362" s="4" t="s">
        <v>6</v>
      </c>
      <c r="D362" s="4">
        <v>4</v>
      </c>
      <c r="E362" s="4" t="s">
        <v>314</v>
      </c>
      <c r="F362" s="4" t="str">
        <f t="shared" si="33"/>
        <v>in</v>
      </c>
      <c r="G362" s="4">
        <f>IFERROR(INDEX('Date Key'!$I$2:$I$19, MATCH(B362,'Date Key'!$B$2:$B$19, 0)), "")</f>
        <v>6</v>
      </c>
      <c r="H362" s="4">
        <v>150</v>
      </c>
      <c r="I362" s="11">
        <v>0.21012416427889211</v>
      </c>
      <c r="J362" s="11">
        <v>0.29208044730034222</v>
      </c>
      <c r="K362" s="11">
        <v>7.2722212811267335</v>
      </c>
      <c r="L362" s="11">
        <v>0.83605753514220338</v>
      </c>
      <c r="M362" s="11">
        <v>135.35335689045934</v>
      </c>
      <c r="N362" s="11">
        <v>7.7744258927059677</v>
      </c>
      <c r="O362" s="11"/>
      <c r="P362" s="11">
        <v>7.91</v>
      </c>
      <c r="Q362" s="11">
        <v>113.63636363636364</v>
      </c>
      <c r="R362" s="11">
        <v>37.066666666666656</v>
      </c>
      <c r="S362" s="11">
        <v>0.71733821733821734</v>
      </c>
      <c r="T362" s="4">
        <f t="shared" si="32"/>
        <v>0</v>
      </c>
      <c r="U362" s="4" t="str">
        <f>IFERROR(INDEX('Date Key'!$G$2:$G$19, MATCH(B362,'Date Key'!$B$2:$B$19, 0)), "")</f>
        <v>Yes</v>
      </c>
      <c r="V362" s="4" t="s">
        <v>9</v>
      </c>
      <c r="W362" s="4" t="s">
        <v>8</v>
      </c>
      <c r="X362" s="4">
        <f t="shared" si="36"/>
        <v>0.218</v>
      </c>
      <c r="Y362" s="4">
        <f t="shared" si="35"/>
        <v>2.5</v>
      </c>
    </row>
    <row r="363" spans="1:25" x14ac:dyDescent="0.35">
      <c r="A363" s="4">
        <v>18</v>
      </c>
      <c r="B363" s="41">
        <v>45400</v>
      </c>
      <c r="C363" s="4" t="s">
        <v>6</v>
      </c>
      <c r="D363" s="4">
        <v>5</v>
      </c>
      <c r="E363" s="4" t="s">
        <v>49</v>
      </c>
      <c r="F363" s="4" t="str">
        <f t="shared" si="33"/>
        <v>in</v>
      </c>
      <c r="G363" s="4">
        <f>IFERROR(INDEX('Date Key'!$I$2:$I$19, MATCH(B363,'Date Key'!$B$2:$B$19, 0)), "")</f>
        <v>6</v>
      </c>
      <c r="H363" s="4">
        <v>30</v>
      </c>
      <c r="I363" s="11">
        <v>0.36294173829990445</v>
      </c>
      <c r="J363" s="11">
        <v>0.3096052741383627</v>
      </c>
      <c r="K363" s="11">
        <v>8.801877888827045</v>
      </c>
      <c r="L363" s="11">
        <v>1.0032690421706441</v>
      </c>
      <c r="M363" s="11">
        <v>135.31802120141342</v>
      </c>
      <c r="N363" s="11">
        <v>9.4744249012653121</v>
      </c>
      <c r="O363" s="11"/>
      <c r="P363" s="11">
        <v>7.78</v>
      </c>
      <c r="Q363" s="11">
        <v>103.21100917431197</v>
      </c>
      <c r="R363" s="11">
        <v>38.399999999999991</v>
      </c>
      <c r="S363" s="11">
        <v>0.94932844932844929</v>
      </c>
      <c r="T363" s="4">
        <f t="shared" si="32"/>
        <v>0</v>
      </c>
      <c r="U363" s="4" t="str">
        <f>IFERROR(INDEX('Date Key'!$G$2:$G$19, MATCH(B363,'Date Key'!$B$2:$B$19, 0)), "")</f>
        <v>Yes</v>
      </c>
      <c r="V363" s="4" t="s">
        <v>9</v>
      </c>
      <c r="W363" s="4" t="s">
        <v>8</v>
      </c>
      <c r="X363" s="4">
        <f t="shared" si="36"/>
        <v>0.218</v>
      </c>
      <c r="Y363" s="4">
        <f t="shared" si="35"/>
        <v>2.5</v>
      </c>
    </row>
    <row r="364" spans="1:25" x14ac:dyDescent="0.35">
      <c r="A364" s="4">
        <v>18</v>
      </c>
      <c r="B364" s="41">
        <v>45400</v>
      </c>
      <c r="C364" s="4" t="s">
        <v>6</v>
      </c>
      <c r="D364" s="4">
        <v>6</v>
      </c>
      <c r="E364" s="4" t="s">
        <v>315</v>
      </c>
      <c r="F364" s="4" t="str">
        <f t="shared" si="33"/>
        <v>in</v>
      </c>
      <c r="G364" s="4">
        <f>IFERROR(INDEX('Date Key'!$I$2:$I$19, MATCH(B364,'Date Key'!$B$2:$B$19, 0)), "")</f>
        <v>6</v>
      </c>
      <c r="H364" s="4">
        <v>120</v>
      </c>
      <c r="I364" s="11">
        <v>0.24832855778414517</v>
      </c>
      <c r="J364" s="11">
        <v>0.29792205624634899</v>
      </c>
      <c r="K364" s="11">
        <v>7.4653340754543471</v>
      </c>
      <c r="L364" s="11">
        <v>0.86645962732919257</v>
      </c>
      <c r="M364" s="11">
        <v>133.07420494699647</v>
      </c>
      <c r="N364" s="11">
        <v>8.0115846894848417</v>
      </c>
      <c r="O364" s="11"/>
      <c r="P364" s="11">
        <v>7.74</v>
      </c>
      <c r="Q364" s="11">
        <v>113.63636363636364</v>
      </c>
      <c r="R364" s="11">
        <v>35.399999999999984</v>
      </c>
      <c r="S364" s="11">
        <v>0.76617826617826612</v>
      </c>
      <c r="T364" s="4">
        <f t="shared" si="32"/>
        <v>0</v>
      </c>
      <c r="U364" s="4" t="str">
        <f>IFERROR(INDEX('Date Key'!$G$2:$G$19, MATCH(B364,'Date Key'!$B$2:$B$19, 0)), "")</f>
        <v>Yes</v>
      </c>
      <c r="V364" s="4" t="s">
        <v>9</v>
      </c>
      <c r="W364" s="4" t="s">
        <v>8</v>
      </c>
      <c r="X364" s="4">
        <f t="shared" si="36"/>
        <v>0.218</v>
      </c>
      <c r="Y364" s="4">
        <f t="shared" si="35"/>
        <v>2.5</v>
      </c>
    </row>
    <row r="365" spans="1:25" x14ac:dyDescent="0.35">
      <c r="A365" s="4">
        <v>18</v>
      </c>
      <c r="B365" s="41">
        <v>45400</v>
      </c>
      <c r="C365" s="4" t="s">
        <v>6</v>
      </c>
      <c r="D365" s="4">
        <v>7</v>
      </c>
      <c r="E365" s="4" t="s">
        <v>316</v>
      </c>
      <c r="F365" s="4" t="str">
        <f t="shared" si="33"/>
        <v>in</v>
      </c>
      <c r="G365" s="4">
        <f>IFERROR(INDEX('Date Key'!$I$2:$I$19, MATCH(B365,'Date Key'!$B$2:$B$19, 0)), "")</f>
        <v>6</v>
      </c>
      <c r="H365" s="4">
        <v>180</v>
      </c>
      <c r="I365" s="11">
        <v>0.16236867239732572</v>
      </c>
      <c r="J365" s="11">
        <v>0.28039722940832851</v>
      </c>
      <c r="K365" s="11">
        <v>7.007961667836315</v>
      </c>
      <c r="L365" s="11">
        <v>0.80565544295521407</v>
      </c>
      <c r="M365" s="11">
        <v>133.93992932862193</v>
      </c>
      <c r="N365" s="11">
        <v>7.4507275696419697</v>
      </c>
      <c r="O365" s="11"/>
      <c r="P365" s="11">
        <v>7.95</v>
      </c>
      <c r="Q365" s="11">
        <v>113.63636363636368</v>
      </c>
      <c r="R365" s="11">
        <v>36.066666666666656</v>
      </c>
      <c r="S365" s="11">
        <v>0.72344322344322343</v>
      </c>
      <c r="T365" s="4">
        <f t="shared" si="32"/>
        <v>0</v>
      </c>
      <c r="U365" s="4" t="str">
        <f>IFERROR(INDEX('Date Key'!$G$2:$G$19, MATCH(B365,'Date Key'!$B$2:$B$19, 0)), "")</f>
        <v>Yes</v>
      </c>
      <c r="V365" s="4" t="s">
        <v>9</v>
      </c>
      <c r="W365" s="4" t="s">
        <v>8</v>
      </c>
      <c r="X365" s="4">
        <f t="shared" si="36"/>
        <v>0.218</v>
      </c>
      <c r="Y365" s="4">
        <f t="shared" si="35"/>
        <v>2.5</v>
      </c>
    </row>
    <row r="366" spans="1:25" x14ac:dyDescent="0.35">
      <c r="A366" s="4">
        <v>18</v>
      </c>
      <c r="B366" s="41">
        <v>45400</v>
      </c>
      <c r="C366" s="4" t="s">
        <v>6</v>
      </c>
      <c r="D366" s="4">
        <v>8</v>
      </c>
      <c r="E366" s="4" t="s">
        <v>423</v>
      </c>
      <c r="F366" s="4" t="str">
        <f t="shared" si="33"/>
        <v>tank 1</v>
      </c>
      <c r="G366" s="4">
        <f>IFERROR(INDEX('Date Key'!$I$2:$I$19, MATCH(B366,'Date Key'!$B$2:$B$19, 0)), "")</f>
        <v>6</v>
      </c>
      <c r="H366" s="4">
        <v>150</v>
      </c>
      <c r="I366" s="11">
        <v>0.42024832855778421</v>
      </c>
      <c r="J366" s="11">
        <v>0.62505215722273222</v>
      </c>
      <c r="K366" s="11">
        <v>1.2399874162088909</v>
      </c>
      <c r="L366" s="11">
        <v>0.653644982020268</v>
      </c>
      <c r="M366" s="11">
        <v>118.18021201413427</v>
      </c>
      <c r="N366" s="11">
        <v>2.285287901989407</v>
      </c>
      <c r="O366" s="11"/>
      <c r="P366" s="11">
        <v>7.19</v>
      </c>
      <c r="Q366" s="11">
        <v>265.74803149606299</v>
      </c>
      <c r="R366" s="11">
        <v>32.73333333333332</v>
      </c>
      <c r="S366" s="11">
        <v>0.45482295482295487</v>
      </c>
      <c r="T366" s="4">
        <f t="shared" si="32"/>
        <v>1</v>
      </c>
      <c r="U366" s="4" t="str">
        <f>IFERROR(INDEX('Date Key'!$G$2:$G$19, MATCH(B366,'Date Key'!$B$2:$B$19, 0)), "")</f>
        <v>Yes</v>
      </c>
      <c r="V366" s="4" t="s">
        <v>9</v>
      </c>
      <c r="W366" s="4" t="s">
        <v>8</v>
      </c>
      <c r="X366" s="4">
        <f t="shared" si="36"/>
        <v>0.218</v>
      </c>
      <c r="Y366" s="4">
        <f t="shared" si="35"/>
        <v>2.5</v>
      </c>
    </row>
    <row r="367" spans="1:25" x14ac:dyDescent="0.35">
      <c r="A367" s="4">
        <v>18</v>
      </c>
      <c r="B367" s="41">
        <v>45400</v>
      </c>
      <c r="C367" s="4" t="s">
        <v>6</v>
      </c>
      <c r="D367" s="4">
        <v>9</v>
      </c>
      <c r="E367" s="4" t="s">
        <v>424</v>
      </c>
      <c r="F367" s="4" t="str">
        <f t="shared" si="33"/>
        <v>tank 1</v>
      </c>
      <c r="G367" s="4">
        <f>IFERROR(INDEX('Date Key'!$I$2:$I$19, MATCH(B367,'Date Key'!$B$2:$B$19, 0)), "")</f>
        <v>6</v>
      </c>
      <c r="H367" s="4">
        <v>60</v>
      </c>
      <c r="I367" s="11">
        <v>0.10506208213944605</v>
      </c>
      <c r="J367" s="11">
        <v>5.2574480514061592E-2</v>
      </c>
      <c r="K367" s="11">
        <v>5.0819156402003726E-2</v>
      </c>
      <c r="L367" s="11">
        <v>0.72965021248774109</v>
      </c>
      <c r="M367" s="11">
        <v>95.954063604240275</v>
      </c>
      <c r="N367" s="11">
        <v>0.20845571905551136</v>
      </c>
      <c r="O367" s="11"/>
      <c r="P367" s="11">
        <v>6.98</v>
      </c>
      <c r="Q367" s="11">
        <v>133.92857142857153</v>
      </c>
      <c r="R367" s="11">
        <v>34.399999999999984</v>
      </c>
      <c r="S367" s="11">
        <v>0.50366300366300365</v>
      </c>
      <c r="T367" s="4">
        <f t="shared" si="32"/>
        <v>1</v>
      </c>
      <c r="U367" s="4" t="str">
        <f>IFERROR(INDEX('Date Key'!$G$2:$G$19, MATCH(B367,'Date Key'!$B$2:$B$19, 0)), "")</f>
        <v>Yes</v>
      </c>
      <c r="V367" s="4" t="s">
        <v>9</v>
      </c>
      <c r="W367" s="4" t="s">
        <v>8</v>
      </c>
      <c r="X367" s="4">
        <f t="shared" si="36"/>
        <v>0.218</v>
      </c>
      <c r="Y367" s="4">
        <f t="shared" si="35"/>
        <v>2.5</v>
      </c>
    </row>
    <row r="368" spans="1:25" x14ac:dyDescent="0.35">
      <c r="A368" s="4">
        <v>18</v>
      </c>
      <c r="B368" s="41">
        <v>45400</v>
      </c>
      <c r="C368" s="4" t="s">
        <v>6</v>
      </c>
      <c r="D368" s="4">
        <v>10</v>
      </c>
      <c r="E368" s="4" t="s">
        <v>425</v>
      </c>
      <c r="F368" s="4" t="str">
        <f t="shared" si="33"/>
        <v>tank 1</v>
      </c>
      <c r="G368" s="4">
        <f>IFERROR(INDEX('Date Key'!$I$2:$I$19, MATCH(B368,'Date Key'!$B$2:$B$19, 0)), "")</f>
        <v>6</v>
      </c>
      <c r="H368" s="4">
        <v>120</v>
      </c>
      <c r="I368" s="11">
        <v>0.29608404966571156</v>
      </c>
      <c r="J368" s="11">
        <v>0.39138779938245849</v>
      </c>
      <c r="K368" s="11">
        <v>0.89949906831546589</v>
      </c>
      <c r="L368" s="11">
        <v>0.71444916639424649</v>
      </c>
      <c r="M368" s="11">
        <v>115.03533568904594</v>
      </c>
      <c r="N368" s="11">
        <v>1.5869709173636359</v>
      </c>
      <c r="O368" s="11"/>
      <c r="P368" s="11">
        <v>7.1300000000000008</v>
      </c>
      <c r="Q368" s="11">
        <v>228.21299879887897</v>
      </c>
      <c r="R368" s="11">
        <v>37.73333333333332</v>
      </c>
      <c r="S368" s="11">
        <v>0.5219780219780219</v>
      </c>
      <c r="T368" s="4">
        <f t="shared" si="32"/>
        <v>1</v>
      </c>
      <c r="U368" s="4" t="str">
        <f>IFERROR(INDEX('Date Key'!$G$2:$G$19, MATCH(B368,'Date Key'!$B$2:$B$19, 0)), "")</f>
        <v>Yes</v>
      </c>
      <c r="V368" s="4" t="s">
        <v>9</v>
      </c>
      <c r="W368" s="4" t="s">
        <v>8</v>
      </c>
      <c r="X368" s="4">
        <f t="shared" si="36"/>
        <v>0.218</v>
      </c>
      <c r="Y368" s="4">
        <f t="shared" si="35"/>
        <v>2.5</v>
      </c>
    </row>
    <row r="369" spans="1:25" x14ac:dyDescent="0.35">
      <c r="A369" s="4">
        <v>18</v>
      </c>
      <c r="B369" s="41">
        <v>45400</v>
      </c>
      <c r="C369" s="4" t="s">
        <v>6</v>
      </c>
      <c r="D369" s="4">
        <v>11</v>
      </c>
      <c r="E369" s="4" t="s">
        <v>55</v>
      </c>
      <c r="F369" s="4" t="str">
        <f t="shared" si="33"/>
        <v>tank 1</v>
      </c>
      <c r="G369" s="4">
        <f>IFERROR(INDEX('Date Key'!$I$2:$I$19, MATCH(B369,'Date Key'!$B$2:$B$19, 0)), "")</f>
        <v>6</v>
      </c>
      <c r="H369" s="4">
        <v>30</v>
      </c>
      <c r="I369" s="11">
        <v>6.6857688634192933E-2</v>
      </c>
      <c r="J369" s="11">
        <v>4.0891262622047904E-2</v>
      </c>
      <c r="K369" s="11">
        <v>5.0819156402003726E-2</v>
      </c>
      <c r="L369" s="11">
        <v>0.79045439686171948</v>
      </c>
      <c r="M369" s="11">
        <v>101.74911660777386</v>
      </c>
      <c r="N369" s="11">
        <v>0.15856810765824458</v>
      </c>
      <c r="O369" s="11"/>
      <c r="P369" s="11">
        <v>7.09</v>
      </c>
      <c r="Q369" s="11">
        <v>181.62393162393155</v>
      </c>
      <c r="R369" s="11">
        <v>45.066666666666663</v>
      </c>
      <c r="S369" s="11">
        <v>0.51587301587301582</v>
      </c>
      <c r="T369" s="4">
        <f t="shared" si="32"/>
        <v>1</v>
      </c>
      <c r="U369" s="4" t="str">
        <f>IFERROR(INDEX('Date Key'!$G$2:$G$19, MATCH(B369,'Date Key'!$B$2:$B$19, 0)), "")</f>
        <v>Yes</v>
      </c>
      <c r="V369" s="4" t="s">
        <v>9</v>
      </c>
      <c r="W369" s="4" t="s">
        <v>8</v>
      </c>
      <c r="X369" s="4">
        <f t="shared" si="36"/>
        <v>0.218</v>
      </c>
      <c r="Y369" s="4">
        <f t="shared" si="35"/>
        <v>2.5</v>
      </c>
    </row>
    <row r="370" spans="1:25" x14ac:dyDescent="0.35">
      <c r="A370" s="4">
        <v>18</v>
      </c>
      <c r="B370" s="41">
        <v>45400</v>
      </c>
      <c r="C370" s="4" t="s">
        <v>6</v>
      </c>
      <c r="D370" s="4">
        <v>12</v>
      </c>
      <c r="E370" s="4" t="s">
        <v>54</v>
      </c>
      <c r="F370" s="4" t="str">
        <f t="shared" si="33"/>
        <v>tank 1</v>
      </c>
      <c r="G370" s="4">
        <f>IFERROR(INDEX('Date Key'!$I$2:$I$19, MATCH(B370,'Date Key'!$B$2:$B$19, 0)), "")</f>
        <v>6</v>
      </c>
      <c r="H370" s="4">
        <v>0</v>
      </c>
      <c r="I370" s="11">
        <v>1.9102196752626553E-2</v>
      </c>
      <c r="J370" s="11">
        <v>2.3366435784027372E-2</v>
      </c>
      <c r="K370" s="11">
        <v>0</v>
      </c>
      <c r="L370" s="11">
        <v>0.76005230467473039</v>
      </c>
      <c r="M370" s="11">
        <v>100.17667844522967</v>
      </c>
      <c r="N370" s="11">
        <v>4.2468632536653922E-2</v>
      </c>
      <c r="O370" s="11"/>
      <c r="P370" s="11">
        <v>7.18</v>
      </c>
      <c r="Q370" s="11">
        <v>133.92857142857139</v>
      </c>
      <c r="R370" s="11">
        <v>34.399999999999984</v>
      </c>
      <c r="S370" s="11">
        <v>0.52808302808302809</v>
      </c>
      <c r="T370" s="4">
        <f t="shared" si="32"/>
        <v>1</v>
      </c>
      <c r="U370" s="4" t="str">
        <f>IFERROR(INDEX('Date Key'!$G$2:$G$19, MATCH(B370,'Date Key'!$B$2:$B$19, 0)), "")</f>
        <v>Yes</v>
      </c>
      <c r="V370" s="4" t="s">
        <v>9</v>
      </c>
      <c r="W370" s="4" t="s">
        <v>8</v>
      </c>
      <c r="X370" s="4">
        <f t="shared" si="36"/>
        <v>0.218</v>
      </c>
      <c r="Y370" s="4">
        <f t="shared" si="35"/>
        <v>2.5</v>
      </c>
    </row>
    <row r="371" spans="1:25" x14ac:dyDescent="0.35">
      <c r="A371" s="4">
        <v>18</v>
      </c>
      <c r="B371" s="41">
        <v>45400</v>
      </c>
      <c r="C371" s="4" t="s">
        <v>6</v>
      </c>
      <c r="D371" s="4">
        <v>13</v>
      </c>
      <c r="E371" s="4" t="s">
        <v>426</v>
      </c>
      <c r="F371" s="4" t="str">
        <f t="shared" si="33"/>
        <v>tank 1</v>
      </c>
      <c r="G371" s="4">
        <f>IFERROR(INDEX('Date Key'!$I$2:$I$19, MATCH(B371,'Date Key'!$B$2:$B$19, 0)), "")</f>
        <v>6</v>
      </c>
      <c r="H371" s="4">
        <v>180</v>
      </c>
      <c r="I371" s="11">
        <v>0.44890162368672404</v>
      </c>
      <c r="J371" s="11">
        <v>0.80030042560293746</v>
      </c>
      <c r="K371" s="11">
        <v>1.2145778380078891</v>
      </c>
      <c r="L371" s="11">
        <v>0.6080418437397842</v>
      </c>
      <c r="M371" s="11">
        <v>118.60424028268551</v>
      </c>
      <c r="N371" s="11">
        <v>2.4637798872975507</v>
      </c>
      <c r="O371" s="11"/>
      <c r="P371" s="11">
        <v>7.43</v>
      </c>
      <c r="Q371" s="11">
        <v>163.04347826086959</v>
      </c>
      <c r="R371" s="11">
        <v>35.399999999999984</v>
      </c>
      <c r="S371" s="11">
        <v>0.46092796092796101</v>
      </c>
      <c r="T371" s="4">
        <f t="shared" si="32"/>
        <v>1</v>
      </c>
      <c r="U371" s="4" t="str">
        <f>IFERROR(INDEX('Date Key'!$G$2:$G$19, MATCH(B371,'Date Key'!$B$2:$B$19, 0)), "")</f>
        <v>Yes</v>
      </c>
      <c r="V371" s="4" t="s">
        <v>9</v>
      </c>
      <c r="W371" s="4" t="s">
        <v>8</v>
      </c>
      <c r="X371" s="4">
        <f t="shared" si="36"/>
        <v>0.218</v>
      </c>
      <c r="Y371" s="4">
        <f t="shared" si="35"/>
        <v>2.5</v>
      </c>
    </row>
    <row r="372" spans="1:25" x14ac:dyDescent="0.35">
      <c r="A372" s="4">
        <v>18</v>
      </c>
      <c r="B372" s="41">
        <v>45400</v>
      </c>
      <c r="C372" s="4" t="s">
        <v>6</v>
      </c>
      <c r="D372" s="4">
        <v>14</v>
      </c>
      <c r="E372" s="4" t="s">
        <v>427</v>
      </c>
      <c r="F372" s="4" t="str">
        <f t="shared" si="33"/>
        <v>tank 1</v>
      </c>
      <c r="G372" s="4">
        <f>IFERROR(INDEX('Date Key'!$I$2:$I$19, MATCH(B372,'Date Key'!$B$2:$B$19, 0)), "")</f>
        <v>6</v>
      </c>
      <c r="H372" s="4">
        <v>90</v>
      </c>
      <c r="I372" s="11">
        <v>0.18147086914995222</v>
      </c>
      <c r="J372" s="11">
        <v>0.22198113994826002</v>
      </c>
      <c r="K372" s="11">
        <v>0.3608160104542264</v>
      </c>
      <c r="L372" s="11">
        <v>0.71444916639424649</v>
      </c>
      <c r="M372" s="11">
        <v>102.73851590106007</v>
      </c>
      <c r="N372" s="11">
        <v>0.76426801955243862</v>
      </c>
      <c r="O372" s="11"/>
      <c r="P372" s="11">
        <v>7.07</v>
      </c>
      <c r="Q372" s="11">
        <v>190.67796610169498</v>
      </c>
      <c r="R372" s="11">
        <v>32.399999999999984</v>
      </c>
      <c r="S372" s="11">
        <v>0.49145299145299137</v>
      </c>
      <c r="T372" s="4">
        <f t="shared" si="32"/>
        <v>1</v>
      </c>
      <c r="U372" s="4" t="str">
        <f>IFERROR(INDEX('Date Key'!$G$2:$G$19, MATCH(B372,'Date Key'!$B$2:$B$19, 0)), "")</f>
        <v>Yes</v>
      </c>
      <c r="V372" s="4" t="s">
        <v>9</v>
      </c>
      <c r="W372" s="4" t="s">
        <v>8</v>
      </c>
      <c r="X372" s="4">
        <f t="shared" si="36"/>
        <v>0.218</v>
      </c>
      <c r="Y372" s="4">
        <f t="shared" si="35"/>
        <v>2.5</v>
      </c>
    </row>
    <row r="373" spans="1:25" x14ac:dyDescent="0.35">
      <c r="A373" s="4">
        <v>18</v>
      </c>
      <c r="B373" s="41">
        <v>45400</v>
      </c>
      <c r="C373" s="4" t="s">
        <v>6</v>
      </c>
      <c r="D373" s="4">
        <v>15</v>
      </c>
      <c r="E373" s="4" t="s">
        <v>428</v>
      </c>
      <c r="F373" s="4" t="str">
        <f t="shared" si="33"/>
        <v>tank 2</v>
      </c>
      <c r="G373" s="4">
        <f>IFERROR(INDEX('Date Key'!$I$2:$I$19, MATCH(B373,'Date Key'!$B$2:$B$19, 0)), "")</f>
        <v>6</v>
      </c>
      <c r="H373" s="4">
        <v>120</v>
      </c>
      <c r="I373" s="11">
        <v>0.19102196752626555</v>
      </c>
      <c r="J373" s="11">
        <v>0.73604272719686226</v>
      </c>
      <c r="K373" s="11">
        <v>4.2738910534085131</v>
      </c>
      <c r="L373" s="11">
        <v>0.94246485779666556</v>
      </c>
      <c r="M373" s="11">
        <v>131.60777385159011</v>
      </c>
      <c r="N373" s="11">
        <v>5.2009557481316406</v>
      </c>
      <c r="O373" s="11"/>
      <c r="P373" s="11">
        <v>7.12</v>
      </c>
      <c r="Q373" s="11">
        <v>103.21100917431177</v>
      </c>
      <c r="R373" s="11">
        <v>37.066666666666656</v>
      </c>
      <c r="S373" s="11">
        <v>0.80280830280830284</v>
      </c>
      <c r="T373" s="4">
        <f t="shared" si="32"/>
        <v>2</v>
      </c>
      <c r="U373" s="4" t="str">
        <f>IFERROR(INDEX('Date Key'!$G$2:$G$19, MATCH(B373,'Date Key'!$B$2:$B$19, 0)), "")</f>
        <v>Yes</v>
      </c>
      <c r="V373" s="4" t="s">
        <v>9</v>
      </c>
      <c r="W373" s="4" t="s">
        <v>8</v>
      </c>
      <c r="X373" s="4">
        <f t="shared" si="36"/>
        <v>0.218</v>
      </c>
      <c r="Y373" s="4">
        <f t="shared" si="35"/>
        <v>2.5</v>
      </c>
    </row>
    <row r="374" spans="1:25" x14ac:dyDescent="0.35">
      <c r="A374" s="4">
        <v>18</v>
      </c>
      <c r="B374" s="41">
        <v>45400</v>
      </c>
      <c r="C374" s="4" t="s">
        <v>6</v>
      </c>
      <c r="D374" s="4">
        <v>16</v>
      </c>
      <c r="E374" s="4" t="s">
        <v>429</v>
      </c>
      <c r="F374" s="4" t="str">
        <f t="shared" si="33"/>
        <v>tank 2</v>
      </c>
      <c r="G374" s="4">
        <f>IFERROR(INDEX('Date Key'!$I$2:$I$19, MATCH(B374,'Date Key'!$B$2:$B$19, 0)), "")</f>
        <v>6</v>
      </c>
      <c r="H374" s="4">
        <v>90</v>
      </c>
      <c r="I374" s="11">
        <v>0.11461318051575933</v>
      </c>
      <c r="J374" s="11">
        <v>0.50821997830259535</v>
      </c>
      <c r="K374" s="11">
        <v>2.6883333736659978</v>
      </c>
      <c r="L374" s="11">
        <v>1.0184700882641387</v>
      </c>
      <c r="M374" s="11">
        <v>117.17314487632508</v>
      </c>
      <c r="N374" s="11">
        <v>3.3111665324843527</v>
      </c>
      <c r="O374" s="11"/>
      <c r="P374" s="11">
        <v>7.22</v>
      </c>
      <c r="Q374" s="11">
        <v>123.87387387387386</v>
      </c>
      <c r="R374" s="11">
        <v>35.73333333333332</v>
      </c>
      <c r="S374" s="11">
        <v>0.88827838827838823</v>
      </c>
      <c r="T374" s="4">
        <f t="shared" si="32"/>
        <v>2</v>
      </c>
      <c r="U374" s="4" t="str">
        <f>IFERROR(INDEX('Date Key'!$G$2:$G$19, MATCH(B374,'Date Key'!$B$2:$B$19, 0)), "")</f>
        <v>Yes</v>
      </c>
      <c r="V374" s="4" t="s">
        <v>9</v>
      </c>
      <c r="W374" s="4" t="s">
        <v>8</v>
      </c>
      <c r="X374" s="4">
        <f t="shared" si="36"/>
        <v>0.218</v>
      </c>
      <c r="Y374" s="4">
        <f t="shared" si="35"/>
        <v>2.5</v>
      </c>
    </row>
    <row r="375" spans="1:25" x14ac:dyDescent="0.35">
      <c r="A375" s="4">
        <v>18</v>
      </c>
      <c r="B375" s="41">
        <v>45400</v>
      </c>
      <c r="C375" s="4" t="s">
        <v>6</v>
      </c>
      <c r="D375" s="4">
        <v>17</v>
      </c>
      <c r="E375" s="4" t="s">
        <v>430</v>
      </c>
      <c r="F375" s="4" t="str">
        <f t="shared" si="33"/>
        <v>tank 2</v>
      </c>
      <c r="G375" s="4">
        <f>IFERROR(INDEX('Date Key'!$I$2:$I$19, MATCH(B375,'Date Key'!$B$2:$B$19, 0)), "")</f>
        <v>6</v>
      </c>
      <c r="H375" s="4">
        <v>180</v>
      </c>
      <c r="I375" s="11">
        <v>0.22922636103151867</v>
      </c>
      <c r="J375" s="11">
        <v>0.91713260452307444</v>
      </c>
      <c r="K375" s="11">
        <v>5.1683082060837782</v>
      </c>
      <c r="L375" s="11">
        <v>0.80565544295521407</v>
      </c>
      <c r="M375" s="11">
        <v>133.32155477031802</v>
      </c>
      <c r="N375" s="11">
        <v>6.3146671716383711</v>
      </c>
      <c r="O375" s="11"/>
      <c r="P375" s="11">
        <v>7.45</v>
      </c>
      <c r="Q375" s="11">
        <v>123.87387387387392</v>
      </c>
      <c r="R375" s="11">
        <v>37.399999999999991</v>
      </c>
      <c r="S375" s="11">
        <v>0.70512820512820507</v>
      </c>
      <c r="T375" s="4">
        <f t="shared" si="32"/>
        <v>2</v>
      </c>
      <c r="U375" s="4" t="str">
        <f>IFERROR(INDEX('Date Key'!$G$2:$G$19, MATCH(B375,'Date Key'!$B$2:$B$19, 0)), "")</f>
        <v>Yes</v>
      </c>
      <c r="V375" s="4" t="s">
        <v>9</v>
      </c>
      <c r="W375" s="4" t="s">
        <v>8</v>
      </c>
      <c r="X375" s="4">
        <f t="shared" si="36"/>
        <v>0.218</v>
      </c>
      <c r="Y375" s="4">
        <f t="shared" si="35"/>
        <v>2.5</v>
      </c>
    </row>
    <row r="376" spans="1:25" x14ac:dyDescent="0.35">
      <c r="A376" s="4">
        <v>18</v>
      </c>
      <c r="B376" s="41">
        <v>45400</v>
      </c>
      <c r="C376" s="4" t="s">
        <v>6</v>
      </c>
      <c r="D376" s="4">
        <v>18</v>
      </c>
      <c r="E376" s="4" t="s">
        <v>431</v>
      </c>
      <c r="F376" s="4" t="str">
        <f t="shared" si="33"/>
        <v>tank 2</v>
      </c>
      <c r="G376" s="4">
        <f>IFERROR(INDEX('Date Key'!$I$2:$I$19, MATCH(B376,'Date Key'!$B$2:$B$19, 0)), "")</f>
        <v>6</v>
      </c>
      <c r="H376" s="4">
        <v>150</v>
      </c>
      <c r="I376" s="11">
        <v>0.25787965616045849</v>
      </c>
      <c r="J376" s="11">
        <v>0.95802386714512222</v>
      </c>
      <c r="K376" s="11">
        <v>5.2597826876073848</v>
      </c>
      <c r="L376" s="11">
        <v>0.86645962732919257</v>
      </c>
      <c r="M376" s="11">
        <v>136.13074204946997</v>
      </c>
      <c r="N376" s="11">
        <v>6.4756862109129649</v>
      </c>
      <c r="O376" s="11"/>
      <c r="P376" s="11">
        <v>7.48</v>
      </c>
      <c r="Q376" s="11">
        <v>128.92376681614337</v>
      </c>
      <c r="R376" s="11">
        <v>34.066666666666649</v>
      </c>
      <c r="S376" s="11">
        <v>0.72344322344322343</v>
      </c>
      <c r="T376" s="4">
        <f t="shared" si="32"/>
        <v>2</v>
      </c>
      <c r="U376" s="4" t="str">
        <f>IFERROR(INDEX('Date Key'!$G$2:$G$19, MATCH(B376,'Date Key'!$B$2:$B$19, 0)), "")</f>
        <v>Yes</v>
      </c>
      <c r="V376" s="4" t="s">
        <v>9</v>
      </c>
      <c r="W376" s="4" t="s">
        <v>8</v>
      </c>
      <c r="X376" s="4">
        <f t="shared" si="36"/>
        <v>0.218</v>
      </c>
      <c r="Y376" s="4">
        <f t="shared" si="35"/>
        <v>2.5</v>
      </c>
    </row>
    <row r="377" spans="1:25" x14ac:dyDescent="0.35">
      <c r="A377" s="4">
        <v>18</v>
      </c>
      <c r="B377" s="41">
        <v>45400</v>
      </c>
      <c r="C377" s="4" t="s">
        <v>6</v>
      </c>
      <c r="D377" s="4">
        <v>19</v>
      </c>
      <c r="E377" s="4" t="s">
        <v>52</v>
      </c>
      <c r="F377" s="4" t="str">
        <f t="shared" si="33"/>
        <v>tank 2</v>
      </c>
      <c r="G377" s="4">
        <f>IFERROR(INDEX('Date Key'!$I$2:$I$19, MATCH(B377,'Date Key'!$B$2:$B$19, 0)), "")</f>
        <v>6</v>
      </c>
      <c r="H377" s="4">
        <v>30</v>
      </c>
      <c r="I377" s="11">
        <v>6.6857688634192933E-2</v>
      </c>
      <c r="J377" s="11">
        <v>7.5940916298088967E-2</v>
      </c>
      <c r="K377" s="11">
        <v>0.3150787696924231</v>
      </c>
      <c r="L377" s="11">
        <v>1.1704805491990846</v>
      </c>
      <c r="M377" s="11">
        <v>103.67491166077738</v>
      </c>
      <c r="N377" s="11">
        <v>0.45787737462470501</v>
      </c>
      <c r="O377" s="11"/>
      <c r="P377" s="11">
        <v>7.3949999999999996</v>
      </c>
      <c r="Q377" s="11">
        <v>116.16068122917443</v>
      </c>
      <c r="R377" s="11">
        <v>44.066666666666663</v>
      </c>
      <c r="S377" s="11">
        <v>0.9432234432234432</v>
      </c>
      <c r="T377" s="4">
        <f t="shared" si="32"/>
        <v>2</v>
      </c>
      <c r="U377" s="4" t="str">
        <f>IFERROR(INDEX('Date Key'!$G$2:$G$19, MATCH(B377,'Date Key'!$B$2:$B$19, 0)), "")</f>
        <v>Yes</v>
      </c>
      <c r="V377" s="4" t="s">
        <v>9</v>
      </c>
      <c r="W377" s="4" t="s">
        <v>8</v>
      </c>
      <c r="X377" s="4">
        <f t="shared" si="36"/>
        <v>0.218</v>
      </c>
      <c r="Y377" s="4">
        <f t="shared" si="35"/>
        <v>2.5</v>
      </c>
    </row>
    <row r="378" spans="1:25" x14ac:dyDescent="0.35">
      <c r="A378" s="4">
        <v>18</v>
      </c>
      <c r="B378" s="41">
        <v>45400</v>
      </c>
      <c r="C378" s="4" t="s">
        <v>6</v>
      </c>
      <c r="D378" s="4">
        <v>20</v>
      </c>
      <c r="E378" s="4" t="s">
        <v>56</v>
      </c>
      <c r="F378" s="4" t="str">
        <f t="shared" si="33"/>
        <v>tank 2</v>
      </c>
      <c r="G378" s="4">
        <f>IFERROR(INDEX('Date Key'!$I$2:$I$19, MATCH(B378,'Date Key'!$B$2:$B$19, 0)), "")</f>
        <v>6</v>
      </c>
      <c r="H378" s="4">
        <v>0</v>
      </c>
      <c r="I378" s="11">
        <v>6.6857688634192933E-2</v>
      </c>
      <c r="J378" s="11">
        <v>0.19277309521822583</v>
      </c>
      <c r="K378" s="11">
        <v>0.20835854124821526</v>
      </c>
      <c r="L378" s="11">
        <v>1.0032690421706441</v>
      </c>
      <c r="M378" s="11">
        <v>113.37455830388691</v>
      </c>
      <c r="N378" s="11">
        <v>0.46798932510063407</v>
      </c>
      <c r="O378" s="11"/>
      <c r="P378" s="11">
        <v>7.47</v>
      </c>
      <c r="Q378" s="11">
        <v>108.447488584475</v>
      </c>
      <c r="R378" s="11">
        <v>37.73333333333332</v>
      </c>
      <c r="S378" s="11">
        <v>0.75396825396825395</v>
      </c>
      <c r="T378" s="4">
        <f t="shared" si="32"/>
        <v>2</v>
      </c>
      <c r="U378" s="4" t="str">
        <f>IFERROR(INDEX('Date Key'!$G$2:$G$19, MATCH(B378,'Date Key'!$B$2:$B$19, 0)), "")</f>
        <v>Yes</v>
      </c>
      <c r="V378" s="4" t="s">
        <v>9</v>
      </c>
      <c r="W378" s="4" t="s">
        <v>8</v>
      </c>
      <c r="X378" s="4">
        <f t="shared" si="36"/>
        <v>0.218</v>
      </c>
      <c r="Y378" s="4">
        <f t="shared" si="35"/>
        <v>2.5</v>
      </c>
    </row>
    <row r="379" spans="1:25" s="27" customFormat="1" x14ac:dyDescent="0.35">
      <c r="A379" s="4">
        <v>18</v>
      </c>
      <c r="B379" s="41">
        <v>45400</v>
      </c>
      <c r="C379" s="4" t="s">
        <v>6</v>
      </c>
      <c r="D379" s="4">
        <v>21</v>
      </c>
      <c r="E379" s="4" t="s">
        <v>432</v>
      </c>
      <c r="F379" s="4" t="str">
        <f t="shared" si="33"/>
        <v>tank 2</v>
      </c>
      <c r="G379" s="4">
        <f>IFERROR(INDEX('Date Key'!$I$2:$I$19, MATCH(B379,'Date Key'!$B$2:$B$19, 0)), "")</f>
        <v>6</v>
      </c>
      <c r="H379" s="4">
        <v>60</v>
      </c>
      <c r="I379" s="11">
        <v>7.6408787010506213E-2</v>
      </c>
      <c r="J379" s="11">
        <v>0.12851539681215055</v>
      </c>
      <c r="K379" s="11">
        <v>0.50819156402003729</v>
      </c>
      <c r="L379" s="11">
        <v>1.1248774109186008</v>
      </c>
      <c r="M379" s="11">
        <v>109.89399293286219</v>
      </c>
      <c r="N379" s="11">
        <v>0.71311574784269405</v>
      </c>
      <c r="O379" s="11"/>
      <c r="P379" s="11">
        <v>7.32</v>
      </c>
      <c r="Q379" s="11">
        <v>123.87387387387386</v>
      </c>
      <c r="R379" s="11">
        <v>38.399999999999991</v>
      </c>
      <c r="S379" s="11">
        <v>0.96764346764346765</v>
      </c>
      <c r="T379" s="4">
        <f t="shared" si="32"/>
        <v>2</v>
      </c>
      <c r="U379" s="4" t="str">
        <f>IFERROR(INDEX('Date Key'!$G$2:$G$19, MATCH(B379,'Date Key'!$B$2:$B$19, 0)), "")</f>
        <v>Yes</v>
      </c>
      <c r="V379" s="4" t="s">
        <v>9</v>
      </c>
      <c r="W379" s="4" t="s">
        <v>8</v>
      </c>
      <c r="X379" s="4">
        <f t="shared" si="36"/>
        <v>0.218</v>
      </c>
      <c r="Y379" s="4">
        <f t="shared" si="35"/>
        <v>2.5</v>
      </c>
    </row>
    <row r="380" spans="1:25" x14ac:dyDescent="0.35">
      <c r="I380" s="11"/>
      <c r="J380" s="11"/>
      <c r="K380" s="11"/>
      <c r="L380" s="11"/>
      <c r="M380" s="11"/>
      <c r="N380" s="11"/>
      <c r="O380" s="11"/>
      <c r="P380" s="11"/>
      <c r="Q380" s="11"/>
      <c r="R380" s="11"/>
      <c r="S380" s="11"/>
    </row>
    <row r="381" spans="1:25" x14ac:dyDescent="0.35">
      <c r="I381" s="11"/>
      <c r="J381" s="11"/>
      <c r="K381" s="11"/>
      <c r="L381" s="11"/>
      <c r="M381" s="11"/>
      <c r="N381" s="11"/>
      <c r="O381" s="11"/>
      <c r="P381" s="11"/>
      <c r="Q381" s="11"/>
      <c r="R381" s="11"/>
      <c r="S381" s="11"/>
    </row>
    <row r="382" spans="1:25" x14ac:dyDescent="0.35">
      <c r="I382" s="11"/>
      <c r="J382" s="11"/>
      <c r="K382" s="11"/>
      <c r="L382" s="11"/>
      <c r="M382" s="11"/>
      <c r="N382" s="11"/>
      <c r="O382" s="11"/>
      <c r="P382" s="11"/>
      <c r="Q382" s="11"/>
      <c r="R382" s="11"/>
      <c r="S382" s="11"/>
    </row>
    <row r="383" spans="1:25" x14ac:dyDescent="0.35">
      <c r="I383" s="11"/>
      <c r="J383" s="11"/>
      <c r="K383" s="11"/>
      <c r="L383" s="11"/>
      <c r="M383" s="11"/>
      <c r="N383" s="11"/>
      <c r="O383" s="11"/>
      <c r="P383" s="11"/>
      <c r="Q383" s="11"/>
      <c r="R383" s="11"/>
      <c r="S383" s="11"/>
    </row>
    <row r="384" spans="1:25" x14ac:dyDescent="0.35">
      <c r="I384" s="11"/>
      <c r="J384" s="11"/>
      <c r="K384" s="11"/>
      <c r="L384" s="11"/>
      <c r="M384" s="11"/>
      <c r="N384" s="11"/>
      <c r="O384" s="11"/>
      <c r="P384" s="11"/>
      <c r="Q384" s="11"/>
      <c r="R384" s="11"/>
      <c r="S384" s="11"/>
    </row>
    <row r="385" spans="9:19" x14ac:dyDescent="0.35">
      <c r="I385" s="11"/>
      <c r="J385" s="11"/>
      <c r="K385" s="11"/>
      <c r="L385" s="11"/>
      <c r="M385" s="11"/>
      <c r="N385" s="11"/>
      <c r="O385" s="11"/>
      <c r="P385" s="11"/>
      <c r="Q385" s="11"/>
      <c r="R385" s="11"/>
      <c r="S385" s="11"/>
    </row>
    <row r="386" spans="9:19" x14ac:dyDescent="0.35">
      <c r="I386" s="11"/>
      <c r="J386" s="11"/>
      <c r="K386" s="11"/>
      <c r="L386" s="11"/>
      <c r="M386" s="11"/>
      <c r="N386" s="11"/>
      <c r="O386" s="11"/>
      <c r="P386" s="11"/>
      <c r="Q386" s="11"/>
      <c r="R386" s="11"/>
      <c r="S386" s="11"/>
    </row>
    <row r="387" spans="9:19" x14ac:dyDescent="0.35">
      <c r="I387" s="11"/>
      <c r="J387" s="11"/>
      <c r="K387" s="11"/>
      <c r="L387" s="11"/>
      <c r="M387" s="11"/>
      <c r="N387" s="11"/>
      <c r="O387" s="11"/>
      <c r="P387" s="11"/>
      <c r="Q387" s="11"/>
      <c r="R387" s="11"/>
      <c r="S387" s="11"/>
    </row>
    <row r="388" spans="9:19" x14ac:dyDescent="0.35">
      <c r="I388" s="11"/>
      <c r="J388" s="11"/>
      <c r="K388" s="11"/>
      <c r="L388" s="11"/>
      <c r="M388" s="11"/>
      <c r="N388" s="11"/>
      <c r="O388" s="11"/>
      <c r="P388" s="11"/>
      <c r="Q388" s="11"/>
      <c r="R388" s="11"/>
      <c r="S388" s="11"/>
    </row>
    <row r="389" spans="9:19" x14ac:dyDescent="0.35">
      <c r="I389" s="11"/>
      <c r="J389" s="11"/>
      <c r="K389" s="11"/>
      <c r="L389" s="11"/>
      <c r="M389" s="11"/>
      <c r="N389" s="11"/>
      <c r="O389" s="11"/>
      <c r="P389" s="11"/>
      <c r="Q389" s="11"/>
      <c r="R389" s="11"/>
      <c r="S389" s="11"/>
    </row>
    <row r="390" spans="9:19" x14ac:dyDescent="0.35">
      <c r="I390" s="11"/>
      <c r="J390" s="11"/>
      <c r="K390" s="11"/>
      <c r="L390" s="11"/>
      <c r="M390" s="11"/>
      <c r="N390" s="11"/>
      <c r="O390" s="11"/>
      <c r="P390" s="11"/>
      <c r="Q390" s="11"/>
      <c r="R390" s="11"/>
      <c r="S390" s="11"/>
    </row>
    <row r="391" spans="9:19" x14ac:dyDescent="0.35">
      <c r="I391" s="11"/>
      <c r="J391" s="11"/>
      <c r="K391" s="11"/>
      <c r="L391" s="11"/>
      <c r="M391" s="11"/>
      <c r="N391" s="11"/>
      <c r="O391" s="11"/>
      <c r="P391" s="11"/>
      <c r="Q391" s="11"/>
      <c r="R391" s="11"/>
      <c r="S391" s="11"/>
    </row>
    <row r="392" spans="9:19" x14ac:dyDescent="0.35">
      <c r="I392" s="11"/>
      <c r="J392" s="11"/>
      <c r="K392" s="11"/>
      <c r="L392" s="11"/>
      <c r="M392" s="11"/>
      <c r="N392" s="11"/>
      <c r="O392" s="11"/>
      <c r="P392" s="11"/>
      <c r="Q392" s="11"/>
      <c r="R392" s="11"/>
      <c r="S392" s="11"/>
    </row>
    <row r="393" spans="9:19" x14ac:dyDescent="0.35">
      <c r="I393" s="11"/>
      <c r="J393" s="11"/>
      <c r="K393" s="11"/>
      <c r="L393" s="11"/>
      <c r="M393" s="11"/>
      <c r="N393" s="11"/>
      <c r="O393" s="11"/>
      <c r="P393" s="11"/>
      <c r="Q393" s="11"/>
      <c r="R393" s="11"/>
      <c r="S393" s="11"/>
    </row>
    <row r="394" spans="9:19" x14ac:dyDescent="0.35">
      <c r="I394" s="11"/>
      <c r="J394" s="11"/>
      <c r="K394" s="11"/>
      <c r="L394" s="11"/>
      <c r="M394" s="11"/>
      <c r="N394" s="11"/>
      <c r="O394" s="11"/>
      <c r="P394" s="11"/>
      <c r="Q394" s="11"/>
      <c r="R394" s="11"/>
      <c r="S394" s="11"/>
    </row>
    <row r="395" spans="9:19" x14ac:dyDescent="0.35">
      <c r="I395" s="11"/>
      <c r="J395" s="11"/>
      <c r="K395" s="11"/>
      <c r="L395" s="11"/>
      <c r="M395" s="11"/>
      <c r="N395" s="11"/>
      <c r="O395" s="11"/>
      <c r="P395" s="11"/>
      <c r="Q395" s="11"/>
      <c r="R395" s="11"/>
      <c r="S395" s="11"/>
    </row>
    <row r="396" spans="9:19" x14ac:dyDescent="0.35">
      <c r="I396" s="11"/>
      <c r="J396" s="11"/>
      <c r="K396" s="11"/>
      <c r="L396" s="11"/>
      <c r="M396" s="11"/>
      <c r="N396" s="11"/>
      <c r="O396" s="11"/>
      <c r="P396" s="11"/>
      <c r="Q396" s="11"/>
      <c r="R396" s="11"/>
      <c r="S396" s="11"/>
    </row>
    <row r="397" spans="9:19" x14ac:dyDescent="0.35">
      <c r="I397" s="11"/>
      <c r="J397" s="11"/>
      <c r="K397" s="11"/>
      <c r="L397" s="11"/>
      <c r="M397" s="11"/>
      <c r="N397" s="11"/>
      <c r="O397" s="11"/>
      <c r="P397" s="11"/>
      <c r="Q397" s="11"/>
      <c r="R397" s="11"/>
      <c r="S397" s="11"/>
    </row>
    <row r="398" spans="9:19" x14ac:dyDescent="0.35">
      <c r="I398" s="11"/>
      <c r="J398" s="11"/>
      <c r="K398" s="11"/>
      <c r="L398" s="11"/>
      <c r="M398" s="11"/>
      <c r="N398" s="11"/>
      <c r="O398" s="11"/>
      <c r="P398" s="11"/>
      <c r="Q398" s="11"/>
      <c r="R398" s="11"/>
      <c r="S398" s="11"/>
    </row>
    <row r="399" spans="9:19" x14ac:dyDescent="0.35">
      <c r="I399" s="11"/>
      <c r="J399" s="11"/>
      <c r="K399" s="11"/>
      <c r="L399" s="11"/>
      <c r="M399" s="11"/>
      <c r="N399" s="11"/>
      <c r="O399" s="11"/>
      <c r="P399" s="11"/>
      <c r="Q399" s="11"/>
      <c r="R399" s="11"/>
      <c r="S399" s="11"/>
    </row>
    <row r="400" spans="9:19" x14ac:dyDescent="0.35">
      <c r="I400" s="11"/>
      <c r="J400" s="11"/>
      <c r="K400" s="11"/>
      <c r="L400" s="11"/>
      <c r="M400" s="11"/>
      <c r="N400" s="11"/>
      <c r="O400" s="11"/>
      <c r="P400" s="11"/>
      <c r="Q400" s="11"/>
      <c r="R400" s="11"/>
      <c r="S400" s="11"/>
    </row>
    <row r="401" spans="9:19" x14ac:dyDescent="0.35">
      <c r="I401" s="11"/>
      <c r="J401" s="11"/>
      <c r="K401" s="11"/>
      <c r="L401" s="11"/>
      <c r="M401" s="11"/>
      <c r="N401" s="11"/>
      <c r="O401" s="11"/>
      <c r="P401" s="11"/>
      <c r="Q401" s="11"/>
      <c r="R401" s="11"/>
      <c r="S401" s="11"/>
    </row>
    <row r="402" spans="9:19" x14ac:dyDescent="0.35">
      <c r="I402" s="11"/>
      <c r="J402" s="11"/>
      <c r="K402" s="11"/>
      <c r="L402" s="11"/>
      <c r="M402" s="11"/>
      <c r="N402" s="11"/>
      <c r="O402" s="11"/>
      <c r="P402" s="11"/>
      <c r="Q402" s="11"/>
      <c r="R402" s="11"/>
      <c r="S402" s="11"/>
    </row>
    <row r="403" spans="9:19" x14ac:dyDescent="0.35">
      <c r="I403" s="11"/>
      <c r="J403" s="11"/>
      <c r="K403" s="11"/>
      <c r="L403" s="11"/>
      <c r="M403" s="11"/>
      <c r="N403" s="11"/>
      <c r="O403" s="11"/>
      <c r="P403" s="11"/>
      <c r="Q403" s="11"/>
      <c r="R403" s="11"/>
      <c r="S403" s="11"/>
    </row>
    <row r="404" spans="9:19" x14ac:dyDescent="0.35">
      <c r="I404" s="11"/>
      <c r="J404" s="11"/>
      <c r="K404" s="11"/>
      <c r="L404" s="11"/>
      <c r="M404" s="11"/>
      <c r="N404" s="11"/>
      <c r="O404" s="11"/>
      <c r="P404" s="11"/>
      <c r="Q404" s="11"/>
      <c r="R404" s="11"/>
      <c r="S404" s="11"/>
    </row>
    <row r="405" spans="9:19" x14ac:dyDescent="0.35">
      <c r="I405" s="11"/>
      <c r="J405" s="11"/>
      <c r="K405" s="11"/>
      <c r="L405" s="11"/>
      <c r="M405" s="11"/>
      <c r="N405" s="11"/>
      <c r="O405" s="11"/>
      <c r="P405" s="11"/>
      <c r="Q405" s="11"/>
      <c r="R405" s="11"/>
      <c r="S405" s="11"/>
    </row>
    <row r="406" spans="9:19" x14ac:dyDescent="0.35">
      <c r="I406" s="11"/>
      <c r="J406" s="11"/>
      <c r="K406" s="11"/>
      <c r="L406" s="11"/>
      <c r="M406" s="11"/>
      <c r="N406" s="11"/>
      <c r="O406" s="11"/>
      <c r="P406" s="11"/>
      <c r="Q406" s="11"/>
      <c r="R406" s="11"/>
      <c r="S406" s="11"/>
    </row>
    <row r="407" spans="9:19" x14ac:dyDescent="0.35">
      <c r="I407" s="11"/>
      <c r="J407" s="11"/>
      <c r="K407" s="11"/>
      <c r="L407" s="11"/>
      <c r="M407" s="11"/>
      <c r="N407" s="11"/>
      <c r="O407" s="11"/>
      <c r="P407" s="11"/>
      <c r="Q407" s="11"/>
      <c r="R407" s="11"/>
      <c r="S407" s="11"/>
    </row>
    <row r="408" spans="9:19" x14ac:dyDescent="0.35">
      <c r="I408" s="11"/>
      <c r="J408" s="11"/>
      <c r="K408" s="11"/>
      <c r="L408" s="11"/>
      <c r="M408" s="11"/>
      <c r="N408" s="11"/>
      <c r="O408" s="11"/>
      <c r="P408" s="11"/>
      <c r="Q408" s="11"/>
      <c r="R408" s="11"/>
      <c r="S408" s="11"/>
    </row>
    <row r="409" spans="9:19" x14ac:dyDescent="0.35">
      <c r="I409" s="11"/>
      <c r="J409" s="11"/>
      <c r="K409" s="11"/>
      <c r="L409" s="11"/>
      <c r="M409" s="11"/>
      <c r="N409" s="11"/>
      <c r="O409" s="11"/>
      <c r="P409" s="11"/>
      <c r="Q409" s="11"/>
      <c r="R409" s="11"/>
      <c r="S409" s="11"/>
    </row>
    <row r="410" spans="9:19" x14ac:dyDescent="0.35">
      <c r="I410" s="11"/>
      <c r="J410" s="11"/>
      <c r="K410" s="11"/>
      <c r="L410" s="11"/>
      <c r="M410" s="11"/>
      <c r="N410" s="11"/>
      <c r="O410" s="11"/>
      <c r="P410" s="11"/>
      <c r="Q410" s="11"/>
      <c r="R410" s="11"/>
      <c r="S410" s="11"/>
    </row>
    <row r="411" spans="9:19" x14ac:dyDescent="0.35">
      <c r="I411" s="11"/>
      <c r="J411" s="11"/>
      <c r="K411" s="11"/>
      <c r="L411" s="11"/>
      <c r="M411" s="11"/>
      <c r="N411" s="11"/>
      <c r="O411" s="11"/>
      <c r="P411" s="11"/>
      <c r="Q411" s="11"/>
      <c r="R411" s="11"/>
      <c r="S411" s="11"/>
    </row>
    <row r="412" spans="9:19" x14ac:dyDescent="0.35">
      <c r="I412" s="11"/>
      <c r="J412" s="11"/>
      <c r="K412" s="11"/>
      <c r="L412" s="11"/>
      <c r="M412" s="11"/>
      <c r="N412" s="11"/>
      <c r="O412" s="11"/>
      <c r="P412" s="11"/>
      <c r="Q412" s="11"/>
      <c r="R412" s="11"/>
      <c r="S412" s="11"/>
    </row>
    <row r="413" spans="9:19" x14ac:dyDescent="0.35">
      <c r="I413" s="11"/>
      <c r="J413" s="11"/>
      <c r="K413" s="11"/>
      <c r="L413" s="11"/>
      <c r="M413" s="11"/>
      <c r="N413" s="11"/>
      <c r="O413" s="11"/>
      <c r="P413" s="11"/>
      <c r="Q413" s="11"/>
      <c r="R413" s="11"/>
      <c r="S413" s="11"/>
    </row>
    <row r="414" spans="9:19" x14ac:dyDescent="0.35">
      <c r="I414" s="11"/>
      <c r="J414" s="11"/>
      <c r="K414" s="11"/>
      <c r="L414" s="11"/>
      <c r="M414" s="11"/>
      <c r="N414" s="11"/>
      <c r="O414" s="11"/>
      <c r="P414" s="11"/>
      <c r="Q414" s="11"/>
      <c r="R414" s="11"/>
      <c r="S414" s="11"/>
    </row>
    <row r="415" spans="9:19" x14ac:dyDescent="0.35">
      <c r="I415" s="11"/>
      <c r="J415" s="11"/>
      <c r="K415" s="11"/>
      <c r="L415" s="11"/>
      <c r="M415" s="11"/>
      <c r="N415" s="11"/>
      <c r="O415" s="11"/>
      <c r="P415" s="11"/>
      <c r="Q415" s="11"/>
      <c r="R415" s="11"/>
      <c r="S415" s="11"/>
    </row>
    <row r="416" spans="9:19" x14ac:dyDescent="0.35">
      <c r="I416" s="11"/>
      <c r="J416" s="11"/>
      <c r="K416" s="11"/>
      <c r="L416" s="11"/>
      <c r="M416" s="11"/>
      <c r="N416" s="11"/>
      <c r="O416" s="11"/>
      <c r="P416" s="11"/>
      <c r="Q416" s="11"/>
      <c r="R416" s="11"/>
      <c r="S416" s="11"/>
    </row>
    <row r="417" spans="9:19" x14ac:dyDescent="0.35">
      <c r="I417" s="11"/>
      <c r="J417" s="11"/>
      <c r="K417" s="11"/>
      <c r="L417" s="11"/>
      <c r="M417" s="11"/>
      <c r="N417" s="11"/>
      <c r="O417" s="11"/>
      <c r="P417" s="11"/>
      <c r="Q417" s="11"/>
      <c r="R417" s="11"/>
      <c r="S417" s="11"/>
    </row>
    <row r="418" spans="9:19" x14ac:dyDescent="0.35">
      <c r="I418" s="11"/>
      <c r="J418" s="11"/>
      <c r="K418" s="11"/>
      <c r="L418" s="11"/>
      <c r="M418" s="11"/>
      <c r="N418" s="11"/>
      <c r="O418" s="11"/>
      <c r="P418" s="11"/>
      <c r="Q418" s="11"/>
      <c r="R418" s="11"/>
      <c r="S418" s="11"/>
    </row>
    <row r="419" spans="9:19" x14ac:dyDescent="0.35">
      <c r="I419" s="11"/>
      <c r="J419" s="11"/>
      <c r="K419" s="11"/>
      <c r="L419" s="11"/>
      <c r="M419" s="11"/>
      <c r="N419" s="11"/>
      <c r="O419" s="11"/>
      <c r="P419" s="11"/>
      <c r="Q419" s="11"/>
      <c r="R419" s="11"/>
      <c r="S419" s="11"/>
    </row>
    <row r="420" spans="9:19" x14ac:dyDescent="0.35">
      <c r="I420" s="11"/>
      <c r="J420" s="11"/>
      <c r="K420" s="11"/>
      <c r="L420" s="11"/>
      <c r="M420" s="11"/>
      <c r="N420" s="11"/>
      <c r="O420" s="11"/>
      <c r="P420" s="11"/>
      <c r="Q420" s="11"/>
      <c r="R420" s="11"/>
      <c r="S420" s="11"/>
    </row>
    <row r="421" spans="9:19" x14ac:dyDescent="0.35">
      <c r="I421" s="11"/>
      <c r="J421" s="11"/>
      <c r="K421" s="11"/>
      <c r="L421" s="11"/>
      <c r="M421" s="11"/>
      <c r="N421" s="11"/>
      <c r="O421" s="11"/>
      <c r="P421" s="11"/>
      <c r="Q421" s="11"/>
      <c r="R421" s="11"/>
      <c r="S421" s="11"/>
    </row>
    <row r="422" spans="9:19" x14ac:dyDescent="0.35">
      <c r="I422" s="11"/>
      <c r="J422" s="11"/>
      <c r="K422" s="11"/>
      <c r="L422" s="11"/>
      <c r="M422" s="11"/>
      <c r="N422" s="11"/>
      <c r="O422" s="11"/>
      <c r="P422" s="11"/>
      <c r="Q422" s="11"/>
      <c r="R422" s="11"/>
      <c r="S422" s="11"/>
    </row>
    <row r="423" spans="9:19" x14ac:dyDescent="0.35">
      <c r="I423" s="11"/>
      <c r="J423" s="11"/>
      <c r="K423" s="11"/>
      <c r="L423" s="11"/>
      <c r="M423" s="11"/>
      <c r="N423" s="11"/>
      <c r="O423" s="11"/>
      <c r="P423" s="11"/>
      <c r="Q423" s="11"/>
      <c r="R423" s="11"/>
      <c r="S423" s="11"/>
    </row>
    <row r="424" spans="9:19" x14ac:dyDescent="0.35">
      <c r="I424" s="11"/>
      <c r="J424" s="11"/>
      <c r="K424" s="11"/>
      <c r="L424" s="11"/>
      <c r="M424" s="11"/>
      <c r="N424" s="11"/>
      <c r="O424" s="11"/>
      <c r="P424" s="11"/>
      <c r="Q424" s="11"/>
      <c r="R424" s="11"/>
      <c r="S424" s="11"/>
    </row>
    <row r="425" spans="9:19" x14ac:dyDescent="0.35">
      <c r="I425" s="11"/>
      <c r="J425" s="11"/>
      <c r="K425" s="11"/>
      <c r="L425" s="11"/>
      <c r="M425" s="11"/>
      <c r="N425" s="11"/>
      <c r="O425" s="11"/>
      <c r="P425" s="11"/>
      <c r="Q425" s="11"/>
      <c r="R425" s="11"/>
      <c r="S425" s="11"/>
    </row>
    <row r="426" spans="9:19" x14ac:dyDescent="0.35">
      <c r="I426" s="11"/>
      <c r="J426" s="11"/>
      <c r="K426" s="11"/>
      <c r="L426" s="11"/>
      <c r="M426" s="11"/>
      <c r="N426" s="11"/>
      <c r="O426" s="11"/>
      <c r="P426" s="11"/>
      <c r="Q426" s="11"/>
      <c r="R426" s="11"/>
      <c r="S426" s="11"/>
    </row>
    <row r="427" spans="9:19" x14ac:dyDescent="0.35">
      <c r="I427" s="11"/>
      <c r="J427" s="11"/>
      <c r="K427" s="11"/>
      <c r="L427" s="11"/>
      <c r="M427" s="11"/>
      <c r="N427" s="11"/>
      <c r="O427" s="11"/>
      <c r="P427" s="11"/>
      <c r="Q427" s="11"/>
      <c r="R427" s="11"/>
      <c r="S427" s="11"/>
    </row>
    <row r="428" spans="9:19" x14ac:dyDescent="0.35">
      <c r="I428" s="11"/>
      <c r="J428" s="11"/>
      <c r="K428" s="11"/>
      <c r="L428" s="11"/>
      <c r="M428" s="11"/>
      <c r="N428" s="11"/>
      <c r="O428" s="11"/>
      <c r="P428" s="11"/>
      <c r="Q428" s="11"/>
      <c r="R428" s="11"/>
      <c r="S428" s="11"/>
    </row>
    <row r="429" spans="9:19" x14ac:dyDescent="0.35">
      <c r="I429" s="11"/>
      <c r="J429" s="11"/>
      <c r="K429" s="11"/>
      <c r="L429" s="11"/>
      <c r="M429" s="11"/>
      <c r="N429" s="11"/>
      <c r="O429" s="11"/>
      <c r="P429" s="11"/>
      <c r="Q429" s="11"/>
      <c r="R429" s="11"/>
      <c r="S429" s="11"/>
    </row>
    <row r="430" spans="9:19" x14ac:dyDescent="0.35">
      <c r="I430" s="11"/>
      <c r="J430" s="11"/>
      <c r="K430" s="11"/>
      <c r="L430" s="11"/>
      <c r="M430" s="11"/>
      <c r="N430" s="11"/>
      <c r="O430" s="11"/>
      <c r="P430" s="11"/>
      <c r="Q430" s="11"/>
      <c r="R430" s="11"/>
      <c r="S430" s="11"/>
    </row>
    <row r="431" spans="9:19" x14ac:dyDescent="0.35">
      <c r="I431" s="11"/>
      <c r="J431" s="11"/>
      <c r="K431" s="11"/>
      <c r="L431" s="11"/>
      <c r="M431" s="11"/>
      <c r="N431" s="11"/>
      <c r="O431" s="11"/>
      <c r="P431" s="11"/>
      <c r="Q431" s="11"/>
      <c r="R431" s="11"/>
      <c r="S431" s="11"/>
    </row>
    <row r="432" spans="9:19" x14ac:dyDescent="0.35">
      <c r="I432" s="11"/>
      <c r="J432" s="11"/>
      <c r="K432" s="11"/>
      <c r="L432" s="11"/>
      <c r="M432" s="11"/>
      <c r="N432" s="11"/>
      <c r="O432" s="11"/>
      <c r="P432" s="11"/>
      <c r="Q432" s="11"/>
      <c r="R432" s="11"/>
      <c r="S432" s="11"/>
    </row>
    <row r="433" spans="9:19" x14ac:dyDescent="0.35">
      <c r="I433" s="11"/>
      <c r="J433" s="11"/>
      <c r="K433" s="11"/>
      <c r="L433" s="11"/>
      <c r="M433" s="11"/>
      <c r="N433" s="11"/>
      <c r="O433" s="11"/>
      <c r="P433" s="11"/>
      <c r="Q433" s="11"/>
      <c r="R433" s="11"/>
      <c r="S433" s="11"/>
    </row>
    <row r="434" spans="9:19" x14ac:dyDescent="0.35">
      <c r="I434" s="11"/>
      <c r="J434" s="11"/>
      <c r="K434" s="11"/>
      <c r="L434" s="11"/>
      <c r="M434" s="11"/>
      <c r="N434" s="11"/>
      <c r="O434" s="11"/>
      <c r="P434" s="11"/>
      <c r="Q434" s="11"/>
      <c r="R434" s="11"/>
      <c r="S434" s="11"/>
    </row>
    <row r="435" spans="9:19" x14ac:dyDescent="0.35">
      <c r="I435" s="11"/>
      <c r="J435" s="11"/>
      <c r="K435" s="11"/>
      <c r="L435" s="11"/>
      <c r="M435" s="11"/>
      <c r="N435" s="11"/>
      <c r="O435" s="11"/>
      <c r="P435" s="11"/>
      <c r="Q435" s="11"/>
      <c r="R435" s="11"/>
      <c r="S435" s="11"/>
    </row>
    <row r="436" spans="9:19" x14ac:dyDescent="0.35">
      <c r="I436" s="11"/>
      <c r="J436" s="11"/>
      <c r="K436" s="11"/>
      <c r="L436" s="11"/>
      <c r="M436" s="11"/>
      <c r="N436" s="11"/>
      <c r="O436" s="11"/>
      <c r="P436" s="11"/>
      <c r="Q436" s="11"/>
      <c r="R436" s="11"/>
      <c r="S436" s="11"/>
    </row>
    <row r="437" spans="9:19" x14ac:dyDescent="0.35">
      <c r="I437" s="11"/>
      <c r="J437" s="11"/>
      <c r="K437" s="11"/>
      <c r="L437" s="11"/>
      <c r="M437" s="11"/>
      <c r="N437" s="11"/>
      <c r="O437" s="11"/>
      <c r="P437" s="11"/>
      <c r="Q437" s="11"/>
      <c r="R437" s="11"/>
      <c r="S437" s="11"/>
    </row>
    <row r="438" spans="9:19" x14ac:dyDescent="0.35">
      <c r="I438" s="11"/>
      <c r="J438" s="11"/>
      <c r="K438" s="11"/>
      <c r="L438" s="11"/>
      <c r="M438" s="11"/>
      <c r="N438" s="11"/>
      <c r="O438" s="11"/>
      <c r="P438" s="11"/>
      <c r="Q438" s="11"/>
      <c r="R438" s="11"/>
      <c r="S438" s="11"/>
    </row>
    <row r="439" spans="9:19" x14ac:dyDescent="0.35">
      <c r="I439" s="11"/>
      <c r="J439" s="11"/>
      <c r="K439" s="11"/>
      <c r="L439" s="11"/>
      <c r="M439" s="11"/>
      <c r="N439" s="11"/>
      <c r="O439" s="11"/>
      <c r="P439" s="11"/>
      <c r="Q439" s="11"/>
      <c r="R439" s="11"/>
      <c r="S439" s="11"/>
    </row>
    <row r="440" spans="9:19" x14ac:dyDescent="0.35">
      <c r="I440" s="11"/>
      <c r="J440" s="11"/>
      <c r="K440" s="11"/>
      <c r="L440" s="11"/>
      <c r="M440" s="11"/>
      <c r="N440" s="11"/>
      <c r="O440" s="11"/>
      <c r="P440" s="11"/>
      <c r="Q440" s="11"/>
      <c r="R440" s="11"/>
      <c r="S440" s="11"/>
    </row>
    <row r="441" spans="9:19" x14ac:dyDescent="0.35">
      <c r="I441" s="11"/>
      <c r="J441" s="11"/>
      <c r="K441" s="11"/>
      <c r="L441" s="11"/>
      <c r="M441" s="11"/>
      <c r="N441" s="11"/>
      <c r="O441" s="11"/>
      <c r="P441" s="11"/>
      <c r="Q441" s="11"/>
      <c r="R441" s="11"/>
      <c r="S441" s="11"/>
    </row>
    <row r="442" spans="9:19" x14ac:dyDescent="0.35">
      <c r="I442" s="11"/>
      <c r="J442" s="11"/>
      <c r="K442" s="11"/>
      <c r="L442" s="11"/>
      <c r="M442" s="11"/>
      <c r="N442" s="11"/>
      <c r="O442" s="11"/>
      <c r="P442" s="11"/>
      <c r="Q442" s="11"/>
      <c r="R442" s="11"/>
      <c r="S442" s="11"/>
    </row>
    <row r="443" spans="9:19" x14ac:dyDescent="0.35">
      <c r="I443" s="11"/>
      <c r="J443" s="11"/>
      <c r="K443" s="11"/>
      <c r="L443" s="11"/>
      <c r="M443" s="11"/>
      <c r="N443" s="11"/>
      <c r="O443" s="11"/>
      <c r="P443" s="11"/>
      <c r="Q443" s="11"/>
      <c r="R443" s="11"/>
      <c r="S443" s="11"/>
    </row>
    <row r="444" spans="9:19" x14ac:dyDescent="0.35">
      <c r="I444" s="11"/>
      <c r="J444" s="11"/>
      <c r="K444" s="11"/>
      <c r="L444" s="11"/>
      <c r="M444" s="11"/>
      <c r="N444" s="11"/>
      <c r="O444" s="11"/>
      <c r="P444" s="11"/>
      <c r="Q444" s="11"/>
      <c r="R444" s="11"/>
      <c r="S444" s="11"/>
    </row>
    <row r="445" spans="9:19" x14ac:dyDescent="0.35">
      <c r="I445" s="11"/>
      <c r="J445" s="11"/>
      <c r="K445" s="11"/>
      <c r="L445" s="11"/>
      <c r="M445" s="11"/>
      <c r="N445" s="11"/>
      <c r="O445" s="11"/>
      <c r="P445" s="11"/>
      <c r="Q445" s="11"/>
      <c r="R445" s="11"/>
      <c r="S445" s="11"/>
    </row>
    <row r="446" spans="9:19" x14ac:dyDescent="0.35">
      <c r="I446" s="11"/>
      <c r="J446" s="11"/>
      <c r="K446" s="11"/>
      <c r="L446" s="11"/>
      <c r="M446" s="11"/>
      <c r="N446" s="11"/>
      <c r="O446" s="11"/>
      <c r="P446" s="11"/>
      <c r="Q446" s="11"/>
      <c r="R446" s="11"/>
      <c r="S446" s="11"/>
    </row>
    <row r="447" spans="9:19" x14ac:dyDescent="0.35">
      <c r="I447" s="11"/>
      <c r="J447" s="11"/>
      <c r="K447" s="11"/>
      <c r="L447" s="11"/>
      <c r="M447" s="11"/>
      <c r="N447" s="11"/>
      <c r="O447" s="11"/>
      <c r="P447" s="11"/>
      <c r="Q447" s="11"/>
      <c r="R447" s="11"/>
      <c r="S447" s="11"/>
    </row>
    <row r="448" spans="9:19" x14ac:dyDescent="0.35">
      <c r="I448" s="11"/>
      <c r="J448" s="11"/>
      <c r="K448" s="11"/>
      <c r="L448" s="11"/>
      <c r="M448" s="11"/>
      <c r="N448" s="11"/>
      <c r="O448" s="11"/>
      <c r="P448" s="11"/>
      <c r="Q448" s="11"/>
      <c r="R448" s="11"/>
      <c r="S448" s="11"/>
    </row>
    <row r="449" spans="9:19" x14ac:dyDescent="0.35">
      <c r="I449" s="11"/>
      <c r="J449" s="11"/>
      <c r="K449" s="11"/>
      <c r="L449" s="11"/>
      <c r="M449" s="11"/>
      <c r="N449" s="11"/>
      <c r="O449" s="11"/>
      <c r="P449" s="11"/>
      <c r="Q449" s="11"/>
      <c r="R449" s="11"/>
      <c r="S449" s="11"/>
    </row>
    <row r="450" spans="9:19" x14ac:dyDescent="0.35">
      <c r="I450" s="11"/>
      <c r="J450" s="11"/>
      <c r="K450" s="11"/>
      <c r="L450" s="11"/>
      <c r="M450" s="11"/>
      <c r="N450" s="11"/>
      <c r="O450" s="11"/>
      <c r="P450" s="11"/>
      <c r="Q450" s="11"/>
      <c r="R450" s="11"/>
      <c r="S450" s="11"/>
    </row>
    <row r="451" spans="9:19" x14ac:dyDescent="0.35">
      <c r="I451" s="11"/>
      <c r="J451" s="11"/>
      <c r="K451" s="11"/>
      <c r="L451" s="11"/>
      <c r="M451" s="11"/>
      <c r="N451" s="11"/>
      <c r="O451" s="11"/>
      <c r="P451" s="11"/>
      <c r="Q451" s="11"/>
      <c r="R451" s="11"/>
      <c r="S451" s="11"/>
    </row>
    <row r="452" spans="9:19" x14ac:dyDescent="0.35">
      <c r="I452" s="11"/>
      <c r="J452" s="11"/>
      <c r="K452" s="11"/>
      <c r="L452" s="11"/>
      <c r="M452" s="11"/>
      <c r="N452" s="11"/>
      <c r="O452" s="11"/>
      <c r="P452" s="11"/>
      <c r="Q452" s="11"/>
      <c r="R452" s="11"/>
      <c r="S452" s="11"/>
    </row>
    <row r="453" spans="9:19" x14ac:dyDescent="0.35">
      <c r="I453" s="11"/>
      <c r="J453" s="11"/>
      <c r="K453" s="11"/>
      <c r="L453" s="11"/>
      <c r="M453" s="11"/>
      <c r="N453" s="11"/>
      <c r="O453" s="11"/>
      <c r="P453" s="11"/>
      <c r="Q453" s="11"/>
      <c r="R453" s="11"/>
      <c r="S453" s="11"/>
    </row>
    <row r="454" spans="9:19" x14ac:dyDescent="0.35">
      <c r="I454" s="11"/>
      <c r="J454" s="11"/>
      <c r="K454" s="11"/>
      <c r="L454" s="11"/>
      <c r="M454" s="11"/>
      <c r="N454" s="11"/>
      <c r="O454" s="11"/>
      <c r="P454" s="11"/>
      <c r="Q454" s="11"/>
      <c r="R454" s="11"/>
      <c r="S454" s="11"/>
    </row>
    <row r="455" spans="9:19" x14ac:dyDescent="0.35">
      <c r="I455" s="11"/>
      <c r="J455" s="11"/>
      <c r="K455" s="11"/>
      <c r="L455" s="11"/>
      <c r="M455" s="11"/>
      <c r="N455" s="11"/>
      <c r="O455" s="11"/>
      <c r="P455" s="11"/>
      <c r="Q455" s="11"/>
      <c r="R455" s="11"/>
      <c r="S455" s="11"/>
    </row>
    <row r="456" spans="9:19" x14ac:dyDescent="0.35">
      <c r="I456" s="11"/>
      <c r="J456" s="11"/>
      <c r="K456" s="11"/>
      <c r="L456" s="11"/>
      <c r="M456" s="11"/>
      <c r="N456" s="11"/>
      <c r="O456" s="11"/>
      <c r="P456" s="11"/>
      <c r="Q456" s="11"/>
      <c r="R456" s="11"/>
      <c r="S456" s="11"/>
    </row>
    <row r="457" spans="9:19" x14ac:dyDescent="0.35">
      <c r="I457" s="11"/>
      <c r="J457" s="11"/>
      <c r="K457" s="11"/>
      <c r="L457" s="11"/>
      <c r="M457" s="11"/>
      <c r="N457" s="11"/>
      <c r="O457" s="11"/>
      <c r="P457" s="11"/>
      <c r="Q457" s="11"/>
      <c r="R457" s="11"/>
      <c r="S457" s="11"/>
    </row>
    <row r="458" spans="9:19" x14ac:dyDescent="0.35">
      <c r="I458" s="11"/>
      <c r="J458" s="11"/>
      <c r="K458" s="11"/>
      <c r="L458" s="11"/>
      <c r="M458" s="11"/>
      <c r="N458" s="11"/>
      <c r="O458" s="11"/>
      <c r="P458" s="11"/>
      <c r="Q458" s="11"/>
      <c r="R458" s="11"/>
      <c r="S458" s="11"/>
    </row>
    <row r="459" spans="9:19" x14ac:dyDescent="0.35">
      <c r="I459" s="11"/>
      <c r="J459" s="11"/>
      <c r="K459" s="11"/>
      <c r="L459" s="11"/>
      <c r="M459" s="11"/>
      <c r="N459" s="11"/>
      <c r="O459" s="11"/>
      <c r="P459" s="11"/>
      <c r="Q459" s="11"/>
      <c r="R459" s="11"/>
      <c r="S459" s="11"/>
    </row>
    <row r="460" spans="9:19" x14ac:dyDescent="0.35">
      <c r="I460" s="11"/>
      <c r="J460" s="11"/>
      <c r="K460" s="11"/>
      <c r="L460" s="11"/>
      <c r="M460" s="11"/>
      <c r="N460" s="11"/>
      <c r="O460" s="11"/>
      <c r="P460" s="11"/>
      <c r="Q460" s="11"/>
      <c r="R460" s="11"/>
      <c r="S460" s="11"/>
    </row>
    <row r="461" spans="9:19" x14ac:dyDescent="0.35">
      <c r="I461" s="11"/>
      <c r="J461" s="11"/>
      <c r="K461" s="11"/>
      <c r="L461" s="11"/>
      <c r="M461" s="11"/>
      <c r="N461" s="11"/>
      <c r="O461" s="11"/>
      <c r="P461" s="11"/>
      <c r="Q461" s="11"/>
      <c r="R461" s="11"/>
      <c r="S461" s="11"/>
    </row>
    <row r="462" spans="9:19" x14ac:dyDescent="0.35">
      <c r="I462" s="11"/>
      <c r="J462" s="11"/>
      <c r="K462" s="11"/>
      <c r="L462" s="11"/>
      <c r="M462" s="11"/>
      <c r="N462" s="11"/>
      <c r="O462" s="11"/>
      <c r="P462" s="11"/>
      <c r="Q462" s="11"/>
      <c r="R462" s="11"/>
      <c r="S462" s="11"/>
    </row>
    <row r="463" spans="9:19" x14ac:dyDescent="0.35">
      <c r="I463" s="11"/>
      <c r="J463" s="11"/>
      <c r="K463" s="11"/>
      <c r="L463" s="11"/>
      <c r="M463" s="11"/>
      <c r="N463" s="11"/>
      <c r="O463" s="11"/>
      <c r="P463" s="11"/>
      <c r="Q463" s="11"/>
      <c r="R463" s="11"/>
      <c r="S463" s="11"/>
    </row>
    <row r="464" spans="9:19" x14ac:dyDescent="0.35">
      <c r="I464" s="11"/>
      <c r="J464" s="11"/>
      <c r="K464" s="11"/>
      <c r="L464" s="11"/>
      <c r="M464" s="11"/>
      <c r="N464" s="11"/>
      <c r="O464" s="11"/>
      <c r="P464" s="11"/>
      <c r="Q464" s="11"/>
      <c r="R464" s="11"/>
      <c r="S464" s="11"/>
    </row>
    <row r="465" spans="9:19" x14ac:dyDescent="0.35">
      <c r="I465" s="11"/>
      <c r="J465" s="11"/>
      <c r="K465" s="11"/>
      <c r="L465" s="11"/>
      <c r="M465" s="11"/>
      <c r="N465" s="11"/>
      <c r="O465" s="11"/>
      <c r="P465" s="11"/>
      <c r="Q465" s="11"/>
      <c r="R465" s="11"/>
      <c r="S465" s="11"/>
    </row>
    <row r="466" spans="9:19" x14ac:dyDescent="0.35">
      <c r="I466" s="11"/>
      <c r="J466" s="11"/>
      <c r="K466" s="11"/>
      <c r="L466" s="11"/>
      <c r="M466" s="11"/>
      <c r="N466" s="11"/>
      <c r="O466" s="11"/>
      <c r="P466" s="11"/>
      <c r="Q466" s="11"/>
      <c r="R466" s="11"/>
      <c r="S466" s="11"/>
    </row>
    <row r="467" spans="9:19" x14ac:dyDescent="0.35">
      <c r="I467" s="11"/>
      <c r="J467" s="11"/>
      <c r="K467" s="11"/>
      <c r="L467" s="11"/>
      <c r="M467" s="11"/>
      <c r="N467" s="11"/>
      <c r="O467" s="11"/>
      <c r="P467" s="11"/>
      <c r="Q467" s="11"/>
      <c r="R467" s="11"/>
      <c r="S467" s="11"/>
    </row>
    <row r="468" spans="9:19" x14ac:dyDescent="0.35">
      <c r="I468" s="11"/>
      <c r="J468" s="11"/>
      <c r="K468" s="11"/>
      <c r="L468" s="11"/>
      <c r="M468" s="11"/>
      <c r="N468" s="11"/>
      <c r="O468" s="11"/>
      <c r="P468" s="11"/>
      <c r="Q468" s="11"/>
      <c r="R468" s="11"/>
      <c r="S468" s="11"/>
    </row>
    <row r="469" spans="9:19" x14ac:dyDescent="0.35">
      <c r="I469" s="11"/>
      <c r="J469" s="11"/>
      <c r="K469" s="11"/>
      <c r="L469" s="11"/>
      <c r="M469" s="11"/>
      <c r="N469" s="11"/>
      <c r="O469" s="11"/>
      <c r="P469" s="11"/>
      <c r="Q469" s="11"/>
      <c r="R469" s="11"/>
      <c r="S469" s="11"/>
    </row>
    <row r="470" spans="9:19" x14ac:dyDescent="0.35">
      <c r="I470" s="11"/>
      <c r="J470" s="11"/>
      <c r="K470" s="11"/>
      <c r="L470" s="11"/>
      <c r="M470" s="11"/>
      <c r="N470" s="11"/>
      <c r="O470" s="11"/>
      <c r="P470" s="11"/>
      <c r="Q470" s="11"/>
      <c r="R470" s="11"/>
      <c r="S470" s="11"/>
    </row>
    <row r="471" spans="9:19" x14ac:dyDescent="0.35">
      <c r="I471" s="11"/>
      <c r="J471" s="11"/>
      <c r="K471" s="11"/>
      <c r="L471" s="11"/>
      <c r="M471" s="11"/>
      <c r="N471" s="11"/>
      <c r="O471" s="11"/>
      <c r="P471" s="11"/>
      <c r="Q471" s="11"/>
      <c r="R471" s="11"/>
      <c r="S471" s="11"/>
    </row>
    <row r="472" spans="9:19" x14ac:dyDescent="0.35">
      <c r="I472" s="11"/>
      <c r="J472" s="11"/>
      <c r="K472" s="11"/>
      <c r="L472" s="11"/>
      <c r="M472" s="11"/>
      <c r="N472" s="11"/>
      <c r="O472" s="11"/>
      <c r="P472" s="11"/>
      <c r="Q472" s="11"/>
      <c r="R472" s="11"/>
      <c r="S472" s="11"/>
    </row>
    <row r="473" spans="9:19" x14ac:dyDescent="0.35">
      <c r="I473" s="11"/>
      <c r="J473" s="11"/>
      <c r="K473" s="11"/>
      <c r="L473" s="11"/>
      <c r="M473" s="11"/>
      <c r="N473" s="11"/>
      <c r="O473" s="11"/>
      <c r="P473" s="11"/>
      <c r="Q473" s="11"/>
      <c r="R473" s="11"/>
      <c r="S473" s="11"/>
    </row>
    <row r="474" spans="9:19" x14ac:dyDescent="0.35">
      <c r="I474" s="11"/>
      <c r="J474" s="11"/>
      <c r="K474" s="11"/>
      <c r="L474" s="11"/>
      <c r="M474" s="11"/>
      <c r="N474" s="11"/>
      <c r="O474" s="11"/>
      <c r="P474" s="11"/>
      <c r="Q474" s="11"/>
      <c r="R474" s="11"/>
      <c r="S474" s="11"/>
    </row>
    <row r="475" spans="9:19" x14ac:dyDescent="0.35">
      <c r="I475" s="11"/>
      <c r="J475" s="11"/>
      <c r="K475" s="11"/>
      <c r="L475" s="11"/>
      <c r="M475" s="11"/>
      <c r="N475" s="11"/>
      <c r="O475" s="11"/>
      <c r="P475" s="11"/>
      <c r="Q475" s="11"/>
      <c r="R475" s="11"/>
      <c r="S475" s="11"/>
    </row>
    <row r="476" spans="9:19" x14ac:dyDescent="0.35">
      <c r="I476" s="11"/>
      <c r="J476" s="11"/>
      <c r="K476" s="11"/>
      <c r="L476" s="11"/>
      <c r="M476" s="11"/>
      <c r="N476" s="11"/>
      <c r="O476" s="11"/>
      <c r="P476" s="11"/>
      <c r="Q476" s="11"/>
      <c r="R476" s="11"/>
      <c r="S476" s="11"/>
    </row>
    <row r="477" spans="9:19" x14ac:dyDescent="0.35">
      <c r="I477" s="11"/>
      <c r="J477" s="11"/>
      <c r="K477" s="11"/>
      <c r="L477" s="11"/>
      <c r="M477" s="11"/>
      <c r="N477" s="11"/>
      <c r="O477" s="11"/>
      <c r="P477" s="11"/>
      <c r="Q477" s="11"/>
      <c r="R477" s="11"/>
      <c r="S477" s="11"/>
    </row>
    <row r="478" spans="9:19" x14ac:dyDescent="0.35">
      <c r="I478" s="11"/>
      <c r="J478" s="11"/>
      <c r="K478" s="11"/>
      <c r="L478" s="11"/>
      <c r="M478" s="11"/>
      <c r="N478" s="11"/>
      <c r="O478" s="11"/>
      <c r="P478" s="11"/>
      <c r="Q478" s="11"/>
      <c r="R478" s="11"/>
      <c r="S478" s="11"/>
    </row>
    <row r="479" spans="9:19" x14ac:dyDescent="0.35">
      <c r="I479" s="11"/>
      <c r="J479" s="11"/>
      <c r="K479" s="11"/>
      <c r="L479" s="11"/>
      <c r="M479" s="11"/>
      <c r="N479" s="11"/>
      <c r="O479" s="11"/>
      <c r="P479" s="11"/>
      <c r="Q479" s="11"/>
      <c r="R479" s="11"/>
      <c r="S479" s="11"/>
    </row>
    <row r="480" spans="9:19" x14ac:dyDescent="0.35">
      <c r="I480" s="11"/>
      <c r="J480" s="11"/>
      <c r="K480" s="11"/>
      <c r="L480" s="11"/>
      <c r="M480" s="11"/>
      <c r="N480" s="11"/>
      <c r="O480" s="11"/>
      <c r="P480" s="11"/>
      <c r="Q480" s="11"/>
      <c r="R480" s="11"/>
      <c r="S480" s="11"/>
    </row>
    <row r="481" spans="9:19" x14ac:dyDescent="0.35">
      <c r="I481" s="11"/>
      <c r="J481" s="11"/>
      <c r="K481" s="11"/>
      <c r="L481" s="11"/>
      <c r="M481" s="11"/>
      <c r="N481" s="11"/>
      <c r="O481" s="11"/>
      <c r="P481" s="11"/>
      <c r="Q481" s="11"/>
      <c r="R481" s="11"/>
      <c r="S481" s="11"/>
    </row>
    <row r="482" spans="9:19" x14ac:dyDescent="0.35">
      <c r="I482" s="11"/>
      <c r="J482" s="11"/>
      <c r="K482" s="11"/>
      <c r="L482" s="11"/>
      <c r="M482" s="11"/>
      <c r="N482" s="11"/>
      <c r="O482" s="11"/>
      <c r="P482" s="11"/>
      <c r="Q482" s="11"/>
      <c r="R482" s="11"/>
      <c r="S482" s="11"/>
    </row>
    <row r="483" spans="9:19" x14ac:dyDescent="0.35">
      <c r="I483" s="11"/>
      <c r="J483" s="11"/>
      <c r="K483" s="11"/>
      <c r="L483" s="11"/>
      <c r="M483" s="11"/>
      <c r="N483" s="11"/>
      <c r="O483" s="11"/>
      <c r="P483" s="11"/>
      <c r="Q483" s="11"/>
      <c r="R483" s="11"/>
      <c r="S483" s="11"/>
    </row>
    <row r="484" spans="9:19" x14ac:dyDescent="0.35">
      <c r="I484" s="11"/>
      <c r="J484" s="11"/>
      <c r="K484" s="11"/>
      <c r="L484" s="11"/>
      <c r="M484" s="11"/>
      <c r="N484" s="11"/>
      <c r="O484" s="11"/>
      <c r="P484" s="11"/>
      <c r="Q484" s="11"/>
      <c r="R484" s="11"/>
      <c r="S484" s="11"/>
    </row>
    <row r="485" spans="9:19" x14ac:dyDescent="0.35">
      <c r="I485" s="11"/>
      <c r="J485" s="11"/>
      <c r="K485" s="11"/>
      <c r="L485" s="11"/>
      <c r="M485" s="11"/>
      <c r="N485" s="11"/>
      <c r="O485" s="11"/>
      <c r="P485" s="11"/>
      <c r="Q485" s="11"/>
      <c r="R485" s="11"/>
      <c r="S485" s="11"/>
    </row>
    <row r="486" spans="9:19" x14ac:dyDescent="0.35">
      <c r="I486" s="11"/>
      <c r="J486" s="11"/>
      <c r="K486" s="11"/>
      <c r="L486" s="11"/>
      <c r="M486" s="11"/>
      <c r="N486" s="11"/>
      <c r="O486" s="11"/>
      <c r="P486" s="11"/>
      <c r="Q486" s="11"/>
      <c r="R486" s="11"/>
      <c r="S486" s="11"/>
    </row>
    <row r="487" spans="9:19" x14ac:dyDescent="0.35">
      <c r="I487" s="11"/>
      <c r="J487" s="11"/>
      <c r="K487" s="11"/>
      <c r="L487" s="11"/>
      <c r="M487" s="11"/>
      <c r="N487" s="11"/>
      <c r="O487" s="11"/>
      <c r="P487" s="11"/>
      <c r="Q487" s="11"/>
      <c r="R487" s="11"/>
      <c r="S487" s="11"/>
    </row>
    <row r="488" spans="9:19" x14ac:dyDescent="0.35">
      <c r="I488" s="11"/>
      <c r="J488" s="11"/>
      <c r="K488" s="11"/>
      <c r="L488" s="11"/>
      <c r="M488" s="11"/>
      <c r="N488" s="11"/>
      <c r="O488" s="11"/>
      <c r="P488" s="11"/>
      <c r="Q488" s="11"/>
      <c r="R488" s="11"/>
      <c r="S488" s="11"/>
    </row>
    <row r="489" spans="9:19" x14ac:dyDescent="0.35">
      <c r="I489" s="11"/>
      <c r="J489" s="11"/>
      <c r="K489" s="11"/>
      <c r="L489" s="11"/>
      <c r="M489" s="11"/>
      <c r="N489" s="11"/>
      <c r="O489" s="11"/>
      <c r="P489" s="11"/>
      <c r="Q489" s="11"/>
      <c r="R489" s="11"/>
      <c r="S489" s="11"/>
    </row>
    <row r="490" spans="9:19" x14ac:dyDescent="0.35">
      <c r="I490" s="11"/>
      <c r="J490" s="11"/>
      <c r="K490" s="11"/>
      <c r="L490" s="11"/>
      <c r="M490" s="11"/>
      <c r="N490" s="11"/>
      <c r="O490" s="11"/>
      <c r="P490" s="11"/>
      <c r="Q490" s="11"/>
      <c r="R490" s="11"/>
      <c r="S490" s="11"/>
    </row>
    <row r="491" spans="9:19" x14ac:dyDescent="0.35">
      <c r="I491" s="11"/>
      <c r="J491" s="11"/>
      <c r="K491" s="11"/>
      <c r="L491" s="11"/>
      <c r="M491" s="11"/>
      <c r="N491" s="11"/>
      <c r="O491" s="11"/>
      <c r="P491" s="11"/>
      <c r="Q491" s="11"/>
      <c r="R491" s="11"/>
      <c r="S491" s="11"/>
    </row>
    <row r="492" spans="9:19" x14ac:dyDescent="0.35">
      <c r="I492" s="11"/>
      <c r="J492" s="11"/>
      <c r="K492" s="11"/>
      <c r="L492" s="11"/>
      <c r="M492" s="11"/>
      <c r="N492" s="11"/>
      <c r="O492" s="11"/>
      <c r="P492" s="11"/>
      <c r="Q492" s="11"/>
      <c r="R492" s="11"/>
      <c r="S492" s="11"/>
    </row>
    <row r="493" spans="9:19" x14ac:dyDescent="0.35">
      <c r="I493" s="11"/>
      <c r="J493" s="11"/>
      <c r="K493" s="11"/>
      <c r="L493" s="11"/>
      <c r="M493" s="11"/>
      <c r="N493" s="11"/>
      <c r="O493" s="11"/>
      <c r="P493" s="11"/>
      <c r="Q493" s="11"/>
      <c r="R493" s="11"/>
      <c r="S493" s="11"/>
    </row>
    <row r="494" spans="9:19" x14ac:dyDescent="0.35">
      <c r="I494" s="11"/>
      <c r="J494" s="11"/>
      <c r="K494" s="11"/>
      <c r="L494" s="11"/>
      <c r="M494" s="11"/>
      <c r="N494" s="11"/>
      <c r="O494" s="11"/>
      <c r="P494" s="11"/>
      <c r="Q494" s="11"/>
      <c r="R494" s="11"/>
      <c r="S494" s="11"/>
    </row>
    <row r="495" spans="9:19" x14ac:dyDescent="0.35">
      <c r="I495" s="11"/>
      <c r="J495" s="11"/>
      <c r="K495" s="11"/>
      <c r="L495" s="11"/>
      <c r="M495" s="11"/>
      <c r="N495" s="11"/>
      <c r="O495" s="11"/>
      <c r="P495" s="11"/>
      <c r="Q495" s="11"/>
      <c r="R495" s="11"/>
      <c r="S495" s="11"/>
    </row>
    <row r="496" spans="9:19" x14ac:dyDescent="0.35">
      <c r="I496" s="11"/>
      <c r="J496" s="11"/>
      <c r="K496" s="11"/>
      <c r="L496" s="11"/>
      <c r="M496" s="11"/>
      <c r="N496" s="11"/>
      <c r="O496" s="11"/>
      <c r="P496" s="11"/>
      <c r="Q496" s="11"/>
      <c r="R496" s="11"/>
      <c r="S496" s="11"/>
    </row>
    <row r="497" spans="9:19" x14ac:dyDescent="0.35">
      <c r="I497" s="11"/>
      <c r="J497" s="11"/>
      <c r="K497" s="11"/>
      <c r="L497" s="11"/>
      <c r="M497" s="11"/>
      <c r="N497" s="11"/>
      <c r="O497" s="11"/>
      <c r="P497" s="11"/>
      <c r="Q497" s="11"/>
      <c r="R497" s="11"/>
      <c r="S497" s="11"/>
    </row>
    <row r="498" spans="9:19" x14ac:dyDescent="0.35">
      <c r="I498" s="11"/>
      <c r="J498" s="11"/>
      <c r="K498" s="11"/>
      <c r="L498" s="11"/>
      <c r="M498" s="11"/>
      <c r="N498" s="11"/>
      <c r="O498" s="11"/>
      <c r="P498" s="11"/>
      <c r="Q498" s="11"/>
      <c r="R498" s="11"/>
      <c r="S498" s="11"/>
    </row>
    <row r="499" spans="9:19" x14ac:dyDescent="0.35">
      <c r="I499" s="11"/>
      <c r="J499" s="11"/>
      <c r="K499" s="11"/>
      <c r="L499" s="11"/>
      <c r="M499" s="11"/>
      <c r="N499" s="11"/>
      <c r="O499" s="11"/>
      <c r="P499" s="11"/>
      <c r="Q499" s="11"/>
      <c r="R499" s="11"/>
      <c r="S499" s="11"/>
    </row>
    <row r="500" spans="9:19" x14ac:dyDescent="0.35">
      <c r="I500" s="11"/>
      <c r="J500" s="11"/>
      <c r="K500" s="11"/>
      <c r="L500" s="11"/>
      <c r="M500" s="11"/>
      <c r="N500" s="11"/>
      <c r="O500" s="11"/>
      <c r="P500" s="11"/>
      <c r="Q500" s="11"/>
      <c r="R500" s="11"/>
      <c r="S500" s="11"/>
    </row>
    <row r="501" spans="9:19" x14ac:dyDescent="0.35">
      <c r="I501" s="11"/>
      <c r="J501" s="11"/>
      <c r="K501" s="11"/>
      <c r="L501" s="11"/>
      <c r="M501" s="11"/>
      <c r="N501" s="11"/>
      <c r="O501" s="11"/>
      <c r="P501" s="11"/>
      <c r="Q501" s="11"/>
      <c r="R501" s="11"/>
      <c r="S501" s="11"/>
    </row>
    <row r="502" spans="9:19" x14ac:dyDescent="0.35">
      <c r="I502" s="11"/>
      <c r="J502" s="11"/>
      <c r="K502" s="11"/>
      <c r="L502" s="11"/>
      <c r="M502" s="11"/>
      <c r="N502" s="11"/>
      <c r="O502" s="11"/>
      <c r="P502" s="11"/>
      <c r="Q502" s="11"/>
      <c r="R502" s="11"/>
      <c r="S502" s="11"/>
    </row>
    <row r="503" spans="9:19" x14ac:dyDescent="0.35">
      <c r="I503" s="11"/>
      <c r="J503" s="11"/>
      <c r="K503" s="11"/>
      <c r="L503" s="11"/>
      <c r="M503" s="11"/>
      <c r="N503" s="11"/>
      <c r="O503" s="11"/>
      <c r="P503" s="11"/>
      <c r="Q503" s="11"/>
      <c r="R503" s="11"/>
      <c r="S503" s="11"/>
    </row>
    <row r="504" spans="9:19" x14ac:dyDescent="0.35">
      <c r="I504" s="11"/>
      <c r="J504" s="11"/>
      <c r="K504" s="11"/>
      <c r="L504" s="11"/>
      <c r="M504" s="11"/>
      <c r="N504" s="11"/>
      <c r="O504" s="11"/>
      <c r="P504" s="11"/>
      <c r="Q504" s="11"/>
      <c r="R504" s="11"/>
      <c r="S504" s="11"/>
    </row>
    <row r="505" spans="9:19" x14ac:dyDescent="0.35">
      <c r="I505" s="11"/>
      <c r="J505" s="11"/>
      <c r="K505" s="11"/>
      <c r="L505" s="11"/>
      <c r="M505" s="11"/>
      <c r="N505" s="11"/>
      <c r="O505" s="11"/>
      <c r="P505" s="11"/>
      <c r="Q505" s="11"/>
      <c r="R505" s="11"/>
      <c r="S505" s="11"/>
    </row>
    <row r="506" spans="9:19" x14ac:dyDescent="0.35">
      <c r="I506" s="11"/>
      <c r="J506" s="11"/>
      <c r="K506" s="11"/>
      <c r="L506" s="11"/>
      <c r="M506" s="11"/>
      <c r="N506" s="11"/>
      <c r="O506" s="11"/>
      <c r="P506" s="11"/>
      <c r="Q506" s="11"/>
      <c r="R506" s="11"/>
      <c r="S506" s="11"/>
    </row>
    <row r="507" spans="9:19" x14ac:dyDescent="0.35">
      <c r="I507" s="11"/>
      <c r="J507" s="11"/>
      <c r="K507" s="11"/>
      <c r="L507" s="11"/>
      <c r="M507" s="11"/>
      <c r="N507" s="11"/>
      <c r="O507" s="11"/>
      <c r="P507" s="11"/>
      <c r="Q507" s="11"/>
      <c r="R507" s="11"/>
      <c r="S507" s="11"/>
    </row>
    <row r="508" spans="9:19" x14ac:dyDescent="0.35">
      <c r="I508" s="11"/>
      <c r="J508" s="11"/>
      <c r="K508" s="11"/>
      <c r="L508" s="11"/>
      <c r="M508" s="11"/>
      <c r="N508" s="11"/>
      <c r="O508" s="11"/>
      <c r="P508" s="11"/>
      <c r="Q508" s="11"/>
      <c r="R508" s="11"/>
      <c r="S508" s="11"/>
    </row>
    <row r="509" spans="9:19" x14ac:dyDescent="0.35">
      <c r="I509" s="11"/>
      <c r="J509" s="11"/>
      <c r="K509" s="11"/>
      <c r="L509" s="11"/>
      <c r="M509" s="11"/>
      <c r="N509" s="11"/>
      <c r="O509" s="11"/>
      <c r="P509" s="11"/>
      <c r="Q509" s="11"/>
      <c r="R509" s="11"/>
      <c r="S509" s="11"/>
    </row>
    <row r="510" spans="9:19" x14ac:dyDescent="0.35">
      <c r="I510" s="11"/>
      <c r="J510" s="11"/>
      <c r="K510" s="11"/>
      <c r="L510" s="11"/>
      <c r="M510" s="11"/>
      <c r="N510" s="11"/>
      <c r="O510" s="11"/>
      <c r="P510" s="11"/>
      <c r="Q510" s="11"/>
      <c r="R510" s="11"/>
      <c r="S510" s="11"/>
    </row>
    <row r="511" spans="9:19" x14ac:dyDescent="0.35">
      <c r="I511" s="11"/>
      <c r="J511" s="11"/>
      <c r="K511" s="11"/>
      <c r="L511" s="11"/>
      <c r="M511" s="11"/>
      <c r="N511" s="11"/>
      <c r="O511" s="11"/>
      <c r="P511" s="11"/>
      <c r="Q511" s="11"/>
      <c r="R511" s="11"/>
      <c r="S511" s="11"/>
    </row>
    <row r="512" spans="9:19" x14ac:dyDescent="0.35">
      <c r="I512" s="11"/>
      <c r="J512" s="11"/>
      <c r="K512" s="11"/>
      <c r="L512" s="11"/>
      <c r="M512" s="11"/>
      <c r="N512" s="11"/>
      <c r="O512" s="11"/>
      <c r="P512" s="11"/>
      <c r="Q512" s="11"/>
      <c r="R512" s="11"/>
      <c r="S512" s="11"/>
    </row>
    <row r="513" spans="9:19" x14ac:dyDescent="0.35">
      <c r="I513" s="11"/>
      <c r="J513" s="11"/>
      <c r="K513" s="11"/>
      <c r="L513" s="11"/>
      <c r="M513" s="11"/>
      <c r="N513" s="11"/>
      <c r="O513" s="11"/>
      <c r="P513" s="11"/>
      <c r="Q513" s="11"/>
      <c r="R513" s="11"/>
      <c r="S513" s="11"/>
    </row>
    <row r="514" spans="9:19" x14ac:dyDescent="0.35">
      <c r="I514" s="11"/>
      <c r="J514" s="11"/>
      <c r="K514" s="11"/>
      <c r="L514" s="11"/>
      <c r="M514" s="11"/>
      <c r="N514" s="11"/>
      <c r="O514" s="11"/>
      <c r="P514" s="11"/>
      <c r="Q514" s="11"/>
      <c r="R514" s="11"/>
      <c r="S514" s="11"/>
    </row>
    <row r="515" spans="9:19" x14ac:dyDescent="0.35">
      <c r="I515" s="11"/>
      <c r="J515" s="11"/>
      <c r="K515" s="11"/>
      <c r="L515" s="11"/>
      <c r="M515" s="11"/>
      <c r="N515" s="11"/>
      <c r="O515" s="11"/>
      <c r="P515" s="11"/>
      <c r="Q515" s="11"/>
      <c r="R515" s="11"/>
      <c r="S515" s="11"/>
    </row>
    <row r="516" spans="9:19" x14ac:dyDescent="0.35">
      <c r="I516" s="11"/>
      <c r="J516" s="11"/>
      <c r="K516" s="11"/>
      <c r="L516" s="11"/>
      <c r="M516" s="11"/>
      <c r="N516" s="11"/>
      <c r="O516" s="11"/>
      <c r="P516" s="11"/>
      <c r="Q516" s="11"/>
      <c r="R516" s="11"/>
      <c r="S516" s="11"/>
    </row>
    <row r="517" spans="9:19" x14ac:dyDescent="0.35">
      <c r="I517" s="11"/>
      <c r="J517" s="11"/>
      <c r="K517" s="11"/>
      <c r="L517" s="11"/>
      <c r="M517" s="11"/>
      <c r="N517" s="11"/>
      <c r="O517" s="11"/>
      <c r="P517" s="11"/>
      <c r="Q517" s="11"/>
      <c r="R517" s="11"/>
      <c r="S517" s="11"/>
    </row>
    <row r="518" spans="9:19" x14ac:dyDescent="0.35">
      <c r="I518" s="11"/>
      <c r="J518" s="11"/>
      <c r="K518" s="11"/>
      <c r="L518" s="11"/>
      <c r="M518" s="11"/>
      <c r="N518" s="11"/>
      <c r="O518" s="11"/>
      <c r="P518" s="11"/>
      <c r="Q518" s="11"/>
      <c r="R518" s="11"/>
      <c r="S518" s="11"/>
    </row>
    <row r="519" spans="9:19" x14ac:dyDescent="0.35">
      <c r="I519" s="11"/>
      <c r="J519" s="11"/>
      <c r="K519" s="11"/>
      <c r="L519" s="11"/>
      <c r="M519" s="11"/>
      <c r="N519" s="11"/>
      <c r="O519" s="11"/>
      <c r="P519" s="11"/>
      <c r="Q519" s="11"/>
      <c r="R519" s="11"/>
      <c r="S519" s="11"/>
    </row>
    <row r="520" spans="9:19" x14ac:dyDescent="0.35">
      <c r="I520" s="11"/>
      <c r="J520" s="11"/>
      <c r="K520" s="11"/>
      <c r="L520" s="11"/>
      <c r="M520" s="11"/>
      <c r="N520" s="11"/>
      <c r="O520" s="11"/>
      <c r="P520" s="11"/>
      <c r="Q520" s="11"/>
      <c r="R520" s="11"/>
      <c r="S520" s="11"/>
    </row>
    <row r="521" spans="9:19" x14ac:dyDescent="0.35">
      <c r="I521" s="11"/>
      <c r="J521" s="11"/>
      <c r="K521" s="11"/>
      <c r="L521" s="11"/>
      <c r="M521" s="11"/>
      <c r="N521" s="11"/>
      <c r="O521" s="11"/>
      <c r="P521" s="11"/>
      <c r="Q521" s="11"/>
      <c r="R521" s="11"/>
      <c r="S521" s="11"/>
    </row>
    <row r="522" spans="9:19" x14ac:dyDescent="0.35">
      <c r="I522" s="11"/>
      <c r="J522" s="11"/>
      <c r="K522" s="11"/>
      <c r="L522" s="11"/>
      <c r="M522" s="11"/>
      <c r="N522" s="11"/>
      <c r="O522" s="11"/>
      <c r="P522" s="11"/>
      <c r="Q522" s="11"/>
      <c r="R522" s="11"/>
      <c r="S522" s="11"/>
    </row>
    <row r="523" spans="9:19" x14ac:dyDescent="0.35">
      <c r="I523" s="11"/>
      <c r="J523" s="11"/>
      <c r="K523" s="11"/>
      <c r="L523" s="11"/>
      <c r="M523" s="11"/>
      <c r="N523" s="11"/>
      <c r="O523" s="11"/>
      <c r="P523" s="11"/>
      <c r="Q523" s="11"/>
      <c r="R523" s="11"/>
      <c r="S523" s="11"/>
    </row>
    <row r="524" spans="9:19" x14ac:dyDescent="0.35">
      <c r="I524" s="11"/>
      <c r="J524" s="11"/>
      <c r="K524" s="11"/>
      <c r="L524" s="11"/>
      <c r="M524" s="11"/>
      <c r="N524" s="11"/>
      <c r="O524" s="11"/>
      <c r="P524" s="11"/>
      <c r="Q524" s="11"/>
      <c r="R524" s="11"/>
      <c r="S524" s="11"/>
    </row>
    <row r="525" spans="9:19" x14ac:dyDescent="0.35">
      <c r="I525" s="11"/>
      <c r="J525" s="11"/>
      <c r="K525" s="11"/>
      <c r="L525" s="11"/>
      <c r="M525" s="11"/>
      <c r="N525" s="11"/>
      <c r="O525" s="11"/>
      <c r="P525" s="11"/>
      <c r="Q525" s="11"/>
      <c r="R525" s="11"/>
      <c r="S525" s="11"/>
    </row>
    <row r="526" spans="9:19" x14ac:dyDescent="0.35">
      <c r="I526" s="11"/>
      <c r="J526" s="11"/>
      <c r="K526" s="11"/>
      <c r="L526" s="11"/>
      <c r="M526" s="11"/>
      <c r="N526" s="11"/>
      <c r="O526" s="11"/>
      <c r="P526" s="11"/>
      <c r="Q526" s="11"/>
      <c r="R526" s="11"/>
      <c r="S526" s="11"/>
    </row>
    <row r="527" spans="9:19" x14ac:dyDescent="0.35">
      <c r="I527" s="11"/>
      <c r="J527" s="11"/>
      <c r="K527" s="11"/>
      <c r="L527" s="11"/>
      <c r="M527" s="11"/>
      <c r="N527" s="11"/>
      <c r="O527" s="11"/>
      <c r="P527" s="11"/>
      <c r="Q527" s="11"/>
      <c r="R527" s="11"/>
      <c r="S527" s="11"/>
    </row>
    <row r="528" spans="9:19" x14ac:dyDescent="0.35">
      <c r="I528" s="11"/>
      <c r="J528" s="11"/>
      <c r="K528" s="11"/>
      <c r="L528" s="11"/>
      <c r="M528" s="11"/>
      <c r="N528" s="11"/>
      <c r="O528" s="11"/>
      <c r="P528" s="11"/>
      <c r="Q528" s="11"/>
      <c r="R528" s="11"/>
      <c r="S528" s="11"/>
    </row>
    <row r="529" spans="9:19" x14ac:dyDescent="0.35">
      <c r="I529" s="11"/>
      <c r="J529" s="11"/>
      <c r="K529" s="11"/>
      <c r="L529" s="11"/>
      <c r="M529" s="11"/>
      <c r="N529" s="11"/>
      <c r="O529" s="11"/>
      <c r="P529" s="11"/>
      <c r="Q529" s="11"/>
      <c r="R529" s="11"/>
      <c r="S529" s="11"/>
    </row>
    <row r="530" spans="9:19" x14ac:dyDescent="0.35">
      <c r="I530" s="11"/>
      <c r="J530" s="11"/>
      <c r="K530" s="11"/>
      <c r="L530" s="11"/>
      <c r="M530" s="11"/>
      <c r="N530" s="11"/>
      <c r="O530" s="11"/>
      <c r="P530" s="11"/>
      <c r="Q530" s="11"/>
      <c r="R530" s="11"/>
      <c r="S530" s="11"/>
    </row>
    <row r="531" spans="9:19" x14ac:dyDescent="0.35">
      <c r="I531" s="11"/>
      <c r="J531" s="11"/>
      <c r="K531" s="11"/>
      <c r="L531" s="11"/>
      <c r="M531" s="11"/>
      <c r="N531" s="11"/>
      <c r="O531" s="11"/>
      <c r="P531" s="11"/>
      <c r="Q531" s="11"/>
      <c r="R531" s="11"/>
      <c r="S531" s="11"/>
    </row>
    <row r="532" spans="9:19" x14ac:dyDescent="0.35">
      <c r="I532" s="11"/>
      <c r="J532" s="11"/>
      <c r="K532" s="11"/>
      <c r="L532" s="11"/>
      <c r="M532" s="11"/>
      <c r="N532" s="11"/>
      <c r="O532" s="11"/>
      <c r="P532" s="11"/>
      <c r="Q532" s="11"/>
      <c r="R532" s="11"/>
      <c r="S532" s="11"/>
    </row>
    <row r="533" spans="9:19" x14ac:dyDescent="0.35">
      <c r="I533" s="11"/>
      <c r="J533" s="11"/>
      <c r="K533" s="11"/>
      <c r="L533" s="11"/>
      <c r="M533" s="11"/>
      <c r="N533" s="11"/>
      <c r="O533" s="11"/>
      <c r="P533" s="11"/>
      <c r="Q533" s="11"/>
      <c r="R533" s="11"/>
      <c r="S533" s="11"/>
    </row>
    <row r="534" spans="9:19" x14ac:dyDescent="0.35">
      <c r="I534" s="11"/>
      <c r="J534" s="11"/>
      <c r="K534" s="11"/>
      <c r="L534" s="11"/>
      <c r="M534" s="11"/>
      <c r="N534" s="11"/>
      <c r="O534" s="11"/>
      <c r="P534" s="11"/>
      <c r="Q534" s="11"/>
      <c r="R534" s="11"/>
      <c r="S534" s="11"/>
    </row>
    <row r="535" spans="9:19" x14ac:dyDescent="0.35">
      <c r="I535" s="11"/>
      <c r="J535" s="11"/>
      <c r="K535" s="11"/>
      <c r="L535" s="11"/>
      <c r="M535" s="11"/>
      <c r="N535" s="11"/>
      <c r="O535" s="11"/>
      <c r="P535" s="11"/>
      <c r="Q535" s="11"/>
      <c r="R535" s="11"/>
      <c r="S535" s="11"/>
    </row>
    <row r="536" spans="9:19" x14ac:dyDescent="0.35">
      <c r="I536" s="11"/>
      <c r="J536" s="11"/>
      <c r="K536" s="11"/>
      <c r="L536" s="11"/>
      <c r="M536" s="11"/>
      <c r="N536" s="11"/>
      <c r="O536" s="11"/>
      <c r="P536" s="11"/>
      <c r="Q536" s="11"/>
      <c r="R536" s="11"/>
      <c r="S536" s="11"/>
    </row>
    <row r="537" spans="9:19" x14ac:dyDescent="0.35">
      <c r="I537" s="11"/>
      <c r="J537" s="11"/>
      <c r="K537" s="11"/>
      <c r="L537" s="11"/>
      <c r="M537" s="11"/>
      <c r="N537" s="11"/>
      <c r="O537" s="11"/>
      <c r="P537" s="11"/>
      <c r="Q537" s="11"/>
      <c r="R537" s="11"/>
      <c r="S537" s="11"/>
    </row>
    <row r="538" spans="9:19" x14ac:dyDescent="0.35">
      <c r="I538" s="11"/>
      <c r="J538" s="11"/>
      <c r="K538" s="11"/>
      <c r="L538" s="11"/>
      <c r="M538" s="11"/>
      <c r="N538" s="11"/>
      <c r="O538" s="11"/>
      <c r="P538" s="11"/>
      <c r="Q538" s="11"/>
      <c r="R538" s="11"/>
      <c r="S538" s="11"/>
    </row>
    <row r="539" spans="9:19" x14ac:dyDescent="0.35">
      <c r="I539" s="11"/>
      <c r="J539" s="11"/>
      <c r="K539" s="11"/>
      <c r="L539" s="11"/>
      <c r="M539" s="11"/>
      <c r="N539" s="11"/>
      <c r="O539" s="11"/>
      <c r="P539" s="11"/>
      <c r="Q539" s="11"/>
      <c r="R539" s="11"/>
      <c r="S539" s="11"/>
    </row>
    <row r="540" spans="9:19" x14ac:dyDescent="0.35">
      <c r="I540" s="11"/>
      <c r="J540" s="11"/>
      <c r="K540" s="11"/>
      <c r="L540" s="11"/>
      <c r="M540" s="11"/>
      <c r="N540" s="11"/>
      <c r="O540" s="11"/>
      <c r="P540" s="11"/>
      <c r="Q540" s="11"/>
      <c r="R540" s="11"/>
      <c r="S540" s="11"/>
    </row>
    <row r="541" spans="9:19" x14ac:dyDescent="0.35">
      <c r="I541" s="11"/>
      <c r="J541" s="11"/>
      <c r="K541" s="11"/>
      <c r="L541" s="11"/>
      <c r="M541" s="11"/>
      <c r="N541" s="11"/>
      <c r="O541" s="11"/>
      <c r="P541" s="11"/>
      <c r="Q541" s="11"/>
      <c r="R541" s="11"/>
      <c r="S541" s="11"/>
    </row>
    <row r="542" spans="9:19" x14ac:dyDescent="0.35">
      <c r="I542" s="11"/>
      <c r="J542" s="11"/>
      <c r="K542" s="11"/>
      <c r="L542" s="11"/>
      <c r="M542" s="11"/>
      <c r="N542" s="11"/>
      <c r="O542" s="11"/>
      <c r="P542" s="11"/>
      <c r="Q542" s="11"/>
      <c r="R542" s="11"/>
      <c r="S542" s="11"/>
    </row>
    <row r="543" spans="9:19" x14ac:dyDescent="0.35">
      <c r="I543" s="11"/>
      <c r="J543" s="11"/>
      <c r="K543" s="11"/>
      <c r="L543" s="11"/>
      <c r="M543" s="11"/>
      <c r="N543" s="11"/>
      <c r="O543" s="11"/>
      <c r="P543" s="11"/>
      <c r="Q543" s="11"/>
      <c r="R543" s="11"/>
      <c r="S543" s="11"/>
    </row>
    <row r="544" spans="9:19" x14ac:dyDescent="0.35">
      <c r="I544" s="11"/>
      <c r="J544" s="11"/>
      <c r="K544" s="11"/>
      <c r="L544" s="11"/>
      <c r="M544" s="11"/>
      <c r="N544" s="11"/>
      <c r="O544" s="11"/>
      <c r="P544" s="11"/>
      <c r="Q544" s="11"/>
      <c r="R544" s="11"/>
      <c r="S544" s="11"/>
    </row>
    <row r="545" spans="9:19" x14ac:dyDescent="0.35">
      <c r="I545" s="11"/>
      <c r="J545" s="11"/>
      <c r="K545" s="11"/>
      <c r="L545" s="11"/>
      <c r="M545" s="11"/>
      <c r="N545" s="11"/>
      <c r="O545" s="11"/>
      <c r="P545" s="11"/>
      <c r="Q545" s="11"/>
      <c r="R545" s="11"/>
      <c r="S545" s="11"/>
    </row>
    <row r="546" spans="9:19" x14ac:dyDescent="0.35">
      <c r="I546" s="11"/>
      <c r="J546" s="11"/>
      <c r="K546" s="11"/>
      <c r="L546" s="11"/>
      <c r="M546" s="11"/>
      <c r="N546" s="11"/>
      <c r="O546" s="11"/>
      <c r="P546" s="11"/>
      <c r="Q546" s="11"/>
      <c r="R546" s="11"/>
      <c r="S546" s="11"/>
    </row>
    <row r="547" spans="9:19" x14ac:dyDescent="0.35">
      <c r="I547" s="11"/>
      <c r="J547" s="11"/>
      <c r="K547" s="11"/>
      <c r="L547" s="11"/>
      <c r="M547" s="11"/>
      <c r="N547" s="11"/>
      <c r="O547" s="11"/>
      <c r="P547" s="11"/>
      <c r="Q547" s="11"/>
      <c r="R547" s="11"/>
      <c r="S547" s="11"/>
    </row>
    <row r="548" spans="9:19" x14ac:dyDescent="0.35">
      <c r="I548" s="11"/>
      <c r="J548" s="11"/>
      <c r="K548" s="11"/>
      <c r="L548" s="11"/>
      <c r="M548" s="11"/>
      <c r="N548" s="11"/>
      <c r="O548" s="11"/>
      <c r="P548" s="11"/>
      <c r="Q548" s="11"/>
      <c r="R548" s="11"/>
      <c r="S548" s="11"/>
    </row>
    <row r="549" spans="9:19" x14ac:dyDescent="0.35">
      <c r="I549" s="11"/>
      <c r="J549" s="11"/>
      <c r="K549" s="11"/>
      <c r="L549" s="11"/>
      <c r="M549" s="11"/>
      <c r="N549" s="11"/>
      <c r="O549" s="11"/>
      <c r="P549" s="11"/>
      <c r="Q549" s="11"/>
      <c r="R549" s="11"/>
      <c r="S549" s="11"/>
    </row>
    <row r="550" spans="9:19" x14ac:dyDescent="0.35">
      <c r="I550" s="11"/>
      <c r="J550" s="11"/>
      <c r="K550" s="11"/>
      <c r="L550" s="11"/>
      <c r="M550" s="11"/>
      <c r="N550" s="11"/>
      <c r="O550" s="11"/>
      <c r="P550" s="11"/>
      <c r="Q550" s="11"/>
      <c r="R550" s="11"/>
      <c r="S550" s="11"/>
    </row>
    <row r="551" spans="9:19" x14ac:dyDescent="0.35">
      <c r="I551" s="11"/>
      <c r="J551" s="11"/>
      <c r="K551" s="11"/>
      <c r="L551" s="11"/>
      <c r="M551" s="11"/>
      <c r="N551" s="11"/>
      <c r="O551" s="11"/>
      <c r="P551" s="11"/>
      <c r="Q551" s="11"/>
      <c r="R551" s="11"/>
      <c r="S551" s="11"/>
    </row>
    <row r="552" spans="9:19" x14ac:dyDescent="0.35">
      <c r="I552" s="11"/>
      <c r="J552" s="11"/>
      <c r="K552" s="11"/>
      <c r="L552" s="11"/>
      <c r="M552" s="11"/>
      <c r="N552" s="11"/>
      <c r="O552" s="11"/>
      <c r="P552" s="11"/>
      <c r="Q552" s="11"/>
      <c r="R552" s="11"/>
      <c r="S552" s="11"/>
    </row>
    <row r="553" spans="9:19" x14ac:dyDescent="0.35">
      <c r="I553" s="11"/>
      <c r="J553" s="11"/>
      <c r="K553" s="11"/>
      <c r="L553" s="11"/>
      <c r="M553" s="11"/>
      <c r="N553" s="11"/>
      <c r="O553" s="11"/>
      <c r="P553" s="11"/>
      <c r="Q553" s="11"/>
      <c r="R553" s="11"/>
      <c r="S553" s="11"/>
    </row>
    <row r="554" spans="9:19" x14ac:dyDescent="0.35">
      <c r="I554" s="11"/>
      <c r="J554" s="11"/>
      <c r="K554" s="11"/>
      <c r="L554" s="11"/>
      <c r="M554" s="11"/>
      <c r="N554" s="11"/>
      <c r="O554" s="11"/>
      <c r="P554" s="11"/>
      <c r="Q554" s="11"/>
      <c r="R554" s="11"/>
      <c r="S554" s="11"/>
    </row>
    <row r="555" spans="9:19" x14ac:dyDescent="0.35">
      <c r="I555" s="11"/>
      <c r="J555" s="11"/>
      <c r="K555" s="11"/>
      <c r="L555" s="11"/>
      <c r="M555" s="11"/>
      <c r="N555" s="11"/>
      <c r="O555" s="11"/>
      <c r="P555" s="11"/>
      <c r="Q555" s="11"/>
      <c r="R555" s="11"/>
      <c r="S555" s="11"/>
    </row>
    <row r="556" spans="9:19" x14ac:dyDescent="0.35">
      <c r="I556" s="11"/>
      <c r="J556" s="11"/>
      <c r="K556" s="11"/>
      <c r="L556" s="11"/>
      <c r="M556" s="11"/>
      <c r="N556" s="11"/>
      <c r="O556" s="11"/>
      <c r="P556" s="11"/>
      <c r="Q556" s="11"/>
      <c r="R556" s="11"/>
      <c r="S556" s="11"/>
    </row>
    <row r="557" spans="9:19" x14ac:dyDescent="0.35">
      <c r="I557" s="11"/>
      <c r="J557" s="11"/>
      <c r="K557" s="11"/>
      <c r="L557" s="11"/>
      <c r="M557" s="11"/>
      <c r="N557" s="11"/>
      <c r="O557" s="11"/>
      <c r="P557" s="11"/>
      <c r="Q557" s="11"/>
      <c r="R557" s="11"/>
      <c r="S557" s="11"/>
    </row>
    <row r="558" spans="9:19" x14ac:dyDescent="0.35">
      <c r="I558" s="11"/>
      <c r="J558" s="11"/>
      <c r="K558" s="11"/>
      <c r="L558" s="11"/>
      <c r="M558" s="11"/>
      <c r="N558" s="11"/>
      <c r="O558" s="11"/>
      <c r="P558" s="11"/>
      <c r="Q558" s="11"/>
      <c r="R558" s="11"/>
      <c r="S558" s="11"/>
    </row>
    <row r="559" spans="9:19" x14ac:dyDescent="0.35">
      <c r="I559" s="11"/>
      <c r="J559" s="11"/>
      <c r="K559" s="11"/>
      <c r="L559" s="11"/>
      <c r="M559" s="11"/>
      <c r="N559" s="11"/>
      <c r="O559" s="11"/>
      <c r="P559" s="11"/>
      <c r="Q559" s="11"/>
      <c r="R559" s="11"/>
      <c r="S559" s="11"/>
    </row>
    <row r="560" spans="9:19" x14ac:dyDescent="0.35">
      <c r="I560" s="11"/>
      <c r="J560" s="11"/>
      <c r="K560" s="11"/>
      <c r="L560" s="11"/>
      <c r="M560" s="11"/>
      <c r="N560" s="11"/>
      <c r="O560" s="11"/>
      <c r="P560" s="11"/>
      <c r="Q560" s="11"/>
      <c r="R560" s="11"/>
      <c r="S560" s="11"/>
    </row>
    <row r="561" spans="9:19" x14ac:dyDescent="0.35">
      <c r="I561" s="11"/>
      <c r="J561" s="11"/>
      <c r="K561" s="11"/>
      <c r="L561" s="11"/>
      <c r="M561" s="11"/>
      <c r="N561" s="11"/>
      <c r="O561" s="11"/>
      <c r="P561" s="11"/>
      <c r="Q561" s="11"/>
      <c r="R561" s="11"/>
      <c r="S561" s="11"/>
    </row>
    <row r="562" spans="9:19" x14ac:dyDescent="0.35">
      <c r="I562" s="11"/>
      <c r="J562" s="11"/>
      <c r="K562" s="11"/>
      <c r="L562" s="11"/>
      <c r="M562" s="11"/>
      <c r="N562" s="11"/>
      <c r="O562" s="11"/>
      <c r="P562" s="11"/>
      <c r="Q562" s="11"/>
      <c r="R562" s="11"/>
      <c r="S562" s="11"/>
    </row>
    <row r="563" spans="9:19" x14ac:dyDescent="0.35">
      <c r="I563" s="11"/>
      <c r="J563" s="11"/>
      <c r="K563" s="11"/>
      <c r="L563" s="11"/>
      <c r="M563" s="11"/>
      <c r="N563" s="11"/>
      <c r="O563" s="11"/>
      <c r="P563" s="11"/>
      <c r="Q563" s="11"/>
      <c r="R563" s="11"/>
      <c r="S563" s="11"/>
    </row>
    <row r="564" spans="9:19" x14ac:dyDescent="0.35">
      <c r="I564" s="11"/>
      <c r="J564" s="11"/>
      <c r="K564" s="11"/>
      <c r="L564" s="11"/>
      <c r="M564" s="11"/>
      <c r="N564" s="11"/>
      <c r="O564" s="11"/>
      <c r="P564" s="11"/>
      <c r="Q564" s="11"/>
      <c r="R564" s="11"/>
      <c r="S564" s="11"/>
    </row>
    <row r="565" spans="9:19" x14ac:dyDescent="0.35">
      <c r="I565" s="11"/>
      <c r="J565" s="11"/>
      <c r="K565" s="11"/>
      <c r="L565" s="11"/>
      <c r="M565" s="11"/>
      <c r="N565" s="11"/>
      <c r="O565" s="11"/>
      <c r="P565" s="11"/>
      <c r="Q565" s="11"/>
      <c r="R565" s="11"/>
      <c r="S565" s="11"/>
    </row>
    <row r="566" spans="9:19" x14ac:dyDescent="0.35">
      <c r="I566" s="11"/>
      <c r="J566" s="11"/>
      <c r="K566" s="11"/>
      <c r="L566" s="11"/>
      <c r="M566" s="11"/>
      <c r="N566" s="11"/>
      <c r="O566" s="11"/>
      <c r="P566" s="11"/>
      <c r="Q566" s="11"/>
      <c r="R566" s="11"/>
      <c r="S566" s="11"/>
    </row>
    <row r="567" spans="9:19" x14ac:dyDescent="0.35">
      <c r="I567" s="11"/>
      <c r="J567" s="11"/>
      <c r="K567" s="11"/>
      <c r="L567" s="11"/>
      <c r="M567" s="11"/>
      <c r="N567" s="11"/>
      <c r="O567" s="11"/>
      <c r="P567" s="11"/>
      <c r="Q567" s="11"/>
      <c r="R567" s="11"/>
      <c r="S567" s="11"/>
    </row>
    <row r="568" spans="9:19" x14ac:dyDescent="0.35">
      <c r="I568" s="11"/>
      <c r="J568" s="11"/>
      <c r="K568" s="11"/>
      <c r="L568" s="11"/>
      <c r="M568" s="11"/>
      <c r="N568" s="11"/>
      <c r="O568" s="11"/>
      <c r="P568" s="11"/>
      <c r="Q568" s="11"/>
      <c r="R568" s="11"/>
      <c r="S568" s="11"/>
    </row>
    <row r="569" spans="9:19" x14ac:dyDescent="0.35">
      <c r="I569" s="11"/>
      <c r="J569" s="11"/>
      <c r="K569" s="11"/>
      <c r="L569" s="11"/>
      <c r="M569" s="11"/>
      <c r="N569" s="11"/>
      <c r="O569" s="11"/>
      <c r="P569" s="11"/>
      <c r="Q569" s="11"/>
      <c r="R569" s="11"/>
      <c r="S569" s="11"/>
    </row>
    <row r="570" spans="9:19" x14ac:dyDescent="0.35">
      <c r="I570" s="11"/>
      <c r="J570" s="11"/>
      <c r="K570" s="11"/>
      <c r="L570" s="11"/>
      <c r="M570" s="11"/>
      <c r="N570" s="11"/>
      <c r="O570" s="11"/>
      <c r="P570" s="11"/>
      <c r="Q570" s="11"/>
      <c r="R570" s="11"/>
      <c r="S570" s="11"/>
    </row>
    <row r="571" spans="9:19" x14ac:dyDescent="0.35">
      <c r="I571" s="11"/>
      <c r="J571" s="11"/>
      <c r="K571" s="11"/>
      <c r="L571" s="11"/>
      <c r="M571" s="11"/>
      <c r="N571" s="11"/>
      <c r="O571" s="11"/>
      <c r="P571" s="11"/>
      <c r="Q571" s="11"/>
      <c r="R571" s="11"/>
      <c r="S571" s="11"/>
    </row>
    <row r="572" spans="9:19" x14ac:dyDescent="0.35">
      <c r="I572" s="11"/>
      <c r="J572" s="11"/>
      <c r="K572" s="11"/>
      <c r="L572" s="11"/>
      <c r="M572" s="11"/>
      <c r="N572" s="11"/>
      <c r="O572" s="11"/>
      <c r="P572" s="11"/>
      <c r="Q572" s="11"/>
      <c r="R572" s="11"/>
      <c r="S572" s="11"/>
    </row>
    <row r="573" spans="9:19" x14ac:dyDescent="0.35">
      <c r="I573" s="11"/>
      <c r="J573" s="11"/>
      <c r="K573" s="11"/>
      <c r="L573" s="11"/>
      <c r="M573" s="11"/>
      <c r="N573" s="11"/>
      <c r="O573" s="11"/>
      <c r="P573" s="11"/>
      <c r="Q573" s="11"/>
      <c r="R573" s="11"/>
      <c r="S573" s="11"/>
    </row>
    <row r="574" spans="9:19" x14ac:dyDescent="0.35">
      <c r="I574" s="11"/>
      <c r="J574" s="11"/>
      <c r="K574" s="11"/>
      <c r="L574" s="11"/>
      <c r="M574" s="11"/>
      <c r="N574" s="11"/>
      <c r="O574" s="11"/>
      <c r="P574" s="11"/>
      <c r="Q574" s="11"/>
      <c r="R574" s="11"/>
      <c r="S574" s="11"/>
    </row>
    <row r="575" spans="9:19" x14ac:dyDescent="0.35">
      <c r="I575" s="11"/>
      <c r="J575" s="11"/>
      <c r="K575" s="11"/>
      <c r="L575" s="11"/>
      <c r="M575" s="11"/>
      <c r="N575" s="11"/>
      <c r="O575" s="11"/>
      <c r="P575" s="11"/>
      <c r="Q575" s="11"/>
      <c r="R575" s="11"/>
      <c r="S575" s="11"/>
    </row>
    <row r="576" spans="9:19" x14ac:dyDescent="0.35">
      <c r="I576" s="11"/>
      <c r="J576" s="11"/>
      <c r="K576" s="11"/>
      <c r="L576" s="11"/>
      <c r="M576" s="11"/>
      <c r="N576" s="11"/>
      <c r="O576" s="11"/>
      <c r="P576" s="11"/>
      <c r="Q576" s="11"/>
      <c r="R576" s="11"/>
      <c r="S576" s="11"/>
    </row>
    <row r="577" spans="9:19" x14ac:dyDescent="0.35">
      <c r="I577" s="11"/>
      <c r="J577" s="11"/>
      <c r="K577" s="11"/>
      <c r="L577" s="11"/>
      <c r="M577" s="11"/>
      <c r="N577" s="11"/>
      <c r="O577" s="11"/>
      <c r="P577" s="11"/>
      <c r="Q577" s="11"/>
      <c r="R577" s="11"/>
      <c r="S577" s="11"/>
    </row>
    <row r="578" spans="9:19" x14ac:dyDescent="0.35">
      <c r="I578" s="11"/>
      <c r="J578" s="11"/>
      <c r="K578" s="11"/>
      <c r="L578" s="11"/>
      <c r="M578" s="11"/>
      <c r="N578" s="11"/>
      <c r="O578" s="11"/>
      <c r="P578" s="11"/>
      <c r="Q578" s="11"/>
      <c r="R578" s="11"/>
      <c r="S578" s="11"/>
    </row>
    <row r="579" spans="9:19" x14ac:dyDescent="0.35">
      <c r="I579" s="11"/>
      <c r="J579" s="11"/>
      <c r="K579" s="11"/>
      <c r="L579" s="11"/>
      <c r="M579" s="11"/>
      <c r="N579" s="11"/>
      <c r="O579" s="11"/>
      <c r="P579" s="11"/>
      <c r="Q579" s="11"/>
      <c r="R579" s="11"/>
      <c r="S579" s="11"/>
    </row>
    <row r="580" spans="9:19" x14ac:dyDescent="0.35">
      <c r="I580" s="11"/>
      <c r="J580" s="11"/>
      <c r="K580" s="11"/>
      <c r="L580" s="11"/>
      <c r="M580" s="11"/>
      <c r="N580" s="11"/>
      <c r="O580" s="11"/>
      <c r="P580" s="11"/>
      <c r="Q580" s="11"/>
      <c r="R580" s="11"/>
      <c r="S580" s="11"/>
    </row>
    <row r="581" spans="9:19" x14ac:dyDescent="0.35">
      <c r="I581" s="11"/>
      <c r="J581" s="11"/>
      <c r="K581" s="11"/>
      <c r="L581" s="11"/>
      <c r="M581" s="11"/>
      <c r="N581" s="11"/>
      <c r="O581" s="11"/>
      <c r="P581" s="11"/>
      <c r="Q581" s="11"/>
      <c r="R581" s="11"/>
      <c r="S581" s="11"/>
    </row>
    <row r="582" spans="9:19" x14ac:dyDescent="0.35">
      <c r="I582" s="11"/>
      <c r="J582" s="11"/>
      <c r="K582" s="11"/>
      <c r="L582" s="11"/>
      <c r="M582" s="11"/>
      <c r="N582" s="11"/>
      <c r="O582" s="11"/>
      <c r="P582" s="11"/>
      <c r="Q582" s="11"/>
      <c r="R582" s="11"/>
      <c r="S582" s="11"/>
    </row>
    <row r="583" spans="9:19" x14ac:dyDescent="0.35">
      <c r="I583" s="11"/>
      <c r="J583" s="11"/>
      <c r="K583" s="11"/>
      <c r="L583" s="11"/>
      <c r="M583" s="11"/>
      <c r="N583" s="11"/>
      <c r="O583" s="11"/>
      <c r="P583" s="11"/>
      <c r="Q583" s="11"/>
      <c r="R583" s="11"/>
      <c r="S583" s="11"/>
    </row>
    <row r="584" spans="9:19" x14ac:dyDescent="0.35">
      <c r="I584" s="11"/>
      <c r="J584" s="11"/>
      <c r="K584" s="11"/>
      <c r="L584" s="11"/>
      <c r="M584" s="11"/>
      <c r="N584" s="11"/>
      <c r="O584" s="11"/>
      <c r="P584" s="11"/>
      <c r="Q584" s="11"/>
      <c r="R584" s="11"/>
      <c r="S584" s="11"/>
    </row>
    <row r="585" spans="9:19" x14ac:dyDescent="0.35">
      <c r="I585" s="11"/>
      <c r="J585" s="11"/>
      <c r="K585" s="11"/>
      <c r="L585" s="11"/>
      <c r="M585" s="11"/>
      <c r="N585" s="11"/>
      <c r="O585" s="11"/>
      <c r="P585" s="11"/>
      <c r="Q585" s="11"/>
      <c r="R585" s="11"/>
      <c r="S585" s="11"/>
    </row>
    <row r="586" spans="9:19" x14ac:dyDescent="0.35">
      <c r="I586" s="11"/>
      <c r="J586" s="11"/>
      <c r="K586" s="11"/>
      <c r="L586" s="11"/>
      <c r="M586" s="11"/>
      <c r="N586" s="11"/>
      <c r="O586" s="11"/>
      <c r="P586" s="11"/>
      <c r="Q586" s="11"/>
      <c r="R586" s="11"/>
      <c r="S586" s="11"/>
    </row>
    <row r="587" spans="9:19" x14ac:dyDescent="0.35">
      <c r="I587" s="11"/>
      <c r="J587" s="11"/>
      <c r="K587" s="11"/>
      <c r="L587" s="11"/>
      <c r="M587" s="11"/>
      <c r="N587" s="11"/>
      <c r="O587" s="11"/>
      <c r="P587" s="11"/>
      <c r="Q587" s="11"/>
      <c r="R587" s="11"/>
      <c r="S587" s="11"/>
    </row>
    <row r="588" spans="9:19" x14ac:dyDescent="0.35">
      <c r="I588" s="11"/>
      <c r="J588" s="11"/>
      <c r="K588" s="11"/>
      <c r="L588" s="11"/>
      <c r="M588" s="11"/>
      <c r="N588" s="11"/>
      <c r="O588" s="11"/>
      <c r="P588" s="11"/>
      <c r="Q588" s="11"/>
      <c r="R588" s="11"/>
      <c r="S588" s="11"/>
    </row>
    <row r="589" spans="9:19" x14ac:dyDescent="0.35">
      <c r="I589" s="11"/>
      <c r="J589" s="11"/>
      <c r="K589" s="11"/>
      <c r="L589" s="11"/>
      <c r="M589" s="11"/>
      <c r="N589" s="11"/>
      <c r="O589" s="11"/>
      <c r="P589" s="11"/>
      <c r="Q589" s="11"/>
      <c r="R589" s="11"/>
      <c r="S589" s="11"/>
    </row>
    <row r="590" spans="9:19" x14ac:dyDescent="0.35">
      <c r="I590" s="11"/>
      <c r="J590" s="11"/>
      <c r="K590" s="11"/>
      <c r="L590" s="11"/>
      <c r="M590" s="11"/>
      <c r="N590" s="11"/>
      <c r="O590" s="11"/>
      <c r="P590" s="11"/>
      <c r="Q590" s="11"/>
      <c r="R590" s="11"/>
      <c r="S590" s="11"/>
    </row>
    <row r="591" spans="9:19" x14ac:dyDescent="0.35">
      <c r="I591" s="11"/>
      <c r="J591" s="11"/>
      <c r="K591" s="11"/>
      <c r="L591" s="11"/>
      <c r="M591" s="11"/>
      <c r="N591" s="11"/>
      <c r="O591" s="11"/>
      <c r="P591" s="11"/>
      <c r="Q591" s="11"/>
      <c r="R591" s="11"/>
      <c r="S591" s="11"/>
    </row>
    <row r="592" spans="9:19" x14ac:dyDescent="0.35">
      <c r="I592" s="11"/>
      <c r="J592" s="11"/>
      <c r="K592" s="11"/>
      <c r="L592" s="11"/>
      <c r="M592" s="11"/>
      <c r="N592" s="11"/>
      <c r="O592" s="11"/>
      <c r="P592" s="11"/>
      <c r="Q592" s="11"/>
      <c r="R592" s="11"/>
      <c r="S592" s="11"/>
    </row>
    <row r="593" spans="9:19" x14ac:dyDescent="0.35">
      <c r="I593" s="11"/>
      <c r="J593" s="11"/>
      <c r="K593" s="11"/>
      <c r="L593" s="11"/>
      <c r="M593" s="11"/>
      <c r="N593" s="11"/>
      <c r="O593" s="11"/>
      <c r="P593" s="11"/>
      <c r="Q593" s="11"/>
      <c r="R593" s="11"/>
      <c r="S593" s="11"/>
    </row>
    <row r="594" spans="9:19" x14ac:dyDescent="0.35">
      <c r="I594" s="11"/>
      <c r="J594" s="11"/>
      <c r="K594" s="11"/>
      <c r="L594" s="11"/>
      <c r="M594" s="11"/>
      <c r="N594" s="11"/>
      <c r="O594" s="11"/>
      <c r="P594" s="11"/>
      <c r="Q594" s="11"/>
      <c r="R594" s="11"/>
      <c r="S594" s="11"/>
    </row>
    <row r="595" spans="9:19" x14ac:dyDescent="0.35">
      <c r="I595" s="11"/>
      <c r="J595" s="11"/>
      <c r="K595" s="11"/>
      <c r="L595" s="11"/>
      <c r="M595" s="11"/>
      <c r="N595" s="11"/>
      <c r="O595" s="11"/>
      <c r="P595" s="11"/>
      <c r="Q595" s="11"/>
      <c r="R595" s="11"/>
      <c r="S595" s="11"/>
    </row>
    <row r="596" spans="9:19" x14ac:dyDescent="0.35">
      <c r="I596" s="11"/>
      <c r="J596" s="11"/>
      <c r="K596" s="11"/>
      <c r="L596" s="11"/>
      <c r="M596" s="11"/>
      <c r="N596" s="11"/>
      <c r="O596" s="11"/>
      <c r="P596" s="11"/>
      <c r="Q596" s="11"/>
      <c r="R596" s="11"/>
      <c r="S596" s="11"/>
    </row>
    <row r="597" spans="9:19" x14ac:dyDescent="0.35">
      <c r="I597" s="11"/>
      <c r="J597" s="11"/>
      <c r="K597" s="11"/>
      <c r="L597" s="11"/>
      <c r="M597" s="11"/>
      <c r="N597" s="11"/>
      <c r="O597" s="11"/>
      <c r="P597" s="11"/>
      <c r="Q597" s="11"/>
      <c r="R597" s="11"/>
      <c r="S597" s="11"/>
    </row>
    <row r="598" spans="9:19" x14ac:dyDescent="0.35">
      <c r="I598" s="11"/>
      <c r="J598" s="11"/>
      <c r="K598" s="11"/>
      <c r="L598" s="11"/>
      <c r="M598" s="11"/>
      <c r="N598" s="11"/>
      <c r="O598" s="11"/>
      <c r="P598" s="11"/>
      <c r="Q598" s="11"/>
      <c r="R598" s="11"/>
      <c r="S598" s="11"/>
    </row>
    <row r="599" spans="9:19" x14ac:dyDescent="0.35">
      <c r="I599" s="11"/>
      <c r="J599" s="11"/>
      <c r="K599" s="11"/>
      <c r="L599" s="11"/>
      <c r="M599" s="11"/>
      <c r="N599" s="11"/>
      <c r="O599" s="11"/>
      <c r="P599" s="11"/>
      <c r="Q599" s="11"/>
      <c r="R599" s="11"/>
      <c r="S599" s="11"/>
    </row>
    <row r="600" spans="9:19" x14ac:dyDescent="0.35">
      <c r="I600" s="11"/>
      <c r="J600" s="11"/>
      <c r="K600" s="11"/>
      <c r="L600" s="11"/>
      <c r="M600" s="11"/>
      <c r="N600" s="11"/>
      <c r="O600" s="11"/>
      <c r="P600" s="11"/>
      <c r="Q600" s="11"/>
      <c r="R600" s="11"/>
      <c r="S600" s="11"/>
    </row>
    <row r="601" spans="9:19" x14ac:dyDescent="0.35">
      <c r="I601" s="11"/>
      <c r="J601" s="11"/>
      <c r="K601" s="11"/>
      <c r="L601" s="11"/>
      <c r="M601" s="11"/>
      <c r="N601" s="11"/>
      <c r="O601" s="11"/>
      <c r="P601" s="11"/>
      <c r="Q601" s="11"/>
      <c r="R601" s="11"/>
      <c r="S601" s="11"/>
    </row>
    <row r="602" spans="9:19" x14ac:dyDescent="0.35">
      <c r="I602" s="11"/>
      <c r="J602" s="11"/>
      <c r="K602" s="11"/>
      <c r="L602" s="11"/>
      <c r="M602" s="11"/>
      <c r="N602" s="11"/>
      <c r="O602" s="11"/>
      <c r="P602" s="11"/>
      <c r="Q602" s="11"/>
      <c r="R602" s="11"/>
      <c r="S602" s="11"/>
    </row>
    <row r="603" spans="9:19" x14ac:dyDescent="0.35">
      <c r="I603" s="11"/>
      <c r="J603" s="11"/>
      <c r="K603" s="11"/>
      <c r="L603" s="11"/>
      <c r="M603" s="11"/>
      <c r="N603" s="11"/>
      <c r="O603" s="11"/>
      <c r="P603" s="11"/>
      <c r="Q603" s="11"/>
      <c r="R603" s="11"/>
      <c r="S603" s="11"/>
    </row>
    <row r="604" spans="9:19" x14ac:dyDescent="0.35">
      <c r="I604" s="11"/>
      <c r="J604" s="11"/>
      <c r="K604" s="11"/>
      <c r="L604" s="11"/>
      <c r="M604" s="11"/>
      <c r="N604" s="11"/>
      <c r="O604" s="11"/>
      <c r="P604" s="11"/>
      <c r="Q604" s="11"/>
      <c r="R604" s="11"/>
      <c r="S604" s="11"/>
    </row>
    <row r="605" spans="9:19" x14ac:dyDescent="0.35">
      <c r="I605" s="11"/>
      <c r="J605" s="11"/>
      <c r="K605" s="11"/>
      <c r="L605" s="11"/>
      <c r="M605" s="11"/>
      <c r="N605" s="11"/>
      <c r="O605" s="11"/>
      <c r="P605" s="11"/>
      <c r="Q605" s="11"/>
      <c r="R605" s="11"/>
      <c r="S605" s="11"/>
    </row>
    <row r="606" spans="9:19" x14ac:dyDescent="0.35">
      <c r="I606" s="11"/>
      <c r="J606" s="11"/>
      <c r="K606" s="11"/>
      <c r="L606" s="11"/>
      <c r="M606" s="11"/>
      <c r="N606" s="11"/>
      <c r="O606" s="11"/>
      <c r="P606" s="11"/>
      <c r="Q606" s="11"/>
      <c r="R606" s="11"/>
      <c r="S606" s="11"/>
    </row>
    <row r="607" spans="9:19" x14ac:dyDescent="0.35">
      <c r="I607" s="11"/>
      <c r="J607" s="11"/>
      <c r="K607" s="11"/>
      <c r="L607" s="11"/>
      <c r="M607" s="11"/>
      <c r="N607" s="11"/>
      <c r="O607" s="11"/>
      <c r="P607" s="11"/>
      <c r="Q607" s="11"/>
      <c r="R607" s="11"/>
      <c r="S607" s="11"/>
    </row>
    <row r="608" spans="9:19" x14ac:dyDescent="0.35">
      <c r="I608" s="11"/>
      <c r="J608" s="11"/>
      <c r="K608" s="11"/>
      <c r="L608" s="11"/>
      <c r="M608" s="11"/>
      <c r="N608" s="11"/>
      <c r="O608" s="11"/>
      <c r="P608" s="11"/>
      <c r="Q608" s="11"/>
      <c r="R608" s="11"/>
      <c r="S608" s="11"/>
    </row>
    <row r="609" spans="9:19" x14ac:dyDescent="0.35">
      <c r="I609" s="11"/>
      <c r="J609" s="11"/>
      <c r="K609" s="11"/>
      <c r="L609" s="11"/>
      <c r="M609" s="11"/>
      <c r="N609" s="11"/>
      <c r="O609" s="11"/>
      <c r="P609" s="11"/>
      <c r="Q609" s="11"/>
      <c r="R609" s="11"/>
      <c r="S609" s="11"/>
    </row>
    <row r="610" spans="9:19" x14ac:dyDescent="0.35">
      <c r="I610" s="11"/>
      <c r="J610" s="11"/>
      <c r="K610" s="11"/>
      <c r="L610" s="11"/>
      <c r="M610" s="11"/>
      <c r="N610" s="11"/>
      <c r="O610" s="11"/>
      <c r="P610" s="11"/>
      <c r="Q610" s="11"/>
      <c r="R610" s="11"/>
      <c r="S610" s="11"/>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C879ED-39E2-4B14-B1F2-3462236F7EC9}">
  <sheetPr codeName="Sheet10">
    <tabColor rgb="FFFF0000"/>
  </sheetPr>
  <dimension ref="A1:S152"/>
  <sheetViews>
    <sheetView zoomScale="75" zoomScaleNormal="75" workbookViewId="0">
      <selection activeCell="K23" sqref="K23"/>
    </sheetView>
  </sheetViews>
  <sheetFormatPr defaultRowHeight="15.5" x14ac:dyDescent="0.35"/>
  <cols>
    <col min="1" max="1" width="10.58203125" style="65" customWidth="1"/>
    <col min="2" max="2" width="15.08203125" style="18" customWidth="1"/>
    <col min="3" max="3" width="10.6640625" style="18" customWidth="1"/>
    <col min="4" max="4" width="11.5" style="18" customWidth="1"/>
    <col min="5" max="7" width="10.6640625" style="18" customWidth="1"/>
    <col min="8" max="8" width="11.83203125" style="18" customWidth="1"/>
  </cols>
  <sheetData>
    <row r="1" spans="1:19" ht="21" x14ac:dyDescent="0.35">
      <c r="A1" s="52" t="str">
        <f>'Organized Data'!A1</f>
        <v>Water Quality Data</v>
      </c>
      <c r="C1" s="70" t="str">
        <f>'Organized Data'!F1</f>
        <v>NH4-N</v>
      </c>
    </row>
    <row r="2" spans="1:19" ht="46.5" x14ac:dyDescent="0.35">
      <c r="A2" s="19" t="s">
        <v>0</v>
      </c>
      <c r="B2" s="19" t="s">
        <v>453</v>
      </c>
      <c r="C2" s="19" t="s">
        <v>474</v>
      </c>
      <c r="D2" s="19" t="s">
        <v>1</v>
      </c>
      <c r="E2" s="19" t="s">
        <v>318</v>
      </c>
      <c r="F2" s="19" t="s">
        <v>435</v>
      </c>
      <c r="G2" s="19" t="s">
        <v>497</v>
      </c>
      <c r="H2" s="19" t="s">
        <v>473</v>
      </c>
      <c r="L2" s="19" t="s">
        <v>373</v>
      </c>
      <c r="M2" s="19" t="s">
        <v>374</v>
      </c>
      <c r="N2" s="19" t="s">
        <v>12</v>
      </c>
      <c r="P2" s="19" t="s">
        <v>386</v>
      </c>
      <c r="Q2" s="19" t="s">
        <v>385</v>
      </c>
    </row>
    <row r="3" spans="1:19" x14ac:dyDescent="0.35">
      <c r="A3" s="66">
        <f>'Organized Data'!A6</f>
        <v>45175</v>
      </c>
      <c r="B3" s="18">
        <f>'Organized Data'!B6</f>
        <v>1</v>
      </c>
      <c r="C3" s="18" t="str">
        <f>'Organized Data'!E6</f>
        <v>tank 1</v>
      </c>
      <c r="D3" s="18" t="str">
        <f t="shared" ref="D3:D38" si="0">IFERROR(INDEX($M$9:$M$14, MATCH(B3, $L$9:$L$14, 0)), "")</f>
        <v>Low</v>
      </c>
      <c r="E3" s="18" t="str">
        <f t="shared" ref="E3:E38" si="1">IFERROR(INDEX($N$9:$N$14, MATCH(B3, $L$9:$L$14, 0)), "")</f>
        <v>Lower</v>
      </c>
      <c r="F3" s="18" t="str">
        <f t="shared" ref="F3:F38" si="2">IFERROR(INDEX($O$9:$O$14, MATCH(B3, $L$9:$L$14, 0)), "")</f>
        <v>No</v>
      </c>
      <c r="G3" s="49" t="str">
        <f>'Organized Data'!D6</f>
        <v>No</v>
      </c>
      <c r="H3" s="49">
        <f>'Organized Data'!Q6</f>
        <v>-66.01941747572819</v>
      </c>
      <c r="L3" t="s">
        <v>4</v>
      </c>
      <c r="M3">
        <v>0.109</v>
      </c>
      <c r="N3">
        <v>5</v>
      </c>
      <c r="P3" t="s">
        <v>379</v>
      </c>
      <c r="Q3" t="s">
        <v>344</v>
      </c>
    </row>
    <row r="4" spans="1:19" x14ac:dyDescent="0.35">
      <c r="A4" s="67">
        <f>'Organized Data'!A7</f>
        <v>45181</v>
      </c>
      <c r="B4" s="68">
        <f>'Organized Data'!B7</f>
        <v>1</v>
      </c>
      <c r="C4" s="68" t="str">
        <f>'Organized Data'!E7</f>
        <v>tank 1</v>
      </c>
      <c r="D4" s="68" t="str">
        <f t="shared" si="0"/>
        <v>Low</v>
      </c>
      <c r="E4" s="68" t="str">
        <f t="shared" si="1"/>
        <v>Lower</v>
      </c>
      <c r="F4" s="68" t="str">
        <f t="shared" si="2"/>
        <v>No</v>
      </c>
      <c r="G4" s="69" t="str">
        <f>'Organized Data'!D7</f>
        <v>No</v>
      </c>
      <c r="H4" s="69" t="e">
        <f>'Organized Data'!Q7</f>
        <v>#DIV/0!</v>
      </c>
      <c r="I4" s="35" t="s">
        <v>513</v>
      </c>
      <c r="L4" t="s">
        <v>6</v>
      </c>
      <c r="M4">
        <v>0.218</v>
      </c>
      <c r="N4">
        <v>2.5</v>
      </c>
      <c r="P4" t="s">
        <v>381</v>
      </c>
      <c r="Q4" t="s">
        <v>463</v>
      </c>
    </row>
    <row r="5" spans="1:19" x14ac:dyDescent="0.35">
      <c r="A5" s="66">
        <f>'Organized Data'!A8</f>
        <v>45195</v>
      </c>
      <c r="B5" s="18">
        <f>'Organized Data'!B8</f>
        <v>1</v>
      </c>
      <c r="C5" s="18" t="str">
        <f>'Organized Data'!E8</f>
        <v>tank 1</v>
      </c>
      <c r="D5" s="18" t="str">
        <f t="shared" si="0"/>
        <v>Low</v>
      </c>
      <c r="E5" s="18" t="str">
        <f t="shared" si="1"/>
        <v>Lower</v>
      </c>
      <c r="F5" s="18" t="str">
        <f t="shared" si="2"/>
        <v>No</v>
      </c>
      <c r="G5" s="49" t="str">
        <f>'Organized Data'!D8</f>
        <v>No</v>
      </c>
      <c r="H5" s="49">
        <f>'Organized Data'!Q8</f>
        <v>-38.888888888888886</v>
      </c>
      <c r="L5" t="s">
        <v>7</v>
      </c>
      <c r="M5">
        <v>0.54500000000000004</v>
      </c>
      <c r="N5">
        <v>1</v>
      </c>
      <c r="P5" t="s">
        <v>380</v>
      </c>
      <c r="Q5" t="s">
        <v>464</v>
      </c>
    </row>
    <row r="6" spans="1:19" x14ac:dyDescent="0.35">
      <c r="A6" s="66">
        <f>'Organized Data'!A9</f>
        <v>45175</v>
      </c>
      <c r="B6" s="18">
        <f>'Organized Data'!B9</f>
        <v>1</v>
      </c>
      <c r="C6" s="18" t="str">
        <f>'Organized Data'!E9</f>
        <v>tank 2</v>
      </c>
      <c r="D6" s="18" t="str">
        <f t="shared" si="0"/>
        <v>Low</v>
      </c>
      <c r="E6" s="18" t="str">
        <f t="shared" si="1"/>
        <v>Lower</v>
      </c>
      <c r="F6" s="18" t="str">
        <f t="shared" si="2"/>
        <v>No</v>
      </c>
      <c r="G6" s="49" t="str">
        <f>'Organized Data'!D9</f>
        <v>No</v>
      </c>
      <c r="H6" s="49">
        <f>'Organized Data'!Q9</f>
        <v>41.747572815533971</v>
      </c>
    </row>
    <row r="7" spans="1:19" x14ac:dyDescent="0.35">
      <c r="A7" s="67">
        <f>'Organized Data'!A10</f>
        <v>45181</v>
      </c>
      <c r="B7" s="68">
        <f>'Organized Data'!B10</f>
        <v>1</v>
      </c>
      <c r="C7" s="68" t="str">
        <f>'Organized Data'!E10</f>
        <v>tank 2</v>
      </c>
      <c r="D7" s="68" t="str">
        <f t="shared" si="0"/>
        <v>Low</v>
      </c>
      <c r="E7" s="68" t="str">
        <f t="shared" si="1"/>
        <v>Lower</v>
      </c>
      <c r="F7" s="68" t="str">
        <f t="shared" si="2"/>
        <v>No</v>
      </c>
      <c r="G7" s="69" t="str">
        <f>'Organized Data'!D10</f>
        <v>No</v>
      </c>
      <c r="H7" s="69" t="e">
        <f>'Organized Data'!Q10</f>
        <v>#DIV/0!</v>
      </c>
      <c r="I7" s="35" t="s">
        <v>513</v>
      </c>
    </row>
    <row r="8" spans="1:19" x14ac:dyDescent="0.35">
      <c r="A8" s="66">
        <f>'Organized Data'!A11</f>
        <v>45195</v>
      </c>
      <c r="B8" s="18">
        <f>'Organized Data'!B11</f>
        <v>1</v>
      </c>
      <c r="C8" s="18" t="str">
        <f>'Organized Data'!E11</f>
        <v>tank 2</v>
      </c>
      <c r="D8" s="18" t="str">
        <f t="shared" si="0"/>
        <v>Low</v>
      </c>
      <c r="E8" s="18" t="str">
        <f t="shared" si="1"/>
        <v>Lower</v>
      </c>
      <c r="F8" s="18" t="str">
        <f t="shared" si="2"/>
        <v>No</v>
      </c>
      <c r="G8" s="49" t="str">
        <f>'Organized Data'!D11</f>
        <v>No</v>
      </c>
      <c r="H8" s="49">
        <f>'Organized Data'!Q11</f>
        <v>31.481481481481488</v>
      </c>
      <c r="L8" s="20" t="s">
        <v>434</v>
      </c>
      <c r="M8" s="20" t="s">
        <v>1</v>
      </c>
      <c r="N8" s="20" t="s">
        <v>318</v>
      </c>
      <c r="O8" s="20" t="s">
        <v>435</v>
      </c>
      <c r="P8" s="20" t="s">
        <v>385</v>
      </c>
    </row>
    <row r="9" spans="1:19" x14ac:dyDescent="0.35">
      <c r="A9" s="41">
        <f>'Organized Data'!A15</f>
        <v>45217</v>
      </c>
      <c r="B9" s="18">
        <f>'Organized Data'!B15</f>
        <v>2</v>
      </c>
      <c r="C9" s="18" t="str">
        <f>'Organized Data'!E15</f>
        <v>tank 1</v>
      </c>
      <c r="D9" s="18" t="str">
        <f t="shared" si="0"/>
        <v>Medium</v>
      </c>
      <c r="E9" s="18" t="str">
        <f t="shared" si="1"/>
        <v>Lower</v>
      </c>
      <c r="F9" s="18" t="str">
        <f t="shared" si="2"/>
        <v>No</v>
      </c>
      <c r="G9" s="49" t="str">
        <f>'Organized Data'!D15</f>
        <v>No</v>
      </c>
      <c r="H9" s="49">
        <f>'Organized Data'!Q15</f>
        <v>-330.30303030303037</v>
      </c>
      <c r="L9" s="4">
        <v>1</v>
      </c>
      <c r="M9" s="22" t="s">
        <v>4</v>
      </c>
      <c r="N9" s="22" t="s">
        <v>5</v>
      </c>
      <c r="O9" s="22" t="s">
        <v>15</v>
      </c>
      <c r="P9" s="30" t="s">
        <v>457</v>
      </c>
    </row>
    <row r="10" spans="1:19" x14ac:dyDescent="0.35">
      <c r="A10" s="41">
        <f>'Organized Data'!A16</f>
        <v>45224</v>
      </c>
      <c r="B10" s="18">
        <f>'Organized Data'!B16</f>
        <v>2</v>
      </c>
      <c r="C10" s="18" t="str">
        <f>'Organized Data'!E16</f>
        <v>tank 1</v>
      </c>
      <c r="D10" s="18" t="str">
        <f t="shared" si="0"/>
        <v>Medium</v>
      </c>
      <c r="E10" s="18" t="str">
        <f t="shared" si="1"/>
        <v>Lower</v>
      </c>
      <c r="F10" s="18" t="str">
        <f t="shared" si="2"/>
        <v>No</v>
      </c>
      <c r="G10" s="49" t="str">
        <f>'Organized Data'!D16</f>
        <v>No</v>
      </c>
      <c r="H10" s="49">
        <f>'Organized Data'!Q16</f>
        <v>31.818181818181824</v>
      </c>
      <c r="L10" s="4">
        <v>2</v>
      </c>
      <c r="M10" s="22" t="s">
        <v>6</v>
      </c>
      <c r="N10" s="22" t="s">
        <v>5</v>
      </c>
      <c r="O10" s="22" t="s">
        <v>15</v>
      </c>
      <c r="P10" s="30" t="s">
        <v>458</v>
      </c>
    </row>
    <row r="11" spans="1:19" x14ac:dyDescent="0.35">
      <c r="A11" s="41">
        <f>'Organized Data'!A17</f>
        <v>45230</v>
      </c>
      <c r="B11" s="18">
        <f>'Organized Data'!B17</f>
        <v>2</v>
      </c>
      <c r="C11" s="18" t="str">
        <f>'Organized Data'!E17</f>
        <v>tank 1</v>
      </c>
      <c r="D11" s="18" t="str">
        <f t="shared" si="0"/>
        <v>Medium</v>
      </c>
      <c r="E11" s="18" t="str">
        <f t="shared" si="1"/>
        <v>Lower</v>
      </c>
      <c r="F11" s="18" t="str">
        <f t="shared" si="2"/>
        <v>No</v>
      </c>
      <c r="G11" s="49" t="str">
        <f>'Organized Data'!D17</f>
        <v>Yes</v>
      </c>
      <c r="H11" s="49">
        <f>'Organized Data'!Q17</f>
        <v>56.88073394495413</v>
      </c>
      <c r="L11" s="4">
        <v>3</v>
      </c>
      <c r="M11" s="22" t="s">
        <v>7</v>
      </c>
      <c r="N11" s="22" t="s">
        <v>5</v>
      </c>
      <c r="O11" s="22" t="s">
        <v>15</v>
      </c>
      <c r="P11" s="30" t="s">
        <v>459</v>
      </c>
    </row>
    <row r="12" spans="1:19" x14ac:dyDescent="0.35">
      <c r="A12" s="41">
        <f>'Organized Data'!A18</f>
        <v>45217</v>
      </c>
      <c r="B12" s="18">
        <f>'Organized Data'!B18</f>
        <v>2</v>
      </c>
      <c r="C12" s="18" t="str">
        <f>'Organized Data'!E18</f>
        <v>tank 2</v>
      </c>
      <c r="D12" s="18" t="str">
        <f t="shared" si="0"/>
        <v>Medium</v>
      </c>
      <c r="E12" s="18" t="str">
        <f t="shared" si="1"/>
        <v>Lower</v>
      </c>
      <c r="F12" s="18" t="str">
        <f t="shared" si="2"/>
        <v>No</v>
      </c>
      <c r="G12" s="49" t="str">
        <f>'Organized Data'!D18</f>
        <v>No</v>
      </c>
      <c r="H12" s="49">
        <f>'Organized Data'!Q18</f>
        <v>90.909090909090907</v>
      </c>
      <c r="L12" s="4">
        <v>4</v>
      </c>
      <c r="M12" s="22" t="s">
        <v>7</v>
      </c>
      <c r="N12" s="22" t="s">
        <v>9</v>
      </c>
      <c r="O12" s="22" t="s">
        <v>15</v>
      </c>
      <c r="P12" s="30" t="s">
        <v>460</v>
      </c>
    </row>
    <row r="13" spans="1:19" x14ac:dyDescent="0.35">
      <c r="A13" s="41">
        <f>'Organized Data'!A19</f>
        <v>45224</v>
      </c>
      <c r="B13" s="18">
        <f>'Organized Data'!B19</f>
        <v>2</v>
      </c>
      <c r="C13" s="18" t="str">
        <f>'Organized Data'!E19</f>
        <v>tank 2</v>
      </c>
      <c r="D13" s="18" t="str">
        <f t="shared" si="0"/>
        <v>Medium</v>
      </c>
      <c r="E13" s="18" t="str">
        <f t="shared" si="1"/>
        <v>Lower</v>
      </c>
      <c r="F13" s="18" t="str">
        <f t="shared" si="2"/>
        <v>No</v>
      </c>
      <c r="G13" s="49" t="str">
        <f>'Organized Data'!D19</f>
        <v>No</v>
      </c>
      <c r="H13" s="49">
        <f>'Organized Data'!Q19</f>
        <v>31.818181818181813</v>
      </c>
      <c r="L13" s="4">
        <v>5</v>
      </c>
      <c r="M13" s="22" t="s">
        <v>7</v>
      </c>
      <c r="N13" s="22" t="s">
        <v>5</v>
      </c>
      <c r="O13" s="22" t="s">
        <v>8</v>
      </c>
      <c r="P13" s="30" t="s">
        <v>461</v>
      </c>
    </row>
    <row r="14" spans="1:19" x14ac:dyDescent="0.35">
      <c r="A14" s="41">
        <f>'Organized Data'!A20</f>
        <v>45230</v>
      </c>
      <c r="B14" s="18">
        <f>'Organized Data'!B20</f>
        <v>2</v>
      </c>
      <c r="C14" s="18" t="str">
        <f>'Organized Data'!E20</f>
        <v>tank 2</v>
      </c>
      <c r="D14" s="18" t="str">
        <f t="shared" si="0"/>
        <v>Medium</v>
      </c>
      <c r="E14" s="18" t="str">
        <f t="shared" si="1"/>
        <v>Lower</v>
      </c>
      <c r="F14" s="18" t="str">
        <f t="shared" si="2"/>
        <v>No</v>
      </c>
      <c r="G14" s="49" t="str">
        <f>'Organized Data'!D20</f>
        <v>Yes</v>
      </c>
      <c r="H14" s="49">
        <f>'Organized Data'!Q20</f>
        <v>38.532110091743121</v>
      </c>
      <c r="L14" s="4">
        <v>6</v>
      </c>
      <c r="M14" s="22" t="s">
        <v>6</v>
      </c>
      <c r="N14" s="22" t="s">
        <v>9</v>
      </c>
      <c r="O14" s="22" t="s">
        <v>8</v>
      </c>
      <c r="P14" s="30" t="s">
        <v>462</v>
      </c>
      <c r="S14" s="30" t="s">
        <v>442</v>
      </c>
    </row>
    <row r="15" spans="1:19" x14ac:dyDescent="0.35">
      <c r="A15" s="41">
        <f>'Organized Data'!A24</f>
        <v>45233</v>
      </c>
      <c r="B15" s="18">
        <f>'Organized Data'!B21</f>
        <v>3</v>
      </c>
      <c r="C15" s="18" t="str">
        <f>'Organized Data'!E15</f>
        <v>tank 1</v>
      </c>
      <c r="D15" s="18" t="str">
        <f t="shared" si="0"/>
        <v>High</v>
      </c>
      <c r="E15" s="18" t="str">
        <f t="shared" si="1"/>
        <v>Lower</v>
      </c>
      <c r="F15" s="18" t="str">
        <f t="shared" si="2"/>
        <v>No</v>
      </c>
      <c r="G15" s="49" t="str">
        <f>'Organized Data'!D24</f>
        <v>No</v>
      </c>
      <c r="H15" s="49">
        <f>'Organized Data'!Q24</f>
        <v>0</v>
      </c>
      <c r="S15" t="s">
        <v>441</v>
      </c>
    </row>
    <row r="16" spans="1:19" x14ac:dyDescent="0.35">
      <c r="A16" s="41">
        <f>'Organized Data'!A25</f>
        <v>45238</v>
      </c>
      <c r="B16" s="18">
        <f>'Organized Data'!B22</f>
        <v>3</v>
      </c>
      <c r="C16" s="18" t="str">
        <f>'Organized Data'!E16</f>
        <v>tank 1</v>
      </c>
      <c r="D16" s="18" t="str">
        <f t="shared" si="0"/>
        <v>High</v>
      </c>
      <c r="E16" s="18" t="str">
        <f t="shared" si="1"/>
        <v>Lower</v>
      </c>
      <c r="F16" s="18" t="str">
        <f t="shared" si="2"/>
        <v>No</v>
      </c>
      <c r="G16" s="49" t="str">
        <f>'Organized Data'!D25</f>
        <v>No</v>
      </c>
      <c r="H16" s="49">
        <f>'Organized Data'!Q25</f>
        <v>-524.99999999999977</v>
      </c>
      <c r="L16" s="29" t="s">
        <v>440</v>
      </c>
    </row>
    <row r="17" spans="1:16" x14ac:dyDescent="0.35">
      <c r="A17" s="41">
        <f>'Organized Data'!A26</f>
        <v>45246</v>
      </c>
      <c r="B17" s="18">
        <f>'Organized Data'!B23</f>
        <v>3</v>
      </c>
      <c r="C17" s="18" t="str">
        <f>'Organized Data'!E17</f>
        <v>tank 1</v>
      </c>
      <c r="D17" s="18" t="str">
        <f t="shared" si="0"/>
        <v>High</v>
      </c>
      <c r="E17" s="18" t="str">
        <f t="shared" si="1"/>
        <v>Lower</v>
      </c>
      <c r="F17" s="18" t="str">
        <f t="shared" si="2"/>
        <v>No</v>
      </c>
      <c r="G17" s="49" t="str">
        <f>'Organized Data'!D26</f>
        <v>Yes</v>
      </c>
      <c r="H17" s="49">
        <f>'Organized Data'!Q26</f>
        <v>25.196850393700764</v>
      </c>
      <c r="L17" t="s">
        <v>439</v>
      </c>
    </row>
    <row r="18" spans="1:16" x14ac:dyDescent="0.35">
      <c r="A18" s="41">
        <f>'Organized Data'!A27</f>
        <v>45233</v>
      </c>
      <c r="B18" s="18">
        <f>'Organized Data'!B24</f>
        <v>3</v>
      </c>
      <c r="C18" s="18" t="str">
        <f>'Organized Data'!E18</f>
        <v>tank 2</v>
      </c>
      <c r="D18" s="18" t="str">
        <f t="shared" si="0"/>
        <v>High</v>
      </c>
      <c r="E18" s="18" t="str">
        <f t="shared" si="1"/>
        <v>Lower</v>
      </c>
      <c r="F18" s="18" t="str">
        <f t="shared" si="2"/>
        <v>No</v>
      </c>
      <c r="G18" s="49" t="str">
        <f>'Organized Data'!D27</f>
        <v>No</v>
      </c>
      <c r="H18" s="49">
        <f>'Organized Data'!Q27</f>
        <v>44.230769230769226</v>
      </c>
      <c r="L18" t="s">
        <v>436</v>
      </c>
    </row>
    <row r="19" spans="1:16" x14ac:dyDescent="0.35">
      <c r="A19" s="41">
        <f>'Organized Data'!A28</f>
        <v>45238</v>
      </c>
      <c r="B19" s="18">
        <f>'Organized Data'!B25</f>
        <v>3</v>
      </c>
      <c r="C19" s="18" t="str">
        <f>'Organized Data'!E19</f>
        <v>tank 2</v>
      </c>
      <c r="D19" s="18" t="str">
        <f t="shared" si="0"/>
        <v>High</v>
      </c>
      <c r="E19" s="18" t="str">
        <f t="shared" si="1"/>
        <v>Lower</v>
      </c>
      <c r="F19" s="18" t="str">
        <f t="shared" si="2"/>
        <v>No</v>
      </c>
      <c r="G19" s="49" t="str">
        <f>'Organized Data'!D28</f>
        <v>No</v>
      </c>
      <c r="H19" s="49">
        <f>'Organized Data'!Q28</f>
        <v>-574.99999999999989</v>
      </c>
      <c r="L19" t="s">
        <v>438</v>
      </c>
    </row>
    <row r="20" spans="1:16" x14ac:dyDescent="0.35">
      <c r="A20" s="41">
        <f>'Organized Data'!A29</f>
        <v>45246</v>
      </c>
      <c r="B20" s="18">
        <f>'Organized Data'!B26</f>
        <v>3</v>
      </c>
      <c r="C20" s="18" t="str">
        <f>'Organized Data'!E20</f>
        <v>tank 2</v>
      </c>
      <c r="D20" s="18" t="str">
        <f t="shared" si="0"/>
        <v>High</v>
      </c>
      <c r="E20" s="18" t="str">
        <f t="shared" si="1"/>
        <v>Lower</v>
      </c>
      <c r="F20" s="18" t="str">
        <f t="shared" si="2"/>
        <v>No</v>
      </c>
      <c r="G20" s="49" t="str">
        <f>'Organized Data'!D29</f>
        <v>Yes</v>
      </c>
      <c r="H20" s="49">
        <f>'Organized Data'!Q29</f>
        <v>-7.0866141732283783</v>
      </c>
      <c r="L20" t="s">
        <v>437</v>
      </c>
    </row>
    <row r="21" spans="1:16" x14ac:dyDescent="0.35">
      <c r="A21" s="41">
        <f>'Organized Data'!A33</f>
        <v>45250</v>
      </c>
      <c r="B21" s="18">
        <f>'Organized Data'!B30</f>
        <v>4</v>
      </c>
      <c r="C21" s="18" t="str">
        <f>'Organized Data'!E33</f>
        <v>tank 1</v>
      </c>
      <c r="D21" s="18" t="str">
        <f t="shared" si="0"/>
        <v>High</v>
      </c>
      <c r="E21" s="18" t="str">
        <f t="shared" si="1"/>
        <v>Upper</v>
      </c>
      <c r="F21" s="18" t="str">
        <f t="shared" si="2"/>
        <v>No</v>
      </c>
      <c r="G21" s="49" t="str">
        <f>'Organized Data'!D33</f>
        <v>Yes</v>
      </c>
      <c r="H21" s="49">
        <f>'Organized Data'!Q33</f>
        <v>46.363636363636388</v>
      </c>
      <c r="L21" t="s">
        <v>443</v>
      </c>
    </row>
    <row r="22" spans="1:16" x14ac:dyDescent="0.35">
      <c r="A22" s="41">
        <f>'Organized Data'!A34</f>
        <v>45259</v>
      </c>
      <c r="B22" s="18">
        <f>'Organized Data'!B31</f>
        <v>4</v>
      </c>
      <c r="C22" s="18" t="str">
        <f>'Organized Data'!E34</f>
        <v>tank 1</v>
      </c>
      <c r="D22" s="18" t="str">
        <f t="shared" si="0"/>
        <v>High</v>
      </c>
      <c r="E22" s="18" t="str">
        <f t="shared" si="1"/>
        <v>Upper</v>
      </c>
      <c r="F22" s="18" t="str">
        <f t="shared" si="2"/>
        <v>No</v>
      </c>
      <c r="G22" s="49" t="str">
        <f>'Organized Data'!D34</f>
        <v>No</v>
      </c>
      <c r="H22" s="49">
        <f>'Organized Data'!Q34</f>
        <v>63.414634146341477</v>
      </c>
      <c r="L22" t="s">
        <v>444</v>
      </c>
      <c r="M22">
        <f>3*7</f>
        <v>21</v>
      </c>
      <c r="N22" t="s">
        <v>445</v>
      </c>
    </row>
    <row r="23" spans="1:16" x14ac:dyDescent="0.35">
      <c r="A23" s="41">
        <f>'Organized Data'!A35</f>
        <v>45266</v>
      </c>
      <c r="B23" s="18">
        <f>'Organized Data'!B32</f>
        <v>4</v>
      </c>
      <c r="C23" s="18" t="str">
        <f>'Organized Data'!E35</f>
        <v>tank 1</v>
      </c>
      <c r="D23" s="18" t="str">
        <f t="shared" si="0"/>
        <v>High</v>
      </c>
      <c r="E23" s="18" t="str">
        <f t="shared" si="1"/>
        <v>Upper</v>
      </c>
      <c r="F23" s="18" t="str">
        <f t="shared" si="2"/>
        <v>No</v>
      </c>
      <c r="G23" s="49" t="str">
        <f>'Organized Data'!D35</f>
        <v>No</v>
      </c>
      <c r="H23" s="49">
        <f>'Organized Data'!Q35</f>
        <v>72.435897435897445</v>
      </c>
    </row>
    <row r="24" spans="1:16" x14ac:dyDescent="0.35">
      <c r="A24" s="41">
        <f>'Organized Data'!A36</f>
        <v>45250</v>
      </c>
      <c r="B24" s="18">
        <f>'Organized Data'!B33</f>
        <v>4</v>
      </c>
      <c r="C24" s="18" t="str">
        <f>'Organized Data'!E36</f>
        <v>tank 2</v>
      </c>
      <c r="D24" s="18" t="str">
        <f t="shared" si="0"/>
        <v>High</v>
      </c>
      <c r="E24" s="18" t="str">
        <f t="shared" si="1"/>
        <v>Upper</v>
      </c>
      <c r="F24" s="18" t="str">
        <f t="shared" si="2"/>
        <v>No</v>
      </c>
      <c r="G24" s="49" t="str">
        <f>'Organized Data'!D36</f>
        <v>Yes</v>
      </c>
      <c r="H24" s="49">
        <f>'Organized Data'!Q36</f>
        <v>60.000000000000007</v>
      </c>
      <c r="L24" s="26" t="s">
        <v>476</v>
      </c>
    </row>
    <row r="25" spans="1:16" x14ac:dyDescent="0.35">
      <c r="A25" s="41">
        <f>'Organized Data'!A37</f>
        <v>45259</v>
      </c>
      <c r="B25" s="18">
        <f>'Organized Data'!B34</f>
        <v>4</v>
      </c>
      <c r="C25" s="18" t="str">
        <f>'Organized Data'!E37</f>
        <v>tank 2</v>
      </c>
      <c r="D25" s="18" t="str">
        <f t="shared" si="0"/>
        <v>High</v>
      </c>
      <c r="E25" s="18" t="str">
        <f t="shared" si="1"/>
        <v>Upper</v>
      </c>
      <c r="F25" s="18" t="str">
        <f t="shared" si="2"/>
        <v>No</v>
      </c>
      <c r="G25" s="49" t="str">
        <f>'Organized Data'!D37</f>
        <v>No</v>
      </c>
      <c r="H25" s="49">
        <f>'Organized Data'!Q37</f>
        <v>-11.585365853658548</v>
      </c>
      <c r="L25" t="s">
        <v>485</v>
      </c>
      <c r="O25" s="35" t="s">
        <v>514</v>
      </c>
      <c r="P25" s="55" t="s">
        <v>515</v>
      </c>
    </row>
    <row r="26" spans="1:16" x14ac:dyDescent="0.35">
      <c r="A26" s="41">
        <f>'Organized Data'!A38</f>
        <v>45266</v>
      </c>
      <c r="B26" s="18">
        <f>'Organized Data'!B35</f>
        <v>4</v>
      </c>
      <c r="C26" s="18" t="str">
        <f>'Organized Data'!E38</f>
        <v>tank 2</v>
      </c>
      <c r="D26" s="18" t="str">
        <f t="shared" si="0"/>
        <v>High</v>
      </c>
      <c r="E26" s="18" t="str">
        <f t="shared" si="1"/>
        <v>Upper</v>
      </c>
      <c r="F26" s="18" t="str">
        <f t="shared" si="2"/>
        <v>No</v>
      </c>
      <c r="G26" s="49" t="str">
        <f>'Organized Data'!D38</f>
        <v>No</v>
      </c>
      <c r="H26" s="49">
        <f>'Organized Data'!Q38</f>
        <v>69.230769230769226</v>
      </c>
      <c r="L26" t="s">
        <v>503</v>
      </c>
    </row>
    <row r="27" spans="1:16" x14ac:dyDescent="0.35">
      <c r="A27" s="41">
        <f>'Organized Data'!A42</f>
        <v>45313</v>
      </c>
      <c r="B27" s="18">
        <f>'Organized Data'!B39</f>
        <v>5</v>
      </c>
      <c r="C27" s="18" t="str">
        <f>'Organized Data'!E42</f>
        <v>tank 1</v>
      </c>
      <c r="D27" s="18" t="str">
        <f t="shared" si="0"/>
        <v>High</v>
      </c>
      <c r="E27" s="18" t="str">
        <f t="shared" si="1"/>
        <v>Lower</v>
      </c>
      <c r="F27" s="18" t="str">
        <f t="shared" si="2"/>
        <v>Yes</v>
      </c>
      <c r="G27" s="49" t="str">
        <f>'Organized Data'!D42</f>
        <v>Yes</v>
      </c>
      <c r="H27" s="49">
        <f>'Organized Data'!Q42</f>
        <v>9.9322799097065548</v>
      </c>
      <c r="L27" t="s">
        <v>347</v>
      </c>
      <c r="M27" t="s">
        <v>489</v>
      </c>
      <c r="N27" t="s">
        <v>348</v>
      </c>
      <c r="O27" t="s">
        <v>347</v>
      </c>
      <c r="P27" t="s">
        <v>348</v>
      </c>
    </row>
    <row r="28" spans="1:16" x14ac:dyDescent="0.35">
      <c r="A28" s="41">
        <f>'Organized Data'!A43</f>
        <v>45322</v>
      </c>
      <c r="B28" s="18">
        <f>'Organized Data'!B40</f>
        <v>5</v>
      </c>
      <c r="C28" s="18" t="str">
        <f>'Organized Data'!E43</f>
        <v>tank 1</v>
      </c>
      <c r="D28" s="18" t="str">
        <f t="shared" si="0"/>
        <v>High</v>
      </c>
      <c r="E28" s="18" t="str">
        <f t="shared" si="1"/>
        <v>Lower</v>
      </c>
      <c r="F28" s="18" t="str">
        <f t="shared" si="2"/>
        <v>Yes</v>
      </c>
      <c r="G28" s="49" t="str">
        <f>'Organized Data'!D43</f>
        <v>No</v>
      </c>
      <c r="H28" s="49">
        <f>'Organized Data'!Q43</f>
        <v>-153.68421052631584</v>
      </c>
      <c r="L28" s="3">
        <f>H3</f>
        <v>-66.01941747572819</v>
      </c>
      <c r="M28" s="3">
        <f t="shared" ref="M28:M33" si="3">H9</f>
        <v>-330.30303030303037</v>
      </c>
      <c r="N28" s="3">
        <f t="shared" ref="N28:N33" si="4">H15</f>
        <v>0</v>
      </c>
      <c r="O28" s="3">
        <f>L28</f>
        <v>-66.01941747572819</v>
      </c>
      <c r="P28" s="3">
        <f t="shared" ref="P28:P33" si="5">N28</f>
        <v>0</v>
      </c>
    </row>
    <row r="29" spans="1:16" x14ac:dyDescent="0.35">
      <c r="A29" s="41">
        <f>'Organized Data'!A44</f>
        <v>45330</v>
      </c>
      <c r="B29" s="18">
        <f>'Organized Data'!B41</f>
        <v>5</v>
      </c>
      <c r="C29" s="18" t="str">
        <f>'Organized Data'!E44</f>
        <v>tank 1</v>
      </c>
      <c r="D29" s="18" t="str">
        <f t="shared" si="0"/>
        <v>High</v>
      </c>
      <c r="E29" s="18" t="str">
        <f t="shared" si="1"/>
        <v>Lower</v>
      </c>
      <c r="F29" s="18" t="str">
        <f t="shared" si="2"/>
        <v>Yes</v>
      </c>
      <c r="G29" s="49" t="str">
        <f>'Organized Data'!D44</f>
        <v>No</v>
      </c>
      <c r="H29" s="49">
        <f>'Organized Data'!Q44</f>
        <v>-1780</v>
      </c>
      <c r="L29" s="3"/>
      <c r="M29" s="3">
        <f t="shared" si="3"/>
        <v>31.818181818181824</v>
      </c>
      <c r="N29" s="3">
        <f t="shared" si="4"/>
        <v>-524.99999999999977</v>
      </c>
      <c r="O29" s="3"/>
      <c r="P29" s="3">
        <f t="shared" si="5"/>
        <v>-524.99999999999977</v>
      </c>
    </row>
    <row r="30" spans="1:16" x14ac:dyDescent="0.35">
      <c r="A30" s="41">
        <f>'Organized Data'!A45</f>
        <v>45313</v>
      </c>
      <c r="B30" s="18">
        <f>'Organized Data'!B42</f>
        <v>5</v>
      </c>
      <c r="C30" s="18" t="str">
        <f>'Organized Data'!E45</f>
        <v>tank 2</v>
      </c>
      <c r="D30" s="18" t="str">
        <f t="shared" si="0"/>
        <v>High</v>
      </c>
      <c r="E30" s="18" t="str">
        <f t="shared" si="1"/>
        <v>Lower</v>
      </c>
      <c r="F30" s="18" t="str">
        <f t="shared" si="2"/>
        <v>Yes</v>
      </c>
      <c r="G30" s="49" t="str">
        <f>'Organized Data'!D45</f>
        <v>Yes</v>
      </c>
      <c r="H30" s="49">
        <f>'Organized Data'!Q45</f>
        <v>28.893905191873593</v>
      </c>
      <c r="L30" s="3">
        <f>H5</f>
        <v>-38.888888888888886</v>
      </c>
      <c r="M30" s="3">
        <f t="shared" si="3"/>
        <v>56.88073394495413</v>
      </c>
      <c r="N30" s="3">
        <f t="shared" si="4"/>
        <v>25.196850393700764</v>
      </c>
      <c r="O30" s="3">
        <f>L30</f>
        <v>-38.888888888888886</v>
      </c>
      <c r="P30" s="3">
        <f t="shared" si="5"/>
        <v>25.196850393700764</v>
      </c>
    </row>
    <row r="31" spans="1:16" x14ac:dyDescent="0.35">
      <c r="A31" s="41">
        <f>'Organized Data'!A46</f>
        <v>45322</v>
      </c>
      <c r="B31" s="18">
        <f>'Organized Data'!B43</f>
        <v>5</v>
      </c>
      <c r="C31" s="18" t="str">
        <f>'Organized Data'!E46</f>
        <v>tank 2</v>
      </c>
      <c r="D31" s="18" t="str">
        <f t="shared" si="0"/>
        <v>High</v>
      </c>
      <c r="E31" s="18" t="str">
        <f t="shared" si="1"/>
        <v>Lower</v>
      </c>
      <c r="F31" s="18" t="str">
        <f t="shared" si="2"/>
        <v>Yes</v>
      </c>
      <c r="G31" s="49" t="str">
        <f>'Organized Data'!D46</f>
        <v>No</v>
      </c>
      <c r="H31" s="49">
        <f>'Organized Data'!Q46</f>
        <v>5.2631578947368363</v>
      </c>
      <c r="L31" s="3">
        <f>H6</f>
        <v>41.747572815533971</v>
      </c>
      <c r="M31" s="3">
        <f t="shared" si="3"/>
        <v>90.909090909090907</v>
      </c>
      <c r="N31" s="3">
        <f t="shared" si="4"/>
        <v>44.230769230769226</v>
      </c>
      <c r="O31" s="3">
        <f>L31</f>
        <v>41.747572815533971</v>
      </c>
      <c r="P31" s="3">
        <f t="shared" si="5"/>
        <v>44.230769230769226</v>
      </c>
    </row>
    <row r="32" spans="1:16" x14ac:dyDescent="0.35">
      <c r="A32" s="41">
        <f>'Organized Data'!A47</f>
        <v>45330</v>
      </c>
      <c r="B32" s="18">
        <f>'Organized Data'!B44</f>
        <v>5</v>
      </c>
      <c r="C32" s="18" t="str">
        <f>'Organized Data'!E47</f>
        <v>tank 2</v>
      </c>
      <c r="D32" s="18" t="str">
        <f t="shared" si="0"/>
        <v>High</v>
      </c>
      <c r="E32" s="18" t="str">
        <f t="shared" si="1"/>
        <v>Lower</v>
      </c>
      <c r="F32" s="18" t="str">
        <f t="shared" si="2"/>
        <v>Yes</v>
      </c>
      <c r="G32" s="49" t="str">
        <f>'Organized Data'!D47</f>
        <v>No</v>
      </c>
      <c r="H32" s="49">
        <f>'Organized Data'!Q47</f>
        <v>-900</v>
      </c>
      <c r="L32" s="3"/>
      <c r="M32" s="3">
        <f t="shared" si="3"/>
        <v>31.818181818181813</v>
      </c>
      <c r="N32" s="3">
        <f t="shared" si="4"/>
        <v>-574.99999999999989</v>
      </c>
      <c r="O32" s="3"/>
      <c r="P32" s="3">
        <f t="shared" si="5"/>
        <v>-574.99999999999989</v>
      </c>
    </row>
    <row r="33" spans="1:16" x14ac:dyDescent="0.35">
      <c r="A33" s="41">
        <f>'Organized Data'!A51</f>
        <v>45371</v>
      </c>
      <c r="B33" s="18">
        <f>'Organized Data'!B48</f>
        <v>6</v>
      </c>
      <c r="C33" s="18" t="str">
        <f>'Organized Data'!E51</f>
        <v>tank 1</v>
      </c>
      <c r="D33" s="18" t="str">
        <f t="shared" si="0"/>
        <v>Medium</v>
      </c>
      <c r="E33" s="18" t="str">
        <f t="shared" si="1"/>
        <v>Upper</v>
      </c>
      <c r="F33" s="18" t="str">
        <f t="shared" si="2"/>
        <v>Yes</v>
      </c>
      <c r="G33" s="49" t="str">
        <f>'Organized Data'!D51</f>
        <v>No</v>
      </c>
      <c r="H33" s="49">
        <f>'Organized Data'!Q51</f>
        <v>-4119.9999999999991</v>
      </c>
      <c r="L33" s="3">
        <f>H8</f>
        <v>31.481481481481488</v>
      </c>
      <c r="M33" s="3">
        <f t="shared" si="3"/>
        <v>38.532110091743121</v>
      </c>
      <c r="N33" s="3">
        <f t="shared" si="4"/>
        <v>-7.0866141732283783</v>
      </c>
      <c r="O33" s="3">
        <f>L33</f>
        <v>31.481481481481488</v>
      </c>
      <c r="P33" s="3">
        <f t="shared" si="5"/>
        <v>-7.0866141732283783</v>
      </c>
    </row>
    <row r="34" spans="1:16" x14ac:dyDescent="0.35">
      <c r="A34" s="41">
        <f>'Organized Data'!A52</f>
        <v>45392</v>
      </c>
      <c r="B34" s="18">
        <f>'Organized Data'!B49</f>
        <v>6</v>
      </c>
      <c r="C34" s="18" t="str">
        <f>'Organized Data'!E52</f>
        <v>tank 1</v>
      </c>
      <c r="D34" s="18" t="str">
        <f t="shared" si="0"/>
        <v>Medium</v>
      </c>
      <c r="E34" s="18" t="str">
        <f t="shared" si="1"/>
        <v>Upper</v>
      </c>
      <c r="F34" s="18" t="str">
        <f t="shared" si="2"/>
        <v>Yes</v>
      </c>
      <c r="G34" s="49" t="str">
        <f>'Organized Data'!D52</f>
        <v>No</v>
      </c>
      <c r="H34" s="49" t="e">
        <f>'Organized Data'!Q52</f>
        <v>#DIV/0!</v>
      </c>
      <c r="L34" s="3"/>
      <c r="M34" s="3"/>
      <c r="N34" s="3"/>
    </row>
    <row r="35" spans="1:16" x14ac:dyDescent="0.35">
      <c r="A35" s="41">
        <f>'Organized Data'!A53</f>
        <v>45400</v>
      </c>
      <c r="B35" s="18">
        <f>'Organized Data'!B50</f>
        <v>6</v>
      </c>
      <c r="C35" s="18" t="str">
        <f>'Organized Data'!E53</f>
        <v>tank 1</v>
      </c>
      <c r="D35" s="18" t="str">
        <f t="shared" si="0"/>
        <v>Medium</v>
      </c>
      <c r="E35" s="18" t="str">
        <f t="shared" si="1"/>
        <v>Upper</v>
      </c>
      <c r="F35" s="18" t="str">
        <f t="shared" si="2"/>
        <v>Yes</v>
      </c>
      <c r="G35" s="49" t="str">
        <f>'Organized Data'!D53</f>
        <v>Yes</v>
      </c>
      <c r="H35" s="49">
        <f>'Organized Data'!Q53</f>
        <v>20.68965517241379</v>
      </c>
      <c r="L35" t="s">
        <v>504</v>
      </c>
      <c r="M35" s="3"/>
      <c r="N35" s="3"/>
    </row>
    <row r="36" spans="1:16" x14ac:dyDescent="0.35">
      <c r="A36" s="41">
        <f>'Organized Data'!A54</f>
        <v>45371</v>
      </c>
      <c r="B36" s="18">
        <f>'Organized Data'!B51</f>
        <v>6</v>
      </c>
      <c r="C36" s="18" t="str">
        <f>'Organized Data'!E54</f>
        <v>tank 2</v>
      </c>
      <c r="D36" s="18" t="str">
        <f t="shared" si="0"/>
        <v>Medium</v>
      </c>
      <c r="E36" s="18" t="str">
        <f t="shared" si="1"/>
        <v>Upper</v>
      </c>
      <c r="F36" s="18" t="str">
        <f t="shared" si="2"/>
        <v>Yes</v>
      </c>
      <c r="G36" s="49" t="str">
        <f>'Organized Data'!D54</f>
        <v>No</v>
      </c>
      <c r="H36" s="49">
        <f>'Organized Data'!Q54</f>
        <v>-908</v>
      </c>
      <c r="L36" s="3" t="s">
        <v>499</v>
      </c>
      <c r="M36" s="3" t="s">
        <v>500</v>
      </c>
      <c r="N36" s="3"/>
    </row>
    <row r="37" spans="1:16" x14ac:dyDescent="0.35">
      <c r="A37" s="41">
        <f>'Organized Data'!A55</f>
        <v>45392</v>
      </c>
      <c r="B37" s="18">
        <f>'Organized Data'!B52</f>
        <v>6</v>
      </c>
      <c r="C37" s="18" t="str">
        <f>'Organized Data'!E55</f>
        <v>tank 2</v>
      </c>
      <c r="D37" s="18" t="str">
        <f t="shared" si="0"/>
        <v>Medium</v>
      </c>
      <c r="E37" s="18" t="str">
        <f t="shared" si="1"/>
        <v>Upper</v>
      </c>
      <c r="F37" s="18" t="str">
        <f t="shared" si="2"/>
        <v>Yes</v>
      </c>
      <c r="G37" s="49" t="str">
        <f>'Organized Data'!D55</f>
        <v>No</v>
      </c>
      <c r="H37" s="49" t="e">
        <f>'Organized Data'!Q55</f>
        <v>#DIV/0!</v>
      </c>
      <c r="L37" s="3">
        <f t="shared" ref="L37:L42" si="6">H15</f>
        <v>0</v>
      </c>
      <c r="M37" s="3">
        <f t="shared" ref="M37:M42" si="7">H21</f>
        <v>46.363636363636388</v>
      </c>
      <c r="N37" s="3"/>
    </row>
    <row r="38" spans="1:16" x14ac:dyDescent="0.35">
      <c r="A38" s="41">
        <f>'Organized Data'!A56</f>
        <v>45400</v>
      </c>
      <c r="B38" s="18">
        <f>'Organized Data'!B53</f>
        <v>6</v>
      </c>
      <c r="C38" s="18" t="str">
        <f>'Organized Data'!E56</f>
        <v>tank 2</v>
      </c>
      <c r="D38" s="18" t="str">
        <f t="shared" si="0"/>
        <v>Medium</v>
      </c>
      <c r="E38" s="18" t="str">
        <f t="shared" si="1"/>
        <v>Upper</v>
      </c>
      <c r="F38" s="18" t="str">
        <f t="shared" si="2"/>
        <v>Yes</v>
      </c>
      <c r="G38" s="49" t="str">
        <f>'Organized Data'!D56</f>
        <v>Yes</v>
      </c>
      <c r="H38" s="49">
        <f>'Organized Data'!Q56</f>
        <v>48.275862068965516</v>
      </c>
      <c r="L38" s="3">
        <f t="shared" si="6"/>
        <v>-524.99999999999977</v>
      </c>
      <c r="M38" s="3">
        <f t="shared" si="7"/>
        <v>63.414634146341477</v>
      </c>
      <c r="N38" s="3"/>
    </row>
    <row r="39" spans="1:16" x14ac:dyDescent="0.35">
      <c r="L39" s="3">
        <f t="shared" si="6"/>
        <v>25.196850393700764</v>
      </c>
      <c r="M39" s="3">
        <f t="shared" si="7"/>
        <v>72.435897435897445</v>
      </c>
      <c r="N39" s="3"/>
    </row>
    <row r="40" spans="1:16" x14ac:dyDescent="0.35">
      <c r="L40" s="3">
        <f t="shared" si="6"/>
        <v>44.230769230769226</v>
      </c>
      <c r="M40" s="3">
        <f t="shared" si="7"/>
        <v>60.000000000000007</v>
      </c>
    </row>
    <row r="41" spans="1:16" x14ac:dyDescent="0.35">
      <c r="L41" s="3">
        <f t="shared" si="6"/>
        <v>-574.99999999999989</v>
      </c>
      <c r="M41" s="3">
        <f t="shared" si="7"/>
        <v>-11.585365853658548</v>
      </c>
    </row>
    <row r="42" spans="1:16" x14ac:dyDescent="0.35">
      <c r="L42" s="3">
        <f t="shared" si="6"/>
        <v>-7.0866141732283783</v>
      </c>
      <c r="M42" s="3">
        <f t="shared" si="7"/>
        <v>69.230769230769226</v>
      </c>
    </row>
    <row r="43" spans="1:16" x14ac:dyDescent="0.35">
      <c r="L43" s="3"/>
    </row>
    <row r="44" spans="1:16" x14ac:dyDescent="0.35">
      <c r="L44" t="s">
        <v>505</v>
      </c>
      <c r="M44" s="3"/>
    </row>
    <row r="45" spans="1:16" x14ac:dyDescent="0.35">
      <c r="L45" s="3" t="s">
        <v>502</v>
      </c>
      <c r="M45" s="3" t="s">
        <v>501</v>
      </c>
    </row>
    <row r="46" spans="1:16" x14ac:dyDescent="0.35">
      <c r="L46" s="3">
        <f t="shared" ref="L46:L51" si="8">H15</f>
        <v>0</v>
      </c>
      <c r="M46" s="3">
        <f t="shared" ref="M46:M51" si="9">H27</f>
        <v>9.9322799097065548</v>
      </c>
    </row>
    <row r="47" spans="1:16" x14ac:dyDescent="0.35">
      <c r="L47" s="3">
        <f t="shared" si="8"/>
        <v>-524.99999999999977</v>
      </c>
      <c r="M47" s="3">
        <f t="shared" si="9"/>
        <v>-153.68421052631584</v>
      </c>
    </row>
    <row r="48" spans="1:16" x14ac:dyDescent="0.35">
      <c r="I48" s="3"/>
      <c r="L48" s="3">
        <f t="shared" si="8"/>
        <v>25.196850393700764</v>
      </c>
      <c r="M48" s="3">
        <f t="shared" si="9"/>
        <v>-1780</v>
      </c>
    </row>
    <row r="49" spans="12:13" x14ac:dyDescent="0.35">
      <c r="L49" s="3">
        <f t="shared" si="8"/>
        <v>44.230769230769226</v>
      </c>
      <c r="M49" s="3">
        <f t="shared" si="9"/>
        <v>28.893905191873593</v>
      </c>
    </row>
    <row r="50" spans="12:13" x14ac:dyDescent="0.35">
      <c r="L50" s="3">
        <f t="shared" si="8"/>
        <v>-574.99999999999989</v>
      </c>
      <c r="M50" s="3">
        <f t="shared" si="9"/>
        <v>5.2631578947368363</v>
      </c>
    </row>
    <row r="51" spans="12:13" x14ac:dyDescent="0.35">
      <c r="L51" s="3">
        <f t="shared" si="8"/>
        <v>-7.0866141732283783</v>
      </c>
      <c r="M51" s="3">
        <f t="shared" si="9"/>
        <v>-900</v>
      </c>
    </row>
    <row r="53" spans="12:13" x14ac:dyDescent="0.35">
      <c r="L53" t="s">
        <v>512</v>
      </c>
      <c r="M53" s="3"/>
    </row>
    <row r="54" spans="12:13" x14ac:dyDescent="0.35">
      <c r="L54" s="3" t="s">
        <v>506</v>
      </c>
      <c r="M54" s="3" t="s">
        <v>507</v>
      </c>
    </row>
    <row r="55" spans="12:13" x14ac:dyDescent="0.35">
      <c r="L55" s="3">
        <f>H33</f>
        <v>-4119.9999999999991</v>
      </c>
      <c r="M55" s="3">
        <f>H6</f>
        <v>41.747572815533971</v>
      </c>
    </row>
    <row r="56" spans="12:13" x14ac:dyDescent="0.35">
      <c r="L56" s="3"/>
      <c r="M56" s="3"/>
    </row>
    <row r="57" spans="12:13" x14ac:dyDescent="0.35">
      <c r="L57" s="3">
        <f>H5</f>
        <v>-38.888888888888886</v>
      </c>
      <c r="M57" s="3">
        <f>H8</f>
        <v>31.481481481481488</v>
      </c>
    </row>
    <row r="58" spans="12:13" x14ac:dyDescent="0.35">
      <c r="L58" s="3">
        <f>H9</f>
        <v>-330.30303030303037</v>
      </c>
      <c r="M58" s="3">
        <f>H12</f>
        <v>90.909090909090907</v>
      </c>
    </row>
    <row r="59" spans="12:13" x14ac:dyDescent="0.35">
      <c r="L59" s="3">
        <f>H10</f>
        <v>31.818181818181824</v>
      </c>
      <c r="M59" s="3">
        <f>H13</f>
        <v>31.818181818181813</v>
      </c>
    </row>
    <row r="60" spans="12:13" x14ac:dyDescent="0.35">
      <c r="L60" s="3">
        <f>H11</f>
        <v>56.88073394495413</v>
      </c>
      <c r="M60" s="3">
        <f>H14</f>
        <v>38.532110091743121</v>
      </c>
    </row>
    <row r="61" spans="12:13" x14ac:dyDescent="0.35">
      <c r="L61" s="3">
        <f>H15</f>
        <v>0</v>
      </c>
      <c r="M61" s="3">
        <f>H18</f>
        <v>44.230769230769226</v>
      </c>
    </row>
    <row r="62" spans="12:13" x14ac:dyDescent="0.35">
      <c r="L62" s="3">
        <f>H16</f>
        <v>-524.99999999999977</v>
      </c>
      <c r="M62" s="3">
        <f>H19</f>
        <v>-574.99999999999989</v>
      </c>
    </row>
    <row r="63" spans="12:13" x14ac:dyDescent="0.35">
      <c r="L63" s="3">
        <f>H17</f>
        <v>25.196850393700764</v>
      </c>
      <c r="M63" s="3">
        <f>H20</f>
        <v>-7.0866141732283783</v>
      </c>
    </row>
    <row r="64" spans="12:13" x14ac:dyDescent="0.35">
      <c r="L64" s="3">
        <f>H21</f>
        <v>46.363636363636388</v>
      </c>
      <c r="M64" s="3">
        <f>H24</f>
        <v>60.000000000000007</v>
      </c>
    </row>
    <row r="65" spans="12:13" x14ac:dyDescent="0.35">
      <c r="L65" s="3">
        <f>H22</f>
        <v>63.414634146341477</v>
      </c>
      <c r="M65" s="3">
        <f>H25</f>
        <v>-11.585365853658548</v>
      </c>
    </row>
    <row r="66" spans="12:13" x14ac:dyDescent="0.35">
      <c r="L66" s="3">
        <f>H23</f>
        <v>72.435897435897445</v>
      </c>
      <c r="M66" s="3">
        <f>H26</f>
        <v>69.230769230769226</v>
      </c>
    </row>
    <row r="67" spans="12:13" x14ac:dyDescent="0.35">
      <c r="L67" s="3">
        <f>H27</f>
        <v>9.9322799097065548</v>
      </c>
      <c r="M67" s="3">
        <f>H30</f>
        <v>28.893905191873593</v>
      </c>
    </row>
    <row r="68" spans="12:13" x14ac:dyDescent="0.35">
      <c r="L68" s="3">
        <f>H28</f>
        <v>-153.68421052631584</v>
      </c>
      <c r="M68" s="3">
        <f>H31</f>
        <v>5.2631578947368363</v>
      </c>
    </row>
    <row r="69" spans="12:13" x14ac:dyDescent="0.35">
      <c r="L69" s="3">
        <f>H29</f>
        <v>-1780</v>
      </c>
      <c r="M69" s="3">
        <f>H32</f>
        <v>-900</v>
      </c>
    </row>
    <row r="70" spans="12:13" x14ac:dyDescent="0.35">
      <c r="L70" s="3">
        <f>H33</f>
        <v>-4119.9999999999991</v>
      </c>
      <c r="M70" s="3">
        <f>H36</f>
        <v>-908</v>
      </c>
    </row>
    <row r="71" spans="12:13" x14ac:dyDescent="0.35">
      <c r="L71" s="3" t="e">
        <f>H34</f>
        <v>#DIV/0!</v>
      </c>
      <c r="M71" s="3" t="e">
        <f>H37</f>
        <v>#DIV/0!</v>
      </c>
    </row>
    <row r="72" spans="12:13" x14ac:dyDescent="0.35">
      <c r="L72" s="3">
        <f>H35</f>
        <v>20.68965517241379</v>
      </c>
      <c r="M72" s="3">
        <f>H38</f>
        <v>48.275862068965516</v>
      </c>
    </row>
    <row r="73" spans="12:13" x14ac:dyDescent="0.35">
      <c r="M73" s="3"/>
    </row>
    <row r="74" spans="12:13" x14ac:dyDescent="0.35">
      <c r="L74" s="3"/>
      <c r="M74" s="3"/>
    </row>
    <row r="75" spans="12:13" x14ac:dyDescent="0.35">
      <c r="M75" s="3"/>
    </row>
    <row r="76" spans="12:13" x14ac:dyDescent="0.35">
      <c r="L76" s="3"/>
    </row>
    <row r="77" spans="12:13" x14ac:dyDescent="0.35">
      <c r="L77" s="3"/>
    </row>
    <row r="78" spans="12:13" x14ac:dyDescent="0.35">
      <c r="L78" s="3"/>
    </row>
    <row r="79" spans="12:13" x14ac:dyDescent="0.35">
      <c r="M79" s="3"/>
    </row>
    <row r="80" spans="12:13" x14ac:dyDescent="0.35">
      <c r="M80" s="3"/>
    </row>
    <row r="81" spans="12:13" x14ac:dyDescent="0.35">
      <c r="M81" s="3"/>
    </row>
    <row r="82" spans="12:13" x14ac:dyDescent="0.35">
      <c r="L82" s="3"/>
    </row>
    <row r="83" spans="12:13" x14ac:dyDescent="0.35">
      <c r="L83" s="3"/>
    </row>
    <row r="84" spans="12:13" x14ac:dyDescent="0.35">
      <c r="L84" s="3"/>
    </row>
    <row r="85" spans="12:13" x14ac:dyDescent="0.35">
      <c r="M85" s="3"/>
    </row>
    <row r="86" spans="12:13" x14ac:dyDescent="0.35">
      <c r="M86" s="3"/>
    </row>
    <row r="87" spans="12:13" x14ac:dyDescent="0.35">
      <c r="M87" s="3"/>
    </row>
    <row r="88" spans="12:13" x14ac:dyDescent="0.35">
      <c r="L88" s="3"/>
    </row>
    <row r="89" spans="12:13" x14ac:dyDescent="0.35">
      <c r="L89" s="3"/>
    </row>
    <row r="90" spans="12:13" x14ac:dyDescent="0.35">
      <c r="L90" s="3"/>
    </row>
    <row r="91" spans="12:13" x14ac:dyDescent="0.35">
      <c r="L91" s="3"/>
      <c r="M91" s="3"/>
    </row>
    <row r="92" spans="12:13" x14ac:dyDescent="0.35">
      <c r="L92" s="3"/>
      <c r="M92" s="3"/>
    </row>
    <row r="93" spans="12:13" x14ac:dyDescent="0.35">
      <c r="L93" s="3"/>
      <c r="M93" s="3"/>
    </row>
    <row r="94" spans="12:13" x14ac:dyDescent="0.35">
      <c r="L94" s="3"/>
      <c r="M94" s="3"/>
    </row>
    <row r="95" spans="12:13" x14ac:dyDescent="0.35">
      <c r="L95" s="3"/>
      <c r="M95" s="3"/>
    </row>
    <row r="96" spans="12:13" x14ac:dyDescent="0.35">
      <c r="L96" s="3"/>
      <c r="M96" s="3"/>
    </row>
    <row r="97" spans="12:13" x14ac:dyDescent="0.35">
      <c r="L97" s="3"/>
      <c r="M97" s="3"/>
    </row>
    <row r="98" spans="12:13" x14ac:dyDescent="0.35">
      <c r="L98" s="3"/>
      <c r="M98" s="3"/>
    </row>
    <row r="99" spans="12:13" x14ac:dyDescent="0.35">
      <c r="L99" s="3"/>
      <c r="M99" s="3"/>
    </row>
    <row r="100" spans="12:13" x14ac:dyDescent="0.35">
      <c r="L100" s="3"/>
      <c r="M100" s="3"/>
    </row>
    <row r="101" spans="12:13" x14ac:dyDescent="0.35">
      <c r="L101" s="3"/>
      <c r="M101" s="3"/>
    </row>
    <row r="102" spans="12:13" x14ac:dyDescent="0.35">
      <c r="L102" s="3"/>
      <c r="M102" s="3"/>
    </row>
    <row r="103" spans="12:13" x14ac:dyDescent="0.35">
      <c r="L103" s="3"/>
      <c r="M103" s="3"/>
    </row>
    <row r="104" spans="12:13" x14ac:dyDescent="0.35">
      <c r="L104" s="3"/>
      <c r="M104" s="3"/>
    </row>
    <row r="105" spans="12:13" x14ac:dyDescent="0.35">
      <c r="L105" s="3"/>
      <c r="M105" s="3"/>
    </row>
    <row r="106" spans="12:13" x14ac:dyDescent="0.35">
      <c r="L106" s="3"/>
      <c r="M106" s="3"/>
    </row>
    <row r="107" spans="12:13" x14ac:dyDescent="0.35">
      <c r="L107" s="3"/>
      <c r="M107" s="3"/>
    </row>
    <row r="108" spans="12:13" x14ac:dyDescent="0.35">
      <c r="L108" s="3"/>
      <c r="M108" s="3"/>
    </row>
    <row r="109" spans="12:13" x14ac:dyDescent="0.35">
      <c r="L109" s="3"/>
      <c r="M109" s="3"/>
    </row>
    <row r="110" spans="12:13" x14ac:dyDescent="0.35">
      <c r="L110" s="3"/>
      <c r="M110" s="3"/>
    </row>
    <row r="111" spans="12:13" x14ac:dyDescent="0.35">
      <c r="L111" s="3"/>
      <c r="M111" s="3"/>
    </row>
    <row r="112" spans="12:13" x14ac:dyDescent="0.35">
      <c r="L112" s="3"/>
      <c r="M112" s="3"/>
    </row>
    <row r="113" spans="12:13" x14ac:dyDescent="0.35">
      <c r="L113" s="3"/>
      <c r="M113" s="3"/>
    </row>
    <row r="114" spans="12:13" x14ac:dyDescent="0.35">
      <c r="L114" s="3"/>
      <c r="M114" s="3"/>
    </row>
    <row r="115" spans="12:13" x14ac:dyDescent="0.35">
      <c r="L115" s="3"/>
      <c r="M115" s="3"/>
    </row>
    <row r="116" spans="12:13" x14ac:dyDescent="0.35">
      <c r="L116" s="3"/>
      <c r="M116" s="3"/>
    </row>
    <row r="117" spans="12:13" x14ac:dyDescent="0.35">
      <c r="L117" s="3"/>
      <c r="M117" s="3"/>
    </row>
    <row r="118" spans="12:13" x14ac:dyDescent="0.35">
      <c r="L118" s="3"/>
      <c r="M118" s="3"/>
    </row>
    <row r="119" spans="12:13" x14ac:dyDescent="0.35">
      <c r="L119" s="3"/>
      <c r="M119" s="3"/>
    </row>
    <row r="120" spans="12:13" x14ac:dyDescent="0.35">
      <c r="L120" s="3"/>
      <c r="M120" s="3"/>
    </row>
    <row r="121" spans="12:13" x14ac:dyDescent="0.35">
      <c r="L121" s="3"/>
      <c r="M121" s="3"/>
    </row>
    <row r="122" spans="12:13" x14ac:dyDescent="0.35">
      <c r="L122" s="3"/>
      <c r="M122" s="3"/>
    </row>
    <row r="123" spans="12:13" x14ac:dyDescent="0.35">
      <c r="L123" s="3"/>
      <c r="M123" s="3"/>
    </row>
    <row r="124" spans="12:13" x14ac:dyDescent="0.35">
      <c r="L124" s="3"/>
      <c r="M124" s="3"/>
    </row>
    <row r="125" spans="12:13" x14ac:dyDescent="0.35">
      <c r="L125" s="3"/>
      <c r="M125" s="3"/>
    </row>
    <row r="126" spans="12:13" x14ac:dyDescent="0.35">
      <c r="L126" s="3"/>
      <c r="M126" s="3"/>
    </row>
    <row r="127" spans="12:13" x14ac:dyDescent="0.35">
      <c r="L127" s="3"/>
      <c r="M127" s="3"/>
    </row>
    <row r="128" spans="12:13" x14ac:dyDescent="0.35">
      <c r="L128" s="3"/>
      <c r="M128" s="3"/>
    </row>
    <row r="129" spans="12:13" x14ac:dyDescent="0.35">
      <c r="L129" s="3"/>
      <c r="M129" s="3"/>
    </row>
    <row r="130" spans="12:13" x14ac:dyDescent="0.35">
      <c r="L130" s="3"/>
      <c r="M130" s="3"/>
    </row>
    <row r="131" spans="12:13" x14ac:dyDescent="0.35">
      <c r="L131" s="3"/>
      <c r="M131" s="3"/>
    </row>
    <row r="132" spans="12:13" x14ac:dyDescent="0.35">
      <c r="L132" s="3"/>
      <c r="M132" s="3"/>
    </row>
    <row r="133" spans="12:13" x14ac:dyDescent="0.35">
      <c r="L133" s="3"/>
      <c r="M133" s="3"/>
    </row>
    <row r="134" spans="12:13" x14ac:dyDescent="0.35">
      <c r="L134" s="3"/>
      <c r="M134" s="3"/>
    </row>
    <row r="135" spans="12:13" x14ac:dyDescent="0.35">
      <c r="L135" s="3"/>
      <c r="M135" s="3"/>
    </row>
    <row r="136" spans="12:13" x14ac:dyDescent="0.35">
      <c r="L136" s="3"/>
      <c r="M136" s="3"/>
    </row>
    <row r="137" spans="12:13" x14ac:dyDescent="0.35">
      <c r="L137" s="3"/>
      <c r="M137" s="3"/>
    </row>
    <row r="138" spans="12:13" x14ac:dyDescent="0.35">
      <c r="L138" s="3"/>
      <c r="M138" s="3"/>
    </row>
    <row r="139" spans="12:13" x14ac:dyDescent="0.35">
      <c r="L139" s="3"/>
      <c r="M139" s="3"/>
    </row>
    <row r="140" spans="12:13" x14ac:dyDescent="0.35">
      <c r="L140" s="3"/>
      <c r="M140" s="3"/>
    </row>
    <row r="141" spans="12:13" x14ac:dyDescent="0.35">
      <c r="L141" s="3"/>
      <c r="M141" s="3"/>
    </row>
    <row r="142" spans="12:13" x14ac:dyDescent="0.35">
      <c r="L142" s="3"/>
      <c r="M142" s="3"/>
    </row>
    <row r="143" spans="12:13" x14ac:dyDescent="0.35">
      <c r="L143" s="3"/>
      <c r="M143" s="3"/>
    </row>
    <row r="144" spans="12:13" x14ac:dyDescent="0.35">
      <c r="L144" s="3"/>
      <c r="M144" s="3"/>
    </row>
    <row r="145" spans="12:13" x14ac:dyDescent="0.35">
      <c r="L145" s="3"/>
      <c r="M145" s="3"/>
    </row>
    <row r="146" spans="12:13" x14ac:dyDescent="0.35">
      <c r="L146" s="3"/>
      <c r="M146" s="3"/>
    </row>
    <row r="147" spans="12:13" x14ac:dyDescent="0.35">
      <c r="L147" s="3"/>
      <c r="M147" s="3"/>
    </row>
    <row r="148" spans="12:13" x14ac:dyDescent="0.35">
      <c r="L148" s="3"/>
      <c r="M148" s="3"/>
    </row>
    <row r="149" spans="12:13" x14ac:dyDescent="0.35">
      <c r="L149" s="3"/>
      <c r="M149" s="3"/>
    </row>
    <row r="150" spans="12:13" x14ac:dyDescent="0.35">
      <c r="L150" s="3"/>
      <c r="M150" s="3"/>
    </row>
    <row r="151" spans="12:13" x14ac:dyDescent="0.35">
      <c r="L151" s="3"/>
      <c r="M151" s="3"/>
    </row>
    <row r="152" spans="12:13" x14ac:dyDescent="0.35">
      <c r="L152" s="3"/>
      <c r="M152" s="3"/>
    </row>
  </sheetData>
  <phoneticPr fontId="10" type="noConversion"/>
  <hyperlinks>
    <hyperlink ref="O25" location="'ANOVA TIN'!A1" display="ANOVA TIN" xr:uid="{9F0864E7-A396-4017-9D66-0812CE573051}"/>
    <hyperlink ref="P25" location="'ANOVA TP'!A1" display="'ANOVA TP" xr:uid="{B4114DE6-31A6-4F72-BE8B-468F24AC4995}"/>
    <hyperlink ref="I4" location="'Date Key'!H3" display="not included" xr:uid="{2B47356C-ABEF-4593-9B6F-D3B658D61D43}"/>
    <hyperlink ref="I7" location="'Date Key'!H3" display="not included" xr:uid="{E813C504-8953-451D-BE69-0C84ABEE3BCF}"/>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ACB814-CADC-4551-AB41-C1A7C34F978B}">
  <sheetPr codeName="Sheet11">
    <tabColor rgb="FFFF0000"/>
  </sheetPr>
  <dimension ref="A1:W91"/>
  <sheetViews>
    <sheetView topLeftCell="A53" zoomScale="75" zoomScaleNormal="75" workbookViewId="0">
      <selection activeCell="F88" sqref="F88"/>
    </sheetView>
  </sheetViews>
  <sheetFormatPr defaultRowHeight="15.5" x14ac:dyDescent="0.35"/>
  <cols>
    <col min="1" max="1" width="25.5" customWidth="1"/>
    <col min="9" max="9" width="19" bestFit="1" customWidth="1"/>
  </cols>
  <sheetData>
    <row r="1" spans="1:21" x14ac:dyDescent="0.35">
      <c r="A1" s="26" t="s">
        <v>487</v>
      </c>
      <c r="B1" s="58" t="s">
        <v>477</v>
      </c>
      <c r="C1" s="26"/>
    </row>
    <row r="2" spans="1:21" x14ac:dyDescent="0.35">
      <c r="A2" s="26"/>
      <c r="B2" s="58"/>
      <c r="C2" s="26"/>
      <c r="H2" t="s">
        <v>493</v>
      </c>
    </row>
    <row r="3" spans="1:21" x14ac:dyDescent="0.35">
      <c r="A3" s="26"/>
      <c r="B3" s="58"/>
      <c r="C3" s="26"/>
      <c r="H3" s="61" t="s">
        <v>492</v>
      </c>
    </row>
    <row r="4" spans="1:21" x14ac:dyDescent="0.35">
      <c r="A4" s="26"/>
      <c r="B4" s="58"/>
      <c r="C4" s="26"/>
    </row>
    <row r="5" spans="1:21" x14ac:dyDescent="0.35">
      <c r="A5" s="26"/>
      <c r="B5" s="58"/>
      <c r="C5" s="26"/>
    </row>
    <row r="6" spans="1:21" x14ac:dyDescent="0.35">
      <c r="A6" s="26"/>
      <c r="B6" s="58"/>
      <c r="C6" s="26"/>
    </row>
    <row r="7" spans="1:21" x14ac:dyDescent="0.35">
      <c r="A7" s="26"/>
      <c r="B7" s="58"/>
      <c r="C7" s="26"/>
    </row>
    <row r="8" spans="1:21" x14ac:dyDescent="0.35">
      <c r="A8" s="26"/>
      <c r="B8" s="58"/>
      <c r="C8" s="26"/>
    </row>
    <row r="9" spans="1:21" ht="23.5" x14ac:dyDescent="0.55000000000000004">
      <c r="A9" s="38" t="s">
        <v>488</v>
      </c>
      <c r="B9" s="55"/>
    </row>
    <row r="10" spans="1:21" ht="21" x14ac:dyDescent="0.5">
      <c r="A10" s="56" t="s">
        <v>486</v>
      </c>
    </row>
    <row r="11" spans="1:21" x14ac:dyDescent="0.35">
      <c r="A11" s="57" t="s">
        <v>490</v>
      </c>
      <c r="I11" s="57" t="s">
        <v>496</v>
      </c>
      <c r="Q11" s="57" t="s">
        <v>491</v>
      </c>
    </row>
    <row r="12" spans="1:21" x14ac:dyDescent="0.35">
      <c r="A12" t="s">
        <v>349</v>
      </c>
      <c r="I12" t="s">
        <v>349</v>
      </c>
      <c r="Q12" t="s">
        <v>349</v>
      </c>
    </row>
    <row r="14" spans="1:21" ht="16" thickBot="1" x14ac:dyDescent="0.4">
      <c r="A14" t="s">
        <v>350</v>
      </c>
      <c r="I14" t="s">
        <v>350</v>
      </c>
      <c r="Q14" t="s">
        <v>350</v>
      </c>
    </row>
    <row r="15" spans="1:21" x14ac:dyDescent="0.35">
      <c r="A15" s="13" t="s">
        <v>351</v>
      </c>
      <c r="B15" s="13" t="s">
        <v>352</v>
      </c>
      <c r="C15" s="13" t="s">
        <v>353</v>
      </c>
      <c r="D15" s="13" t="s">
        <v>354</v>
      </c>
      <c r="E15" s="13" t="s">
        <v>355</v>
      </c>
      <c r="I15" s="13" t="s">
        <v>351</v>
      </c>
      <c r="J15" s="13" t="s">
        <v>352</v>
      </c>
      <c r="K15" s="13" t="s">
        <v>353</v>
      </c>
      <c r="L15" s="13" t="s">
        <v>354</v>
      </c>
      <c r="M15" s="13" t="s">
        <v>355</v>
      </c>
      <c r="Q15" s="13" t="s">
        <v>351</v>
      </c>
      <c r="R15" s="13" t="s">
        <v>352</v>
      </c>
      <c r="S15" s="13" t="s">
        <v>353</v>
      </c>
      <c r="T15" s="13" t="s">
        <v>354</v>
      </c>
      <c r="U15" s="13" t="s">
        <v>355</v>
      </c>
    </row>
    <row r="16" spans="1:21" x14ac:dyDescent="0.35">
      <c r="A16" t="s">
        <v>347</v>
      </c>
      <c r="B16">
        <v>4</v>
      </c>
      <c r="C16">
        <v>310.12537410098679</v>
      </c>
      <c r="D16">
        <v>77.531343525246697</v>
      </c>
      <c r="E16">
        <v>113.8592949123522</v>
      </c>
      <c r="I16" t="s">
        <v>347</v>
      </c>
      <c r="J16">
        <v>4</v>
      </c>
      <c r="K16">
        <v>310.12537410098679</v>
      </c>
      <c r="L16">
        <v>77.531343525246697</v>
      </c>
      <c r="M16">
        <v>113.8592949123522</v>
      </c>
      <c r="Q16" t="s">
        <v>489</v>
      </c>
      <c r="R16">
        <v>6</v>
      </c>
      <c r="S16">
        <v>434.00563733603889</v>
      </c>
      <c r="T16">
        <v>72.334272889339815</v>
      </c>
      <c r="U16">
        <v>290.67708888554552</v>
      </c>
    </row>
    <row r="17" spans="1:23" ht="16" thickBot="1" x14ac:dyDescent="0.4">
      <c r="A17" s="12" t="s">
        <v>489</v>
      </c>
      <c r="B17" s="12">
        <v>6</v>
      </c>
      <c r="C17" s="12">
        <v>434.00563733603889</v>
      </c>
      <c r="D17" s="12">
        <v>72.334272889339815</v>
      </c>
      <c r="E17" s="12">
        <v>290.67708888554552</v>
      </c>
      <c r="I17" s="12" t="s">
        <v>348</v>
      </c>
      <c r="J17" s="12">
        <v>6</v>
      </c>
      <c r="K17" s="12">
        <v>296.86787017935313</v>
      </c>
      <c r="L17" s="12">
        <v>49.477978363225525</v>
      </c>
      <c r="M17" s="12">
        <v>311.29518960425156</v>
      </c>
      <c r="Q17" s="12" t="s">
        <v>348</v>
      </c>
      <c r="R17" s="12">
        <v>6</v>
      </c>
      <c r="S17" s="12">
        <v>296.86787017935313</v>
      </c>
      <c r="T17" s="12">
        <v>49.477978363225525</v>
      </c>
      <c r="U17" s="12">
        <v>311.29518960425156</v>
      </c>
    </row>
    <row r="20" spans="1:23" ht="16" thickBot="1" x14ac:dyDescent="0.4">
      <c r="A20" t="s">
        <v>356</v>
      </c>
      <c r="I20" t="s">
        <v>356</v>
      </c>
      <c r="Q20" t="s">
        <v>356</v>
      </c>
    </row>
    <row r="21" spans="1:23" x14ac:dyDescent="0.35">
      <c r="A21" s="13" t="s">
        <v>357</v>
      </c>
      <c r="B21" s="13" t="s">
        <v>358</v>
      </c>
      <c r="C21" s="13" t="s">
        <v>359</v>
      </c>
      <c r="D21" s="13" t="s">
        <v>360</v>
      </c>
      <c r="E21" s="13" t="s">
        <v>361</v>
      </c>
      <c r="F21" s="60" t="s">
        <v>362</v>
      </c>
      <c r="G21" s="13" t="s">
        <v>363</v>
      </c>
      <c r="I21" s="13" t="s">
        <v>357</v>
      </c>
      <c r="J21" s="13" t="s">
        <v>358</v>
      </c>
      <c r="K21" s="13" t="s">
        <v>359</v>
      </c>
      <c r="L21" s="13" t="s">
        <v>360</v>
      </c>
      <c r="M21" s="13" t="s">
        <v>361</v>
      </c>
      <c r="N21" s="60" t="s">
        <v>362</v>
      </c>
      <c r="O21" s="13" t="s">
        <v>363</v>
      </c>
      <c r="Q21" s="13" t="s">
        <v>357</v>
      </c>
      <c r="R21" s="13" t="s">
        <v>358</v>
      </c>
      <c r="S21" s="13" t="s">
        <v>359</v>
      </c>
      <c r="T21" s="13" t="s">
        <v>360</v>
      </c>
      <c r="U21" s="13" t="s">
        <v>361</v>
      </c>
      <c r="V21" s="60" t="s">
        <v>362</v>
      </c>
      <c r="W21" s="13" t="s">
        <v>363</v>
      </c>
    </row>
    <row r="22" spans="1:23" x14ac:dyDescent="0.35">
      <c r="A22" t="s">
        <v>364</v>
      </c>
      <c r="B22">
        <v>64.822903667053197</v>
      </c>
      <c r="C22">
        <v>1</v>
      </c>
      <c r="D22">
        <v>64.822903667053197</v>
      </c>
      <c r="E22">
        <v>0.2889102083092292</v>
      </c>
      <c r="F22" s="59">
        <v>0.60554406387849891</v>
      </c>
      <c r="G22">
        <v>5.3176550715787174</v>
      </c>
      <c r="I22" t="s">
        <v>364</v>
      </c>
      <c r="J22">
        <v>1888.7791125928889</v>
      </c>
      <c r="K22">
        <v>1</v>
      </c>
      <c r="L22">
        <v>1888.7791125928889</v>
      </c>
      <c r="M22">
        <v>7.9609085053106003</v>
      </c>
      <c r="N22" s="59">
        <v>2.2441697336828412E-2</v>
      </c>
      <c r="O22">
        <v>5.3176550715787174</v>
      </c>
      <c r="Q22" t="s">
        <v>364</v>
      </c>
      <c r="R22">
        <v>1567.2305983934484</v>
      </c>
      <c r="S22">
        <v>1</v>
      </c>
      <c r="T22">
        <v>1567.2305983934484</v>
      </c>
      <c r="U22">
        <v>5.2069859506661942</v>
      </c>
      <c r="V22" s="59">
        <v>4.5639434986034892E-2</v>
      </c>
      <c r="W22">
        <v>4.9646027437307128</v>
      </c>
    </row>
    <row r="23" spans="1:23" x14ac:dyDescent="0.35">
      <c r="A23" t="s">
        <v>365</v>
      </c>
      <c r="B23">
        <v>1794.9633291647851</v>
      </c>
      <c r="C23">
        <v>8</v>
      </c>
      <c r="D23">
        <v>224.37041614559814</v>
      </c>
      <c r="I23" t="s">
        <v>365</v>
      </c>
      <c r="J23">
        <v>1898.0538327583222</v>
      </c>
      <c r="K23">
        <v>8</v>
      </c>
      <c r="L23">
        <v>237.25672909479027</v>
      </c>
      <c r="Q23" t="s">
        <v>365</v>
      </c>
      <c r="R23">
        <v>3009.861392448991</v>
      </c>
      <c r="S23">
        <v>10</v>
      </c>
      <c r="T23">
        <v>300.98613924489911</v>
      </c>
    </row>
    <row r="25" spans="1:23" ht="16" thickBot="1" x14ac:dyDescent="0.4">
      <c r="A25" s="12" t="s">
        <v>366</v>
      </c>
      <c r="B25" s="12">
        <v>1859.7862328318383</v>
      </c>
      <c r="C25" s="12">
        <v>9</v>
      </c>
      <c r="D25" s="12"/>
      <c r="E25" s="12"/>
      <c r="F25" s="12"/>
      <c r="G25" s="12"/>
      <c r="I25" s="12" t="s">
        <v>366</v>
      </c>
      <c r="J25" s="12">
        <v>3786.832945351211</v>
      </c>
      <c r="K25" s="12">
        <v>9</v>
      </c>
      <c r="L25" s="12"/>
      <c r="M25" s="12"/>
      <c r="N25" s="12"/>
      <c r="O25" s="12"/>
      <c r="Q25" s="12" t="s">
        <v>495</v>
      </c>
      <c r="R25" s="12">
        <v>4577.0919908424394</v>
      </c>
      <c r="S25" s="12">
        <v>11</v>
      </c>
      <c r="T25" s="12"/>
      <c r="U25" s="12"/>
      <c r="V25" s="12"/>
      <c r="W25" s="12"/>
    </row>
    <row r="32" spans="1:23" ht="21" x14ac:dyDescent="0.5">
      <c r="A32" s="56" t="s">
        <v>494</v>
      </c>
    </row>
    <row r="33" spans="1:17" x14ac:dyDescent="0.35">
      <c r="A33" s="57" t="s">
        <v>498</v>
      </c>
      <c r="I33" s="57"/>
      <c r="Q33" s="57"/>
    </row>
    <row r="34" spans="1:17" x14ac:dyDescent="0.35">
      <c r="A34" t="s">
        <v>349</v>
      </c>
    </row>
    <row r="36" spans="1:17" ht="16" thickBot="1" x14ac:dyDescent="0.4">
      <c r="A36" t="s">
        <v>350</v>
      </c>
    </row>
    <row r="37" spans="1:17" x14ac:dyDescent="0.35">
      <c r="A37" s="13" t="s">
        <v>351</v>
      </c>
      <c r="B37" s="13" t="s">
        <v>352</v>
      </c>
      <c r="C37" s="13" t="s">
        <v>353</v>
      </c>
      <c r="D37" s="13" t="s">
        <v>354</v>
      </c>
      <c r="E37" s="13" t="s">
        <v>355</v>
      </c>
    </row>
    <row r="38" spans="1:17" x14ac:dyDescent="0.35">
      <c r="A38" t="s">
        <v>499</v>
      </c>
      <c r="B38">
        <v>6</v>
      </c>
      <c r="C38">
        <v>296.86787017935313</v>
      </c>
      <c r="D38">
        <v>49.477978363225525</v>
      </c>
      <c r="E38">
        <v>311.29518960425156</v>
      </c>
    </row>
    <row r="39" spans="1:17" ht="16" thickBot="1" x14ac:dyDescent="0.4">
      <c r="A39" s="12" t="s">
        <v>500</v>
      </c>
      <c r="B39" s="12">
        <v>6</v>
      </c>
      <c r="C39" s="12">
        <v>366.02445650537129</v>
      </c>
      <c r="D39" s="12">
        <v>61.004076084228551</v>
      </c>
      <c r="E39" s="12">
        <v>394.21926391553131</v>
      </c>
    </row>
    <row r="42" spans="1:17" ht="16" thickBot="1" x14ac:dyDescent="0.4">
      <c r="A42" t="s">
        <v>356</v>
      </c>
    </row>
    <row r="43" spans="1:17" x14ac:dyDescent="0.35">
      <c r="A43" s="13" t="s">
        <v>357</v>
      </c>
      <c r="B43" s="13" t="s">
        <v>358</v>
      </c>
      <c r="C43" s="13" t="s">
        <v>359</v>
      </c>
      <c r="D43" s="13" t="s">
        <v>360</v>
      </c>
      <c r="E43" s="13" t="s">
        <v>361</v>
      </c>
      <c r="F43" s="60" t="s">
        <v>362</v>
      </c>
      <c r="G43" s="13" t="s">
        <v>363</v>
      </c>
    </row>
    <row r="44" spans="1:17" x14ac:dyDescent="0.35">
      <c r="A44" t="s">
        <v>364</v>
      </c>
      <c r="B44">
        <v>398.55278602233511</v>
      </c>
      <c r="C44">
        <v>1</v>
      </c>
      <c r="D44">
        <v>398.55278602233511</v>
      </c>
      <c r="E44">
        <v>1.1298217464829292</v>
      </c>
      <c r="F44" s="59">
        <v>0.31280768343404619</v>
      </c>
      <c r="G44">
        <v>4.9646027437307128</v>
      </c>
    </row>
    <row r="45" spans="1:17" x14ac:dyDescent="0.35">
      <c r="A45" t="s">
        <v>365</v>
      </c>
      <c r="B45">
        <v>3527.5722675989127</v>
      </c>
      <c r="C45">
        <v>10</v>
      </c>
      <c r="D45">
        <v>352.7572267598913</v>
      </c>
    </row>
    <row r="47" spans="1:17" ht="16" thickBot="1" x14ac:dyDescent="0.4">
      <c r="A47" s="12" t="s">
        <v>366</v>
      </c>
      <c r="B47" s="12">
        <v>3926.1250536212478</v>
      </c>
      <c r="C47" s="12">
        <v>11</v>
      </c>
      <c r="D47" s="12"/>
      <c r="E47" s="12"/>
      <c r="F47" s="12"/>
      <c r="G47" s="12"/>
    </row>
    <row r="54" spans="1:9" ht="21" x14ac:dyDescent="0.5">
      <c r="A54" s="56" t="s">
        <v>509</v>
      </c>
    </row>
    <row r="55" spans="1:9" x14ac:dyDescent="0.35">
      <c r="A55" s="57" t="s">
        <v>510</v>
      </c>
      <c r="I55" s="57"/>
    </row>
    <row r="56" spans="1:9" x14ac:dyDescent="0.35">
      <c r="A56" t="s">
        <v>349</v>
      </c>
    </row>
    <row r="58" spans="1:9" ht="16" thickBot="1" x14ac:dyDescent="0.4">
      <c r="A58" t="s">
        <v>350</v>
      </c>
    </row>
    <row r="59" spans="1:9" x14ac:dyDescent="0.35">
      <c r="A59" s="13" t="s">
        <v>351</v>
      </c>
      <c r="B59" s="13" t="s">
        <v>352</v>
      </c>
      <c r="C59" s="13" t="s">
        <v>353</v>
      </c>
      <c r="D59" s="13" t="s">
        <v>354</v>
      </c>
      <c r="E59" s="13" t="s">
        <v>355</v>
      </c>
    </row>
    <row r="60" spans="1:9" x14ac:dyDescent="0.35">
      <c r="A60" t="s">
        <v>502</v>
      </c>
      <c r="B60">
        <v>6</v>
      </c>
      <c r="C60">
        <v>296.86787017935313</v>
      </c>
      <c r="D60">
        <v>49.477978363225525</v>
      </c>
      <c r="E60">
        <v>311.29518960425156</v>
      </c>
    </row>
    <row r="61" spans="1:9" ht="16" thickBot="1" x14ac:dyDescent="0.4">
      <c r="A61" s="12" t="s">
        <v>501</v>
      </c>
      <c r="B61" s="12">
        <v>6</v>
      </c>
      <c r="C61" s="12">
        <v>196.45452679213287</v>
      </c>
      <c r="D61" s="12">
        <v>32.742421132022145</v>
      </c>
      <c r="E61" s="12">
        <v>74.5613432199616</v>
      </c>
    </row>
    <row r="64" spans="1:9" ht="16" thickBot="1" x14ac:dyDescent="0.4">
      <c r="A64" t="s">
        <v>356</v>
      </c>
    </row>
    <row r="65" spans="1:9" x14ac:dyDescent="0.35">
      <c r="A65" s="13" t="s">
        <v>357</v>
      </c>
      <c r="B65" s="13" t="s">
        <v>358</v>
      </c>
      <c r="C65" s="13" t="s">
        <v>359</v>
      </c>
      <c r="D65" s="13" t="s">
        <v>360</v>
      </c>
      <c r="E65" s="13" t="s">
        <v>361</v>
      </c>
      <c r="F65" s="60" t="s">
        <v>362</v>
      </c>
      <c r="G65" s="13" t="s">
        <v>363</v>
      </c>
    </row>
    <row r="66" spans="1:9" x14ac:dyDescent="0.35">
      <c r="A66" t="s">
        <v>364</v>
      </c>
      <c r="B66">
        <v>840.23662751665006</v>
      </c>
      <c r="C66">
        <v>1</v>
      </c>
      <c r="D66">
        <v>840.23662751665006</v>
      </c>
      <c r="E66">
        <v>4.3551763727656692</v>
      </c>
      <c r="F66" s="59">
        <v>6.3457900381892723E-2</v>
      </c>
      <c r="G66">
        <v>4.9646027437307128</v>
      </c>
    </row>
    <row r="67" spans="1:9" x14ac:dyDescent="0.35">
      <c r="A67" t="s">
        <v>365</v>
      </c>
      <c r="B67">
        <v>1929.2826641210727</v>
      </c>
      <c r="C67">
        <v>10</v>
      </c>
      <c r="D67">
        <v>192.92826641210726</v>
      </c>
    </row>
    <row r="69" spans="1:9" ht="16" thickBot="1" x14ac:dyDescent="0.4">
      <c r="A69" s="12" t="s">
        <v>366</v>
      </c>
      <c r="B69" s="12">
        <v>2769.5192916377227</v>
      </c>
      <c r="C69" s="12">
        <v>11</v>
      </c>
      <c r="D69" s="12"/>
      <c r="E69" s="12"/>
      <c r="F69" s="12"/>
      <c r="G69" s="12"/>
    </row>
    <row r="76" spans="1:9" ht="21" x14ac:dyDescent="0.5">
      <c r="A76" s="56" t="s">
        <v>508</v>
      </c>
    </row>
    <row r="77" spans="1:9" x14ac:dyDescent="0.35">
      <c r="A77" s="57" t="s">
        <v>511</v>
      </c>
      <c r="I77" s="57"/>
    </row>
    <row r="78" spans="1:9" x14ac:dyDescent="0.35">
      <c r="A78" t="s">
        <v>349</v>
      </c>
    </row>
    <row r="80" spans="1:9" ht="16" thickBot="1" x14ac:dyDescent="0.4">
      <c r="A80" t="s">
        <v>350</v>
      </c>
    </row>
    <row r="81" spans="1:7" x14ac:dyDescent="0.35">
      <c r="A81" s="13" t="s">
        <v>351</v>
      </c>
      <c r="B81" s="13" t="s">
        <v>352</v>
      </c>
      <c r="C81" s="13" t="s">
        <v>353</v>
      </c>
      <c r="D81" s="13" t="s">
        <v>354</v>
      </c>
      <c r="E81" s="13" t="s">
        <v>355</v>
      </c>
    </row>
    <row r="82" spans="1:7" x14ac:dyDescent="0.35">
      <c r="A82" t="s">
        <v>506</v>
      </c>
      <c r="B82">
        <v>17</v>
      </c>
      <c r="C82">
        <v>1181.3182342025259</v>
      </c>
      <c r="D82">
        <v>69.489307894266233</v>
      </c>
      <c r="E82">
        <v>325.25643127405419</v>
      </c>
    </row>
    <row r="83" spans="1:7" ht="16" thickBot="1" x14ac:dyDescent="0.4">
      <c r="A83" s="12" t="s">
        <v>507</v>
      </c>
      <c r="B83" s="12">
        <v>17</v>
      </c>
      <c r="C83" s="12">
        <v>907.0815553569073</v>
      </c>
      <c r="D83" s="12">
        <v>53.35773855040631</v>
      </c>
      <c r="E83" s="12">
        <v>541.34179371750679</v>
      </c>
    </row>
    <row r="86" spans="1:7" ht="16" thickBot="1" x14ac:dyDescent="0.4">
      <c r="A86" t="s">
        <v>356</v>
      </c>
    </row>
    <row r="87" spans="1:7" x14ac:dyDescent="0.35">
      <c r="A87" s="13" t="s">
        <v>357</v>
      </c>
      <c r="B87" s="13" t="s">
        <v>358</v>
      </c>
      <c r="C87" s="13" t="s">
        <v>359</v>
      </c>
      <c r="D87" s="13" t="s">
        <v>360</v>
      </c>
      <c r="E87" s="13" t="s">
        <v>361</v>
      </c>
      <c r="F87" s="60" t="s">
        <v>362</v>
      </c>
      <c r="G87" s="13" t="s">
        <v>363</v>
      </c>
    </row>
    <row r="88" spans="1:7" x14ac:dyDescent="0.35">
      <c r="A88" t="s">
        <v>364</v>
      </c>
      <c r="B88">
        <v>2211.934000713969</v>
      </c>
      <c r="C88">
        <v>1</v>
      </c>
      <c r="D88">
        <v>2211.934000713969</v>
      </c>
      <c r="E88">
        <v>5.1048662157956919</v>
      </c>
      <c r="F88" s="59">
        <v>3.0803435240884039E-2</v>
      </c>
      <c r="G88">
        <v>4.1490974456995477</v>
      </c>
    </row>
    <row r="89" spans="1:7" x14ac:dyDescent="0.35">
      <c r="A89" t="s">
        <v>365</v>
      </c>
      <c r="B89">
        <v>13865.57159986499</v>
      </c>
      <c r="C89">
        <v>32</v>
      </c>
      <c r="D89">
        <v>433.29911249578095</v>
      </c>
    </row>
    <row r="91" spans="1:7" ht="16" thickBot="1" x14ac:dyDescent="0.4">
      <c r="A91" s="12" t="s">
        <v>366</v>
      </c>
      <c r="B91" s="12">
        <v>16077.505600578959</v>
      </c>
      <c r="C91" s="12">
        <v>33</v>
      </c>
      <c r="D91" s="12"/>
      <c r="E91" s="12"/>
      <c r="F91" s="12"/>
      <c r="G91" s="12"/>
    </row>
  </sheetData>
  <hyperlinks>
    <hyperlink ref="B1" location="'ANOVA Data'!L24" display="ANOVA Data" xr:uid="{3E734DC8-B50B-4117-AD45-33A238934B6C}"/>
  </hyperlink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38CD20-989A-45DA-BC0F-A2C0377FE65A}">
  <sheetPr codeName="Sheet12">
    <tabColor rgb="FFFF0000"/>
  </sheetPr>
  <dimension ref="A1:W91"/>
  <sheetViews>
    <sheetView topLeftCell="A47" zoomScale="75" zoomScaleNormal="75" workbookViewId="0">
      <selection activeCell="F54" sqref="F54"/>
    </sheetView>
  </sheetViews>
  <sheetFormatPr defaultRowHeight="15.5" x14ac:dyDescent="0.35"/>
  <cols>
    <col min="1" max="1" width="25.5" customWidth="1"/>
    <col min="9" max="9" width="19" bestFit="1" customWidth="1"/>
  </cols>
  <sheetData>
    <row r="1" spans="1:21" x14ac:dyDescent="0.35">
      <c r="A1" s="26" t="s">
        <v>487</v>
      </c>
      <c r="B1" s="58" t="s">
        <v>477</v>
      </c>
      <c r="C1" s="26"/>
    </row>
    <row r="2" spans="1:21" x14ac:dyDescent="0.35">
      <c r="A2" s="26"/>
      <c r="B2" s="58"/>
      <c r="C2" s="26"/>
      <c r="H2" t="s">
        <v>493</v>
      </c>
    </row>
    <row r="3" spans="1:21" x14ac:dyDescent="0.35">
      <c r="A3" s="26"/>
      <c r="B3" s="58"/>
      <c r="C3" s="26"/>
      <c r="H3" s="61" t="s">
        <v>492</v>
      </c>
    </row>
    <row r="4" spans="1:21" x14ac:dyDescent="0.35">
      <c r="A4" s="26"/>
      <c r="B4" s="58"/>
      <c r="C4" s="26"/>
    </row>
    <row r="5" spans="1:21" x14ac:dyDescent="0.35">
      <c r="A5" s="26"/>
      <c r="B5" s="58"/>
      <c r="C5" s="26"/>
    </row>
    <row r="6" spans="1:21" x14ac:dyDescent="0.35">
      <c r="A6" s="26"/>
      <c r="B6" s="58"/>
      <c r="C6" s="26"/>
    </row>
    <row r="7" spans="1:21" x14ac:dyDescent="0.35">
      <c r="A7" s="26"/>
      <c r="B7" s="58"/>
      <c r="C7" s="26"/>
    </row>
    <row r="8" spans="1:21" x14ac:dyDescent="0.35">
      <c r="A8" s="26"/>
      <c r="B8" s="58"/>
      <c r="C8" s="26"/>
    </row>
    <row r="9" spans="1:21" ht="23.5" x14ac:dyDescent="0.55000000000000004">
      <c r="A9" s="38" t="s">
        <v>521</v>
      </c>
      <c r="B9" s="55"/>
    </row>
    <row r="10" spans="1:21" ht="21" x14ac:dyDescent="0.5">
      <c r="A10" s="56" t="s">
        <v>486</v>
      </c>
    </row>
    <row r="11" spans="1:21" x14ac:dyDescent="0.35">
      <c r="A11" s="57" t="s">
        <v>490</v>
      </c>
      <c r="I11" s="57" t="s">
        <v>496</v>
      </c>
      <c r="Q11" s="57" t="s">
        <v>491</v>
      </c>
    </row>
    <row r="12" spans="1:21" x14ac:dyDescent="0.35">
      <c r="A12" t="s">
        <v>349</v>
      </c>
      <c r="I12" t="s">
        <v>349</v>
      </c>
      <c r="Q12" t="s">
        <v>349</v>
      </c>
    </row>
    <row r="14" spans="1:21" ht="16" thickBot="1" x14ac:dyDescent="0.4">
      <c r="A14" t="s">
        <v>350</v>
      </c>
      <c r="I14" t="s">
        <v>350</v>
      </c>
      <c r="Q14" t="s">
        <v>350</v>
      </c>
    </row>
    <row r="15" spans="1:21" x14ac:dyDescent="0.35">
      <c r="A15" s="13" t="s">
        <v>351</v>
      </c>
      <c r="B15" s="13" t="s">
        <v>352</v>
      </c>
      <c r="C15" s="13" t="s">
        <v>353</v>
      </c>
      <c r="D15" s="13" t="s">
        <v>354</v>
      </c>
      <c r="E15" s="13" t="s">
        <v>355</v>
      </c>
      <c r="I15" s="13" t="s">
        <v>351</v>
      </c>
      <c r="J15" s="13" t="s">
        <v>352</v>
      </c>
      <c r="K15" s="13" t="s">
        <v>353</v>
      </c>
      <c r="L15" s="13" t="s">
        <v>354</v>
      </c>
      <c r="M15" s="13" t="s">
        <v>355</v>
      </c>
      <c r="Q15" s="13" t="s">
        <v>351</v>
      </c>
      <c r="R15" s="13" t="s">
        <v>352</v>
      </c>
      <c r="S15" s="13" t="s">
        <v>353</v>
      </c>
      <c r="T15" s="13" t="s">
        <v>354</v>
      </c>
      <c r="U15" s="13" t="s">
        <v>355</v>
      </c>
    </row>
    <row r="16" spans="1:21" x14ac:dyDescent="0.35">
      <c r="A16" t="s">
        <v>347</v>
      </c>
      <c r="B16">
        <v>4</v>
      </c>
      <c r="C16">
        <v>203.55927443376206</v>
      </c>
      <c r="D16">
        <v>50.889818608440514</v>
      </c>
      <c r="E16">
        <v>2348.7546568674315</v>
      </c>
      <c r="I16" t="s">
        <v>347</v>
      </c>
      <c r="J16">
        <v>4</v>
      </c>
      <c r="K16">
        <v>203.55927443376206</v>
      </c>
      <c r="L16">
        <v>50.889818608440514</v>
      </c>
      <c r="M16">
        <v>2348.7546568674315</v>
      </c>
      <c r="Q16" t="s">
        <v>489</v>
      </c>
      <c r="R16">
        <v>6</v>
      </c>
      <c r="S16">
        <v>159.92888866370976</v>
      </c>
      <c r="T16">
        <v>26.654814777284958</v>
      </c>
      <c r="U16">
        <v>3578.9077795157136</v>
      </c>
    </row>
    <row r="17" spans="1:23" ht="16" thickBot="1" x14ac:dyDescent="0.4">
      <c r="A17" s="12" t="s">
        <v>489</v>
      </c>
      <c r="B17" s="12">
        <v>6</v>
      </c>
      <c r="C17" s="12">
        <v>159.92888866370976</v>
      </c>
      <c r="D17" s="12">
        <v>26.654814777284958</v>
      </c>
      <c r="E17" s="12">
        <v>3578.9077795157136</v>
      </c>
      <c r="I17" s="12" t="s">
        <v>348</v>
      </c>
      <c r="J17" s="12">
        <v>6</v>
      </c>
      <c r="K17" s="12">
        <v>-113.99546489372167</v>
      </c>
      <c r="L17" s="12">
        <v>-18.999244148953611</v>
      </c>
      <c r="M17" s="12">
        <v>5356.5162521471339</v>
      </c>
      <c r="Q17" s="12" t="s">
        <v>348</v>
      </c>
      <c r="R17" s="12">
        <v>6</v>
      </c>
      <c r="S17" s="12">
        <v>-113.99546489372167</v>
      </c>
      <c r="T17" s="12">
        <v>-18.999244148953611</v>
      </c>
      <c r="U17" s="12">
        <v>5356.5162521471339</v>
      </c>
    </row>
    <row r="20" spans="1:23" ht="16" thickBot="1" x14ac:dyDescent="0.4">
      <c r="A20" t="s">
        <v>356</v>
      </c>
      <c r="I20" t="s">
        <v>356</v>
      </c>
      <c r="Q20" t="s">
        <v>356</v>
      </c>
    </row>
    <row r="21" spans="1:23" x14ac:dyDescent="0.35">
      <c r="A21" s="13" t="s">
        <v>357</v>
      </c>
      <c r="B21" s="13" t="s">
        <v>358</v>
      </c>
      <c r="C21" s="13" t="s">
        <v>359</v>
      </c>
      <c r="D21" s="13" t="s">
        <v>360</v>
      </c>
      <c r="E21" s="13" t="s">
        <v>361</v>
      </c>
      <c r="F21" s="60" t="s">
        <v>362</v>
      </c>
      <c r="G21" s="13" t="s">
        <v>363</v>
      </c>
      <c r="I21" s="13" t="s">
        <v>357</v>
      </c>
      <c r="J21" s="13" t="s">
        <v>358</v>
      </c>
      <c r="K21" s="13" t="s">
        <v>359</v>
      </c>
      <c r="L21" s="13" t="s">
        <v>360</v>
      </c>
      <c r="M21" s="13" t="s">
        <v>361</v>
      </c>
      <c r="N21" s="60" t="s">
        <v>362</v>
      </c>
      <c r="O21" s="13" t="s">
        <v>363</v>
      </c>
      <c r="Q21" s="13" t="s">
        <v>357</v>
      </c>
      <c r="R21" s="13" t="s">
        <v>358</v>
      </c>
      <c r="S21" s="13" t="s">
        <v>359</v>
      </c>
      <c r="T21" s="13" t="s">
        <v>360</v>
      </c>
      <c r="U21" s="13" t="s">
        <v>361</v>
      </c>
      <c r="V21" s="60" t="s">
        <v>362</v>
      </c>
      <c r="W21" s="13" t="s">
        <v>363</v>
      </c>
    </row>
    <row r="22" spans="1:23" x14ac:dyDescent="0.35">
      <c r="A22" t="s">
        <v>364</v>
      </c>
      <c r="B22">
        <v>1409.6049856706995</v>
      </c>
      <c r="C22">
        <v>1</v>
      </c>
      <c r="D22">
        <v>1409.6049856706995</v>
      </c>
      <c r="E22">
        <v>0.45214422105683039</v>
      </c>
      <c r="F22" s="59">
        <v>0.52026291421094173</v>
      </c>
      <c r="G22">
        <v>5.3176550715787174</v>
      </c>
      <c r="I22" t="s">
        <v>364</v>
      </c>
      <c r="J22">
        <v>11722.754623456727</v>
      </c>
      <c r="K22">
        <v>1</v>
      </c>
      <c r="L22">
        <v>11722.754623456727</v>
      </c>
      <c r="M22">
        <v>2.7722506147143657</v>
      </c>
      <c r="N22" s="59">
        <v>0.13447658563355727</v>
      </c>
      <c r="O22">
        <v>5.3176550715787174</v>
      </c>
      <c r="Q22" t="s">
        <v>364</v>
      </c>
      <c r="R22">
        <v>6252.8792893213831</v>
      </c>
      <c r="S22">
        <v>1</v>
      </c>
      <c r="T22">
        <v>6252.8792893213831</v>
      </c>
      <c r="U22">
        <v>1.3995708020490543</v>
      </c>
      <c r="V22" s="59">
        <v>0.26415787823941717</v>
      </c>
      <c r="W22">
        <v>4.9646027437307128</v>
      </c>
    </row>
    <row r="23" spans="1:23" x14ac:dyDescent="0.35">
      <c r="A23" t="s">
        <v>365</v>
      </c>
      <c r="B23">
        <v>24940.802868180861</v>
      </c>
      <c r="C23">
        <v>8</v>
      </c>
      <c r="D23">
        <v>3117.6003585226076</v>
      </c>
      <c r="I23" t="s">
        <v>365</v>
      </c>
      <c r="J23">
        <v>33828.845231337968</v>
      </c>
      <c r="K23">
        <v>8</v>
      </c>
      <c r="L23">
        <v>4228.6056539172459</v>
      </c>
      <c r="Q23" t="s">
        <v>365</v>
      </c>
      <c r="R23">
        <v>44677.120158314239</v>
      </c>
      <c r="S23">
        <v>10</v>
      </c>
      <c r="T23">
        <v>4467.7120158314237</v>
      </c>
    </row>
    <row r="25" spans="1:23" ht="16" thickBot="1" x14ac:dyDescent="0.4">
      <c r="A25" s="12" t="s">
        <v>366</v>
      </c>
      <c r="B25" s="12">
        <v>26350.407853851561</v>
      </c>
      <c r="C25" s="12">
        <v>9</v>
      </c>
      <c r="D25" s="12"/>
      <c r="E25" s="12"/>
      <c r="F25" s="12"/>
      <c r="G25" s="12"/>
      <c r="I25" s="12" t="s">
        <v>366</v>
      </c>
      <c r="J25" s="12">
        <v>45551.599854794695</v>
      </c>
      <c r="K25" s="12">
        <v>9</v>
      </c>
      <c r="L25" s="12"/>
      <c r="M25" s="12"/>
      <c r="N25" s="12"/>
      <c r="O25" s="12"/>
      <c r="Q25" s="12" t="s">
        <v>366</v>
      </c>
      <c r="R25" s="12">
        <v>50929.999447635622</v>
      </c>
      <c r="S25" s="12">
        <v>11</v>
      </c>
      <c r="T25" s="12"/>
      <c r="U25" s="12"/>
      <c r="V25" s="12"/>
      <c r="W25" s="12"/>
    </row>
    <row r="32" spans="1:23" ht="21" x14ac:dyDescent="0.5">
      <c r="A32" s="56" t="s">
        <v>494</v>
      </c>
    </row>
    <row r="33" spans="1:17" x14ac:dyDescent="0.35">
      <c r="A33" s="57" t="s">
        <v>498</v>
      </c>
      <c r="I33" s="57"/>
      <c r="Q33" s="57"/>
    </row>
    <row r="34" spans="1:17" x14ac:dyDescent="0.35">
      <c r="A34" t="s">
        <v>349</v>
      </c>
    </row>
    <row r="36" spans="1:17" ht="16" thickBot="1" x14ac:dyDescent="0.4">
      <c r="A36" t="s">
        <v>350</v>
      </c>
    </row>
    <row r="37" spans="1:17" x14ac:dyDescent="0.35">
      <c r="A37" s="13" t="s">
        <v>351</v>
      </c>
      <c r="B37" s="13" t="s">
        <v>352</v>
      </c>
      <c r="C37" s="13" t="s">
        <v>353</v>
      </c>
      <c r="D37" s="13" t="s">
        <v>354</v>
      </c>
      <c r="E37" s="13" t="s">
        <v>355</v>
      </c>
    </row>
    <row r="38" spans="1:17" x14ac:dyDescent="0.35">
      <c r="A38" t="s">
        <v>499</v>
      </c>
      <c r="B38">
        <v>6</v>
      </c>
      <c r="C38">
        <v>-113.99546489372167</v>
      </c>
      <c r="D38">
        <v>-18.999244148953611</v>
      </c>
      <c r="E38">
        <v>5356.5162521471339</v>
      </c>
    </row>
    <row r="39" spans="1:17" ht="16" thickBot="1" x14ac:dyDescent="0.4">
      <c r="A39" s="12" t="s">
        <v>500</v>
      </c>
      <c r="B39" s="12">
        <v>6</v>
      </c>
      <c r="C39" s="12">
        <v>-33.982413697439952</v>
      </c>
      <c r="D39" s="12">
        <v>-5.6637356162399923</v>
      </c>
      <c r="E39" s="12">
        <v>4367.9027651500928</v>
      </c>
    </row>
    <row r="42" spans="1:17" ht="16" thickBot="1" x14ac:dyDescent="0.4">
      <c r="A42" t="s">
        <v>356</v>
      </c>
    </row>
    <row r="43" spans="1:17" x14ac:dyDescent="0.35">
      <c r="A43" s="13" t="s">
        <v>357</v>
      </c>
      <c r="B43" s="13" t="s">
        <v>358</v>
      </c>
      <c r="C43" s="13" t="s">
        <v>359</v>
      </c>
      <c r="D43" s="13" t="s">
        <v>360</v>
      </c>
      <c r="E43" s="13" t="s">
        <v>361</v>
      </c>
      <c r="F43" s="60" t="s">
        <v>362</v>
      </c>
      <c r="G43" s="13" t="s">
        <v>363</v>
      </c>
    </row>
    <row r="44" spans="1:17" x14ac:dyDescent="0.35">
      <c r="A44" t="s">
        <v>364</v>
      </c>
      <c r="B44">
        <v>533.50736347822385</v>
      </c>
      <c r="C44">
        <v>1</v>
      </c>
      <c r="D44">
        <v>533.50736347822385</v>
      </c>
      <c r="E44">
        <v>0.10972529310578909</v>
      </c>
      <c r="F44" s="59">
        <v>0.74729400522248124</v>
      </c>
      <c r="G44">
        <v>4.9646027437307128</v>
      </c>
    </row>
    <row r="45" spans="1:17" x14ac:dyDescent="0.35">
      <c r="A45" t="s">
        <v>365</v>
      </c>
      <c r="B45">
        <v>48622.095086486137</v>
      </c>
      <c r="C45">
        <v>10</v>
      </c>
      <c r="D45">
        <v>4862.2095086486133</v>
      </c>
    </row>
    <row r="47" spans="1:17" ht="16" thickBot="1" x14ac:dyDescent="0.4">
      <c r="A47" s="12" t="s">
        <v>366</v>
      </c>
      <c r="B47" s="12">
        <v>49155.602449964361</v>
      </c>
      <c r="C47" s="12">
        <v>11</v>
      </c>
      <c r="D47" s="12"/>
      <c r="E47" s="12"/>
      <c r="F47" s="12"/>
      <c r="G47" s="12"/>
    </row>
    <row r="54" spans="1:9" ht="21" x14ac:dyDescent="0.5">
      <c r="A54" s="56" t="s">
        <v>509</v>
      </c>
    </row>
    <row r="55" spans="1:9" x14ac:dyDescent="0.35">
      <c r="A55" s="57" t="s">
        <v>510</v>
      </c>
      <c r="I55" s="57"/>
    </row>
    <row r="56" spans="1:9" x14ac:dyDescent="0.35">
      <c r="A56" t="s">
        <v>349</v>
      </c>
    </row>
    <row r="58" spans="1:9" ht="16" thickBot="1" x14ac:dyDescent="0.4">
      <c r="A58" t="s">
        <v>350</v>
      </c>
    </row>
    <row r="59" spans="1:9" x14ac:dyDescent="0.35">
      <c r="A59" s="13" t="s">
        <v>351</v>
      </c>
      <c r="B59" s="13" t="s">
        <v>352</v>
      </c>
      <c r="C59" s="13" t="s">
        <v>353</v>
      </c>
      <c r="D59" s="13" t="s">
        <v>354</v>
      </c>
      <c r="E59" s="13" t="s">
        <v>355</v>
      </c>
    </row>
    <row r="60" spans="1:9" x14ac:dyDescent="0.35">
      <c r="A60" t="s">
        <v>502</v>
      </c>
      <c r="B60">
        <v>6</v>
      </c>
      <c r="C60">
        <v>-113.99546489372167</v>
      </c>
      <c r="D60">
        <v>-18.999244148953611</v>
      </c>
      <c r="E60">
        <v>5356.5162521471339</v>
      </c>
    </row>
    <row r="61" spans="1:9" ht="16" thickBot="1" x14ac:dyDescent="0.4">
      <c r="A61" s="12" t="s">
        <v>501</v>
      </c>
      <c r="B61" s="12">
        <v>6</v>
      </c>
      <c r="C61" s="12">
        <v>-534.15989003648735</v>
      </c>
      <c r="D61" s="12">
        <v>-89.026648339414564</v>
      </c>
      <c r="E61" s="12">
        <v>41227.279163401203</v>
      </c>
    </row>
    <row r="64" spans="1:9" ht="16" thickBot="1" x14ac:dyDescent="0.4">
      <c r="A64" t="s">
        <v>356</v>
      </c>
    </row>
    <row r="65" spans="1:9" x14ac:dyDescent="0.35">
      <c r="A65" s="13" t="s">
        <v>357</v>
      </c>
      <c r="B65" s="13" t="s">
        <v>358</v>
      </c>
      <c r="C65" s="13" t="s">
        <v>359</v>
      </c>
      <c r="D65" s="13" t="s">
        <v>360</v>
      </c>
      <c r="E65" s="13" t="s">
        <v>361</v>
      </c>
      <c r="F65" s="60" t="s">
        <v>362</v>
      </c>
      <c r="G65" s="13" t="s">
        <v>363</v>
      </c>
    </row>
    <row r="66" spans="1:9" x14ac:dyDescent="0.35">
      <c r="A66" t="s">
        <v>364</v>
      </c>
      <c r="B66">
        <v>14711.512012962543</v>
      </c>
      <c r="C66">
        <v>1</v>
      </c>
      <c r="D66">
        <v>14711.512012962543</v>
      </c>
      <c r="E66">
        <v>0.63161500181465524</v>
      </c>
      <c r="F66" s="59">
        <v>0.4452156768953881</v>
      </c>
      <c r="G66">
        <v>4.9646027437307128</v>
      </c>
    </row>
    <row r="67" spans="1:9" x14ac:dyDescent="0.35">
      <c r="A67" t="s">
        <v>365</v>
      </c>
      <c r="B67">
        <v>232918.97707774164</v>
      </c>
      <c r="C67">
        <v>10</v>
      </c>
      <c r="D67">
        <v>23291.897707774166</v>
      </c>
    </row>
    <row r="69" spans="1:9" ht="16" thickBot="1" x14ac:dyDescent="0.4">
      <c r="A69" s="12" t="s">
        <v>366</v>
      </c>
      <c r="B69" s="12">
        <v>247630.48909070418</v>
      </c>
      <c r="C69" s="12">
        <v>11</v>
      </c>
      <c r="D69" s="12"/>
      <c r="E69" s="12"/>
      <c r="F69" s="12"/>
      <c r="G69" s="12"/>
    </row>
    <row r="76" spans="1:9" ht="21" x14ac:dyDescent="0.5">
      <c r="A76" s="56" t="s">
        <v>508</v>
      </c>
    </row>
    <row r="77" spans="1:9" x14ac:dyDescent="0.35">
      <c r="A77" s="57" t="s">
        <v>511</v>
      </c>
      <c r="I77" s="57"/>
    </row>
    <row r="78" spans="1:9" x14ac:dyDescent="0.35">
      <c r="A78" t="s">
        <v>349</v>
      </c>
    </row>
    <row r="80" spans="1:9" ht="16" thickBot="1" x14ac:dyDescent="0.4">
      <c r="A80" t="s">
        <v>350</v>
      </c>
    </row>
    <row r="81" spans="1:7" x14ac:dyDescent="0.35">
      <c r="A81" s="13" t="s">
        <v>351</v>
      </c>
      <c r="B81" s="13" t="s">
        <v>352</v>
      </c>
      <c r="C81" s="13" t="s">
        <v>353</v>
      </c>
      <c r="D81" s="13" t="s">
        <v>354</v>
      </c>
      <c r="E81" s="13" t="s">
        <v>355</v>
      </c>
    </row>
    <row r="82" spans="1:7" x14ac:dyDescent="0.35">
      <c r="A82" t="s">
        <v>506</v>
      </c>
      <c r="B82">
        <v>17</v>
      </c>
      <c r="C82">
        <v>477.57454006183349</v>
      </c>
      <c r="D82">
        <v>28.092620003637265</v>
      </c>
      <c r="E82">
        <v>3653.5786949424637</v>
      </c>
    </row>
    <row r="83" spans="1:7" ht="16" thickBot="1" x14ac:dyDescent="0.4">
      <c r="A83" s="12" t="s">
        <v>507</v>
      </c>
      <c r="B83" s="12">
        <v>17</v>
      </c>
      <c r="C83" s="12">
        <v>-652.1945491001818</v>
      </c>
      <c r="D83" s="12">
        <v>-38.364385241187165</v>
      </c>
      <c r="E83" s="12">
        <v>15712.375432528292</v>
      </c>
    </row>
    <row r="86" spans="1:7" ht="16" thickBot="1" x14ac:dyDescent="0.4">
      <c r="A86" t="s">
        <v>356</v>
      </c>
    </row>
    <row r="87" spans="1:7" x14ac:dyDescent="0.35">
      <c r="A87" s="13" t="s">
        <v>357</v>
      </c>
      <c r="B87" s="13" t="s">
        <v>358</v>
      </c>
      <c r="C87" s="13" t="s">
        <v>359</v>
      </c>
      <c r="D87" s="13" t="s">
        <v>360</v>
      </c>
      <c r="E87" s="13" t="s">
        <v>361</v>
      </c>
      <c r="F87" s="60" t="s">
        <v>362</v>
      </c>
      <c r="G87" s="13" t="s">
        <v>363</v>
      </c>
    </row>
    <row r="88" spans="1:7" x14ac:dyDescent="0.35">
      <c r="A88" t="s">
        <v>364</v>
      </c>
      <c r="B88">
        <v>37540.535141940287</v>
      </c>
      <c r="C88">
        <v>1</v>
      </c>
      <c r="D88">
        <v>37540.535141940287</v>
      </c>
      <c r="E88">
        <v>3.8769621052327858</v>
      </c>
      <c r="F88" s="59">
        <v>5.766426459510212E-2</v>
      </c>
      <c r="G88">
        <v>4.1490974456995477</v>
      </c>
    </row>
    <row r="89" spans="1:7" x14ac:dyDescent="0.35">
      <c r="A89" t="s">
        <v>365</v>
      </c>
      <c r="B89">
        <v>309855.26603953209</v>
      </c>
      <c r="C89">
        <v>32</v>
      </c>
      <c r="D89">
        <v>9682.9770637353777</v>
      </c>
    </row>
    <row r="91" spans="1:7" ht="16" thickBot="1" x14ac:dyDescent="0.4">
      <c r="A91" s="12" t="s">
        <v>366</v>
      </c>
      <c r="B91" s="12">
        <v>347395.80118147237</v>
      </c>
      <c r="C91" s="12">
        <v>33</v>
      </c>
      <c r="D91" s="12"/>
      <c r="E91" s="12"/>
      <c r="F91" s="12"/>
      <c r="G91" s="12"/>
    </row>
  </sheetData>
  <hyperlinks>
    <hyperlink ref="B1" location="'ANOVA Data'!L24" display="ANOVA Data" xr:uid="{2129A1E8-75C6-4BE2-B507-8DA1AFC13C99}"/>
  </hyperlink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BF5237-90E2-43D1-B328-48A8D3E5D965}">
  <sheetPr codeName="Sheet13">
    <tabColor theme="8" tint="0.39997558519241921"/>
  </sheetPr>
  <dimension ref="A1:AT87"/>
  <sheetViews>
    <sheetView topLeftCell="D1" zoomScale="75" zoomScaleNormal="75" workbookViewId="0">
      <selection activeCell="R23" sqref="R23"/>
    </sheetView>
  </sheetViews>
  <sheetFormatPr defaultColWidth="11" defaultRowHeight="15.5" x14ac:dyDescent="0.35"/>
  <cols>
    <col min="1" max="1" width="14.6640625" style="65" customWidth="1"/>
    <col min="2" max="2" width="12.08203125" style="4" customWidth="1"/>
    <col min="3" max="3" width="41.33203125" style="4" customWidth="1"/>
    <col min="4" max="4" width="8.5" style="4" customWidth="1"/>
    <col min="5" max="22" width="11" style="4"/>
    <col min="24" max="24" width="17" customWidth="1"/>
  </cols>
  <sheetData>
    <row r="1" spans="1:45" ht="23.5" x14ac:dyDescent="0.35">
      <c r="A1" s="50" t="s">
        <v>467</v>
      </c>
      <c r="C1" s="26" t="s">
        <v>468</v>
      </c>
      <c r="F1" s="70" t="s">
        <v>17</v>
      </c>
      <c r="G1" s="26" t="s">
        <v>527</v>
      </c>
    </row>
    <row r="2" spans="1:45" ht="49.5" customHeight="1" x14ac:dyDescent="0.35">
      <c r="A2" s="18"/>
      <c r="B2" s="18" t="s">
        <v>433</v>
      </c>
      <c r="C2" s="18" t="s">
        <v>466</v>
      </c>
      <c r="D2" s="18" t="s">
        <v>497</v>
      </c>
      <c r="E2" s="18" t="s">
        <v>387</v>
      </c>
      <c r="F2" s="18" t="s">
        <v>404</v>
      </c>
      <c r="G2" s="18" t="s">
        <v>454</v>
      </c>
      <c r="H2" s="18">
        <v>0</v>
      </c>
      <c r="I2" s="18">
        <v>30</v>
      </c>
      <c r="J2" s="18">
        <v>60</v>
      </c>
      <c r="K2" s="18">
        <v>90</v>
      </c>
      <c r="L2" s="18">
        <v>120</v>
      </c>
      <c r="M2" s="18">
        <v>150</v>
      </c>
      <c r="N2" s="18">
        <v>180</v>
      </c>
      <c r="O2" s="19" t="s">
        <v>340</v>
      </c>
      <c r="P2" s="19" t="s">
        <v>547</v>
      </c>
      <c r="Q2" s="19" t="s">
        <v>340</v>
      </c>
      <c r="R2" s="19" t="s">
        <v>341</v>
      </c>
      <c r="S2" s="19" t="s">
        <v>342</v>
      </c>
      <c r="T2" s="19" t="s">
        <v>547</v>
      </c>
      <c r="U2" s="19" t="s">
        <v>475</v>
      </c>
      <c r="V2" s="19" t="s">
        <v>533</v>
      </c>
    </row>
    <row r="3" spans="1:45" x14ac:dyDescent="0.35">
      <c r="A3" s="41">
        <f>IFERROR(INDEX('Date Key'!$B$2:$B$19, MATCH(F3,'Date Key'!$A$2:$A$19, 0)), "")</f>
        <v>45175</v>
      </c>
      <c r="B3" s="4">
        <f>INT((ROW(A1)-1)/9)+1</f>
        <v>1</v>
      </c>
      <c r="C3" s="26" t="str">
        <f>IFERROR(INDEX('Date Key'!$G$57:$G$62, MATCH(B3,'Date Key'!$A$57:$A$62, 0)), "")</f>
        <v>Low HLR, Lower Outlet Height, No Plants</v>
      </c>
      <c r="D3" s="4" t="str">
        <f>IFERROR(INDEX('Date Key'!$G$2:$G$19, MATCH(F3, 'Date Key'!$A$2:$A$19, 0)), "")</f>
        <v>No</v>
      </c>
      <c r="E3" s="4" t="str">
        <f>CHOOSE(MOD(ROW(G3)-ROW($G$3), 9) + 1, "in", "in", "in", "tank 1", "tank 1", "tank 1", "tank 2", "tank 2", "tank 2")</f>
        <v>in</v>
      </c>
      <c r="F3" s="4">
        <f>MOD(ROW(G3)-ROW($G$3), 3) + 1 + 3 * INT((ROW(G3)-ROW($G$3))/9)</f>
        <v>1</v>
      </c>
      <c r="G3" s="4">
        <f>MOD(ROW(G3)-ROW($G$3), 3) + 1</f>
        <v>1</v>
      </c>
      <c r="H3" s="11" cm="1">
        <f t="array" ref="H3">IFERROR(INDEX('Master Data Sheet'!$1:$1048576, MATCH(1, ('Master Data Sheet'!$H:$H=H$2) * (INDEX('Master Data Sheet'!$1:$1, , MATCH($F$1, 'Master Data Sheet'!$1:$1, 0)) = $F$1) * ('Master Data Sheet'!$G:$G=$B3) * ('Master Data Sheet'!$F:$F=$E3) * ('Master Data Sheet'!$A:$A=$F3), 0), MATCH($F$1, 'Master Data Sheet'!$1:$1, 0)), "")</f>
        <v>0.28166438042981246</v>
      </c>
      <c r="I3" s="11" cm="1">
        <f t="array" ref="I3">IFERROR(INDEX('Master Data Sheet'!$1:$1048576, MATCH(1, ('Master Data Sheet'!$H:$H=I$2) * (INDEX('Master Data Sheet'!$1:$1, , MATCH($F$1, 'Master Data Sheet'!$1:$1, 0)) = $F$1) * ('Master Data Sheet'!$G:$G=$B3) * ('Master Data Sheet'!$F:$F=$E3) * ('Master Data Sheet'!$A:$A=$F3), 0), MATCH($F$1, 'Master Data Sheet'!$1:$1, 0)), "")</f>
        <v>0.64014631915866493</v>
      </c>
      <c r="J3" s="11" cm="1">
        <f t="array" ref="J3">IFERROR(INDEX('Master Data Sheet'!$1:$1048576, MATCH(1, ('Master Data Sheet'!$H:$H=J$2) * (INDEX('Master Data Sheet'!$1:$1, , MATCH($F$1, 'Master Data Sheet'!$1:$1, 0)) = $F$1) * ('Master Data Sheet'!$G:$G=$B3) * ('Master Data Sheet'!$F:$F=$E3) * ('Master Data Sheet'!$A:$A=$F3), 0), MATCH($F$1, 'Master Data Sheet'!$1:$1, 0)), "")</f>
        <v>0.43529949702789206</v>
      </c>
      <c r="K3" s="11" cm="1">
        <f t="array" ref="K3">IFERROR(INDEX('Master Data Sheet'!$1:$1048576, MATCH(1, ('Master Data Sheet'!$H:$H=K$2) * (INDEX('Master Data Sheet'!$1:$1, , MATCH($F$1, 'Master Data Sheet'!$1:$1, 0)) = $F$1) * ('Master Data Sheet'!$G:$G=$B3) * ('Master Data Sheet'!$F:$F=$E3) * ('Master Data Sheet'!$A:$A=$F3), 0), MATCH($F$1, 'Master Data Sheet'!$1:$1, 0)), "")</f>
        <v>0.92181069958847728</v>
      </c>
      <c r="L3" s="11" cm="1">
        <f t="array" ref="L3">IFERROR(INDEX('Master Data Sheet'!$1:$1048576, MATCH(1, ('Master Data Sheet'!$H:$H=L$2) * (INDEX('Master Data Sheet'!$1:$1, , MATCH($F$1, 'Master Data Sheet'!$1:$1, 0)) = $F$1) * ('Master Data Sheet'!$G:$G=$B3) * ('Master Data Sheet'!$F:$F=$E3) * ('Master Data Sheet'!$A:$A=$F3), 0), MATCH($F$1, 'Master Data Sheet'!$1:$1, 0)), "")</f>
        <v>7.6817558299039787E-2</v>
      </c>
      <c r="M3" s="11" cm="1">
        <f t="array" ref="M3">IFERROR(INDEX('Master Data Sheet'!$1:$1048576, MATCH(1, ('Master Data Sheet'!$H:$H=M$2) * (INDEX('Master Data Sheet'!$1:$1, , MATCH($F$1, 'Master Data Sheet'!$1:$1, 0)) = $F$1) * ('Master Data Sheet'!$G:$G=$B3) * ('Master Data Sheet'!$F:$F=$E3) * ('Master Data Sheet'!$A:$A=$F3), 0), MATCH($F$1, 'Master Data Sheet'!$1:$1, 0)), "")</f>
        <v>0.28166438042981246</v>
      </c>
      <c r="N3" s="11" cm="1">
        <f t="array" ref="N3">IFERROR(INDEX('Master Data Sheet'!$1:$1048576, MATCH(1, ('Master Data Sheet'!$H:$H=N$2) * (INDEX('Master Data Sheet'!$1:$1, , MATCH($F$1, 'Master Data Sheet'!$1:$1, 0)) = $F$1) * ('Master Data Sheet'!$G:$G=$B3) * ('Master Data Sheet'!$F:$F=$E3) * ('Master Data Sheet'!$A:$A=$F3), 0), MATCH($F$1, 'Master Data Sheet'!$1:$1, 0)), "")</f>
        <v>0</v>
      </c>
      <c r="O3" s="11">
        <f>AVERAGE(H3:N3)</f>
        <v>0.37677183356195698</v>
      </c>
      <c r="P3" s="11">
        <f>STDEV(H3:N3)</f>
        <v>0.32142376224912556</v>
      </c>
      <c r="Q3" s="11">
        <f>AVERAGE(O3,O5)</f>
        <v>0.27998897021609298</v>
      </c>
      <c r="S3" s="46">
        <f>AVERAGE(O3:O5)</f>
        <v>0.29030205086498867</v>
      </c>
      <c r="T3" s="11">
        <f>AVERAGE(P3:P5)</f>
        <v>0.28410953625665702</v>
      </c>
      <c r="V3" s="47">
        <f>AVERAGE(U6, U9)</f>
        <v>-9.3771816096539311</v>
      </c>
      <c r="X3" t="s">
        <v>343</v>
      </c>
    </row>
    <row r="4" spans="1:45" x14ac:dyDescent="0.35">
      <c r="A4" s="41">
        <f>IFERROR(INDEX('Date Key'!$B$2:$B$19, MATCH(F4,'Date Key'!$A$2:$A$19, 0)), "")</f>
        <v>45181</v>
      </c>
      <c r="B4" s="4">
        <f t="shared" ref="B4:B11" si="0">INT((ROW(B2)-1)/9)+1</f>
        <v>1</v>
      </c>
      <c r="C4" s="26" t="str">
        <f>IFERROR(INDEX('Date Key'!$G$57:$G$62, MATCH(B4,'Date Key'!$A$57:$A$62, 0)), "")</f>
        <v>Low HLR, Lower Outlet Height, No Plants</v>
      </c>
      <c r="D4" s="4" t="str">
        <f>IFERROR(INDEX('Date Key'!$G$2:$G$19, MATCH(F4, 'Date Key'!$A$2:$A$19, 0)), "")</f>
        <v>No</v>
      </c>
      <c r="E4" s="4" t="str">
        <f t="shared" ref="E4:E56" si="1">CHOOSE(MOD(ROW(G4)-ROW($G$3), 9) + 1, "in", "in", "in", "tank 1", "tank 1", "tank 1", "tank 2", "tank 2", "tank 2")</f>
        <v>in</v>
      </c>
      <c r="F4" s="4">
        <f t="shared" ref="F4:F56" si="2">MOD(ROW(G4)-ROW($G$3), 3) + 1 + 3 * INT((ROW(G4)-ROW($G$3))/9)</f>
        <v>2</v>
      </c>
      <c r="G4" s="4">
        <f t="shared" ref="G4:G15" si="3">MOD(ROW(G4)-ROW($G$3), 3) + 1</f>
        <v>2</v>
      </c>
      <c r="H4" s="11" cm="1">
        <f t="array" ref="H4">IFERROR(INDEX('Master Data Sheet'!$1:$1048576, MATCH(1, ('Master Data Sheet'!$H:$H=H$2) * (INDEX('Master Data Sheet'!$1:$1, , MATCH($F$1, 'Master Data Sheet'!$1:$1, 0)) = $F$1) * ('Master Data Sheet'!$G:$G=$B4) * ('Master Data Sheet'!$F:$F=$E4) * ('Master Data Sheet'!$A:$A=$F4), 0), MATCH($F$1, 'Master Data Sheet'!$1:$1, 0)), "")</f>
        <v>0.40969364426154553</v>
      </c>
      <c r="I4" s="11" cm="1">
        <f t="array" ref="I4">IFERROR(INDEX('Master Data Sheet'!$1:$1048576, MATCH(1, ('Master Data Sheet'!$H:$H=I$2) * (INDEX('Master Data Sheet'!$1:$1, , MATCH($F$1, 'Master Data Sheet'!$1:$1, 0)) = $F$1) * ('Master Data Sheet'!$G:$G=$B4) * ('Master Data Sheet'!$F:$F=$E4) * ('Master Data Sheet'!$A:$A=$F4), 0), MATCH($F$1, 'Master Data Sheet'!$1:$1, 0)), "")</f>
        <v>0.28166438042981246</v>
      </c>
      <c r="J4" s="11" cm="1">
        <f t="array" ref="J4">IFERROR(INDEX('Master Data Sheet'!$1:$1048576, MATCH(1, ('Master Data Sheet'!$H:$H=J$2) * (INDEX('Master Data Sheet'!$1:$1, , MATCH($F$1, 'Master Data Sheet'!$1:$1, 0)) = $F$1) * ('Master Data Sheet'!$G:$G=$B4) * ('Master Data Sheet'!$F:$F=$E4) * ('Master Data Sheet'!$A:$A=$F4), 0), MATCH($F$1, 'Master Data Sheet'!$1:$1, 0)), "")</f>
        <v>0.20484682213077277</v>
      </c>
      <c r="K4" s="11" cm="1">
        <f t="array" ref="K4">IFERROR(INDEX('Master Data Sheet'!$1:$1048576, MATCH(1, ('Master Data Sheet'!$H:$H=K$2) * (INDEX('Master Data Sheet'!$1:$1, , MATCH($F$1, 'Master Data Sheet'!$1:$1, 0)) = $F$1) * ('Master Data Sheet'!$G:$G=$B4) * ('Master Data Sheet'!$F:$F=$E4) * ('Master Data Sheet'!$A:$A=$F4), 0), MATCH($F$1, 'Master Data Sheet'!$1:$1, 0)), "")</f>
        <v>0.12802926383173296</v>
      </c>
      <c r="L4" s="11" cm="1">
        <f t="array" ref="L4">IFERROR(INDEX('Master Data Sheet'!$1:$1048576, MATCH(1, ('Master Data Sheet'!$H:$H=L$2) * (INDEX('Master Data Sheet'!$1:$1, , MATCH($F$1, 'Master Data Sheet'!$1:$1, 0)) = $F$1) * ('Master Data Sheet'!$G:$G=$B4) * ('Master Data Sheet'!$F:$F=$E4) * ('Master Data Sheet'!$A:$A=$F4), 0), MATCH($F$1, 'Master Data Sheet'!$1:$1, 0)), "")</f>
        <v>0</v>
      </c>
      <c r="M4" s="11" cm="1">
        <f t="array" ref="M4">IFERROR(INDEX('Master Data Sheet'!$1:$1048576, MATCH(1, ('Master Data Sheet'!$H:$H=M$2) * (INDEX('Master Data Sheet'!$1:$1, , MATCH($F$1, 'Master Data Sheet'!$1:$1, 0)) = $F$1) * ('Master Data Sheet'!$G:$G=$B4) * ('Master Data Sheet'!$F:$F=$E4) * ('Master Data Sheet'!$A:$A=$F4), 0), MATCH($F$1, 'Master Data Sheet'!$1:$1, 0)), "")</f>
        <v>0.15363511659807957</v>
      </c>
      <c r="N4" s="11" cm="1">
        <f t="array" ref="N4">IFERROR(INDEX('Master Data Sheet'!$1:$1048576, MATCH(1, ('Master Data Sheet'!$H:$H=N$2) * (INDEX('Master Data Sheet'!$1:$1, , MATCH($F$1, 'Master Data Sheet'!$1:$1, 0)) = $F$1) * ('Master Data Sheet'!$G:$G=$B4) * ('Master Data Sheet'!$F:$F=$E4) * ('Master Data Sheet'!$A:$A=$F4), 0), MATCH($F$1, 'Master Data Sheet'!$1:$1, 0)), "")</f>
        <v>0.99862825788751708</v>
      </c>
      <c r="O4" s="11">
        <f>AVERAGE(H4:N4)</f>
        <v>0.31092821216278005</v>
      </c>
      <c r="P4" s="11">
        <f t="shared" ref="P4:P56" si="4">STDEV(H4:N4)</f>
        <v>0.32905548999065776</v>
      </c>
      <c r="Q4" s="11"/>
      <c r="X4" t="str">
        <f>IFERROR(INDEX('Date Key'!$G$57:$G$62, MATCH(B3,'Date Key'!$A$57:$A$62, 0)), "")</f>
        <v>Low HLR, Lower Outlet Height, No Plants</v>
      </c>
      <c r="Y4" s="1">
        <f t="shared" ref="Y4:AE4" si="5">H3</f>
        <v>0.28166438042981246</v>
      </c>
      <c r="Z4" s="1">
        <f t="shared" si="5"/>
        <v>0.64014631915866493</v>
      </c>
      <c r="AA4" s="1">
        <f t="shared" si="5"/>
        <v>0.43529949702789206</v>
      </c>
      <c r="AB4" s="1">
        <f t="shared" si="5"/>
        <v>0.92181069958847728</v>
      </c>
      <c r="AC4" s="1">
        <f t="shared" si="5"/>
        <v>7.6817558299039787E-2</v>
      </c>
      <c r="AD4" s="1">
        <f t="shared" si="5"/>
        <v>0.28166438042981246</v>
      </c>
      <c r="AE4" s="1">
        <f t="shared" si="5"/>
        <v>0</v>
      </c>
      <c r="AF4" s="1">
        <f t="shared" ref="AF4:AL4" si="6">H4</f>
        <v>0.40969364426154553</v>
      </c>
      <c r="AG4" s="1">
        <f t="shared" si="6"/>
        <v>0.28166438042981246</v>
      </c>
      <c r="AH4" s="1">
        <f t="shared" si="6"/>
        <v>0.20484682213077277</v>
      </c>
      <c r="AI4" s="1">
        <f t="shared" si="6"/>
        <v>0.12802926383173296</v>
      </c>
      <c r="AJ4" s="1">
        <f t="shared" si="6"/>
        <v>0</v>
      </c>
      <c r="AK4" s="1">
        <f t="shared" si="6"/>
        <v>0.15363511659807957</v>
      </c>
      <c r="AL4" s="1">
        <f t="shared" si="6"/>
        <v>0.99862825788751708</v>
      </c>
      <c r="AM4" s="1">
        <f t="shared" ref="AM4:AS4" si="7">H5</f>
        <v>0.59372349448685335</v>
      </c>
      <c r="AN4" s="1">
        <f t="shared" si="7"/>
        <v>0.18999151823579305</v>
      </c>
      <c r="AO4" s="1">
        <f t="shared" si="7"/>
        <v>0.11874469889737066</v>
      </c>
      <c r="AP4" s="1">
        <f t="shared" si="7"/>
        <v>0</v>
      </c>
      <c r="AQ4" s="1">
        <f t="shared" si="7"/>
        <v>0.23748939779474132</v>
      </c>
      <c r="AR4" s="1">
        <f t="shared" si="7"/>
        <v>0</v>
      </c>
      <c r="AS4" s="1">
        <f t="shared" si="7"/>
        <v>0.14249363867684478</v>
      </c>
    </row>
    <row r="5" spans="1:45" x14ac:dyDescent="0.35">
      <c r="A5" s="41">
        <f>IFERROR(INDEX('Date Key'!$B$2:$B$19, MATCH(F5,'Date Key'!$A$2:$A$19, 0)), "")</f>
        <v>45195</v>
      </c>
      <c r="B5" s="4">
        <f t="shared" si="0"/>
        <v>1</v>
      </c>
      <c r="C5" s="26" t="str">
        <f>IFERROR(INDEX('Date Key'!$G$57:$G$62, MATCH(B5,'Date Key'!$A$57:$A$62, 0)), "")</f>
        <v>Low HLR, Lower Outlet Height, No Plants</v>
      </c>
      <c r="D5" s="4" t="str">
        <f>IFERROR(INDEX('Date Key'!$G$2:$G$19, MATCH(F5, 'Date Key'!$A$2:$A$19, 0)), "")</f>
        <v>No</v>
      </c>
      <c r="E5" s="4" t="str">
        <f t="shared" si="1"/>
        <v>in</v>
      </c>
      <c r="F5" s="4">
        <f t="shared" si="2"/>
        <v>3</v>
      </c>
      <c r="G5" s="4">
        <f t="shared" si="3"/>
        <v>3</v>
      </c>
      <c r="H5" s="11" cm="1">
        <f t="array" ref="H5">IFERROR(INDEX('Master Data Sheet'!$1:$1048576, MATCH(1, ('Master Data Sheet'!$H:$H=H$2) * (INDEX('Master Data Sheet'!$1:$1, , MATCH($F$1, 'Master Data Sheet'!$1:$1, 0)) = $F$1) * ('Master Data Sheet'!$G:$G=$B5) * ('Master Data Sheet'!$F:$F=$E5) * ('Master Data Sheet'!$A:$A=$F5), 0), MATCH($F$1, 'Master Data Sheet'!$1:$1, 0)), "")</f>
        <v>0.59372349448685335</v>
      </c>
      <c r="I5" s="11" cm="1">
        <f t="array" ref="I5">IFERROR(INDEX('Master Data Sheet'!$1:$1048576, MATCH(1, ('Master Data Sheet'!$H:$H=I$2) * (INDEX('Master Data Sheet'!$1:$1, , MATCH($F$1, 'Master Data Sheet'!$1:$1, 0)) = $F$1) * ('Master Data Sheet'!$G:$G=$B5) * ('Master Data Sheet'!$F:$F=$E5) * ('Master Data Sheet'!$A:$A=$F5), 0), MATCH($F$1, 'Master Data Sheet'!$1:$1, 0)), "")</f>
        <v>0.18999151823579305</v>
      </c>
      <c r="J5" s="11" cm="1">
        <f t="array" ref="J5">IFERROR(INDEX('Master Data Sheet'!$1:$1048576, MATCH(1, ('Master Data Sheet'!$H:$H=J$2) * (INDEX('Master Data Sheet'!$1:$1, , MATCH($F$1, 'Master Data Sheet'!$1:$1, 0)) = $F$1) * ('Master Data Sheet'!$G:$G=$B5) * ('Master Data Sheet'!$F:$F=$E5) * ('Master Data Sheet'!$A:$A=$F5), 0), MATCH($F$1, 'Master Data Sheet'!$1:$1, 0)), "")</f>
        <v>0.11874469889737066</v>
      </c>
      <c r="K5" s="11" cm="1">
        <f t="array" ref="K5">IFERROR(INDEX('Master Data Sheet'!$1:$1048576, MATCH(1, ('Master Data Sheet'!$H:$H=K$2) * (INDEX('Master Data Sheet'!$1:$1, , MATCH($F$1, 'Master Data Sheet'!$1:$1, 0)) = $F$1) * ('Master Data Sheet'!$G:$G=$B5) * ('Master Data Sheet'!$F:$F=$E5) * ('Master Data Sheet'!$A:$A=$F5), 0), MATCH($F$1, 'Master Data Sheet'!$1:$1, 0)), "")</f>
        <v>0</v>
      </c>
      <c r="L5" s="11" cm="1">
        <f t="array" ref="L5">IFERROR(INDEX('Master Data Sheet'!$1:$1048576, MATCH(1, ('Master Data Sheet'!$H:$H=L$2) * (INDEX('Master Data Sheet'!$1:$1, , MATCH($F$1, 'Master Data Sheet'!$1:$1, 0)) = $F$1) * ('Master Data Sheet'!$G:$G=$B5) * ('Master Data Sheet'!$F:$F=$E5) * ('Master Data Sheet'!$A:$A=$F5), 0), MATCH($F$1, 'Master Data Sheet'!$1:$1, 0)), "")</f>
        <v>0.23748939779474132</v>
      </c>
      <c r="M5" s="11" cm="1">
        <f t="array" ref="M5">IFERROR(INDEX('Master Data Sheet'!$1:$1048576, MATCH(1, ('Master Data Sheet'!$H:$H=M$2) * (INDEX('Master Data Sheet'!$1:$1, , MATCH($F$1, 'Master Data Sheet'!$1:$1, 0)) = $F$1) * ('Master Data Sheet'!$G:$G=$B5) * ('Master Data Sheet'!$F:$F=$E5) * ('Master Data Sheet'!$A:$A=$F5), 0), MATCH($F$1, 'Master Data Sheet'!$1:$1, 0)), "")</f>
        <v>0</v>
      </c>
      <c r="N5" s="11" cm="1">
        <f t="array" ref="N5">IFERROR(INDEX('Master Data Sheet'!$1:$1048576, MATCH(1, ('Master Data Sheet'!$H:$H=N$2) * (INDEX('Master Data Sheet'!$1:$1, , MATCH($F$1, 'Master Data Sheet'!$1:$1, 0)) = $F$1) * ('Master Data Sheet'!$G:$G=$B5) * ('Master Data Sheet'!$F:$F=$E5) * ('Master Data Sheet'!$A:$A=$F5), 0), MATCH($F$1, 'Master Data Sheet'!$1:$1, 0)), "")</f>
        <v>0.14249363867684478</v>
      </c>
      <c r="O5" s="11">
        <f>AVERAGE(H5:N5)</f>
        <v>0.18320610687022901</v>
      </c>
      <c r="P5" s="11">
        <f t="shared" si="4"/>
        <v>0.20184935653018782</v>
      </c>
      <c r="Q5" s="11"/>
      <c r="Y5" s="1"/>
      <c r="Z5" s="1"/>
      <c r="AA5" s="1"/>
      <c r="AB5" s="1"/>
      <c r="AC5" s="1"/>
      <c r="AD5" s="1"/>
      <c r="AE5" s="1"/>
      <c r="AF5" s="1"/>
      <c r="AG5" s="1"/>
      <c r="AH5" s="1"/>
      <c r="AI5" s="1"/>
      <c r="AJ5" s="1"/>
      <c r="AK5" s="1"/>
      <c r="AL5" s="1"/>
      <c r="AM5" s="1"/>
      <c r="AN5" s="1"/>
      <c r="AO5" s="1"/>
      <c r="AP5" s="1"/>
      <c r="AQ5" s="1"/>
      <c r="AR5" s="1"/>
      <c r="AS5" s="1"/>
    </row>
    <row r="6" spans="1:45" x14ac:dyDescent="0.35">
      <c r="A6" s="41">
        <f>IFERROR(INDEX('Date Key'!$B$2:$B$19, MATCH(F6,'Date Key'!$A$2:$A$19, 0)), "")</f>
        <v>45175</v>
      </c>
      <c r="B6" s="4">
        <f t="shared" si="0"/>
        <v>1</v>
      </c>
      <c r="C6" s="26" t="str">
        <f>IFERROR(INDEX('Date Key'!$G$57:$G$62, MATCH(B6,'Date Key'!$A$57:$A$62, 0)), "")</f>
        <v>Low HLR, Lower Outlet Height, No Plants</v>
      </c>
      <c r="D6" s="4" t="str">
        <f>IFERROR(INDEX('Date Key'!$G$2:$G$19, MATCH(F6, 'Date Key'!$A$2:$A$19, 0)), "")</f>
        <v>No</v>
      </c>
      <c r="E6" s="4" t="str">
        <f t="shared" si="1"/>
        <v>tank 1</v>
      </c>
      <c r="F6" s="4">
        <f t="shared" si="2"/>
        <v>1</v>
      </c>
      <c r="G6" s="4">
        <f t="shared" si="3"/>
        <v>1</v>
      </c>
      <c r="H6" s="11" cm="1">
        <f t="array" ref="H6">IFERROR(INDEX('Master Data Sheet'!$1:$1048576, MATCH(1, ('Master Data Sheet'!$H:$H=H$2) * (INDEX('Master Data Sheet'!$1:$1, , MATCH($F$1, 'Master Data Sheet'!$1:$1, 0)) = $F$1) * ('Master Data Sheet'!$G:$G=$B6) * ('Master Data Sheet'!$F:$F=$E6) * ('Master Data Sheet'!$A:$A=$F6), 0), MATCH($F$1, 'Master Data Sheet'!$1:$1, 0)), "")</f>
        <v>0.20484682213077277</v>
      </c>
      <c r="I6" s="11" cm="1">
        <f t="array" ref="I6">IFERROR(INDEX('Master Data Sheet'!$1:$1048576, MATCH(1, ('Master Data Sheet'!$H:$H=I$2) * (INDEX('Master Data Sheet'!$1:$1, , MATCH($F$1, 'Master Data Sheet'!$1:$1, 0)) = $F$1) * ('Master Data Sheet'!$G:$G=$B6) * ('Master Data Sheet'!$F:$F=$E6) * ('Master Data Sheet'!$A:$A=$F6), 0), MATCH($F$1, 'Master Data Sheet'!$1:$1, 0)), "")</f>
        <v>0.23045267489711932</v>
      </c>
      <c r="J6" s="11" cm="1">
        <f t="array" ref="J6">IFERROR(INDEX('Master Data Sheet'!$1:$1048576, MATCH(1, ('Master Data Sheet'!$H:$H=J$2) * (INDEX('Master Data Sheet'!$1:$1, , MATCH($F$1, 'Master Data Sheet'!$1:$1, 0)) = $F$1) * ('Master Data Sheet'!$G:$G=$B6) * ('Master Data Sheet'!$F:$F=$E6) * ('Master Data Sheet'!$A:$A=$F6), 0), MATCH($F$1, 'Master Data Sheet'!$1:$1, 0)), "")</f>
        <v>0.38408779149519889</v>
      </c>
      <c r="K6" s="11" cm="1">
        <f t="array" ref="K6">IFERROR(INDEX('Master Data Sheet'!$1:$1048576, MATCH(1, ('Master Data Sheet'!$H:$H=K$2) * (INDEX('Master Data Sheet'!$1:$1, , MATCH($F$1, 'Master Data Sheet'!$1:$1, 0)) = $F$1) * ('Master Data Sheet'!$G:$G=$B6) * ('Master Data Sheet'!$F:$F=$E6) * ('Master Data Sheet'!$A:$A=$F6), 0), MATCH($F$1, 'Master Data Sheet'!$1:$1, 0)), "")</f>
        <v>0.12802926383173296</v>
      </c>
      <c r="L6" s="11" cm="1">
        <f t="array" ref="L6">IFERROR(INDEX('Master Data Sheet'!$1:$1048576, MATCH(1, ('Master Data Sheet'!$H:$H=L$2) * (INDEX('Master Data Sheet'!$1:$1, , MATCH($F$1, 'Master Data Sheet'!$1:$1, 0)) = $F$1) * ('Master Data Sheet'!$G:$G=$B6) * ('Master Data Sheet'!$F:$F=$E6) * ('Master Data Sheet'!$A:$A=$F6), 0), MATCH($F$1, 'Master Data Sheet'!$1:$1, 0)), "")</f>
        <v>1.3571101966163694</v>
      </c>
      <c r="M6" s="11" cm="1">
        <f t="array" ref="M6">IFERROR(INDEX('Master Data Sheet'!$1:$1048576, MATCH(1, ('Master Data Sheet'!$H:$H=M$2) * (INDEX('Master Data Sheet'!$1:$1, , MATCH($F$1, 'Master Data Sheet'!$1:$1, 0)) = $F$1) * ('Master Data Sheet'!$G:$G=$B6) * ('Master Data Sheet'!$F:$F=$E6) * ('Master Data Sheet'!$A:$A=$F6), 0), MATCH($F$1, 'Master Data Sheet'!$1:$1, 0)), "")</f>
        <v>0.97302240512117066</v>
      </c>
      <c r="N6" s="11" cm="1">
        <f t="array" ref="N6">IFERROR(INDEX('Master Data Sheet'!$1:$1048576, MATCH(1, ('Master Data Sheet'!$H:$H=N$2) * (INDEX('Master Data Sheet'!$1:$1, , MATCH($F$1, 'Master Data Sheet'!$1:$1, 0)) = $F$1) * ('Master Data Sheet'!$G:$G=$B6) * ('Master Data Sheet'!$F:$F=$E6) * ('Master Data Sheet'!$A:$A=$F6), 0), MATCH($F$1, 'Master Data Sheet'!$1:$1, 0)), "")</f>
        <v>1.1010516689529035</v>
      </c>
      <c r="O6" s="11">
        <f>AVERAGE(H6:N6)</f>
        <v>0.62551440329218111</v>
      </c>
      <c r="P6" s="11">
        <f t="shared" si="4"/>
        <v>0.50347842772842777</v>
      </c>
      <c r="Q6" s="11">
        <f>AVERAGE(O6,O8)</f>
        <v>0.43998366475041628</v>
      </c>
      <c r="R6" s="46">
        <f>(1-(O6/O3))*100</f>
        <v>-66.01941747572819</v>
      </c>
      <c r="S6" s="46">
        <f>AVERAGE(R6:R8)</f>
        <v>-76.538062905852755</v>
      </c>
      <c r="T6" s="46">
        <f>STDEV(R6:R8)</f>
        <v>43.864798165109654</v>
      </c>
      <c r="U6" s="47">
        <f>(1-(AVERAGE(H6:N6,H8:N8)/AVERAGE(H3:N3,H5:N5)))*100</f>
        <v>-57.14321332402514</v>
      </c>
      <c r="V6" s="47"/>
      <c r="W6" s="14"/>
      <c r="Y6" s="2"/>
      <c r="Z6" s="2"/>
      <c r="AA6" s="2"/>
      <c r="AB6" s="2"/>
      <c r="AC6" s="2"/>
      <c r="AD6" s="2"/>
      <c r="AE6" s="2"/>
      <c r="AF6" s="2"/>
      <c r="AG6" s="2"/>
    </row>
    <row r="7" spans="1:45" x14ac:dyDescent="0.35">
      <c r="A7" s="41">
        <f>IFERROR(INDEX('Date Key'!$B$2:$B$19, MATCH(F7,'Date Key'!$A$2:$A$19, 0)), "")</f>
        <v>45181</v>
      </c>
      <c r="B7" s="4">
        <f t="shared" si="0"/>
        <v>1</v>
      </c>
      <c r="C7" s="26" t="str">
        <f>IFERROR(INDEX('Date Key'!$G$57:$G$62, MATCH(B7,'Date Key'!$A$57:$A$62, 0)), "")</f>
        <v>Low HLR, Lower Outlet Height, No Plants</v>
      </c>
      <c r="D7" s="4" t="str">
        <f>IFERROR(INDEX('Date Key'!$G$2:$G$19, MATCH(F7, 'Date Key'!$A$2:$A$19, 0)), "")</f>
        <v>No</v>
      </c>
      <c r="E7" s="4" t="str">
        <f t="shared" si="1"/>
        <v>tank 1</v>
      </c>
      <c r="F7" s="4">
        <f t="shared" si="2"/>
        <v>2</v>
      </c>
      <c r="G7" s="4">
        <f t="shared" si="3"/>
        <v>2</v>
      </c>
      <c r="H7" s="11" cm="1">
        <f t="array" ref="H7">IFERROR(INDEX('Master Data Sheet'!$1:$1048576, MATCH(1, ('Master Data Sheet'!$H:$H=H$2) * (INDEX('Master Data Sheet'!$1:$1, , MATCH($F$1, 'Master Data Sheet'!$1:$1, 0)) = $F$1) * ('Master Data Sheet'!$G:$G=$B7) * ('Master Data Sheet'!$F:$F=$E7) * ('Master Data Sheet'!$A:$A=$F7), 0), MATCH($F$1, 'Master Data Sheet'!$1:$1, 0)), "")</f>
        <v>0.46090534979423864</v>
      </c>
      <c r="I7" s="11" cm="1">
        <f t="array" ref="I7">IFERROR(INDEX('Master Data Sheet'!$1:$1048576, MATCH(1, ('Master Data Sheet'!$H:$H=I$2) * (INDEX('Master Data Sheet'!$1:$1, , MATCH($F$1, 'Master Data Sheet'!$1:$1, 0)) = $F$1) * ('Master Data Sheet'!$G:$G=$B7) * ('Master Data Sheet'!$F:$F=$E7) * ('Master Data Sheet'!$A:$A=$F7), 0), MATCH($F$1, 'Master Data Sheet'!$1:$1, 0)), "")</f>
        <v>0.92181069958847728</v>
      </c>
      <c r="J7" s="11" cm="1">
        <f t="array" ref="J7">IFERROR(INDEX('Master Data Sheet'!$1:$1048576, MATCH(1, ('Master Data Sheet'!$H:$H=J$2) * (INDEX('Master Data Sheet'!$1:$1, , MATCH($F$1, 'Master Data Sheet'!$1:$1, 0)) = $F$1) * ('Master Data Sheet'!$G:$G=$B7) * ('Master Data Sheet'!$F:$F=$E7) * ('Master Data Sheet'!$A:$A=$F7), 0), MATCH($F$1, 'Master Data Sheet'!$1:$1, 0)), "")</f>
        <v>0.15363511659807957</v>
      </c>
      <c r="K7" s="11" cm="1">
        <f t="array" ref="K7">IFERROR(INDEX('Master Data Sheet'!$1:$1048576, MATCH(1, ('Master Data Sheet'!$H:$H=K$2) * (INDEX('Master Data Sheet'!$1:$1, , MATCH($F$1, 'Master Data Sheet'!$1:$1, 0)) = $F$1) * ('Master Data Sheet'!$G:$G=$B7) * ('Master Data Sheet'!$F:$F=$E7) * ('Master Data Sheet'!$A:$A=$F7), 0), MATCH($F$1, 'Master Data Sheet'!$1:$1, 0)), "")</f>
        <v>0.79378143575674442</v>
      </c>
      <c r="L7" s="11" cm="1">
        <f t="array" ref="L7">IFERROR(INDEX('Master Data Sheet'!$1:$1048576, MATCH(1, ('Master Data Sheet'!$H:$H=L$2) * (INDEX('Master Data Sheet'!$1:$1, , MATCH($F$1, 'Master Data Sheet'!$1:$1, 0)) = $F$1) * ('Master Data Sheet'!$G:$G=$B7) * ('Master Data Sheet'!$F:$F=$E7) * ('Master Data Sheet'!$A:$A=$F7), 0), MATCH($F$1, 'Master Data Sheet'!$1:$1, 0)), "")</f>
        <v>0.8449931412894377</v>
      </c>
      <c r="M7" s="11" cm="1">
        <f t="array" ref="M7">IFERROR(INDEX('Master Data Sheet'!$1:$1048576, MATCH(1, ('Master Data Sheet'!$H:$H=M$2) * (INDEX('Master Data Sheet'!$1:$1, , MATCH($F$1, 'Master Data Sheet'!$1:$1, 0)) = $F$1) * ('Master Data Sheet'!$G:$G=$B7) * ('Master Data Sheet'!$F:$F=$E7) * ('Master Data Sheet'!$A:$A=$F7), 0), MATCH($F$1, 'Master Data Sheet'!$1:$1, 0)), "")</f>
        <v>0.43529949702789206</v>
      </c>
      <c r="N7" s="11" cm="1">
        <f t="array" ref="N7">IFERROR(INDEX('Master Data Sheet'!$1:$1048576, MATCH(1, ('Master Data Sheet'!$H:$H=N$2) * (INDEX('Master Data Sheet'!$1:$1, , MATCH($F$1, 'Master Data Sheet'!$1:$1, 0)) = $F$1) * ('Master Data Sheet'!$G:$G=$B7) * ('Master Data Sheet'!$F:$F=$E7) * ('Master Data Sheet'!$A:$A=$F7), 0), MATCH($F$1, 'Master Data Sheet'!$1:$1, 0)), "")</f>
        <v>1.2802926383173299</v>
      </c>
      <c r="O7" s="11">
        <f t="shared" ref="O7:O56" si="8">AVERAGE(H7:N7)</f>
        <v>0.6986739826245999</v>
      </c>
      <c r="P7" s="11">
        <f t="shared" si="4"/>
        <v>0.37449797214442732</v>
      </c>
      <c r="Q7" s="11"/>
      <c r="R7" s="46">
        <f>(1-(O7/O4))*100</f>
        <v>-124.70588235294117</v>
      </c>
      <c r="X7" t="str">
        <f>IFERROR(INDEX('Date Key'!$G$57:$G$62, MATCH(B6,'Date Key'!$A$57:$A$62, 0)), "")</f>
        <v>Low HLR, Lower Outlet Height, No Plants</v>
      </c>
      <c r="Y7" s="1">
        <f t="shared" ref="Y7:AE7" si="9">H6</f>
        <v>0.20484682213077277</v>
      </c>
      <c r="Z7" s="1">
        <f t="shared" si="9"/>
        <v>0.23045267489711932</v>
      </c>
      <c r="AA7" s="1">
        <f t="shared" si="9"/>
        <v>0.38408779149519889</v>
      </c>
      <c r="AB7" s="1">
        <f t="shared" si="9"/>
        <v>0.12802926383173296</v>
      </c>
      <c r="AC7" s="1">
        <f t="shared" si="9"/>
        <v>1.3571101966163694</v>
      </c>
      <c r="AD7" s="1">
        <f t="shared" si="9"/>
        <v>0.97302240512117066</v>
      </c>
      <c r="AE7" s="1">
        <f t="shared" si="9"/>
        <v>1.1010516689529035</v>
      </c>
      <c r="AF7" s="1">
        <f t="shared" ref="AF7:AL7" si="10">H7</f>
        <v>0.46090534979423864</v>
      </c>
      <c r="AG7" s="1">
        <f t="shared" si="10"/>
        <v>0.92181069958847728</v>
      </c>
      <c r="AH7" s="1">
        <f t="shared" si="10"/>
        <v>0.15363511659807957</v>
      </c>
      <c r="AI7" s="1">
        <f t="shared" si="10"/>
        <v>0.79378143575674442</v>
      </c>
      <c r="AJ7" s="1">
        <f t="shared" si="10"/>
        <v>0.8449931412894377</v>
      </c>
      <c r="AK7" s="1">
        <f t="shared" si="10"/>
        <v>0.43529949702789206</v>
      </c>
      <c r="AL7" s="1">
        <f t="shared" si="10"/>
        <v>1.2802926383173299</v>
      </c>
      <c r="AM7" s="1">
        <f t="shared" ref="AM7:AS7" si="11">H8</f>
        <v>0.26123833757421538</v>
      </c>
      <c r="AN7" s="1">
        <f t="shared" si="11"/>
        <v>0.28498727735368956</v>
      </c>
      <c r="AO7" s="1">
        <f t="shared" si="11"/>
        <v>0.14249363867684478</v>
      </c>
      <c r="AP7" s="1">
        <f t="shared" si="11"/>
        <v>9.4995759117896525E-2</v>
      </c>
      <c r="AQ7" s="1">
        <f t="shared" si="11"/>
        <v>0.3799830364715861</v>
      </c>
      <c r="AR7" s="1">
        <f t="shared" si="11"/>
        <v>0.28498727735368956</v>
      </c>
      <c r="AS7" s="1">
        <f t="shared" si="11"/>
        <v>0.33248515691263786</v>
      </c>
    </row>
    <row r="8" spans="1:45" x14ac:dyDescent="0.35">
      <c r="A8" s="41">
        <f>IFERROR(INDEX('Date Key'!$B$2:$B$19, MATCH(F8,'Date Key'!$A$2:$A$19, 0)), "")</f>
        <v>45195</v>
      </c>
      <c r="B8" s="4">
        <f t="shared" si="0"/>
        <v>1</v>
      </c>
      <c r="C8" s="26" t="str">
        <f>IFERROR(INDEX('Date Key'!$G$57:$G$62, MATCH(B8,'Date Key'!$A$57:$A$62, 0)), "")</f>
        <v>Low HLR, Lower Outlet Height, No Plants</v>
      </c>
      <c r="D8" s="4" t="str">
        <f>IFERROR(INDEX('Date Key'!$G$2:$G$19, MATCH(F8, 'Date Key'!$A$2:$A$19, 0)), "")</f>
        <v>No</v>
      </c>
      <c r="E8" s="4" t="str">
        <f t="shared" si="1"/>
        <v>tank 1</v>
      </c>
      <c r="F8" s="4">
        <f t="shared" si="2"/>
        <v>3</v>
      </c>
      <c r="G8" s="4">
        <f t="shared" si="3"/>
        <v>3</v>
      </c>
      <c r="H8" s="11" cm="1">
        <f t="array" ref="H8">IFERROR(INDEX('Master Data Sheet'!$1:$1048576, MATCH(1, ('Master Data Sheet'!$H:$H=H$2) * (INDEX('Master Data Sheet'!$1:$1, , MATCH($F$1, 'Master Data Sheet'!$1:$1, 0)) = $F$1) * ('Master Data Sheet'!$G:$G=$B8) * ('Master Data Sheet'!$F:$F=$E8) * ('Master Data Sheet'!$A:$A=$F8), 0), MATCH($F$1, 'Master Data Sheet'!$1:$1, 0)), "")</f>
        <v>0.26123833757421538</v>
      </c>
      <c r="I8" s="11" cm="1">
        <f t="array" ref="I8">IFERROR(INDEX('Master Data Sheet'!$1:$1048576, MATCH(1, ('Master Data Sheet'!$H:$H=I$2) * (INDEX('Master Data Sheet'!$1:$1, , MATCH($F$1, 'Master Data Sheet'!$1:$1, 0)) = $F$1) * ('Master Data Sheet'!$G:$G=$B8) * ('Master Data Sheet'!$F:$F=$E8) * ('Master Data Sheet'!$A:$A=$F8), 0), MATCH($F$1, 'Master Data Sheet'!$1:$1, 0)), "")</f>
        <v>0.28498727735368956</v>
      </c>
      <c r="J8" s="11" cm="1">
        <f t="array" ref="J8">IFERROR(INDEX('Master Data Sheet'!$1:$1048576, MATCH(1, ('Master Data Sheet'!$H:$H=J$2) * (INDEX('Master Data Sheet'!$1:$1, , MATCH($F$1, 'Master Data Sheet'!$1:$1, 0)) = $F$1) * ('Master Data Sheet'!$G:$G=$B8) * ('Master Data Sheet'!$F:$F=$E8) * ('Master Data Sheet'!$A:$A=$F8), 0), MATCH($F$1, 'Master Data Sheet'!$1:$1, 0)), "")</f>
        <v>0.14249363867684478</v>
      </c>
      <c r="K8" s="11" cm="1">
        <f t="array" ref="K8">IFERROR(INDEX('Master Data Sheet'!$1:$1048576, MATCH(1, ('Master Data Sheet'!$H:$H=K$2) * (INDEX('Master Data Sheet'!$1:$1, , MATCH($F$1, 'Master Data Sheet'!$1:$1, 0)) = $F$1) * ('Master Data Sheet'!$G:$G=$B8) * ('Master Data Sheet'!$F:$F=$E8) * ('Master Data Sheet'!$A:$A=$F8), 0), MATCH($F$1, 'Master Data Sheet'!$1:$1, 0)), "")</f>
        <v>9.4995759117896525E-2</v>
      </c>
      <c r="L8" s="11" cm="1">
        <f t="array" ref="L8">IFERROR(INDEX('Master Data Sheet'!$1:$1048576, MATCH(1, ('Master Data Sheet'!$H:$H=L$2) * (INDEX('Master Data Sheet'!$1:$1, , MATCH($F$1, 'Master Data Sheet'!$1:$1, 0)) = $F$1) * ('Master Data Sheet'!$G:$G=$B8) * ('Master Data Sheet'!$F:$F=$E8) * ('Master Data Sheet'!$A:$A=$F8), 0), MATCH($F$1, 'Master Data Sheet'!$1:$1, 0)), "")</f>
        <v>0.3799830364715861</v>
      </c>
      <c r="M8" s="11" cm="1">
        <f t="array" ref="M8">IFERROR(INDEX('Master Data Sheet'!$1:$1048576, MATCH(1, ('Master Data Sheet'!$H:$H=M$2) * (INDEX('Master Data Sheet'!$1:$1, , MATCH($F$1, 'Master Data Sheet'!$1:$1, 0)) = $F$1) * ('Master Data Sheet'!$G:$G=$B8) * ('Master Data Sheet'!$F:$F=$E8) * ('Master Data Sheet'!$A:$A=$F8), 0), MATCH($F$1, 'Master Data Sheet'!$1:$1, 0)), "")</f>
        <v>0.28498727735368956</v>
      </c>
      <c r="N8" s="11" cm="1">
        <f t="array" ref="N8">IFERROR(INDEX('Master Data Sheet'!$1:$1048576, MATCH(1, ('Master Data Sheet'!$H:$H=N$2) * (INDEX('Master Data Sheet'!$1:$1, , MATCH($F$1, 'Master Data Sheet'!$1:$1, 0)) = $F$1) * ('Master Data Sheet'!$G:$G=$B8) * ('Master Data Sheet'!$F:$F=$E8) * ('Master Data Sheet'!$A:$A=$F8), 0), MATCH($F$1, 'Master Data Sheet'!$1:$1, 0)), "")</f>
        <v>0.33248515691263786</v>
      </c>
      <c r="O8" s="11">
        <f t="shared" si="8"/>
        <v>0.2544529262086514</v>
      </c>
      <c r="P8" s="11">
        <f t="shared" si="4"/>
        <v>0.10142241929967977</v>
      </c>
      <c r="Q8" s="11"/>
      <c r="R8" s="46">
        <f>(1-(O8/O5))*100</f>
        <v>-38.888888888888886</v>
      </c>
      <c r="Y8" s="2"/>
      <c r="Z8" s="2"/>
      <c r="AA8" s="2"/>
      <c r="AB8" s="2"/>
      <c r="AC8" s="2"/>
      <c r="AD8" s="2"/>
      <c r="AE8" s="2"/>
      <c r="AF8" s="2"/>
      <c r="AG8" s="2"/>
    </row>
    <row r="9" spans="1:45" x14ac:dyDescent="0.35">
      <c r="A9" s="41">
        <f>IFERROR(INDEX('Date Key'!$B$2:$B$19, MATCH(F9,'Date Key'!$A$2:$A$19, 0)), "")</f>
        <v>45175</v>
      </c>
      <c r="B9" s="4">
        <f t="shared" si="0"/>
        <v>1</v>
      </c>
      <c r="C9" s="26" t="str">
        <f>IFERROR(INDEX('Date Key'!$G$57:$G$62, MATCH(B9,'Date Key'!$A$57:$A$62, 0)), "")</f>
        <v>Low HLR, Lower Outlet Height, No Plants</v>
      </c>
      <c r="D9" s="4" t="str">
        <f>IFERROR(INDEX('Date Key'!$G$2:$G$19, MATCH(F9, 'Date Key'!$A$2:$A$19, 0)), "")</f>
        <v>No</v>
      </c>
      <c r="E9" s="4" t="str">
        <f t="shared" si="1"/>
        <v>tank 2</v>
      </c>
      <c r="F9" s="4">
        <f t="shared" si="2"/>
        <v>1</v>
      </c>
      <c r="G9" s="4">
        <f t="shared" si="3"/>
        <v>1</v>
      </c>
      <c r="H9" s="11" cm="1">
        <f t="array" ref="H9">IFERROR(INDEX('Master Data Sheet'!$1:$1048576, MATCH(1, ('Master Data Sheet'!$H:$H=H$2) * (INDEX('Master Data Sheet'!$1:$1, , MATCH($F$1, 'Master Data Sheet'!$1:$1, 0)) = $F$1) * ('Master Data Sheet'!$G:$G=$B9) * ('Master Data Sheet'!$F:$F=$E9) * ('Master Data Sheet'!$A:$A=$F9), 0), MATCH($F$1, 'Master Data Sheet'!$1:$1, 0)), "")</f>
        <v>2.5605852766346596E-2</v>
      </c>
      <c r="I9" s="11" cm="1">
        <f t="array" ref="I9">IFERROR(INDEX('Master Data Sheet'!$1:$1048576, MATCH(1, ('Master Data Sheet'!$H:$H=I$2) * (INDEX('Master Data Sheet'!$1:$1, , MATCH($F$1, 'Master Data Sheet'!$1:$1, 0)) = $F$1) * ('Master Data Sheet'!$G:$G=$B9) * ('Master Data Sheet'!$F:$F=$E9) * ('Master Data Sheet'!$A:$A=$F9), 0), MATCH($F$1, 'Master Data Sheet'!$1:$1, 0)), "")</f>
        <v>0.12802926383173296</v>
      </c>
      <c r="J9" s="11" cm="1">
        <f t="array" ref="J9">IFERROR(INDEX('Master Data Sheet'!$1:$1048576, MATCH(1, ('Master Data Sheet'!$H:$H=J$2) * (INDEX('Master Data Sheet'!$1:$1, , MATCH($F$1, 'Master Data Sheet'!$1:$1, 0)) = $F$1) * ('Master Data Sheet'!$G:$G=$B9) * ('Master Data Sheet'!$F:$F=$E9) * ('Master Data Sheet'!$A:$A=$F9), 0), MATCH($F$1, 'Master Data Sheet'!$1:$1, 0)), "")</f>
        <v>0.23045267489711932</v>
      </c>
      <c r="K9" s="11" cm="1">
        <f t="array" ref="K9">IFERROR(INDEX('Master Data Sheet'!$1:$1048576, MATCH(1, ('Master Data Sheet'!$H:$H=K$2) * (INDEX('Master Data Sheet'!$1:$1, , MATCH($F$1, 'Master Data Sheet'!$1:$1, 0)) = $F$1) * ('Master Data Sheet'!$G:$G=$B9) * ('Master Data Sheet'!$F:$F=$E9) * ('Master Data Sheet'!$A:$A=$F9), 0), MATCH($F$1, 'Master Data Sheet'!$1:$1, 0)), "")</f>
        <v>0</v>
      </c>
      <c r="L9" s="11" cm="1">
        <f t="array" ref="L9">IFERROR(INDEX('Master Data Sheet'!$1:$1048576, MATCH(1, ('Master Data Sheet'!$H:$H=L$2) * (INDEX('Master Data Sheet'!$1:$1, , MATCH($F$1, 'Master Data Sheet'!$1:$1, 0)) = $F$1) * ('Master Data Sheet'!$G:$G=$B9) * ('Master Data Sheet'!$F:$F=$E9) * ('Master Data Sheet'!$A:$A=$F9), 0), MATCH($F$1, 'Master Data Sheet'!$1:$1, 0)), "")</f>
        <v>7.6817558299039787E-2</v>
      </c>
      <c r="M9" s="11" cm="1">
        <f t="array" ref="M9">IFERROR(INDEX('Master Data Sheet'!$1:$1048576, MATCH(1, ('Master Data Sheet'!$H:$H=M$2) * (INDEX('Master Data Sheet'!$1:$1, , MATCH($F$1, 'Master Data Sheet'!$1:$1, 0)) = $F$1) * ('Master Data Sheet'!$G:$G=$B9) * ('Master Data Sheet'!$F:$F=$E9) * ('Master Data Sheet'!$A:$A=$F9), 0), MATCH($F$1, 'Master Data Sheet'!$1:$1, 0)), "")</f>
        <v>0.79378143575674442</v>
      </c>
      <c r="N9" s="11" cm="1">
        <f t="array" ref="N9">IFERROR(INDEX('Master Data Sheet'!$1:$1048576, MATCH(1, ('Master Data Sheet'!$H:$H=N$2) * (INDEX('Master Data Sheet'!$1:$1, , MATCH($F$1, 'Master Data Sheet'!$1:$1, 0)) = $F$1) * ('Master Data Sheet'!$G:$G=$B9) * ('Master Data Sheet'!$F:$F=$E9) * ('Master Data Sheet'!$A:$A=$F9), 0), MATCH($F$1, 'Master Data Sheet'!$1:$1, 0)), "")</f>
        <v>0.28166438042981246</v>
      </c>
      <c r="O9" s="11">
        <f t="shared" si="8"/>
        <v>0.21947873799725651</v>
      </c>
      <c r="P9" s="11">
        <f t="shared" si="4"/>
        <v>0.2733385875455327</v>
      </c>
      <c r="Q9" s="11">
        <f>AVERAGE(N9,N11)</f>
        <v>0.23582794933280277</v>
      </c>
      <c r="R9" s="46">
        <f>(1-(O9/O3))*100</f>
        <v>41.747572815533971</v>
      </c>
      <c r="S9" s="46">
        <f>AVERAGE(R9:R11)</f>
        <v>23.233214177436526</v>
      </c>
      <c r="T9" s="46">
        <f>STDEV(R9:R11)</f>
        <v>23.738718758792608</v>
      </c>
      <c r="U9" s="47">
        <f>(1-(AVERAGE(H9:N9,H11:N11)/AVERAGE(H3:N3,H5:N5)))*100</f>
        <v>38.388850104717278</v>
      </c>
      <c r="V9" s="47"/>
      <c r="Y9" s="2"/>
      <c r="Z9" s="2"/>
      <c r="AA9" s="2"/>
      <c r="AB9" s="2"/>
      <c r="AC9" s="2"/>
      <c r="AD9" s="2"/>
      <c r="AE9" s="2"/>
      <c r="AF9" s="2"/>
      <c r="AG9" s="2"/>
    </row>
    <row r="10" spans="1:45" x14ac:dyDescent="0.35">
      <c r="A10" s="41">
        <f>IFERROR(INDEX('Date Key'!$B$2:$B$19, MATCH(F10,'Date Key'!$A$2:$A$19, 0)), "")</f>
        <v>45181</v>
      </c>
      <c r="B10" s="4">
        <f t="shared" si="0"/>
        <v>1</v>
      </c>
      <c r="C10" s="26" t="str">
        <f>IFERROR(INDEX('Date Key'!$G$57:$G$62, MATCH(B10,'Date Key'!$A$57:$A$62, 0)), "")</f>
        <v>Low HLR, Lower Outlet Height, No Plants</v>
      </c>
      <c r="D10" s="4" t="str">
        <f>IFERROR(INDEX('Date Key'!$G$2:$G$19, MATCH(F10, 'Date Key'!$A$2:$A$19, 0)), "")</f>
        <v>No</v>
      </c>
      <c r="E10" s="4" t="str">
        <f t="shared" si="1"/>
        <v>tank 2</v>
      </c>
      <c r="F10" s="4">
        <f t="shared" si="2"/>
        <v>2</v>
      </c>
      <c r="G10" s="4">
        <f t="shared" si="3"/>
        <v>2</v>
      </c>
      <c r="H10" s="11" cm="1">
        <f t="array" ref="H10">IFERROR(INDEX('Master Data Sheet'!$1:$1048576, MATCH(1, ('Master Data Sheet'!$H:$H=H$2) * (INDEX('Master Data Sheet'!$1:$1, , MATCH($F$1, 'Master Data Sheet'!$1:$1, 0)) = $F$1) * ('Master Data Sheet'!$G:$G=$B10) * ('Master Data Sheet'!$F:$F=$E10) * ('Master Data Sheet'!$A:$A=$F10), 0), MATCH($F$1, 'Master Data Sheet'!$1:$1, 0)), "")</f>
        <v>0</v>
      </c>
      <c r="I10" s="11" cm="1">
        <f t="array" ref="I10">IFERROR(INDEX('Master Data Sheet'!$1:$1048576, MATCH(1, ('Master Data Sheet'!$H:$H=I$2) * (INDEX('Master Data Sheet'!$1:$1, , MATCH($F$1, 'Master Data Sheet'!$1:$1, 0)) = $F$1) * ('Master Data Sheet'!$G:$G=$B10) * ('Master Data Sheet'!$F:$F=$E10) * ('Master Data Sheet'!$A:$A=$F10), 0), MATCH($F$1, 'Master Data Sheet'!$1:$1, 0)), "")</f>
        <v>0.66575217192501146</v>
      </c>
      <c r="J10" s="11" cm="1">
        <f t="array" ref="J10">IFERROR(INDEX('Master Data Sheet'!$1:$1048576, MATCH(1, ('Master Data Sheet'!$H:$H=J$2) * (INDEX('Master Data Sheet'!$1:$1, , MATCH($F$1, 'Master Data Sheet'!$1:$1, 0)) = $F$1) * ('Master Data Sheet'!$G:$G=$B10) * ('Master Data Sheet'!$F:$F=$E10) * ('Master Data Sheet'!$A:$A=$F10), 0), MATCH($F$1, 'Master Data Sheet'!$1:$1, 0)), "")</f>
        <v>0.35848193872885231</v>
      </c>
      <c r="K10" s="11" cm="1">
        <f t="array" ref="K10">IFERROR(INDEX('Master Data Sheet'!$1:$1048576, MATCH(1, ('Master Data Sheet'!$H:$H=K$2) * (INDEX('Master Data Sheet'!$1:$1, , MATCH($F$1, 'Master Data Sheet'!$1:$1, 0)) = $F$1) * ('Master Data Sheet'!$G:$G=$B10) * ('Master Data Sheet'!$F:$F=$E10) * ('Master Data Sheet'!$A:$A=$F10), 0), MATCH($F$1, 'Master Data Sheet'!$1:$1, 0)), "")</f>
        <v>0.28166438042981246</v>
      </c>
      <c r="L10" s="11" cm="1">
        <f t="array" ref="L10">IFERROR(INDEX('Master Data Sheet'!$1:$1048576, MATCH(1, ('Master Data Sheet'!$H:$H=L$2) * (INDEX('Master Data Sheet'!$1:$1, , MATCH($F$1, 'Master Data Sheet'!$1:$1, 0)) = $F$1) * ('Master Data Sheet'!$G:$G=$B10) * ('Master Data Sheet'!$F:$F=$E10) * ('Master Data Sheet'!$A:$A=$F10), 0), MATCH($F$1, 'Master Data Sheet'!$1:$1, 0)), "")</f>
        <v>2.5605852766346596E-2</v>
      </c>
      <c r="M10" s="11" cm="1">
        <f t="array" ref="M10">IFERROR(INDEX('Master Data Sheet'!$1:$1048576, MATCH(1, ('Master Data Sheet'!$H:$H=M$2) * (INDEX('Master Data Sheet'!$1:$1, , MATCH($F$1, 'Master Data Sheet'!$1:$1, 0)) = $F$1) * ('Master Data Sheet'!$G:$G=$B10) * ('Master Data Sheet'!$F:$F=$E10) * ('Master Data Sheet'!$A:$A=$F10), 0), MATCH($F$1, 'Master Data Sheet'!$1:$1, 0)), "")</f>
        <v>0.35848193872885231</v>
      </c>
      <c r="N10" s="11" cm="1">
        <f t="array" ref="N10">IFERROR(INDEX('Master Data Sheet'!$1:$1048576, MATCH(1, ('Master Data Sheet'!$H:$H=N$2) * (INDEX('Master Data Sheet'!$1:$1, , MATCH($F$1, 'Master Data Sheet'!$1:$1, 0)) = $F$1) * ('Master Data Sheet'!$G:$G=$B10) * ('Master Data Sheet'!$F:$F=$E10) * ('Master Data Sheet'!$A:$A=$F10), 0), MATCH($F$1, 'Master Data Sheet'!$1:$1, 0)), "")</f>
        <v>0.56332876085962491</v>
      </c>
      <c r="O10" s="11">
        <f t="shared" si="8"/>
        <v>0.32190214906264281</v>
      </c>
      <c r="P10" s="11">
        <f t="shared" si="4"/>
        <v>0.24907407730929851</v>
      </c>
      <c r="Q10" s="11"/>
      <c r="R10" s="46">
        <f>(1-(O10/O4))*100</f>
        <v>-3.5294117647058698</v>
      </c>
      <c r="X10" t="str">
        <f>IFERROR(INDEX('Date Key'!$G$57:$G$62, MATCH(B9,'Date Key'!$A$57:$A$62, 0)), "")</f>
        <v>Low HLR, Lower Outlet Height, No Plants</v>
      </c>
      <c r="Y10" s="1">
        <f t="shared" ref="Y10:AE10" si="12">H9</f>
        <v>2.5605852766346596E-2</v>
      </c>
      <c r="Z10" s="1">
        <f t="shared" si="12"/>
        <v>0.12802926383173296</v>
      </c>
      <c r="AA10" s="1">
        <f t="shared" si="12"/>
        <v>0.23045267489711932</v>
      </c>
      <c r="AB10" s="1">
        <f t="shared" si="12"/>
        <v>0</v>
      </c>
      <c r="AC10" s="1">
        <f t="shared" si="12"/>
        <v>7.6817558299039787E-2</v>
      </c>
      <c r="AD10" s="1">
        <f t="shared" si="12"/>
        <v>0.79378143575674442</v>
      </c>
      <c r="AE10" s="1">
        <f t="shared" si="12"/>
        <v>0.28166438042981246</v>
      </c>
      <c r="AF10" s="1">
        <f t="shared" ref="AF10:AL10" si="13">H10</f>
        <v>0</v>
      </c>
      <c r="AG10" s="1">
        <f t="shared" si="13"/>
        <v>0.66575217192501146</v>
      </c>
      <c r="AH10" s="1">
        <f t="shared" si="13"/>
        <v>0.35848193872885231</v>
      </c>
      <c r="AI10" s="1">
        <f t="shared" si="13"/>
        <v>0.28166438042981246</v>
      </c>
      <c r="AJ10" s="1">
        <f t="shared" si="13"/>
        <v>2.5605852766346596E-2</v>
      </c>
      <c r="AK10" s="1">
        <f t="shared" si="13"/>
        <v>0.35848193872885231</v>
      </c>
      <c r="AL10" s="1">
        <f t="shared" si="13"/>
        <v>0.56332876085962491</v>
      </c>
      <c r="AM10" s="1">
        <f t="shared" ref="AM10:AS10" si="14">H11</f>
        <v>4.7497879558948262E-2</v>
      </c>
      <c r="AN10" s="1">
        <f t="shared" si="14"/>
        <v>0</v>
      </c>
      <c r="AO10" s="1">
        <f t="shared" si="14"/>
        <v>0.21374045801526714</v>
      </c>
      <c r="AP10" s="1">
        <f t="shared" si="14"/>
        <v>0.11874469889737066</v>
      </c>
      <c r="AQ10" s="1">
        <f t="shared" si="14"/>
        <v>0.26123833757421538</v>
      </c>
      <c r="AR10" s="1">
        <f t="shared" si="14"/>
        <v>4.7497879558948262E-2</v>
      </c>
      <c r="AS10" s="1">
        <f t="shared" si="14"/>
        <v>0.18999151823579305</v>
      </c>
    </row>
    <row r="11" spans="1:45" x14ac:dyDescent="0.35">
      <c r="A11" s="42">
        <f>IFERROR(INDEX('Date Key'!$B$2:$B$19, MATCH(F11,'Date Key'!$A$2:$A$19, 0)), "")</f>
        <v>45195</v>
      </c>
      <c r="B11" s="27">
        <f t="shared" si="0"/>
        <v>1</v>
      </c>
      <c r="C11" s="51" t="str">
        <f>IFERROR(INDEX('Date Key'!$G$57:$G$62, MATCH(B11,'Date Key'!$A$57:$A$62, 0)), "")</f>
        <v>Low HLR, Lower Outlet Height, No Plants</v>
      </c>
      <c r="D11" s="27" t="str">
        <f>IFERROR(INDEX('Date Key'!$G$2:$G$19, MATCH(F11, 'Date Key'!$A$2:$A$19, 0)), "")</f>
        <v>No</v>
      </c>
      <c r="E11" s="27" t="str">
        <f t="shared" si="1"/>
        <v>tank 2</v>
      </c>
      <c r="F11" s="27">
        <f t="shared" si="2"/>
        <v>3</v>
      </c>
      <c r="G11" s="27">
        <f t="shared" si="3"/>
        <v>3</v>
      </c>
      <c r="H11" s="28" cm="1">
        <f t="array" ref="H11">IFERROR(INDEX('Master Data Sheet'!$1:$1048576, MATCH(1, ('Master Data Sheet'!$H:$H=H$2) * (INDEX('Master Data Sheet'!$1:$1, , MATCH($F$1, 'Master Data Sheet'!$1:$1, 0)) = $F$1) * ('Master Data Sheet'!$G:$G=$B11) * ('Master Data Sheet'!$F:$F=$E11) * ('Master Data Sheet'!$A:$A=$F11), 0), MATCH($F$1, 'Master Data Sheet'!$1:$1, 0)), "")</f>
        <v>4.7497879558948262E-2</v>
      </c>
      <c r="I11" s="28" cm="1">
        <f t="array" ref="I11">IFERROR(INDEX('Master Data Sheet'!$1:$1048576, MATCH(1, ('Master Data Sheet'!$H:$H=I$2) * (INDEX('Master Data Sheet'!$1:$1, , MATCH($F$1, 'Master Data Sheet'!$1:$1, 0)) = $F$1) * ('Master Data Sheet'!$G:$G=$B11) * ('Master Data Sheet'!$F:$F=$E11) * ('Master Data Sheet'!$A:$A=$F11), 0), MATCH($F$1, 'Master Data Sheet'!$1:$1, 0)), "")</f>
        <v>0</v>
      </c>
      <c r="J11" s="28" cm="1">
        <f t="array" ref="J11">IFERROR(INDEX('Master Data Sheet'!$1:$1048576, MATCH(1, ('Master Data Sheet'!$H:$H=J$2) * (INDEX('Master Data Sheet'!$1:$1, , MATCH($F$1, 'Master Data Sheet'!$1:$1, 0)) = $F$1) * ('Master Data Sheet'!$G:$G=$B11) * ('Master Data Sheet'!$F:$F=$E11) * ('Master Data Sheet'!$A:$A=$F11), 0), MATCH($F$1, 'Master Data Sheet'!$1:$1, 0)), "")</f>
        <v>0.21374045801526714</v>
      </c>
      <c r="K11" s="28" cm="1">
        <f t="array" ref="K11">IFERROR(INDEX('Master Data Sheet'!$1:$1048576, MATCH(1, ('Master Data Sheet'!$H:$H=K$2) * (INDEX('Master Data Sheet'!$1:$1, , MATCH($F$1, 'Master Data Sheet'!$1:$1, 0)) = $F$1) * ('Master Data Sheet'!$G:$G=$B11) * ('Master Data Sheet'!$F:$F=$E11) * ('Master Data Sheet'!$A:$A=$F11), 0), MATCH($F$1, 'Master Data Sheet'!$1:$1, 0)), "")</f>
        <v>0.11874469889737066</v>
      </c>
      <c r="L11" s="28" cm="1">
        <f t="array" ref="L11">IFERROR(INDEX('Master Data Sheet'!$1:$1048576, MATCH(1, ('Master Data Sheet'!$H:$H=L$2) * (INDEX('Master Data Sheet'!$1:$1, , MATCH($F$1, 'Master Data Sheet'!$1:$1, 0)) = $F$1) * ('Master Data Sheet'!$G:$G=$B11) * ('Master Data Sheet'!$F:$F=$E11) * ('Master Data Sheet'!$A:$A=$F11), 0), MATCH($F$1, 'Master Data Sheet'!$1:$1, 0)), "")</f>
        <v>0.26123833757421538</v>
      </c>
      <c r="M11" s="28" cm="1">
        <f t="array" ref="M11">IFERROR(INDEX('Master Data Sheet'!$1:$1048576, MATCH(1, ('Master Data Sheet'!$H:$H=M$2) * (INDEX('Master Data Sheet'!$1:$1, , MATCH($F$1, 'Master Data Sheet'!$1:$1, 0)) = $F$1) * ('Master Data Sheet'!$G:$G=$B11) * ('Master Data Sheet'!$F:$F=$E11) * ('Master Data Sheet'!$A:$A=$F11), 0), MATCH($F$1, 'Master Data Sheet'!$1:$1, 0)), "")</f>
        <v>4.7497879558948262E-2</v>
      </c>
      <c r="N11" s="28" cm="1">
        <f t="array" ref="N11">IFERROR(INDEX('Master Data Sheet'!$1:$1048576, MATCH(1, ('Master Data Sheet'!$H:$H=N$2) * (INDEX('Master Data Sheet'!$1:$1, , MATCH($F$1, 'Master Data Sheet'!$1:$1, 0)) = $F$1) * ('Master Data Sheet'!$G:$G=$B11) * ('Master Data Sheet'!$F:$F=$E11) * ('Master Data Sheet'!$A:$A=$F11), 0), MATCH($F$1, 'Master Data Sheet'!$1:$1, 0)), "")</f>
        <v>0.18999151823579305</v>
      </c>
      <c r="O11" s="28">
        <f t="shared" si="8"/>
        <v>0.12553011026293467</v>
      </c>
      <c r="P11" s="28">
        <f t="shared" si="4"/>
        <v>9.8602712923889446E-2</v>
      </c>
      <c r="Q11" s="28"/>
      <c r="R11" s="48">
        <f>(1-(O11/O5))*100</f>
        <v>31.481481481481488</v>
      </c>
      <c r="S11" s="27"/>
      <c r="T11" s="27"/>
      <c r="U11" s="27"/>
      <c r="V11" s="27"/>
    </row>
    <row r="12" spans="1:45" x14ac:dyDescent="0.35">
      <c r="A12" s="41">
        <f>IFERROR(INDEX('Date Key'!$B$2:$B$19, MATCH(F12,'Date Key'!$A$2:$A$19, 0)), "")</f>
        <v>45217</v>
      </c>
      <c r="B12" s="4">
        <f>INT((ROW(B10)-1)/9)+1</f>
        <v>2</v>
      </c>
      <c r="C12" s="26" t="str">
        <f>IFERROR(INDEX('Date Key'!$G$57:$G$62, MATCH(B12,'Date Key'!$A$57:$A$62, 0)), "")</f>
        <v>Medium HLR, Lower Outlet Height, No Plants</v>
      </c>
      <c r="D12" s="4" t="str">
        <f>IFERROR(INDEX('Date Key'!$G$2:$G$19, MATCH(F12, 'Date Key'!$A$2:$A$19, 0)), "")</f>
        <v>No</v>
      </c>
      <c r="E12" s="4" t="str">
        <f t="shared" si="1"/>
        <v>in</v>
      </c>
      <c r="F12" s="4">
        <f t="shared" si="2"/>
        <v>4</v>
      </c>
      <c r="G12" s="4">
        <f t="shared" si="3"/>
        <v>1</v>
      </c>
      <c r="H12" s="11" cm="1">
        <f t="array" ref="H12">IFERROR(INDEX('Master Data Sheet'!$1:$1048576, MATCH(1, ('Master Data Sheet'!$H:$H=H$2) * (INDEX('Master Data Sheet'!$1:$1, , MATCH($F$1, 'Master Data Sheet'!$1:$1, 0)) = $F$1) * ('Master Data Sheet'!$G:$G=$B12) * ('Master Data Sheet'!$F:$F=$E12) * ('Master Data Sheet'!$A:$A=$F12), 0), MATCH($F$1, 'Master Data Sheet'!$1:$1, 0)), "")</f>
        <v>7.124681933842239E-2</v>
      </c>
      <c r="I12" s="11" cm="1">
        <f t="array" ref="I12">IFERROR(INDEX('Master Data Sheet'!$1:$1048576, MATCH(1, ('Master Data Sheet'!$H:$H=I$2) * (INDEX('Master Data Sheet'!$1:$1, , MATCH($F$1, 'Master Data Sheet'!$1:$1, 0)) = $F$1) * ('Master Data Sheet'!$G:$G=$B12) * ('Master Data Sheet'!$F:$F=$E12) * ('Master Data Sheet'!$A:$A=$F12), 0), MATCH($F$1, 'Master Data Sheet'!$1:$1, 0)), "")</f>
        <v>0.44529262086513999</v>
      </c>
      <c r="J12" s="11" cm="1">
        <f t="array" ref="J12">IFERROR(INDEX('Master Data Sheet'!$1:$1048576, MATCH(1, ('Master Data Sheet'!$H:$H=J$2) * (INDEX('Master Data Sheet'!$1:$1, , MATCH($F$1, 'Master Data Sheet'!$1:$1, 0)) = $F$1) * ('Master Data Sheet'!$G:$G=$B12) * ('Master Data Sheet'!$F:$F=$E12) * ('Master Data Sheet'!$A:$A=$F12), 0), MATCH($F$1, 'Master Data Sheet'!$1:$1, 0)), "")</f>
        <v>0</v>
      </c>
      <c r="K12" s="11" cm="1">
        <f t="array" ref="K12">IFERROR(INDEX('Master Data Sheet'!$1:$1048576, MATCH(1, ('Master Data Sheet'!$H:$H=K$2) * (INDEX('Master Data Sheet'!$1:$1, , MATCH($F$1, 'Master Data Sheet'!$1:$1, 0)) = $F$1) * ('Master Data Sheet'!$G:$G=$B12) * ('Master Data Sheet'!$F:$F=$E12) * ('Master Data Sheet'!$A:$A=$F12), 0), MATCH($F$1, 'Master Data Sheet'!$1:$1, 0)), "")</f>
        <v>7.124681933842239E-2</v>
      </c>
      <c r="L12" s="11" cm="1">
        <f t="array" ref="L12">IFERROR(INDEX('Master Data Sheet'!$1:$1048576, MATCH(1, ('Master Data Sheet'!$H:$H=L$2) * (INDEX('Master Data Sheet'!$1:$1, , MATCH($F$1, 'Master Data Sheet'!$1:$1, 0)) = $F$1) * ('Master Data Sheet'!$G:$G=$B12) * ('Master Data Sheet'!$F:$F=$E12) * ('Master Data Sheet'!$A:$A=$F12), 0), MATCH($F$1, 'Master Data Sheet'!$1:$1, 0)), "")</f>
        <v>0</v>
      </c>
      <c r="M12" s="11" cm="1">
        <f t="array" ref="M12">IFERROR(INDEX('Master Data Sheet'!$1:$1048576, MATCH(1, ('Master Data Sheet'!$H:$H=M$2) * (INDEX('Master Data Sheet'!$1:$1, , MATCH($F$1, 'Master Data Sheet'!$1:$1, 0)) = $F$1) * ('Master Data Sheet'!$G:$G=$B12) * ('Master Data Sheet'!$F:$F=$E12) * ('Master Data Sheet'!$A:$A=$F12), 0), MATCH($F$1, 'Master Data Sheet'!$1:$1, 0)), "")</f>
        <v>0</v>
      </c>
      <c r="N12" s="11" cm="1">
        <f t="array" ref="N12">IFERROR(INDEX('Master Data Sheet'!$1:$1048576, MATCH(1, ('Master Data Sheet'!$H:$H=N$2) * (INDEX('Master Data Sheet'!$1:$1, , MATCH($F$1, 'Master Data Sheet'!$1:$1, 0)) = $F$1) * ('Master Data Sheet'!$G:$G=$B12) * ('Master Data Sheet'!$F:$F=$E12) * ('Master Data Sheet'!$A:$A=$F12), 0), MATCH($F$1, 'Master Data Sheet'!$1:$1, 0)), "")</f>
        <v>0</v>
      </c>
      <c r="O12" s="11">
        <f t="shared" si="8"/>
        <v>8.3969465648854963E-2</v>
      </c>
      <c r="P12" s="11">
        <f t="shared" si="4"/>
        <v>0.16282999242520263</v>
      </c>
      <c r="Q12" s="11">
        <f>AVERAGE(O12:O14)</f>
        <v>0.14143920267449925</v>
      </c>
      <c r="S12" s="11">
        <f>AVERAGE(O12:O14)</f>
        <v>0.14143920267449925</v>
      </c>
      <c r="T12" s="11">
        <f>AVERAGE(P12:P14)</f>
        <v>0.13394810844817862</v>
      </c>
      <c r="V12" s="47">
        <f>AVERAGE(U15, U18)</f>
        <v>12.438244628392743</v>
      </c>
      <c r="X12" t="s">
        <v>343</v>
      </c>
    </row>
    <row r="13" spans="1:45" x14ac:dyDescent="0.35">
      <c r="A13" s="41">
        <f>IFERROR(INDEX('Date Key'!$B$2:$B$19, MATCH(F13,'Date Key'!$A$2:$A$19, 0)), "")</f>
        <v>45224</v>
      </c>
      <c r="B13" s="4">
        <f t="shared" ref="B13:B56" si="15">INT((ROW(B11)-1)/9)+1</f>
        <v>2</v>
      </c>
      <c r="C13" s="26" t="str">
        <f>IFERROR(INDEX('Date Key'!$G$57:$G$62, MATCH(B13,'Date Key'!$A$57:$A$62, 0)), "")</f>
        <v>Medium HLR, Lower Outlet Height, No Plants</v>
      </c>
      <c r="D13" s="4" t="str">
        <f>IFERROR(INDEX('Date Key'!$G$2:$G$19, MATCH(F13, 'Date Key'!$A$2:$A$19, 0)), "")</f>
        <v>No</v>
      </c>
      <c r="E13" s="4" t="str">
        <f t="shared" si="1"/>
        <v>in</v>
      </c>
      <c r="F13" s="4">
        <f t="shared" si="2"/>
        <v>5</v>
      </c>
      <c r="G13" s="4">
        <f t="shared" si="3"/>
        <v>2</v>
      </c>
      <c r="H13" s="11" cm="1">
        <f t="array" ref="H13">IFERROR(INDEX('Master Data Sheet'!$1:$1048576, MATCH(1, ('Master Data Sheet'!$H:$H=H$2) * (INDEX('Master Data Sheet'!$1:$1, , MATCH($F$1, 'Master Data Sheet'!$1:$1, 0)) = $F$1) * ('Master Data Sheet'!$G:$G=$B13) * ('Master Data Sheet'!$F:$F=$E13) * ('Master Data Sheet'!$A:$A=$F13), 0), MATCH($F$1, 'Master Data Sheet'!$1:$1, 0)), "")</f>
        <v>0</v>
      </c>
      <c r="I13" s="11" cm="1">
        <f t="array" ref="I13">IFERROR(INDEX('Master Data Sheet'!$1:$1048576, MATCH(1, ('Master Data Sheet'!$H:$H=I$2) * (INDEX('Master Data Sheet'!$1:$1, , MATCH($F$1, 'Master Data Sheet'!$1:$1, 0)) = $F$1) * ('Master Data Sheet'!$G:$G=$B13) * ('Master Data Sheet'!$F:$F=$E13) * ('Master Data Sheet'!$A:$A=$F13), 0), MATCH($F$1, 'Master Data Sheet'!$1:$1, 0)), "")</f>
        <v>0</v>
      </c>
      <c r="J13" s="11" cm="1">
        <f t="array" ref="J13">IFERROR(INDEX('Master Data Sheet'!$1:$1048576, MATCH(1, ('Master Data Sheet'!$H:$H=J$2) * (INDEX('Master Data Sheet'!$1:$1, , MATCH($F$1, 'Master Data Sheet'!$1:$1, 0)) = $F$1) * ('Master Data Sheet'!$G:$G=$B13) * ('Master Data Sheet'!$F:$F=$E13) * ('Master Data Sheet'!$A:$A=$F13), 0), MATCH($F$1, 'Master Data Sheet'!$1:$1, 0)), "")</f>
        <v>0</v>
      </c>
      <c r="K13" s="11" cm="1">
        <f t="array" ref="K13">IFERROR(INDEX('Master Data Sheet'!$1:$1048576, MATCH(1, ('Master Data Sheet'!$H:$H=K$2) * (INDEX('Master Data Sheet'!$1:$1, , MATCH($F$1, 'Master Data Sheet'!$1:$1, 0)) = $F$1) * ('Master Data Sheet'!$G:$G=$B13) * ('Master Data Sheet'!$F:$F=$E13) * ('Master Data Sheet'!$A:$A=$F13), 0), MATCH($F$1, 'Master Data Sheet'!$1:$1, 0)), "")</f>
        <v>0.25461158742530532</v>
      </c>
      <c r="L13" s="11" cm="1">
        <f t="array" ref="L13">IFERROR(INDEX('Master Data Sheet'!$1:$1048576, MATCH(1, ('Master Data Sheet'!$H:$H=L$2) * (INDEX('Master Data Sheet'!$1:$1, , MATCH($F$1, 'Master Data Sheet'!$1:$1, 0)) = $F$1) * ('Master Data Sheet'!$G:$G=$B13) * ('Master Data Sheet'!$F:$F=$E13) * ('Master Data Sheet'!$A:$A=$F13), 0), MATCH($F$1, 'Master Data Sheet'!$1:$1, 0)), "")</f>
        <v>0</v>
      </c>
      <c r="M13" s="11" cm="1">
        <f t="array" ref="M13">IFERROR(INDEX('Master Data Sheet'!$1:$1048576, MATCH(1, ('Master Data Sheet'!$H:$H=M$2) * (INDEX('Master Data Sheet'!$1:$1, , MATCH($F$1, 'Master Data Sheet'!$1:$1, 0)) = $F$1) * ('Master Data Sheet'!$G:$G=$B13) * ('Master Data Sheet'!$F:$F=$E13) * ('Master Data Sheet'!$A:$A=$F13), 0), MATCH($F$1, 'Master Data Sheet'!$1:$1, 0)), "")</f>
        <v>0.14549233567160302</v>
      </c>
      <c r="N13" s="11" cm="1">
        <f t="array" ref="N13">IFERROR(INDEX('Master Data Sheet'!$1:$1048576, MATCH(1, ('Master Data Sheet'!$H:$H=N$2) * (INDEX('Master Data Sheet'!$1:$1, , MATCH($F$1, 'Master Data Sheet'!$1:$1, 0)) = $F$1) * ('Master Data Sheet'!$G:$G=$B13) * ('Master Data Sheet'!$F:$F=$E13) * ('Master Data Sheet'!$A:$A=$F13), 0), MATCH($F$1, 'Master Data Sheet'!$1:$1, 0)), "")</f>
        <v>0</v>
      </c>
      <c r="O13" s="11">
        <f t="shared" si="8"/>
        <v>5.7157703299558334E-2</v>
      </c>
      <c r="P13" s="11">
        <f t="shared" si="4"/>
        <v>0.10257197380786649</v>
      </c>
      <c r="Q13" s="11"/>
      <c r="X13" t="str">
        <f>IFERROR(INDEX('Date Key'!$G$57:$G$62, MATCH(B12,'Date Key'!$A$57:$A$62, 0)), "")</f>
        <v>Medium HLR, Lower Outlet Height, No Plants</v>
      </c>
      <c r="Y13" s="1">
        <f t="shared" ref="Y13:AE13" si="16">H12</f>
        <v>7.124681933842239E-2</v>
      </c>
      <c r="Z13" s="1">
        <f t="shared" si="16"/>
        <v>0.44529262086513999</v>
      </c>
      <c r="AA13" s="1">
        <f t="shared" si="16"/>
        <v>0</v>
      </c>
      <c r="AB13" s="1">
        <f t="shared" si="16"/>
        <v>7.124681933842239E-2</v>
      </c>
      <c r="AC13" s="1">
        <f t="shared" si="16"/>
        <v>0</v>
      </c>
      <c r="AD13" s="1">
        <f t="shared" si="16"/>
        <v>0</v>
      </c>
      <c r="AE13" s="1">
        <f t="shared" si="16"/>
        <v>0</v>
      </c>
      <c r="AF13" s="1">
        <f t="shared" ref="AF13:AL13" si="17">H13</f>
        <v>0</v>
      </c>
      <c r="AG13" s="1">
        <f t="shared" si="17"/>
        <v>0</v>
      </c>
      <c r="AH13" s="1">
        <f t="shared" si="17"/>
        <v>0</v>
      </c>
      <c r="AI13" s="1">
        <f t="shared" si="17"/>
        <v>0.25461158742530532</v>
      </c>
      <c r="AJ13" s="1">
        <f t="shared" si="17"/>
        <v>0</v>
      </c>
      <c r="AK13" s="1">
        <f t="shared" si="17"/>
        <v>0.14549233567160302</v>
      </c>
      <c r="AL13" s="1">
        <f t="shared" si="17"/>
        <v>0</v>
      </c>
      <c r="AM13" s="1">
        <f t="shared" ref="AM13:AS13" si="18">H14</f>
        <v>7.2746167835801512E-2</v>
      </c>
      <c r="AN13" s="1">
        <f t="shared" si="18"/>
        <v>0.20005196154845417</v>
      </c>
      <c r="AO13" s="1">
        <f t="shared" si="18"/>
        <v>0.40010392309690834</v>
      </c>
      <c r="AP13" s="1">
        <f t="shared" si="18"/>
        <v>0.18186541958950375</v>
      </c>
      <c r="AQ13" s="1">
        <f t="shared" si="18"/>
        <v>0.3637308391790075</v>
      </c>
      <c r="AR13" s="1">
        <f t="shared" si="18"/>
        <v>0.45466354897375955</v>
      </c>
      <c r="AS13" s="1">
        <f t="shared" si="18"/>
        <v>0.30917121330215641</v>
      </c>
    </row>
    <row r="14" spans="1:45" x14ac:dyDescent="0.35">
      <c r="A14" s="41">
        <f>IFERROR(INDEX('Date Key'!$B$2:$B$19, MATCH(F14,'Date Key'!$A$2:$A$19, 0)), "")</f>
        <v>45230</v>
      </c>
      <c r="B14" s="4">
        <f t="shared" si="15"/>
        <v>2</v>
      </c>
      <c r="C14" s="26" t="str">
        <f>IFERROR(INDEX('Date Key'!$G$57:$G$62, MATCH(B14,'Date Key'!$A$57:$A$62, 0)), "")</f>
        <v>Medium HLR, Lower Outlet Height, No Plants</v>
      </c>
      <c r="D14" s="4" t="str">
        <f>IFERROR(INDEX('Date Key'!$G$2:$G$19, MATCH(F14, 'Date Key'!$A$2:$A$19, 0)), "")</f>
        <v>Yes</v>
      </c>
      <c r="E14" s="4" t="str">
        <f t="shared" si="1"/>
        <v>in</v>
      </c>
      <c r="F14" s="4">
        <f t="shared" si="2"/>
        <v>6</v>
      </c>
      <c r="G14" s="4">
        <f>MOD(ROW(G14)-ROW($G$3), 3) + 1</f>
        <v>3</v>
      </c>
      <c r="H14" s="11" cm="1">
        <f t="array" ref="H14">IFERROR(INDEX('Master Data Sheet'!$1:$1048576, MATCH(1, ('Master Data Sheet'!$H:$H=H$2) * (INDEX('Master Data Sheet'!$1:$1, , MATCH($F$1, 'Master Data Sheet'!$1:$1, 0)) = $F$1) * ('Master Data Sheet'!$G:$G=$B14) * ('Master Data Sheet'!$F:$F=$E14) * ('Master Data Sheet'!$A:$A=$F14), 0), MATCH($F$1, 'Master Data Sheet'!$1:$1, 0)), "")</f>
        <v>7.2746167835801512E-2</v>
      </c>
      <c r="I14" s="11" cm="1">
        <f t="array" ref="I14">IFERROR(INDEX('Master Data Sheet'!$1:$1048576, MATCH(1, ('Master Data Sheet'!$H:$H=I$2) * (INDEX('Master Data Sheet'!$1:$1, , MATCH($F$1, 'Master Data Sheet'!$1:$1, 0)) = $F$1) * ('Master Data Sheet'!$G:$G=$B14) * ('Master Data Sheet'!$F:$F=$E14) * ('Master Data Sheet'!$A:$A=$F14), 0), MATCH($F$1, 'Master Data Sheet'!$1:$1, 0)), "")</f>
        <v>0.20005196154845417</v>
      </c>
      <c r="J14" s="11" cm="1">
        <f t="array" ref="J14">IFERROR(INDEX('Master Data Sheet'!$1:$1048576, MATCH(1, ('Master Data Sheet'!$H:$H=J$2) * (INDEX('Master Data Sheet'!$1:$1, , MATCH($F$1, 'Master Data Sheet'!$1:$1, 0)) = $F$1) * ('Master Data Sheet'!$G:$G=$B14) * ('Master Data Sheet'!$F:$F=$E14) * ('Master Data Sheet'!$A:$A=$F14), 0), MATCH($F$1, 'Master Data Sheet'!$1:$1, 0)), "")</f>
        <v>0.40010392309690834</v>
      </c>
      <c r="K14" s="11" cm="1">
        <f t="array" ref="K14">IFERROR(INDEX('Master Data Sheet'!$1:$1048576, MATCH(1, ('Master Data Sheet'!$H:$H=K$2) * (INDEX('Master Data Sheet'!$1:$1, , MATCH($F$1, 'Master Data Sheet'!$1:$1, 0)) = $F$1) * ('Master Data Sheet'!$G:$G=$B14) * ('Master Data Sheet'!$F:$F=$E14) * ('Master Data Sheet'!$A:$A=$F14), 0), MATCH($F$1, 'Master Data Sheet'!$1:$1, 0)), "")</f>
        <v>0.18186541958950375</v>
      </c>
      <c r="L14" s="11" cm="1">
        <f t="array" ref="L14">IFERROR(INDEX('Master Data Sheet'!$1:$1048576, MATCH(1, ('Master Data Sheet'!$H:$H=L$2) * (INDEX('Master Data Sheet'!$1:$1, , MATCH($F$1, 'Master Data Sheet'!$1:$1, 0)) = $F$1) * ('Master Data Sheet'!$G:$G=$B14) * ('Master Data Sheet'!$F:$F=$E14) * ('Master Data Sheet'!$A:$A=$F14), 0), MATCH($F$1, 'Master Data Sheet'!$1:$1, 0)), "")</f>
        <v>0.3637308391790075</v>
      </c>
      <c r="M14" s="11" cm="1">
        <f t="array" ref="M14">IFERROR(INDEX('Master Data Sheet'!$1:$1048576, MATCH(1, ('Master Data Sheet'!$H:$H=M$2) * (INDEX('Master Data Sheet'!$1:$1, , MATCH($F$1, 'Master Data Sheet'!$1:$1, 0)) = $F$1) * ('Master Data Sheet'!$G:$G=$B14) * ('Master Data Sheet'!$F:$F=$E14) * ('Master Data Sheet'!$A:$A=$F14), 0), MATCH($F$1, 'Master Data Sheet'!$1:$1, 0)), "")</f>
        <v>0.45466354897375955</v>
      </c>
      <c r="N14" s="11" cm="1">
        <f t="array" ref="N14">IFERROR(INDEX('Master Data Sheet'!$1:$1048576, MATCH(1, ('Master Data Sheet'!$H:$H=N$2) * (INDEX('Master Data Sheet'!$1:$1, , MATCH($F$1, 'Master Data Sheet'!$1:$1, 0)) = $F$1) * ('Master Data Sheet'!$G:$G=$B14) * ('Master Data Sheet'!$F:$F=$E14) * ('Master Data Sheet'!$A:$A=$F14), 0), MATCH($F$1, 'Master Data Sheet'!$1:$1, 0)), "")</f>
        <v>0.30917121330215641</v>
      </c>
      <c r="O14" s="11">
        <f t="shared" si="8"/>
        <v>0.28319043907508445</v>
      </c>
      <c r="P14" s="11">
        <f t="shared" si="4"/>
        <v>0.13644235911146671</v>
      </c>
      <c r="Q14" s="11"/>
      <c r="Y14" s="1"/>
      <c r="Z14" s="1"/>
      <c r="AA14" s="1"/>
      <c r="AB14" s="1"/>
      <c r="AC14" s="1"/>
      <c r="AD14" s="1"/>
      <c r="AE14" s="1"/>
      <c r="AF14" s="1"/>
      <c r="AG14" s="1"/>
      <c r="AH14" s="1"/>
      <c r="AI14" s="1"/>
      <c r="AJ14" s="1"/>
      <c r="AK14" s="1"/>
      <c r="AL14" s="1"/>
      <c r="AM14" s="1"/>
      <c r="AN14" s="1"/>
      <c r="AO14" s="1"/>
      <c r="AP14" s="1"/>
      <c r="AQ14" s="1"/>
      <c r="AR14" s="1"/>
      <c r="AS14" s="1"/>
    </row>
    <row r="15" spans="1:45" x14ac:dyDescent="0.35">
      <c r="A15" s="41">
        <f>IFERROR(INDEX('Date Key'!$B$2:$B$19, MATCH(F15,'Date Key'!$A$2:$A$19, 0)), "")</f>
        <v>45217</v>
      </c>
      <c r="B15" s="4">
        <f t="shared" si="15"/>
        <v>2</v>
      </c>
      <c r="C15" s="26" t="str">
        <f>IFERROR(INDEX('Date Key'!$G$57:$G$62, MATCH(B15,'Date Key'!$A$57:$A$62, 0)), "")</f>
        <v>Medium HLR, Lower Outlet Height, No Plants</v>
      </c>
      <c r="D15" s="4" t="str">
        <f>IFERROR(INDEX('Date Key'!$G$2:$G$19, MATCH(F15, 'Date Key'!$A$2:$A$19, 0)), "")</f>
        <v>No</v>
      </c>
      <c r="E15" s="4" t="str">
        <f t="shared" si="1"/>
        <v>tank 1</v>
      </c>
      <c r="F15" s="4">
        <f t="shared" si="2"/>
        <v>4</v>
      </c>
      <c r="G15" s="4">
        <f t="shared" si="3"/>
        <v>1</v>
      </c>
      <c r="H15" s="11" cm="1">
        <f t="array" ref="H15">IFERROR(INDEX('Master Data Sheet'!$1:$1048576, MATCH(1, ('Master Data Sheet'!$H:$H=H$2) * (INDEX('Master Data Sheet'!$1:$1, , MATCH($F$1, 'Master Data Sheet'!$1:$1, 0)) = $F$1) * ('Master Data Sheet'!$G:$G=$B15) * ('Master Data Sheet'!$F:$F=$E15) * ('Master Data Sheet'!$A:$A=$F15), 0), MATCH($F$1, 'Master Data Sheet'!$1:$1, 0)), "")</f>
        <v>0</v>
      </c>
      <c r="I15" s="11" cm="1">
        <f t="array" ref="I15">IFERROR(INDEX('Master Data Sheet'!$1:$1048576, MATCH(1, ('Master Data Sheet'!$H:$H=I$2) * (INDEX('Master Data Sheet'!$1:$1, , MATCH($F$1, 'Master Data Sheet'!$1:$1, 0)) = $F$1) * ('Master Data Sheet'!$G:$G=$B15) * ('Master Data Sheet'!$F:$F=$E15) * ('Master Data Sheet'!$A:$A=$F15), 0), MATCH($F$1, 'Master Data Sheet'!$1:$1, 0)), "")</f>
        <v>0.14249363867684478</v>
      </c>
      <c r="J15" s="11" cm="1">
        <f t="array" ref="J15">IFERROR(INDEX('Master Data Sheet'!$1:$1048576, MATCH(1, ('Master Data Sheet'!$H:$H=J$2) * (INDEX('Master Data Sheet'!$1:$1, , MATCH($F$1, 'Master Data Sheet'!$1:$1, 0)) = $F$1) * ('Master Data Sheet'!$G:$G=$B15) * ('Master Data Sheet'!$F:$F=$E15) * ('Master Data Sheet'!$A:$A=$F15), 0), MATCH($F$1, 'Master Data Sheet'!$1:$1, 0)), "")</f>
        <v>0.40966921119592875</v>
      </c>
      <c r="K15" s="11" cm="1">
        <f t="array" ref="K15">IFERROR(INDEX('Master Data Sheet'!$1:$1048576, MATCH(1, ('Master Data Sheet'!$H:$H=K$2) * (INDEX('Master Data Sheet'!$1:$1, , MATCH($F$1, 'Master Data Sheet'!$1:$1, 0)) = $F$1) * ('Master Data Sheet'!$G:$G=$B15) * ('Master Data Sheet'!$F:$F=$E15) * ('Master Data Sheet'!$A:$A=$F15), 0), MATCH($F$1, 'Master Data Sheet'!$1:$1, 0)), "")</f>
        <v>0.60559796437659041</v>
      </c>
      <c r="L15" s="11" cm="1">
        <f t="array" ref="L15">IFERROR(INDEX('Master Data Sheet'!$1:$1048576, MATCH(1, ('Master Data Sheet'!$H:$H=L$2) * (INDEX('Master Data Sheet'!$1:$1, , MATCH($F$1, 'Master Data Sheet'!$1:$1, 0)) = $F$1) * ('Master Data Sheet'!$G:$G=$B15) * ('Master Data Sheet'!$F:$F=$E15) * ('Master Data Sheet'!$A:$A=$F15), 0), MATCH($F$1, 'Master Data Sheet'!$1:$1, 0)), "")</f>
        <v>0.56997455470737912</v>
      </c>
      <c r="M15" s="11" cm="1">
        <f t="array" ref="M15">IFERROR(INDEX('Master Data Sheet'!$1:$1048576, MATCH(1, ('Master Data Sheet'!$H:$H=M$2) * (INDEX('Master Data Sheet'!$1:$1, , MATCH($F$1, 'Master Data Sheet'!$1:$1, 0)) = $F$1) * ('Master Data Sheet'!$G:$G=$B15) * ('Master Data Sheet'!$F:$F=$E15) * ('Master Data Sheet'!$A:$A=$F15), 0), MATCH($F$1, 'Master Data Sheet'!$1:$1, 0)), "")</f>
        <v>0.24936386768447841</v>
      </c>
      <c r="N15" s="11" cm="1">
        <f t="array" ref="N15">IFERROR(INDEX('Master Data Sheet'!$1:$1048576, MATCH(1, ('Master Data Sheet'!$H:$H=N$2) * (INDEX('Master Data Sheet'!$1:$1, , MATCH($F$1, 'Master Data Sheet'!$1:$1, 0)) = $F$1) * ('Master Data Sheet'!$G:$G=$B15) * ('Master Data Sheet'!$F:$F=$E15) * ('Master Data Sheet'!$A:$A=$F15), 0), MATCH($F$1, 'Master Data Sheet'!$1:$1, 0)), "")</f>
        <v>0.55216284987277353</v>
      </c>
      <c r="O15" s="11">
        <f t="shared" si="8"/>
        <v>0.36132315521628505</v>
      </c>
      <c r="P15" s="11">
        <f t="shared" si="4"/>
        <v>0.23556258225583804</v>
      </c>
      <c r="Q15" s="11">
        <f>AVERAGE(O15:O17)</f>
        <v>0.17413465180804377</v>
      </c>
      <c r="R15" s="46">
        <f>(1-(O15/O12))*100</f>
        <v>-330.30303030303037</v>
      </c>
      <c r="S15" s="46">
        <f>AVERAGE(R15:R17)</f>
        <v>-80.53470484663147</v>
      </c>
      <c r="T15" s="46">
        <f>STDEV(R15:R17)</f>
        <v>216.6683991281308</v>
      </c>
      <c r="U15" s="47">
        <f>(1-(AVERAGE(H15:N17)/AVERAGE(H12:N14)))*100</f>
        <v>-23.116256677993373</v>
      </c>
      <c r="Y15" s="2"/>
      <c r="Z15" s="2"/>
      <c r="AA15" s="2"/>
      <c r="AB15" s="2"/>
      <c r="AC15" s="2"/>
      <c r="AD15" s="2"/>
      <c r="AE15" s="2"/>
      <c r="AF15" s="2"/>
      <c r="AG15" s="2"/>
    </row>
    <row r="16" spans="1:45" x14ac:dyDescent="0.35">
      <c r="A16" s="41">
        <f>IFERROR(INDEX('Date Key'!$B$2:$B$19, MATCH(F16,'Date Key'!$A$2:$A$19, 0)), "")</f>
        <v>45224</v>
      </c>
      <c r="B16" s="4">
        <f t="shared" si="15"/>
        <v>2</v>
      </c>
      <c r="C16" s="26" t="str">
        <f>IFERROR(INDEX('Date Key'!$G$57:$G$62, MATCH(B16,'Date Key'!$A$57:$A$62, 0)), "")</f>
        <v>Medium HLR, Lower Outlet Height, No Plants</v>
      </c>
      <c r="D16" s="4" t="str">
        <f>IFERROR(INDEX('Date Key'!$G$2:$G$19, MATCH(F16, 'Date Key'!$A$2:$A$19, 0)), "")</f>
        <v>No</v>
      </c>
      <c r="E16" s="4" t="str">
        <f t="shared" si="1"/>
        <v>tank 1</v>
      </c>
      <c r="F16" s="4">
        <f t="shared" si="2"/>
        <v>5</v>
      </c>
      <c r="G16" s="4">
        <f>MOD(ROW(G16)-ROW($G$3), 3) + 1</f>
        <v>2</v>
      </c>
      <c r="H16" s="11" cm="1">
        <f t="array" ref="H16">IFERROR(INDEX('Master Data Sheet'!$1:$1048576, MATCH(1, ('Master Data Sheet'!$H:$H=H$2) * (INDEX('Master Data Sheet'!$1:$1, , MATCH($F$1, 'Master Data Sheet'!$1:$1, 0)) = $F$1) * ('Master Data Sheet'!$G:$G=$B16) * ('Master Data Sheet'!$F:$F=$E16) * ('Master Data Sheet'!$A:$A=$F16), 0), MATCH($F$1, 'Master Data Sheet'!$1:$1, 0)), "")</f>
        <v>0</v>
      </c>
      <c r="I16" s="11" cm="1">
        <f t="array" ref="I16">IFERROR(INDEX('Master Data Sheet'!$1:$1048576, MATCH(1, ('Master Data Sheet'!$H:$H=I$2) * (INDEX('Master Data Sheet'!$1:$1, , MATCH($F$1, 'Master Data Sheet'!$1:$1, 0)) = $F$1) * ('Master Data Sheet'!$G:$G=$B16) * ('Master Data Sheet'!$F:$F=$E16) * ('Master Data Sheet'!$A:$A=$F16), 0), MATCH($F$1, 'Master Data Sheet'!$1:$1, 0)), "")</f>
        <v>0</v>
      </c>
      <c r="J16" s="11" cm="1">
        <f t="array" ref="J16">IFERROR(INDEX('Master Data Sheet'!$1:$1048576, MATCH(1, ('Master Data Sheet'!$H:$H=J$2) * (INDEX('Master Data Sheet'!$1:$1, , MATCH($F$1, 'Master Data Sheet'!$1:$1, 0)) = $F$1) * ('Master Data Sheet'!$G:$G=$B16) * ('Master Data Sheet'!$F:$F=$E16) * ('Master Data Sheet'!$A:$A=$F16), 0), MATCH($F$1, 'Master Data Sheet'!$1:$1, 0)), "")</f>
        <v>7.2746167835801512E-2</v>
      </c>
      <c r="K16" s="11" cm="1">
        <f t="array" ref="K16">IFERROR(INDEX('Master Data Sheet'!$1:$1048576, MATCH(1, ('Master Data Sheet'!$H:$H=K$2) * (INDEX('Master Data Sheet'!$1:$1, , MATCH($F$1, 'Master Data Sheet'!$1:$1, 0)) = $F$1) * ('Master Data Sheet'!$G:$G=$B16) * ('Master Data Sheet'!$F:$F=$E16) * ('Master Data Sheet'!$A:$A=$F16), 0), MATCH($F$1, 'Master Data Sheet'!$1:$1, 0)), "")</f>
        <v>0</v>
      </c>
      <c r="L16" s="11" cm="1">
        <f t="array" ref="L16">IFERROR(INDEX('Master Data Sheet'!$1:$1048576, MATCH(1, ('Master Data Sheet'!$H:$H=L$2) * (INDEX('Master Data Sheet'!$1:$1, , MATCH($F$1, 'Master Data Sheet'!$1:$1, 0)) = $F$1) * ('Master Data Sheet'!$G:$G=$B16) * ('Master Data Sheet'!$F:$F=$E16) * ('Master Data Sheet'!$A:$A=$F16), 0), MATCH($F$1, 'Master Data Sheet'!$1:$1, 0)), "")</f>
        <v>0</v>
      </c>
      <c r="M16" s="11" cm="1">
        <f t="array" ref="M16">IFERROR(INDEX('Master Data Sheet'!$1:$1048576, MATCH(1, ('Master Data Sheet'!$H:$H=M$2) * (INDEX('Master Data Sheet'!$1:$1, , MATCH($F$1, 'Master Data Sheet'!$1:$1, 0)) = $F$1) * ('Master Data Sheet'!$G:$G=$B16) * ('Master Data Sheet'!$F:$F=$E16) * ('Master Data Sheet'!$A:$A=$F16), 0), MATCH($F$1, 'Master Data Sheet'!$1:$1, 0)), "")</f>
        <v>0.10911925175370227</v>
      </c>
      <c r="N16" s="11" cm="1">
        <f t="array" ref="N16">IFERROR(INDEX('Master Data Sheet'!$1:$1048576, MATCH(1, ('Master Data Sheet'!$H:$H=N$2) * (INDEX('Master Data Sheet'!$1:$1, , MATCH($F$1, 'Master Data Sheet'!$1:$1, 0)) = $F$1) * ('Master Data Sheet'!$G:$G=$B16) * ('Master Data Sheet'!$F:$F=$E16) * ('Master Data Sheet'!$A:$A=$F16), 0), MATCH($F$1, 'Master Data Sheet'!$1:$1, 0)), "")</f>
        <v>9.0932709794751876E-2</v>
      </c>
      <c r="O16" s="11">
        <f t="shared" si="8"/>
        <v>3.8971161340607949E-2</v>
      </c>
      <c r="P16" s="11">
        <f t="shared" si="4"/>
        <v>4.97267765478673E-2</v>
      </c>
      <c r="Q16" s="11"/>
      <c r="R16" s="46">
        <f>(1-(O16/O13))*100</f>
        <v>31.818181818181824</v>
      </c>
      <c r="X16" t="str">
        <f>IFERROR(INDEX('Date Key'!$G$57:$G$62, MATCH(B15,'Date Key'!$A$57:$A$62, 0)), "")</f>
        <v>Medium HLR, Lower Outlet Height, No Plants</v>
      </c>
      <c r="Y16" s="1">
        <f t="shared" ref="Y16:AE16" si="19">H15</f>
        <v>0</v>
      </c>
      <c r="Z16" s="1">
        <f t="shared" si="19"/>
        <v>0.14249363867684478</v>
      </c>
      <c r="AA16" s="1">
        <f t="shared" si="19"/>
        <v>0.40966921119592875</v>
      </c>
      <c r="AB16" s="1">
        <f t="shared" si="19"/>
        <v>0.60559796437659041</v>
      </c>
      <c r="AC16" s="1">
        <f t="shared" si="19"/>
        <v>0.56997455470737912</v>
      </c>
      <c r="AD16" s="1">
        <f t="shared" si="19"/>
        <v>0.24936386768447841</v>
      </c>
      <c r="AE16" s="1">
        <f t="shared" si="19"/>
        <v>0.55216284987277353</v>
      </c>
      <c r="AF16" s="1">
        <f t="shared" ref="AF16:AL16" si="20">H16</f>
        <v>0</v>
      </c>
      <c r="AG16" s="1">
        <f t="shared" si="20"/>
        <v>0</v>
      </c>
      <c r="AH16" s="1">
        <f t="shared" si="20"/>
        <v>7.2746167835801512E-2</v>
      </c>
      <c r="AI16" s="1">
        <f t="shared" si="20"/>
        <v>0</v>
      </c>
      <c r="AJ16" s="1">
        <f t="shared" si="20"/>
        <v>0</v>
      </c>
      <c r="AK16" s="1">
        <f t="shared" si="20"/>
        <v>0.10911925175370227</v>
      </c>
      <c r="AL16" s="1">
        <f t="shared" si="20"/>
        <v>9.0932709794751876E-2</v>
      </c>
      <c r="AM16" s="1">
        <f t="shared" ref="AM16:AS16" si="21">H17</f>
        <v>3.6373083917900756E-2</v>
      </c>
      <c r="AN16" s="1">
        <f t="shared" si="21"/>
        <v>0.25461158742530532</v>
      </c>
      <c r="AO16" s="1">
        <f t="shared" si="21"/>
        <v>0.2364250454663549</v>
      </c>
      <c r="AP16" s="1">
        <f t="shared" si="21"/>
        <v>0</v>
      </c>
      <c r="AQ16" s="1">
        <f t="shared" si="21"/>
        <v>0</v>
      </c>
      <c r="AR16" s="1">
        <f t="shared" si="21"/>
        <v>0.16367887763055339</v>
      </c>
      <c r="AS16" s="1">
        <f t="shared" si="21"/>
        <v>0.16367887763055339</v>
      </c>
    </row>
    <row r="17" spans="1:45" x14ac:dyDescent="0.35">
      <c r="A17" s="41">
        <f>IFERROR(INDEX('Date Key'!$B$2:$B$19, MATCH(F17,'Date Key'!$A$2:$A$19, 0)), "")</f>
        <v>45230</v>
      </c>
      <c r="B17" s="4">
        <f t="shared" si="15"/>
        <v>2</v>
      </c>
      <c r="C17" s="26" t="str">
        <f>IFERROR(INDEX('Date Key'!$G$57:$G$62, MATCH(B17,'Date Key'!$A$57:$A$62, 0)), "")</f>
        <v>Medium HLR, Lower Outlet Height, No Plants</v>
      </c>
      <c r="D17" s="4" t="str">
        <f>IFERROR(INDEX('Date Key'!$G$2:$G$19, MATCH(F17, 'Date Key'!$A$2:$A$19, 0)), "")</f>
        <v>Yes</v>
      </c>
      <c r="E17" s="4" t="str">
        <f t="shared" si="1"/>
        <v>tank 1</v>
      </c>
      <c r="F17" s="4">
        <f t="shared" si="2"/>
        <v>6</v>
      </c>
      <c r="G17" s="4">
        <f t="shared" ref="G17:G56" si="22">MOD(ROW(G17)-ROW($G$3), 3) + 1</f>
        <v>3</v>
      </c>
      <c r="H17" s="11" cm="1">
        <f t="array" ref="H17">IFERROR(INDEX('Master Data Sheet'!$1:$1048576, MATCH(1, ('Master Data Sheet'!$H:$H=H$2) * (INDEX('Master Data Sheet'!$1:$1, , MATCH($F$1, 'Master Data Sheet'!$1:$1, 0)) = $F$1) * ('Master Data Sheet'!$G:$G=$B17) * ('Master Data Sheet'!$F:$F=$E17) * ('Master Data Sheet'!$A:$A=$F17), 0), MATCH($F$1, 'Master Data Sheet'!$1:$1, 0)), "")</f>
        <v>3.6373083917900756E-2</v>
      </c>
      <c r="I17" s="11" cm="1">
        <f t="array" ref="I17">IFERROR(INDEX('Master Data Sheet'!$1:$1048576, MATCH(1, ('Master Data Sheet'!$H:$H=I$2) * (INDEX('Master Data Sheet'!$1:$1, , MATCH($F$1, 'Master Data Sheet'!$1:$1, 0)) = $F$1) * ('Master Data Sheet'!$G:$G=$B17) * ('Master Data Sheet'!$F:$F=$E17) * ('Master Data Sheet'!$A:$A=$F17), 0), MATCH($F$1, 'Master Data Sheet'!$1:$1, 0)), "")</f>
        <v>0.25461158742530532</v>
      </c>
      <c r="J17" s="11" cm="1">
        <f t="array" ref="J17">IFERROR(INDEX('Master Data Sheet'!$1:$1048576, MATCH(1, ('Master Data Sheet'!$H:$H=J$2) * (INDEX('Master Data Sheet'!$1:$1, , MATCH($F$1, 'Master Data Sheet'!$1:$1, 0)) = $F$1) * ('Master Data Sheet'!$G:$G=$B17) * ('Master Data Sheet'!$F:$F=$E17) * ('Master Data Sheet'!$A:$A=$F17), 0), MATCH($F$1, 'Master Data Sheet'!$1:$1, 0)), "")</f>
        <v>0.2364250454663549</v>
      </c>
      <c r="K17" s="11" cm="1">
        <f t="array" ref="K17">IFERROR(INDEX('Master Data Sheet'!$1:$1048576, MATCH(1, ('Master Data Sheet'!$H:$H=K$2) * (INDEX('Master Data Sheet'!$1:$1, , MATCH($F$1, 'Master Data Sheet'!$1:$1, 0)) = $F$1) * ('Master Data Sheet'!$G:$G=$B17) * ('Master Data Sheet'!$F:$F=$E17) * ('Master Data Sheet'!$A:$A=$F17), 0), MATCH($F$1, 'Master Data Sheet'!$1:$1, 0)), "")</f>
        <v>0</v>
      </c>
      <c r="L17" s="11" cm="1">
        <f t="array" ref="L17">IFERROR(INDEX('Master Data Sheet'!$1:$1048576, MATCH(1, ('Master Data Sheet'!$H:$H=L$2) * (INDEX('Master Data Sheet'!$1:$1, , MATCH($F$1, 'Master Data Sheet'!$1:$1, 0)) = $F$1) * ('Master Data Sheet'!$G:$G=$B17) * ('Master Data Sheet'!$F:$F=$E17) * ('Master Data Sheet'!$A:$A=$F17), 0), MATCH($F$1, 'Master Data Sheet'!$1:$1, 0)), "")</f>
        <v>0</v>
      </c>
      <c r="M17" s="11" cm="1">
        <f t="array" ref="M17">IFERROR(INDEX('Master Data Sheet'!$1:$1048576, MATCH(1, ('Master Data Sheet'!$H:$H=M$2) * (INDEX('Master Data Sheet'!$1:$1, , MATCH($F$1, 'Master Data Sheet'!$1:$1, 0)) = $F$1) * ('Master Data Sheet'!$G:$G=$B17) * ('Master Data Sheet'!$F:$F=$E17) * ('Master Data Sheet'!$A:$A=$F17), 0), MATCH($F$1, 'Master Data Sheet'!$1:$1, 0)), "")</f>
        <v>0.16367887763055339</v>
      </c>
      <c r="N17" s="11" cm="1">
        <f t="array" ref="N17">IFERROR(INDEX('Master Data Sheet'!$1:$1048576, MATCH(1, ('Master Data Sheet'!$H:$H=N$2) * (INDEX('Master Data Sheet'!$1:$1, , MATCH($F$1, 'Master Data Sheet'!$1:$1, 0)) = $F$1) * ('Master Data Sheet'!$G:$G=$B17) * ('Master Data Sheet'!$F:$F=$E17) * ('Master Data Sheet'!$A:$A=$F17), 0), MATCH($F$1, 'Master Data Sheet'!$1:$1, 0)), "")</f>
        <v>0.16367887763055339</v>
      </c>
      <c r="O17" s="11">
        <f t="shared" si="8"/>
        <v>0.12210963886723825</v>
      </c>
      <c r="P17" s="11">
        <f t="shared" si="4"/>
        <v>0.10897481853122805</v>
      </c>
      <c r="Q17" s="11"/>
      <c r="R17" s="46">
        <f>(1-(O17/O14))*100</f>
        <v>56.88073394495413</v>
      </c>
      <c r="Y17" s="2"/>
      <c r="Z17" s="2"/>
      <c r="AA17" s="2"/>
      <c r="AB17" s="2"/>
      <c r="AC17" s="2"/>
      <c r="AD17" s="2"/>
      <c r="AE17" s="2"/>
      <c r="AF17" s="2"/>
      <c r="AG17" s="2"/>
    </row>
    <row r="18" spans="1:45" x14ac:dyDescent="0.35">
      <c r="A18" s="41">
        <f>IFERROR(INDEX('Date Key'!$B$2:$B$19, MATCH(F18,'Date Key'!$A$2:$A$19, 0)), "")</f>
        <v>45217</v>
      </c>
      <c r="B18" s="4">
        <f t="shared" si="15"/>
        <v>2</v>
      </c>
      <c r="C18" s="26" t="str">
        <f>IFERROR(INDEX('Date Key'!$G$57:$G$62, MATCH(B18,'Date Key'!$A$57:$A$62, 0)), "")</f>
        <v>Medium HLR, Lower Outlet Height, No Plants</v>
      </c>
      <c r="D18" s="4" t="str">
        <f>IFERROR(INDEX('Date Key'!$G$2:$G$19, MATCH(F18, 'Date Key'!$A$2:$A$19, 0)), "")</f>
        <v>No</v>
      </c>
      <c r="E18" s="4" t="str">
        <f t="shared" si="1"/>
        <v>tank 2</v>
      </c>
      <c r="F18" s="4">
        <f t="shared" si="2"/>
        <v>4</v>
      </c>
      <c r="G18" s="4">
        <f t="shared" si="22"/>
        <v>1</v>
      </c>
      <c r="H18" s="11" cm="1">
        <f t="array" ref="H18">IFERROR(INDEX('Master Data Sheet'!$1:$1048576, MATCH(1, ('Master Data Sheet'!$H:$H=H$2) * (INDEX('Master Data Sheet'!$1:$1, , MATCH($F$1, 'Master Data Sheet'!$1:$1, 0)) = $F$1) * ('Master Data Sheet'!$G:$G=$B18) * ('Master Data Sheet'!$F:$F=$E18) * ('Master Data Sheet'!$A:$A=$F18), 0), MATCH($F$1, 'Master Data Sheet'!$1:$1, 0)), "")</f>
        <v>3.5623409669211195E-2</v>
      </c>
      <c r="I18" s="11" cm="1">
        <f t="array" ref="I18">IFERROR(INDEX('Master Data Sheet'!$1:$1048576, MATCH(1, ('Master Data Sheet'!$H:$H=I$2) * (INDEX('Master Data Sheet'!$1:$1, , MATCH($F$1, 'Master Data Sheet'!$1:$1, 0)) = $F$1) * ('Master Data Sheet'!$G:$G=$B18) * ('Master Data Sheet'!$F:$F=$E18) * ('Master Data Sheet'!$A:$A=$F18), 0), MATCH($F$1, 'Master Data Sheet'!$1:$1, 0)), "")</f>
        <v>0</v>
      </c>
      <c r="J18" s="11" cm="1">
        <f t="array" ref="J18">IFERROR(INDEX('Master Data Sheet'!$1:$1048576, MATCH(1, ('Master Data Sheet'!$H:$H=J$2) * (INDEX('Master Data Sheet'!$1:$1, , MATCH($F$1, 'Master Data Sheet'!$1:$1, 0)) = $F$1) * ('Master Data Sheet'!$G:$G=$B18) * ('Master Data Sheet'!$F:$F=$E18) * ('Master Data Sheet'!$A:$A=$F18), 0), MATCH($F$1, 'Master Data Sheet'!$1:$1, 0)), "")</f>
        <v>1.7811704834605598E-2</v>
      </c>
      <c r="K18" s="11" cm="1">
        <f t="array" ref="K18">IFERROR(INDEX('Master Data Sheet'!$1:$1048576, MATCH(1, ('Master Data Sheet'!$H:$H=K$2) * (INDEX('Master Data Sheet'!$1:$1, , MATCH($F$1, 'Master Data Sheet'!$1:$1, 0)) = $F$1) * ('Master Data Sheet'!$G:$G=$B18) * ('Master Data Sheet'!$F:$F=$E18) * ('Master Data Sheet'!$A:$A=$F18), 0), MATCH($F$1, 'Master Data Sheet'!$1:$1, 0)), "")</f>
        <v>0</v>
      </c>
      <c r="L18" s="11" cm="1">
        <f t="array" ref="L18">IFERROR(INDEX('Master Data Sheet'!$1:$1048576, MATCH(1, ('Master Data Sheet'!$H:$H=L$2) * (INDEX('Master Data Sheet'!$1:$1, , MATCH($F$1, 'Master Data Sheet'!$1:$1, 0)) = $F$1) * ('Master Data Sheet'!$G:$G=$B18) * ('Master Data Sheet'!$F:$F=$E18) * ('Master Data Sheet'!$A:$A=$F18), 0), MATCH($F$1, 'Master Data Sheet'!$1:$1, 0)), "")</f>
        <v>0</v>
      </c>
      <c r="M18" s="11" cm="1">
        <f t="array" ref="M18">IFERROR(INDEX('Master Data Sheet'!$1:$1048576, MATCH(1, ('Master Data Sheet'!$H:$H=M$2) * (INDEX('Master Data Sheet'!$1:$1, , MATCH($F$1, 'Master Data Sheet'!$1:$1, 0)) = $F$1) * ('Master Data Sheet'!$G:$G=$B18) * ('Master Data Sheet'!$F:$F=$E18) * ('Master Data Sheet'!$A:$A=$F18), 0), MATCH($F$1, 'Master Data Sheet'!$1:$1, 0)), "")</f>
        <v>0</v>
      </c>
      <c r="N18" s="11" cm="1">
        <f t="array" ref="N18">IFERROR(INDEX('Master Data Sheet'!$1:$1048576, MATCH(1, ('Master Data Sheet'!$H:$H=N$2) * (INDEX('Master Data Sheet'!$1:$1, , MATCH($F$1, 'Master Data Sheet'!$1:$1, 0)) = $F$1) * ('Master Data Sheet'!$G:$G=$B18) * ('Master Data Sheet'!$F:$F=$E18) * ('Master Data Sheet'!$A:$A=$F18), 0), MATCH($F$1, 'Master Data Sheet'!$1:$1, 0)), "")</f>
        <v>0</v>
      </c>
      <c r="O18" s="11">
        <f t="shared" si="8"/>
        <v>7.6335877862595417E-3</v>
      </c>
      <c r="P18" s="11">
        <f t="shared" si="4"/>
        <v>1.4014174420575324E-2</v>
      </c>
      <c r="Q18" s="11">
        <f>AVERAGE(N18:N20)</f>
        <v>0</v>
      </c>
      <c r="R18" s="46">
        <f>(1-(O18/O12))*100</f>
        <v>90.909090909090907</v>
      </c>
      <c r="S18" s="46">
        <f>AVERAGE(R18:R20)</f>
        <v>53.753127606338616</v>
      </c>
      <c r="T18" s="46">
        <f>STDEV(R18:R20)</f>
        <v>32.352641544891462</v>
      </c>
      <c r="U18" s="47">
        <f>(1-(AVERAGE(H18:N20)/AVERAGE(H12:N14)))*100</f>
        <v>47.99274593477886</v>
      </c>
      <c r="V18" s="47"/>
      <c r="Y18" s="2"/>
      <c r="Z18" s="2"/>
      <c r="AA18" s="2"/>
      <c r="AB18" s="2"/>
      <c r="AC18" s="2"/>
      <c r="AD18" s="2"/>
      <c r="AE18" s="2"/>
      <c r="AF18" s="2"/>
      <c r="AG18" s="2"/>
    </row>
    <row r="19" spans="1:45" x14ac:dyDescent="0.35">
      <c r="A19" s="41">
        <f>IFERROR(INDEX('Date Key'!$B$2:$B$19, MATCH(F19,'Date Key'!$A$2:$A$19, 0)), "")</f>
        <v>45224</v>
      </c>
      <c r="B19" s="4">
        <f t="shared" si="15"/>
        <v>2</v>
      </c>
      <c r="C19" s="26" t="str">
        <f>IFERROR(INDEX('Date Key'!$G$57:$G$62, MATCH(B19,'Date Key'!$A$57:$A$62, 0)), "")</f>
        <v>Medium HLR, Lower Outlet Height, No Plants</v>
      </c>
      <c r="D19" s="4" t="str">
        <f>IFERROR(INDEX('Date Key'!$G$2:$G$19, MATCH(F19, 'Date Key'!$A$2:$A$19, 0)), "")</f>
        <v>No</v>
      </c>
      <c r="E19" s="4" t="str">
        <f t="shared" si="1"/>
        <v>tank 2</v>
      </c>
      <c r="F19" s="4">
        <f t="shared" si="2"/>
        <v>5</v>
      </c>
      <c r="G19" s="4">
        <f t="shared" si="22"/>
        <v>2</v>
      </c>
      <c r="H19" s="11" cm="1">
        <f t="array" ref="H19">IFERROR(INDEX('Master Data Sheet'!$1:$1048576, MATCH(1, ('Master Data Sheet'!$H:$H=H$2) * (INDEX('Master Data Sheet'!$1:$1, , MATCH($F$1, 'Master Data Sheet'!$1:$1, 0)) = $F$1) * ('Master Data Sheet'!$G:$G=$B19) * ('Master Data Sheet'!$F:$F=$E19) * ('Master Data Sheet'!$A:$A=$F19), 0), MATCH($F$1, 'Master Data Sheet'!$1:$1, 0)), "")</f>
        <v>0</v>
      </c>
      <c r="I19" s="11" cm="1">
        <f t="array" ref="I19">IFERROR(INDEX('Master Data Sheet'!$1:$1048576, MATCH(1, ('Master Data Sheet'!$H:$H=I$2) * (INDEX('Master Data Sheet'!$1:$1, , MATCH($F$1, 'Master Data Sheet'!$1:$1, 0)) = $F$1) * ('Master Data Sheet'!$G:$G=$B19) * ('Master Data Sheet'!$F:$F=$E19) * ('Master Data Sheet'!$A:$A=$F19), 0), MATCH($F$1, 'Master Data Sheet'!$1:$1, 0)), "")</f>
        <v>0</v>
      </c>
      <c r="J19" s="11" cm="1">
        <f t="array" ref="J19">IFERROR(INDEX('Master Data Sheet'!$1:$1048576, MATCH(1, ('Master Data Sheet'!$H:$H=J$2) * (INDEX('Master Data Sheet'!$1:$1, , MATCH($F$1, 'Master Data Sheet'!$1:$1, 0)) = $F$1) * ('Master Data Sheet'!$G:$G=$B19) * ('Master Data Sheet'!$F:$F=$E19) * ('Master Data Sheet'!$A:$A=$F19), 0), MATCH($F$1, 'Master Data Sheet'!$1:$1, 0)), "")</f>
        <v>7.2746167835801512E-2</v>
      </c>
      <c r="K19" s="11" cm="1">
        <f t="array" ref="K19">IFERROR(INDEX('Master Data Sheet'!$1:$1048576, MATCH(1, ('Master Data Sheet'!$H:$H=K$2) * (INDEX('Master Data Sheet'!$1:$1, , MATCH($F$1, 'Master Data Sheet'!$1:$1, 0)) = $F$1) * ('Master Data Sheet'!$G:$G=$B19) * ('Master Data Sheet'!$F:$F=$E19) * ('Master Data Sheet'!$A:$A=$F19), 0), MATCH($F$1, 'Master Data Sheet'!$1:$1, 0)), "")</f>
        <v>5.4559625876851134E-2</v>
      </c>
      <c r="L19" s="11" cm="1">
        <f t="array" ref="L19">IFERROR(INDEX('Master Data Sheet'!$1:$1048576, MATCH(1, ('Master Data Sheet'!$H:$H=L$2) * (INDEX('Master Data Sheet'!$1:$1, , MATCH($F$1, 'Master Data Sheet'!$1:$1, 0)) = $F$1) * ('Master Data Sheet'!$G:$G=$B19) * ('Master Data Sheet'!$F:$F=$E19) * ('Master Data Sheet'!$A:$A=$F19), 0), MATCH($F$1, 'Master Data Sheet'!$1:$1, 0)), "")</f>
        <v>5.4559625876851134E-2</v>
      </c>
      <c r="M19" s="11" cm="1">
        <f t="array" ref="M19">IFERROR(INDEX('Master Data Sheet'!$1:$1048576, MATCH(1, ('Master Data Sheet'!$H:$H=M$2) * (INDEX('Master Data Sheet'!$1:$1, , MATCH($F$1, 'Master Data Sheet'!$1:$1, 0)) = $F$1) * ('Master Data Sheet'!$G:$G=$B19) * ('Master Data Sheet'!$F:$F=$E19) * ('Master Data Sheet'!$A:$A=$F19), 0), MATCH($F$1, 'Master Data Sheet'!$1:$1, 0)), "")</f>
        <v>9.0932709794751876E-2</v>
      </c>
      <c r="N19" s="11" cm="1">
        <f t="array" ref="N19">IFERROR(INDEX('Master Data Sheet'!$1:$1048576, MATCH(1, ('Master Data Sheet'!$H:$H=N$2) * (INDEX('Master Data Sheet'!$1:$1, , MATCH($F$1, 'Master Data Sheet'!$1:$1, 0)) = $F$1) * ('Master Data Sheet'!$G:$G=$B19) * ('Master Data Sheet'!$F:$F=$E19) * ('Master Data Sheet'!$A:$A=$F19), 0), MATCH($F$1, 'Master Data Sheet'!$1:$1, 0)), "")</f>
        <v>0</v>
      </c>
      <c r="O19" s="11">
        <f t="shared" si="8"/>
        <v>3.8971161340607956E-2</v>
      </c>
      <c r="P19" s="11">
        <f t="shared" si="4"/>
        <v>3.8477283955179804E-2</v>
      </c>
      <c r="Q19" s="11"/>
      <c r="R19" s="46">
        <f>(1-(O19/O13))*100</f>
        <v>31.818181818181813</v>
      </c>
      <c r="X19" t="str">
        <f>IFERROR(INDEX('Date Key'!$G$57:$G$62, MATCH(B18,'Date Key'!$A$57:$A$62, 0)), "")</f>
        <v>Medium HLR, Lower Outlet Height, No Plants</v>
      </c>
      <c r="Y19" s="1">
        <f t="shared" ref="Y19:AE19" si="23">H18</f>
        <v>3.5623409669211195E-2</v>
      </c>
      <c r="Z19" s="1">
        <f t="shared" si="23"/>
        <v>0</v>
      </c>
      <c r="AA19" s="1">
        <f t="shared" si="23"/>
        <v>1.7811704834605598E-2</v>
      </c>
      <c r="AB19" s="1">
        <f t="shared" si="23"/>
        <v>0</v>
      </c>
      <c r="AC19" s="1">
        <f t="shared" si="23"/>
        <v>0</v>
      </c>
      <c r="AD19" s="1">
        <f t="shared" si="23"/>
        <v>0</v>
      </c>
      <c r="AE19" s="1">
        <f t="shared" si="23"/>
        <v>0</v>
      </c>
      <c r="AF19" s="1">
        <f t="shared" ref="AF19:AL19" si="24">H19</f>
        <v>0</v>
      </c>
      <c r="AG19" s="1">
        <f t="shared" si="24"/>
        <v>0</v>
      </c>
      <c r="AH19" s="1">
        <f t="shared" si="24"/>
        <v>7.2746167835801512E-2</v>
      </c>
      <c r="AI19" s="1">
        <f t="shared" si="24"/>
        <v>5.4559625876851134E-2</v>
      </c>
      <c r="AJ19" s="1">
        <f t="shared" si="24"/>
        <v>5.4559625876851134E-2</v>
      </c>
      <c r="AK19" s="1">
        <f t="shared" si="24"/>
        <v>9.0932709794751876E-2</v>
      </c>
      <c r="AL19" s="1">
        <f t="shared" si="24"/>
        <v>0</v>
      </c>
      <c r="AM19" s="1">
        <f t="shared" ref="AM19:AS19" si="25">H20</f>
        <v>0.18186541958950375</v>
      </c>
      <c r="AN19" s="1">
        <f t="shared" si="25"/>
        <v>0</v>
      </c>
      <c r="AO19" s="1">
        <f t="shared" si="25"/>
        <v>0.12730579371265266</v>
      </c>
      <c r="AP19" s="1">
        <f t="shared" si="25"/>
        <v>0.43647700701480907</v>
      </c>
      <c r="AQ19" s="1">
        <f t="shared" si="25"/>
        <v>0.18186541958950375</v>
      </c>
      <c r="AR19" s="1">
        <f t="shared" si="25"/>
        <v>0.29098467134320605</v>
      </c>
      <c r="AS19" s="1">
        <f t="shared" si="25"/>
        <v>0</v>
      </c>
    </row>
    <row r="20" spans="1:45" x14ac:dyDescent="0.35">
      <c r="A20" s="42">
        <f>IFERROR(INDEX('Date Key'!$B$2:$B$19, MATCH(F20,'Date Key'!$A$2:$A$19, 0)), "")</f>
        <v>45230</v>
      </c>
      <c r="B20" s="27">
        <f t="shared" si="15"/>
        <v>2</v>
      </c>
      <c r="C20" s="51" t="str">
        <f>IFERROR(INDEX('Date Key'!$G$57:$G$62, MATCH(B20,'Date Key'!$A$57:$A$62, 0)), "")</f>
        <v>Medium HLR, Lower Outlet Height, No Plants</v>
      </c>
      <c r="D20" s="27" t="str">
        <f>IFERROR(INDEX('Date Key'!$G$2:$G$19, MATCH(F20, 'Date Key'!$A$2:$A$19, 0)), "")</f>
        <v>Yes</v>
      </c>
      <c r="E20" s="27" t="str">
        <f t="shared" si="1"/>
        <v>tank 2</v>
      </c>
      <c r="F20" s="27">
        <f t="shared" si="2"/>
        <v>6</v>
      </c>
      <c r="G20" s="27">
        <f t="shared" si="22"/>
        <v>3</v>
      </c>
      <c r="H20" s="28" cm="1">
        <f t="array" ref="H20">IFERROR(INDEX('Master Data Sheet'!$1:$1048576, MATCH(1, ('Master Data Sheet'!$H:$H=H$2) * (INDEX('Master Data Sheet'!$1:$1, , MATCH($F$1, 'Master Data Sheet'!$1:$1, 0)) = $F$1) * ('Master Data Sheet'!$G:$G=$B20) * ('Master Data Sheet'!$F:$F=$E20) * ('Master Data Sheet'!$A:$A=$F20), 0), MATCH($F$1, 'Master Data Sheet'!$1:$1, 0)), "")</f>
        <v>0.18186541958950375</v>
      </c>
      <c r="I20" s="28" cm="1">
        <f t="array" ref="I20">IFERROR(INDEX('Master Data Sheet'!$1:$1048576, MATCH(1, ('Master Data Sheet'!$H:$H=I$2) * (INDEX('Master Data Sheet'!$1:$1, , MATCH($F$1, 'Master Data Sheet'!$1:$1, 0)) = $F$1) * ('Master Data Sheet'!$G:$G=$B20) * ('Master Data Sheet'!$F:$F=$E20) * ('Master Data Sheet'!$A:$A=$F20), 0), MATCH($F$1, 'Master Data Sheet'!$1:$1, 0)), "")</f>
        <v>0</v>
      </c>
      <c r="J20" s="28" cm="1">
        <f t="array" ref="J20">IFERROR(INDEX('Master Data Sheet'!$1:$1048576, MATCH(1, ('Master Data Sheet'!$H:$H=J$2) * (INDEX('Master Data Sheet'!$1:$1, , MATCH($F$1, 'Master Data Sheet'!$1:$1, 0)) = $F$1) * ('Master Data Sheet'!$G:$G=$B20) * ('Master Data Sheet'!$F:$F=$E20) * ('Master Data Sheet'!$A:$A=$F20), 0), MATCH($F$1, 'Master Data Sheet'!$1:$1, 0)), "")</f>
        <v>0.12730579371265266</v>
      </c>
      <c r="K20" s="28" cm="1">
        <f t="array" ref="K20">IFERROR(INDEX('Master Data Sheet'!$1:$1048576, MATCH(1, ('Master Data Sheet'!$H:$H=K$2) * (INDEX('Master Data Sheet'!$1:$1, , MATCH($F$1, 'Master Data Sheet'!$1:$1, 0)) = $F$1) * ('Master Data Sheet'!$G:$G=$B20) * ('Master Data Sheet'!$F:$F=$E20) * ('Master Data Sheet'!$A:$A=$F20), 0), MATCH($F$1, 'Master Data Sheet'!$1:$1, 0)), "")</f>
        <v>0.43647700701480907</v>
      </c>
      <c r="L20" s="28" cm="1">
        <f t="array" ref="L20">IFERROR(INDEX('Master Data Sheet'!$1:$1048576, MATCH(1, ('Master Data Sheet'!$H:$H=L$2) * (INDEX('Master Data Sheet'!$1:$1, , MATCH($F$1, 'Master Data Sheet'!$1:$1, 0)) = $F$1) * ('Master Data Sheet'!$G:$G=$B20) * ('Master Data Sheet'!$F:$F=$E20) * ('Master Data Sheet'!$A:$A=$F20), 0), MATCH($F$1, 'Master Data Sheet'!$1:$1, 0)), "")</f>
        <v>0.18186541958950375</v>
      </c>
      <c r="M20" s="28" cm="1">
        <f t="array" ref="M20">IFERROR(INDEX('Master Data Sheet'!$1:$1048576, MATCH(1, ('Master Data Sheet'!$H:$H=M$2) * (INDEX('Master Data Sheet'!$1:$1, , MATCH($F$1, 'Master Data Sheet'!$1:$1, 0)) = $F$1) * ('Master Data Sheet'!$G:$G=$B20) * ('Master Data Sheet'!$F:$F=$E20) * ('Master Data Sheet'!$A:$A=$F20), 0), MATCH($F$1, 'Master Data Sheet'!$1:$1, 0)), "")</f>
        <v>0.29098467134320605</v>
      </c>
      <c r="N20" s="28" cm="1">
        <f t="array" ref="N20">IFERROR(INDEX('Master Data Sheet'!$1:$1048576, MATCH(1, ('Master Data Sheet'!$H:$H=N$2) * (INDEX('Master Data Sheet'!$1:$1, , MATCH($F$1, 'Master Data Sheet'!$1:$1, 0)) = $F$1) * ('Master Data Sheet'!$G:$G=$B20) * ('Master Data Sheet'!$F:$F=$E20) * ('Master Data Sheet'!$A:$A=$F20), 0), MATCH($F$1, 'Master Data Sheet'!$1:$1, 0)), "")</f>
        <v>0</v>
      </c>
      <c r="O20" s="28">
        <f t="shared" si="8"/>
        <v>0.17407118732138219</v>
      </c>
      <c r="P20" s="28">
        <f t="shared" si="4"/>
        <v>0.15568966761838021</v>
      </c>
      <c r="Q20" s="28"/>
      <c r="R20" s="48">
        <f>(1-(O20/O14))*100</f>
        <v>38.532110091743121</v>
      </c>
      <c r="S20" s="27"/>
      <c r="T20" s="27"/>
      <c r="U20" s="27"/>
      <c r="V20" s="27"/>
    </row>
    <row r="21" spans="1:45" x14ac:dyDescent="0.35">
      <c r="A21" s="41">
        <f>IFERROR(INDEX('Date Key'!$B$2:$B$19, MATCH(F21,'Date Key'!$A$2:$A$19, 0)), "")</f>
        <v>45233</v>
      </c>
      <c r="B21" s="4">
        <f t="shared" si="15"/>
        <v>3</v>
      </c>
      <c r="C21" s="26" t="str">
        <f>IFERROR(INDEX('Date Key'!$G$57:$G$62, MATCH(B21,'Date Key'!$A$57:$A$62, 0)), "")</f>
        <v>High HLR, Lower Outlet Height, No Plants</v>
      </c>
      <c r="D21" s="4" t="str">
        <f>IFERROR(INDEX('Date Key'!$G$2:$G$19, MATCH(F21, 'Date Key'!$A$2:$A$19, 0)), "")</f>
        <v>No</v>
      </c>
      <c r="E21" s="4" t="str">
        <f t="shared" si="1"/>
        <v>in</v>
      </c>
      <c r="F21" s="4">
        <f t="shared" si="2"/>
        <v>7</v>
      </c>
      <c r="G21" s="4">
        <f t="shared" si="22"/>
        <v>1</v>
      </c>
      <c r="H21" s="11" cm="1">
        <f t="array" ref="H21">IFERROR(INDEX('Master Data Sheet'!$1:$1048576, MATCH(1, ('Master Data Sheet'!$H:$H=H$2) * (INDEX('Master Data Sheet'!$1:$1, , MATCH($F$1, 'Master Data Sheet'!$1:$1, 0)) = $F$1) * ('Master Data Sheet'!$G:$G=$B21) * ('Master Data Sheet'!$F:$F=$E21) * ('Master Data Sheet'!$A:$A=$F21), 0), MATCH($F$1, 'Master Data Sheet'!$1:$1, 0)), "")</f>
        <v>0.3637308391790075</v>
      </c>
      <c r="I21" s="11" cm="1">
        <f t="array" ref="I21">IFERROR(INDEX('Master Data Sheet'!$1:$1048576, MATCH(1, ('Master Data Sheet'!$H:$H=I$2) * (INDEX('Master Data Sheet'!$1:$1, , MATCH($F$1, 'Master Data Sheet'!$1:$1, 0)) = $F$1) * ('Master Data Sheet'!$G:$G=$B21) * ('Master Data Sheet'!$F:$F=$E21) * ('Master Data Sheet'!$A:$A=$F21), 0), MATCH($F$1, 'Master Data Sheet'!$1:$1, 0)), "")</f>
        <v>0.18186541958950375</v>
      </c>
      <c r="J21" s="11" cm="1">
        <f t="array" ref="J21">IFERROR(INDEX('Master Data Sheet'!$1:$1048576, MATCH(1, ('Master Data Sheet'!$H:$H=J$2) * (INDEX('Master Data Sheet'!$1:$1, , MATCH($F$1, 'Master Data Sheet'!$1:$1, 0)) = $F$1) * ('Master Data Sheet'!$G:$G=$B21) * ('Master Data Sheet'!$F:$F=$E21) * ('Master Data Sheet'!$A:$A=$F21), 0), MATCH($F$1, 'Master Data Sheet'!$1:$1, 0)), "")</f>
        <v>0.10911925175370227</v>
      </c>
      <c r="K21" s="11" cm="1">
        <f t="array" ref="K21">IFERROR(INDEX('Master Data Sheet'!$1:$1048576, MATCH(1, ('Master Data Sheet'!$H:$H=K$2) * (INDEX('Master Data Sheet'!$1:$1, , MATCH($F$1, 'Master Data Sheet'!$1:$1, 0)) = $F$1) * ('Master Data Sheet'!$G:$G=$B21) * ('Master Data Sheet'!$F:$F=$E21) * ('Master Data Sheet'!$A:$A=$F21), 0), MATCH($F$1, 'Master Data Sheet'!$1:$1, 0)), "")</f>
        <v>0</v>
      </c>
      <c r="L21" s="11" cm="1">
        <f t="array" ref="L21">IFERROR(INDEX('Master Data Sheet'!$1:$1048576, MATCH(1, ('Master Data Sheet'!$H:$H=L$2) * (INDEX('Master Data Sheet'!$1:$1, , MATCH($F$1, 'Master Data Sheet'!$1:$1, 0)) = $F$1) * ('Master Data Sheet'!$G:$G=$B21) * ('Master Data Sheet'!$F:$F=$E21) * ('Master Data Sheet'!$A:$A=$F21), 0), MATCH($F$1, 'Master Data Sheet'!$1:$1, 0)), "")</f>
        <v>0</v>
      </c>
      <c r="M21" s="11" cm="1">
        <f t="array" ref="M21">IFERROR(INDEX('Master Data Sheet'!$1:$1048576, MATCH(1, ('Master Data Sheet'!$H:$H=M$2) * (INDEX('Master Data Sheet'!$1:$1, , MATCH($F$1, 'Master Data Sheet'!$1:$1, 0)) = $F$1) * ('Master Data Sheet'!$G:$G=$B21) * ('Master Data Sheet'!$F:$F=$E21) * ('Master Data Sheet'!$A:$A=$F21), 0), MATCH($F$1, 'Master Data Sheet'!$1:$1, 0)), "")</f>
        <v>0</v>
      </c>
      <c r="N21" s="11" cm="1">
        <f t="array" ref="N21">IFERROR(INDEX('Master Data Sheet'!$1:$1048576, MATCH(1, ('Master Data Sheet'!$H:$H=N$2) * (INDEX('Master Data Sheet'!$1:$1, , MATCH($F$1, 'Master Data Sheet'!$1:$1, 0)) = $F$1) * ('Master Data Sheet'!$G:$G=$B21) * ('Master Data Sheet'!$F:$F=$E21) * ('Master Data Sheet'!$A:$A=$F21), 0), MATCH($F$1, 'Master Data Sheet'!$1:$1, 0)), "")</f>
        <v>0.29098467134320605</v>
      </c>
      <c r="O21" s="11">
        <f t="shared" si="8"/>
        <v>0.13510002598077422</v>
      </c>
      <c r="P21" s="11">
        <f t="shared" si="4"/>
        <v>0.14954939269479481</v>
      </c>
      <c r="Q21" s="11">
        <f>AVERAGE(O21:O23)</f>
        <v>0.158482722785139</v>
      </c>
      <c r="S21" s="11">
        <f>AVERAGE(O21:O23)</f>
        <v>0.158482722785139</v>
      </c>
      <c r="T21" s="11">
        <f>AVERAGE(P21:P23)</f>
        <v>0.13271709068248083</v>
      </c>
      <c r="V21" s="47">
        <f>AVERAGE(U24, U27)</f>
        <v>0.54644808743169992</v>
      </c>
      <c r="X21" t="s">
        <v>343</v>
      </c>
    </row>
    <row r="22" spans="1:45" x14ac:dyDescent="0.35">
      <c r="A22" s="41">
        <f>IFERROR(INDEX('Date Key'!$B$2:$B$19, MATCH(F22,'Date Key'!$A$2:$A$19, 0)), "")</f>
        <v>45238</v>
      </c>
      <c r="B22" s="4">
        <f t="shared" si="15"/>
        <v>3</v>
      </c>
      <c r="C22" s="26" t="str">
        <f>IFERROR(INDEX('Date Key'!$G$57:$G$62, MATCH(B22,'Date Key'!$A$57:$A$62, 0)), "")</f>
        <v>High HLR, Lower Outlet Height, No Plants</v>
      </c>
      <c r="D22" s="4" t="str">
        <f>IFERROR(INDEX('Date Key'!$G$2:$G$19, MATCH(F22, 'Date Key'!$A$2:$A$19, 0)), "")</f>
        <v>No</v>
      </c>
      <c r="E22" s="4" t="str">
        <f t="shared" si="1"/>
        <v>in</v>
      </c>
      <c r="F22" s="4">
        <f t="shared" si="2"/>
        <v>8</v>
      </c>
      <c r="G22" s="4">
        <f t="shared" si="22"/>
        <v>2</v>
      </c>
      <c r="H22" s="11" cm="1">
        <f t="array" ref="H22">IFERROR(INDEX('Master Data Sheet'!$1:$1048576, MATCH(1, ('Master Data Sheet'!$H:$H=H$2) * (INDEX('Master Data Sheet'!$1:$1, , MATCH($F$1, 'Master Data Sheet'!$1:$1, 0)) = $F$1) * ('Master Data Sheet'!$G:$G=$B22) * ('Master Data Sheet'!$F:$F=$E22) * ('Master Data Sheet'!$A:$A=$F22), 0), MATCH($F$1, 'Master Data Sheet'!$1:$1, 0)), "")</f>
        <v>0</v>
      </c>
      <c r="I22" s="11" cm="1">
        <f t="array" ref="I22">IFERROR(INDEX('Master Data Sheet'!$1:$1048576, MATCH(1, ('Master Data Sheet'!$H:$H=I$2) * (INDEX('Master Data Sheet'!$1:$1, , MATCH($F$1, 'Master Data Sheet'!$1:$1, 0)) = $F$1) * ('Master Data Sheet'!$G:$G=$B22) * ('Master Data Sheet'!$F:$F=$E22) * ('Master Data Sheet'!$A:$A=$F22), 0), MATCH($F$1, 'Master Data Sheet'!$1:$1, 0)), "")</f>
        <v>0</v>
      </c>
      <c r="J22" s="11" cm="1">
        <f t="array" ref="J22">IFERROR(INDEX('Master Data Sheet'!$1:$1048576, MATCH(1, ('Master Data Sheet'!$H:$H=J$2) * (INDEX('Master Data Sheet'!$1:$1, , MATCH($F$1, 'Master Data Sheet'!$1:$1, 0)) = $F$1) * ('Master Data Sheet'!$G:$G=$B22) * ('Master Data Sheet'!$F:$F=$E22) * ('Master Data Sheet'!$A:$A=$F22), 0), MATCH($F$1, 'Master Data Sheet'!$1:$1, 0)), "")</f>
        <v>0</v>
      </c>
      <c r="K22" s="11" cm="1">
        <f t="array" ref="K22">IFERROR(INDEX('Master Data Sheet'!$1:$1048576, MATCH(1, ('Master Data Sheet'!$H:$H=K$2) * (INDEX('Master Data Sheet'!$1:$1, , MATCH($F$1, 'Master Data Sheet'!$1:$1, 0)) = $F$1) * ('Master Data Sheet'!$G:$G=$B22) * ('Master Data Sheet'!$F:$F=$E22) * ('Master Data Sheet'!$A:$A=$F22), 0), MATCH($F$1, 'Master Data Sheet'!$1:$1, 0)), "")</f>
        <v>0</v>
      </c>
      <c r="L22" s="11" cm="1">
        <f t="array" ref="L22">IFERROR(INDEX('Master Data Sheet'!$1:$1048576, MATCH(1, ('Master Data Sheet'!$H:$H=L$2) * (INDEX('Master Data Sheet'!$1:$1, , MATCH($F$1, 'Master Data Sheet'!$1:$1, 0)) = $F$1) * ('Master Data Sheet'!$G:$G=$B22) * ('Master Data Sheet'!$F:$F=$E22) * ('Master Data Sheet'!$A:$A=$F22), 0), MATCH($F$1, 'Master Data Sheet'!$1:$1, 0)), "")</f>
        <v>7.2746167835801512E-2</v>
      </c>
      <c r="M22" s="11" cm="1">
        <f t="array" ref="M22">IFERROR(INDEX('Master Data Sheet'!$1:$1048576, MATCH(1, ('Master Data Sheet'!$H:$H=M$2) * (INDEX('Master Data Sheet'!$1:$1, , MATCH($F$1, 'Master Data Sheet'!$1:$1, 0)) = $F$1) * ('Master Data Sheet'!$G:$G=$B22) * ('Master Data Sheet'!$F:$F=$E22) * ('Master Data Sheet'!$A:$A=$F22), 0), MATCH($F$1, 'Master Data Sheet'!$1:$1, 0)), "")</f>
        <v>0</v>
      </c>
      <c r="N22" s="11" cm="1">
        <f t="array" ref="N22">IFERROR(INDEX('Master Data Sheet'!$1:$1048576, MATCH(1, ('Master Data Sheet'!$H:$H=N$2) * (INDEX('Master Data Sheet'!$1:$1, , MATCH($F$1, 'Master Data Sheet'!$1:$1, 0)) = $F$1) * ('Master Data Sheet'!$G:$G=$B22) * ('Master Data Sheet'!$F:$F=$E22) * ('Master Data Sheet'!$A:$A=$F22), 0), MATCH($F$1, 'Master Data Sheet'!$1:$1, 0)), "")</f>
        <v>0</v>
      </c>
      <c r="O22" s="11">
        <f t="shared" si="8"/>
        <v>1.0392309690828787E-2</v>
      </c>
      <c r="P22" s="11">
        <f t="shared" si="4"/>
        <v>2.7495466989499517E-2</v>
      </c>
      <c r="Q22" s="11"/>
      <c r="X22" t="str">
        <f>IFERROR(INDEX('Date Key'!$G$57:$G$62, MATCH(B21,'Date Key'!$A$57:$A$62, 0)), "")</f>
        <v>High HLR, Lower Outlet Height, No Plants</v>
      </c>
      <c r="Y22" s="1">
        <f t="shared" ref="Y22:AE22" si="26">H21</f>
        <v>0.3637308391790075</v>
      </c>
      <c r="Z22" s="1">
        <f t="shared" si="26"/>
        <v>0.18186541958950375</v>
      </c>
      <c r="AA22" s="1">
        <f t="shared" si="26"/>
        <v>0.10911925175370227</v>
      </c>
      <c r="AB22" s="1">
        <f t="shared" si="26"/>
        <v>0</v>
      </c>
      <c r="AC22" s="1">
        <f t="shared" si="26"/>
        <v>0</v>
      </c>
      <c r="AD22" s="1">
        <f t="shared" si="26"/>
        <v>0</v>
      </c>
      <c r="AE22" s="1">
        <f t="shared" si="26"/>
        <v>0.29098467134320605</v>
      </c>
      <c r="AF22" s="1">
        <f t="shared" ref="AF22:AL22" si="27">H22</f>
        <v>0</v>
      </c>
      <c r="AG22" s="1">
        <f t="shared" si="27"/>
        <v>0</v>
      </c>
      <c r="AH22" s="1">
        <f t="shared" si="27"/>
        <v>0</v>
      </c>
      <c r="AI22" s="1">
        <f t="shared" si="27"/>
        <v>0</v>
      </c>
      <c r="AJ22" s="1">
        <f t="shared" si="27"/>
        <v>7.2746167835801512E-2</v>
      </c>
      <c r="AK22" s="1">
        <f t="shared" si="27"/>
        <v>0</v>
      </c>
      <c r="AL22" s="1">
        <f t="shared" si="27"/>
        <v>0</v>
      </c>
      <c r="AM22" s="1">
        <f t="shared" ref="AM22:AS22" si="28">H23</f>
        <v>0.2364250454663549</v>
      </c>
      <c r="AN22" s="1">
        <f t="shared" si="28"/>
        <v>0.74564822031696543</v>
      </c>
      <c r="AO22" s="1">
        <f t="shared" si="28"/>
        <v>0.21823850350740454</v>
      </c>
      <c r="AP22" s="1">
        <f t="shared" si="28"/>
        <v>0.34554429722005714</v>
      </c>
      <c r="AQ22" s="1">
        <f t="shared" si="28"/>
        <v>0.29098467134320605</v>
      </c>
      <c r="AR22" s="1">
        <f t="shared" si="28"/>
        <v>0.43647700701480907</v>
      </c>
      <c r="AS22" s="1">
        <f t="shared" si="28"/>
        <v>3.6373083917900756E-2</v>
      </c>
    </row>
    <row r="23" spans="1:45" x14ac:dyDescent="0.35">
      <c r="A23" s="41">
        <f>IFERROR(INDEX('Date Key'!$B$2:$B$19, MATCH(F23,'Date Key'!$A$2:$A$19, 0)), "")</f>
        <v>45246</v>
      </c>
      <c r="B23" s="4">
        <f t="shared" si="15"/>
        <v>3</v>
      </c>
      <c r="C23" s="26" t="str">
        <f>IFERROR(INDEX('Date Key'!$G$57:$G$62, MATCH(B23,'Date Key'!$A$57:$A$62, 0)), "")</f>
        <v>High HLR, Lower Outlet Height, No Plants</v>
      </c>
      <c r="D23" s="4" t="str">
        <f>IFERROR(INDEX('Date Key'!$G$2:$G$19, MATCH(F23, 'Date Key'!$A$2:$A$19, 0)), "")</f>
        <v>Yes</v>
      </c>
      <c r="E23" s="4" t="str">
        <f t="shared" si="1"/>
        <v>in</v>
      </c>
      <c r="F23" s="4">
        <f t="shared" si="2"/>
        <v>9</v>
      </c>
      <c r="G23" s="4">
        <f t="shared" si="22"/>
        <v>3</v>
      </c>
      <c r="H23" s="11" cm="1">
        <f t="array" ref="H23">IFERROR(INDEX('Master Data Sheet'!$1:$1048576, MATCH(1, ('Master Data Sheet'!$H:$H=H$2) * (INDEX('Master Data Sheet'!$1:$1, , MATCH($F$1, 'Master Data Sheet'!$1:$1, 0)) = $F$1) * ('Master Data Sheet'!$G:$G=$B23) * ('Master Data Sheet'!$F:$F=$E23) * ('Master Data Sheet'!$A:$A=$F23), 0), MATCH($F$1, 'Master Data Sheet'!$1:$1, 0)), "")</f>
        <v>0.2364250454663549</v>
      </c>
      <c r="I23" s="11" cm="1">
        <f t="array" ref="I23">IFERROR(INDEX('Master Data Sheet'!$1:$1048576, MATCH(1, ('Master Data Sheet'!$H:$H=I$2) * (INDEX('Master Data Sheet'!$1:$1, , MATCH($F$1, 'Master Data Sheet'!$1:$1, 0)) = $F$1) * ('Master Data Sheet'!$G:$G=$B23) * ('Master Data Sheet'!$F:$F=$E23) * ('Master Data Sheet'!$A:$A=$F23), 0), MATCH($F$1, 'Master Data Sheet'!$1:$1, 0)), "")</f>
        <v>0.74564822031696543</v>
      </c>
      <c r="J23" s="11" cm="1">
        <f t="array" ref="J23">IFERROR(INDEX('Master Data Sheet'!$1:$1048576, MATCH(1, ('Master Data Sheet'!$H:$H=J$2) * (INDEX('Master Data Sheet'!$1:$1, , MATCH($F$1, 'Master Data Sheet'!$1:$1, 0)) = $F$1) * ('Master Data Sheet'!$G:$G=$B23) * ('Master Data Sheet'!$F:$F=$E23) * ('Master Data Sheet'!$A:$A=$F23), 0), MATCH($F$1, 'Master Data Sheet'!$1:$1, 0)), "")</f>
        <v>0.21823850350740454</v>
      </c>
      <c r="K23" s="11" cm="1">
        <f t="array" ref="K23">IFERROR(INDEX('Master Data Sheet'!$1:$1048576, MATCH(1, ('Master Data Sheet'!$H:$H=K$2) * (INDEX('Master Data Sheet'!$1:$1, , MATCH($F$1, 'Master Data Sheet'!$1:$1, 0)) = $F$1) * ('Master Data Sheet'!$G:$G=$B23) * ('Master Data Sheet'!$F:$F=$E23) * ('Master Data Sheet'!$A:$A=$F23), 0), MATCH($F$1, 'Master Data Sheet'!$1:$1, 0)), "")</f>
        <v>0.34554429722005714</v>
      </c>
      <c r="L23" s="11" cm="1">
        <f t="array" ref="L23">IFERROR(INDEX('Master Data Sheet'!$1:$1048576, MATCH(1, ('Master Data Sheet'!$H:$H=L$2) * (INDEX('Master Data Sheet'!$1:$1, , MATCH($F$1, 'Master Data Sheet'!$1:$1, 0)) = $F$1) * ('Master Data Sheet'!$G:$G=$B23) * ('Master Data Sheet'!$F:$F=$E23) * ('Master Data Sheet'!$A:$A=$F23), 0), MATCH($F$1, 'Master Data Sheet'!$1:$1, 0)), "")</f>
        <v>0.29098467134320605</v>
      </c>
      <c r="M23" s="11" cm="1">
        <f t="array" ref="M23">IFERROR(INDEX('Master Data Sheet'!$1:$1048576, MATCH(1, ('Master Data Sheet'!$H:$H=M$2) * (INDEX('Master Data Sheet'!$1:$1, , MATCH($F$1, 'Master Data Sheet'!$1:$1, 0)) = $F$1) * ('Master Data Sheet'!$G:$G=$B23) * ('Master Data Sheet'!$F:$F=$E23) * ('Master Data Sheet'!$A:$A=$F23), 0), MATCH($F$1, 'Master Data Sheet'!$1:$1, 0)), "")</f>
        <v>0.43647700701480907</v>
      </c>
      <c r="N23" s="11" cm="1">
        <f t="array" ref="N23">IFERROR(INDEX('Master Data Sheet'!$1:$1048576, MATCH(1, ('Master Data Sheet'!$H:$H=N$2) * (INDEX('Master Data Sheet'!$1:$1, , MATCH($F$1, 'Master Data Sheet'!$1:$1, 0)) = $F$1) * ('Master Data Sheet'!$G:$G=$B23) * ('Master Data Sheet'!$F:$F=$E23) * ('Master Data Sheet'!$A:$A=$F23), 0), MATCH($F$1, 'Master Data Sheet'!$1:$1, 0)), "")</f>
        <v>3.6373083917900756E-2</v>
      </c>
      <c r="O23" s="11">
        <f t="shared" si="8"/>
        <v>0.32995583268381395</v>
      </c>
      <c r="P23" s="11">
        <f t="shared" si="4"/>
        <v>0.22110641236314818</v>
      </c>
      <c r="Q23" s="11"/>
      <c r="Y23" s="1"/>
      <c r="Z23" s="1"/>
      <c r="AA23" s="1"/>
      <c r="AB23" s="1"/>
      <c r="AC23" s="1"/>
      <c r="AD23" s="1"/>
      <c r="AE23" s="1"/>
      <c r="AF23" s="1"/>
      <c r="AG23" s="1"/>
      <c r="AH23" s="1"/>
      <c r="AI23" s="1"/>
      <c r="AJ23" s="1"/>
      <c r="AK23" s="1"/>
      <c r="AL23" s="1"/>
      <c r="AM23" s="1"/>
      <c r="AN23" s="1"/>
      <c r="AO23" s="1"/>
      <c r="AP23" s="1"/>
      <c r="AQ23" s="1"/>
      <c r="AR23" s="1"/>
      <c r="AS23" s="1"/>
    </row>
    <row r="24" spans="1:45" x14ac:dyDescent="0.35">
      <c r="A24" s="41">
        <f>IFERROR(INDEX('Date Key'!$B$2:$B$19, MATCH(F24,'Date Key'!$A$2:$A$19, 0)), "")</f>
        <v>45233</v>
      </c>
      <c r="B24" s="4">
        <f t="shared" si="15"/>
        <v>3</v>
      </c>
      <c r="C24" s="26" t="str">
        <f>IFERROR(INDEX('Date Key'!$G$57:$G$62, MATCH(B24,'Date Key'!$A$57:$A$62, 0)), "")</f>
        <v>High HLR, Lower Outlet Height, No Plants</v>
      </c>
      <c r="D24" s="4" t="str">
        <f>IFERROR(INDEX('Date Key'!$G$2:$G$19, MATCH(F24, 'Date Key'!$A$2:$A$19, 0)), "")</f>
        <v>No</v>
      </c>
      <c r="E24" s="4" t="str">
        <f t="shared" si="1"/>
        <v>tank 1</v>
      </c>
      <c r="F24" s="4">
        <f t="shared" si="2"/>
        <v>7</v>
      </c>
      <c r="G24" s="4">
        <f t="shared" si="22"/>
        <v>1</v>
      </c>
      <c r="H24" s="11" cm="1">
        <f t="array" ref="H24">IFERROR(INDEX('Master Data Sheet'!$1:$1048576, MATCH(1, ('Master Data Sheet'!$H:$H=H$2) * (INDEX('Master Data Sheet'!$1:$1, , MATCH($F$1, 'Master Data Sheet'!$1:$1, 0)) = $F$1) * ('Master Data Sheet'!$G:$G=$B24) * ('Master Data Sheet'!$F:$F=$E24) * ('Master Data Sheet'!$A:$A=$F24), 0), MATCH($F$1, 'Master Data Sheet'!$1:$1, 0)), "")</f>
        <v>0.30917121330215641</v>
      </c>
      <c r="I24" s="11" cm="1">
        <f t="array" ref="I24">IFERROR(INDEX('Master Data Sheet'!$1:$1048576, MATCH(1, ('Master Data Sheet'!$H:$H=I$2) * (INDEX('Master Data Sheet'!$1:$1, , MATCH($F$1, 'Master Data Sheet'!$1:$1, 0)) = $F$1) * ('Master Data Sheet'!$G:$G=$B24) * ('Master Data Sheet'!$F:$F=$E24) * ('Master Data Sheet'!$A:$A=$F24), 0), MATCH($F$1, 'Master Data Sheet'!$1:$1, 0)), "")</f>
        <v>9.0932709794751876E-2</v>
      </c>
      <c r="J24" s="11" cm="1">
        <f t="array" ref="J24">IFERROR(INDEX('Master Data Sheet'!$1:$1048576, MATCH(1, ('Master Data Sheet'!$H:$H=J$2) * (INDEX('Master Data Sheet'!$1:$1, , MATCH($F$1, 'Master Data Sheet'!$1:$1, 0)) = $F$1) * ('Master Data Sheet'!$G:$G=$B24) * ('Master Data Sheet'!$F:$F=$E24) * ('Master Data Sheet'!$A:$A=$F24), 0), MATCH($F$1, 'Master Data Sheet'!$1:$1, 0)), "")</f>
        <v>0.12730579371265266</v>
      </c>
      <c r="K24" s="11" cm="1">
        <f t="array" ref="K24">IFERROR(INDEX('Master Data Sheet'!$1:$1048576, MATCH(1, ('Master Data Sheet'!$H:$H=K$2) * (INDEX('Master Data Sheet'!$1:$1, , MATCH($F$1, 'Master Data Sheet'!$1:$1, 0)) = $F$1) * ('Master Data Sheet'!$G:$G=$B24) * ('Master Data Sheet'!$F:$F=$E24) * ('Master Data Sheet'!$A:$A=$F24), 0), MATCH($F$1, 'Master Data Sheet'!$1:$1, 0)), "")</f>
        <v>0.10911925175370227</v>
      </c>
      <c r="L24" s="11" cm="1">
        <f t="array" ref="L24">IFERROR(INDEX('Master Data Sheet'!$1:$1048576, MATCH(1, ('Master Data Sheet'!$H:$H=L$2) * (INDEX('Master Data Sheet'!$1:$1, , MATCH($F$1, 'Master Data Sheet'!$1:$1, 0)) = $F$1) * ('Master Data Sheet'!$G:$G=$B24) * ('Master Data Sheet'!$F:$F=$E24) * ('Master Data Sheet'!$A:$A=$F24), 0), MATCH($F$1, 'Master Data Sheet'!$1:$1, 0)), "")</f>
        <v>0</v>
      </c>
      <c r="M24" s="11" cm="1">
        <f t="array" ref="M24">IFERROR(INDEX('Master Data Sheet'!$1:$1048576, MATCH(1, ('Master Data Sheet'!$H:$H=M$2) * (INDEX('Master Data Sheet'!$1:$1, , MATCH($F$1, 'Master Data Sheet'!$1:$1, 0)) = $F$1) * ('Master Data Sheet'!$G:$G=$B24) * ('Master Data Sheet'!$F:$F=$E24) * ('Master Data Sheet'!$A:$A=$F24), 0), MATCH($F$1, 'Master Data Sheet'!$1:$1, 0)), "")</f>
        <v>0</v>
      </c>
      <c r="N24" s="11" cm="1">
        <f t="array" ref="N24">IFERROR(INDEX('Master Data Sheet'!$1:$1048576, MATCH(1, ('Master Data Sheet'!$H:$H=N$2) * (INDEX('Master Data Sheet'!$1:$1, , MATCH($F$1, 'Master Data Sheet'!$1:$1, 0)) = $F$1) * ('Master Data Sheet'!$G:$G=$B24) * ('Master Data Sheet'!$F:$F=$E24) * ('Master Data Sheet'!$A:$A=$F24), 0), MATCH($F$1, 'Master Data Sheet'!$1:$1, 0)), "")</f>
        <v>0.30917121330215641</v>
      </c>
      <c r="O24" s="11">
        <f t="shared" si="8"/>
        <v>0.13510002598077422</v>
      </c>
      <c r="P24" s="11">
        <f t="shared" si="4"/>
        <v>0.12896517169125338</v>
      </c>
      <c r="Q24" s="11">
        <f>AVERAGE(O24:O26)</f>
        <v>0.14895643890187929</v>
      </c>
      <c r="R24" s="46">
        <f>(1-(O24/O21))*100</f>
        <v>0</v>
      </c>
      <c r="S24" s="46">
        <f>AVERAGE(R24:R26)</f>
        <v>-166.60104986876635</v>
      </c>
      <c r="T24" s="46">
        <f>STDEV(R24:R26)</f>
        <v>310.63817522773724</v>
      </c>
      <c r="U24" s="47">
        <f>(1-(AVERAGE(H24:N26)/AVERAGE(H21:N23)))*100</f>
        <v>6.010928961748629</v>
      </c>
      <c r="V24" s="47"/>
      <c r="Y24" s="2"/>
      <c r="Z24" s="2"/>
      <c r="AA24" s="2"/>
      <c r="AB24" s="2"/>
      <c r="AC24" s="2"/>
      <c r="AD24" s="2"/>
      <c r="AE24" s="2"/>
      <c r="AF24" s="2"/>
      <c r="AG24" s="2"/>
    </row>
    <row r="25" spans="1:45" x14ac:dyDescent="0.35">
      <c r="A25" s="41">
        <f>IFERROR(INDEX('Date Key'!$B$2:$B$19, MATCH(F25,'Date Key'!$A$2:$A$19, 0)), "")</f>
        <v>45238</v>
      </c>
      <c r="B25" s="4">
        <f t="shared" si="15"/>
        <v>3</v>
      </c>
      <c r="C25" s="26" t="str">
        <f>IFERROR(INDEX('Date Key'!$G$57:$G$62, MATCH(B25,'Date Key'!$A$57:$A$62, 0)), "")</f>
        <v>High HLR, Lower Outlet Height, No Plants</v>
      </c>
      <c r="D25" s="4" t="str">
        <f>IFERROR(INDEX('Date Key'!$G$2:$G$19, MATCH(F25, 'Date Key'!$A$2:$A$19, 0)), "")</f>
        <v>No</v>
      </c>
      <c r="E25" s="4" t="str">
        <f t="shared" si="1"/>
        <v>tank 1</v>
      </c>
      <c r="F25" s="4">
        <f t="shared" si="2"/>
        <v>8</v>
      </c>
      <c r="G25" s="4">
        <f t="shared" si="22"/>
        <v>2</v>
      </c>
      <c r="H25" s="11" cm="1">
        <f t="array" ref="H25">IFERROR(INDEX('Master Data Sheet'!$1:$1048576, MATCH(1, ('Master Data Sheet'!$H:$H=H$2) * (INDEX('Master Data Sheet'!$1:$1, , MATCH($F$1, 'Master Data Sheet'!$1:$1, 0)) = $F$1) * ('Master Data Sheet'!$G:$G=$B25) * ('Master Data Sheet'!$F:$F=$E25) * ('Master Data Sheet'!$A:$A=$F25), 0), MATCH($F$1, 'Master Data Sheet'!$1:$1, 0)), "")</f>
        <v>0</v>
      </c>
      <c r="I25" s="11" cm="1">
        <f t="array" ref="I25">IFERROR(INDEX('Master Data Sheet'!$1:$1048576, MATCH(1, ('Master Data Sheet'!$H:$H=I$2) * (INDEX('Master Data Sheet'!$1:$1, , MATCH($F$1, 'Master Data Sheet'!$1:$1, 0)) = $F$1) * ('Master Data Sheet'!$G:$G=$B25) * ('Master Data Sheet'!$F:$F=$E25) * ('Master Data Sheet'!$A:$A=$F25), 0), MATCH($F$1, 'Master Data Sheet'!$1:$1, 0)), "")</f>
        <v>0.3637308391790075</v>
      </c>
      <c r="J25" s="11" cm="1">
        <f t="array" ref="J25">IFERROR(INDEX('Master Data Sheet'!$1:$1048576, MATCH(1, ('Master Data Sheet'!$H:$H=J$2) * (INDEX('Master Data Sheet'!$1:$1, , MATCH($F$1, 'Master Data Sheet'!$1:$1, 0)) = $F$1) * ('Master Data Sheet'!$G:$G=$B25) * ('Master Data Sheet'!$F:$F=$E25) * ('Master Data Sheet'!$A:$A=$F25), 0), MATCH($F$1, 'Master Data Sheet'!$1:$1, 0)), "")</f>
        <v>3.6373083917900756E-2</v>
      </c>
      <c r="K25" s="11" cm="1">
        <f t="array" ref="K25">IFERROR(INDEX('Master Data Sheet'!$1:$1048576, MATCH(1, ('Master Data Sheet'!$H:$H=K$2) * (INDEX('Master Data Sheet'!$1:$1, , MATCH($F$1, 'Master Data Sheet'!$1:$1, 0)) = $F$1) * ('Master Data Sheet'!$G:$G=$B25) * ('Master Data Sheet'!$F:$F=$E25) * ('Master Data Sheet'!$A:$A=$F25), 0), MATCH($F$1, 'Master Data Sheet'!$1:$1, 0)), "")</f>
        <v>0</v>
      </c>
      <c r="L25" s="11" cm="1">
        <f t="array" ref="L25">IFERROR(INDEX('Master Data Sheet'!$1:$1048576, MATCH(1, ('Master Data Sheet'!$H:$H=L$2) * (INDEX('Master Data Sheet'!$1:$1, , MATCH($F$1, 'Master Data Sheet'!$1:$1, 0)) = $F$1) * ('Master Data Sheet'!$G:$G=$B25) * ('Master Data Sheet'!$F:$F=$E25) * ('Master Data Sheet'!$A:$A=$F25), 0), MATCH($F$1, 'Master Data Sheet'!$1:$1, 0)), "")</f>
        <v>5.4559625876851134E-2</v>
      </c>
      <c r="M25" s="11" cm="1">
        <f t="array" ref="M25">IFERROR(INDEX('Master Data Sheet'!$1:$1048576, MATCH(1, ('Master Data Sheet'!$H:$H=M$2) * (INDEX('Master Data Sheet'!$1:$1, , MATCH($F$1, 'Master Data Sheet'!$1:$1, 0)) = $F$1) * ('Master Data Sheet'!$G:$G=$B25) * ('Master Data Sheet'!$F:$F=$E25) * ('Master Data Sheet'!$A:$A=$F25), 0), MATCH($F$1, 'Master Data Sheet'!$1:$1, 0)), "")</f>
        <v>0</v>
      </c>
      <c r="N25" s="11" cm="1">
        <f t="array" ref="N25">IFERROR(INDEX('Master Data Sheet'!$1:$1048576, MATCH(1, ('Master Data Sheet'!$H:$H=N$2) * (INDEX('Master Data Sheet'!$1:$1, , MATCH($F$1, 'Master Data Sheet'!$1:$1, 0)) = $F$1) * ('Master Data Sheet'!$G:$G=$B25) * ('Master Data Sheet'!$F:$F=$E25) * ('Master Data Sheet'!$A:$A=$F25), 0), MATCH($F$1, 'Master Data Sheet'!$1:$1, 0)), "")</f>
        <v>0</v>
      </c>
      <c r="O25" s="11">
        <f t="shared" si="8"/>
        <v>6.4951935567679905E-2</v>
      </c>
      <c r="P25" s="11">
        <f t="shared" si="4"/>
        <v>0.13358430536647969</v>
      </c>
      <c r="Q25" s="11"/>
      <c r="R25" s="46">
        <f>(1-(O25/O22))*100</f>
        <v>-524.99999999999977</v>
      </c>
      <c r="X25" t="str">
        <f>IFERROR(INDEX('Date Key'!$G$57:$G$62, MATCH(B24,'Date Key'!$A$57:$A$62, 0)), "")</f>
        <v>High HLR, Lower Outlet Height, No Plants</v>
      </c>
      <c r="Y25" s="1">
        <f t="shared" ref="Y25:AE25" si="29">H24</f>
        <v>0.30917121330215641</v>
      </c>
      <c r="Z25" s="1">
        <f t="shared" si="29"/>
        <v>9.0932709794751876E-2</v>
      </c>
      <c r="AA25" s="1">
        <f t="shared" si="29"/>
        <v>0.12730579371265266</v>
      </c>
      <c r="AB25" s="1">
        <f t="shared" si="29"/>
        <v>0.10911925175370227</v>
      </c>
      <c r="AC25" s="1">
        <f t="shared" si="29"/>
        <v>0</v>
      </c>
      <c r="AD25" s="1">
        <f t="shared" si="29"/>
        <v>0</v>
      </c>
      <c r="AE25" s="1">
        <f t="shared" si="29"/>
        <v>0.30917121330215641</v>
      </c>
      <c r="AF25" s="1">
        <f t="shared" ref="AF25:AL25" si="30">H25</f>
        <v>0</v>
      </c>
      <c r="AG25" s="1">
        <f t="shared" si="30"/>
        <v>0.3637308391790075</v>
      </c>
      <c r="AH25" s="1">
        <f t="shared" si="30"/>
        <v>3.6373083917900756E-2</v>
      </c>
      <c r="AI25" s="1">
        <f t="shared" si="30"/>
        <v>0</v>
      </c>
      <c r="AJ25" s="1">
        <f t="shared" si="30"/>
        <v>5.4559625876851134E-2</v>
      </c>
      <c r="AK25" s="1">
        <f t="shared" si="30"/>
        <v>0</v>
      </c>
      <c r="AL25" s="1">
        <f t="shared" si="30"/>
        <v>0</v>
      </c>
      <c r="AM25" s="1">
        <f t="shared" ref="AM25:AS25" si="31">H26</f>
        <v>0.18186541958950375</v>
      </c>
      <c r="AN25" s="1">
        <f t="shared" si="31"/>
        <v>0</v>
      </c>
      <c r="AO25" s="1">
        <f t="shared" si="31"/>
        <v>0.3637308391790075</v>
      </c>
      <c r="AP25" s="1">
        <f t="shared" si="31"/>
        <v>0.45466354897375955</v>
      </c>
      <c r="AQ25" s="1">
        <f t="shared" si="31"/>
        <v>0.41829046505585876</v>
      </c>
      <c r="AR25" s="1">
        <f t="shared" si="31"/>
        <v>0.25461158742530532</v>
      </c>
      <c r="AS25" s="1">
        <f t="shared" si="31"/>
        <v>5.4559625876851134E-2</v>
      </c>
    </row>
    <row r="26" spans="1:45" x14ac:dyDescent="0.35">
      <c r="A26" s="41">
        <f>IFERROR(INDEX('Date Key'!$B$2:$B$19, MATCH(F26,'Date Key'!$A$2:$A$19, 0)), "")</f>
        <v>45246</v>
      </c>
      <c r="B26" s="4">
        <f t="shared" si="15"/>
        <v>3</v>
      </c>
      <c r="C26" s="26" t="str">
        <f>IFERROR(INDEX('Date Key'!$G$57:$G$62, MATCH(B26,'Date Key'!$A$57:$A$62, 0)), "")</f>
        <v>High HLR, Lower Outlet Height, No Plants</v>
      </c>
      <c r="D26" s="4" t="str">
        <f>IFERROR(INDEX('Date Key'!$G$2:$G$19, MATCH(F26, 'Date Key'!$A$2:$A$19, 0)), "")</f>
        <v>Yes</v>
      </c>
      <c r="E26" s="4" t="str">
        <f t="shared" si="1"/>
        <v>tank 1</v>
      </c>
      <c r="F26" s="4">
        <f t="shared" si="2"/>
        <v>9</v>
      </c>
      <c r="G26" s="4">
        <f t="shared" si="22"/>
        <v>3</v>
      </c>
      <c r="H26" s="11" cm="1">
        <f t="array" ref="H26">IFERROR(INDEX('Master Data Sheet'!$1:$1048576, MATCH(1, ('Master Data Sheet'!$H:$H=H$2) * (INDEX('Master Data Sheet'!$1:$1, , MATCH($F$1, 'Master Data Sheet'!$1:$1, 0)) = $F$1) * ('Master Data Sheet'!$G:$G=$B26) * ('Master Data Sheet'!$F:$F=$E26) * ('Master Data Sheet'!$A:$A=$F26), 0), MATCH($F$1, 'Master Data Sheet'!$1:$1, 0)), "")</f>
        <v>0.18186541958950375</v>
      </c>
      <c r="I26" s="11" cm="1">
        <f t="array" ref="I26">IFERROR(INDEX('Master Data Sheet'!$1:$1048576, MATCH(1, ('Master Data Sheet'!$H:$H=I$2) * (INDEX('Master Data Sheet'!$1:$1, , MATCH($F$1, 'Master Data Sheet'!$1:$1, 0)) = $F$1) * ('Master Data Sheet'!$G:$G=$B26) * ('Master Data Sheet'!$F:$F=$E26) * ('Master Data Sheet'!$A:$A=$F26), 0), MATCH($F$1, 'Master Data Sheet'!$1:$1, 0)), "")</f>
        <v>0</v>
      </c>
      <c r="J26" s="11" cm="1">
        <f t="array" ref="J26">IFERROR(INDEX('Master Data Sheet'!$1:$1048576, MATCH(1, ('Master Data Sheet'!$H:$H=J$2) * (INDEX('Master Data Sheet'!$1:$1, , MATCH($F$1, 'Master Data Sheet'!$1:$1, 0)) = $F$1) * ('Master Data Sheet'!$G:$G=$B26) * ('Master Data Sheet'!$F:$F=$E26) * ('Master Data Sheet'!$A:$A=$F26), 0), MATCH($F$1, 'Master Data Sheet'!$1:$1, 0)), "")</f>
        <v>0.3637308391790075</v>
      </c>
      <c r="K26" s="11" cm="1">
        <f t="array" ref="K26">IFERROR(INDEX('Master Data Sheet'!$1:$1048576, MATCH(1, ('Master Data Sheet'!$H:$H=K$2) * (INDEX('Master Data Sheet'!$1:$1, , MATCH($F$1, 'Master Data Sheet'!$1:$1, 0)) = $F$1) * ('Master Data Sheet'!$G:$G=$B26) * ('Master Data Sheet'!$F:$F=$E26) * ('Master Data Sheet'!$A:$A=$F26), 0), MATCH($F$1, 'Master Data Sheet'!$1:$1, 0)), "")</f>
        <v>0.45466354897375955</v>
      </c>
      <c r="L26" s="11" cm="1">
        <f t="array" ref="L26">IFERROR(INDEX('Master Data Sheet'!$1:$1048576, MATCH(1, ('Master Data Sheet'!$H:$H=L$2) * (INDEX('Master Data Sheet'!$1:$1, , MATCH($F$1, 'Master Data Sheet'!$1:$1, 0)) = $F$1) * ('Master Data Sheet'!$G:$G=$B26) * ('Master Data Sheet'!$F:$F=$E26) * ('Master Data Sheet'!$A:$A=$F26), 0), MATCH($F$1, 'Master Data Sheet'!$1:$1, 0)), "")</f>
        <v>0.41829046505585876</v>
      </c>
      <c r="M26" s="11" cm="1">
        <f t="array" ref="M26">IFERROR(INDEX('Master Data Sheet'!$1:$1048576, MATCH(1, ('Master Data Sheet'!$H:$H=M$2) * (INDEX('Master Data Sheet'!$1:$1, , MATCH($F$1, 'Master Data Sheet'!$1:$1, 0)) = $F$1) * ('Master Data Sheet'!$G:$G=$B26) * ('Master Data Sheet'!$F:$F=$E26) * ('Master Data Sheet'!$A:$A=$F26), 0), MATCH($F$1, 'Master Data Sheet'!$1:$1, 0)), "")</f>
        <v>0.25461158742530532</v>
      </c>
      <c r="N26" s="11" cm="1">
        <f t="array" ref="N26">IFERROR(INDEX('Master Data Sheet'!$1:$1048576, MATCH(1, ('Master Data Sheet'!$H:$H=N$2) * (INDEX('Master Data Sheet'!$1:$1, , MATCH($F$1, 'Master Data Sheet'!$1:$1, 0)) = $F$1) * ('Master Data Sheet'!$G:$G=$B26) * ('Master Data Sheet'!$F:$F=$E26) * ('Master Data Sheet'!$A:$A=$F26), 0), MATCH($F$1, 'Master Data Sheet'!$1:$1, 0)), "")</f>
        <v>5.4559625876851134E-2</v>
      </c>
      <c r="O26" s="11">
        <f t="shared" si="8"/>
        <v>0.24681735515718373</v>
      </c>
      <c r="P26" s="11">
        <f t="shared" si="4"/>
        <v>0.17721605256199582</v>
      </c>
      <c r="Q26" s="11"/>
      <c r="R26" s="46">
        <f>(1-(O26/O23))*100</f>
        <v>25.196850393700764</v>
      </c>
      <c r="Y26" s="2"/>
      <c r="Z26" s="2"/>
      <c r="AA26" s="2"/>
      <c r="AB26" s="2"/>
      <c r="AC26" s="2"/>
      <c r="AD26" s="2"/>
      <c r="AE26" s="2"/>
      <c r="AF26" s="2"/>
      <c r="AG26" s="2"/>
    </row>
    <row r="27" spans="1:45" x14ac:dyDescent="0.35">
      <c r="A27" s="41">
        <f>IFERROR(INDEX('Date Key'!$B$2:$B$19, MATCH(F27,'Date Key'!$A$2:$A$19, 0)), "")</f>
        <v>45233</v>
      </c>
      <c r="B27" s="4">
        <f t="shared" si="15"/>
        <v>3</v>
      </c>
      <c r="C27" s="26" t="str">
        <f>IFERROR(INDEX('Date Key'!$G$57:$G$62, MATCH(B27,'Date Key'!$A$57:$A$62, 0)), "")</f>
        <v>High HLR, Lower Outlet Height, No Plants</v>
      </c>
      <c r="D27" s="4" t="str">
        <f>IFERROR(INDEX('Date Key'!$G$2:$G$19, MATCH(F27, 'Date Key'!$A$2:$A$19, 0)), "")</f>
        <v>No</v>
      </c>
      <c r="E27" s="4" t="str">
        <f t="shared" si="1"/>
        <v>tank 2</v>
      </c>
      <c r="F27" s="4">
        <f t="shared" si="2"/>
        <v>7</v>
      </c>
      <c r="G27" s="4">
        <f t="shared" si="22"/>
        <v>1</v>
      </c>
      <c r="H27" s="11" cm="1">
        <f t="array" ref="H27">IFERROR(INDEX('Master Data Sheet'!$1:$1048576, MATCH(1, ('Master Data Sheet'!$H:$H=H$2) * (INDEX('Master Data Sheet'!$1:$1, , MATCH($F$1, 'Master Data Sheet'!$1:$1, 0)) = $F$1) * ('Master Data Sheet'!$G:$G=$B27) * ('Master Data Sheet'!$F:$F=$E27) * ('Master Data Sheet'!$A:$A=$F27), 0), MATCH($F$1, 'Master Data Sheet'!$1:$1, 0)), "")</f>
        <v>0.10911925175370227</v>
      </c>
      <c r="I27" s="11" cm="1">
        <f t="array" ref="I27">IFERROR(INDEX('Master Data Sheet'!$1:$1048576, MATCH(1, ('Master Data Sheet'!$H:$H=I$2) * (INDEX('Master Data Sheet'!$1:$1, , MATCH($F$1, 'Master Data Sheet'!$1:$1, 0)) = $F$1) * ('Master Data Sheet'!$G:$G=$B27) * ('Master Data Sheet'!$F:$F=$E27) * ('Master Data Sheet'!$A:$A=$F27), 0), MATCH($F$1, 'Master Data Sheet'!$1:$1, 0)), "")</f>
        <v>0</v>
      </c>
      <c r="J27" s="11" cm="1">
        <f t="array" ref="J27">IFERROR(INDEX('Master Data Sheet'!$1:$1048576, MATCH(1, ('Master Data Sheet'!$H:$H=J$2) * (INDEX('Master Data Sheet'!$1:$1, , MATCH($F$1, 'Master Data Sheet'!$1:$1, 0)) = $F$1) * ('Master Data Sheet'!$G:$G=$B27) * ('Master Data Sheet'!$F:$F=$E27) * ('Master Data Sheet'!$A:$A=$F27), 0), MATCH($F$1, 'Master Data Sheet'!$1:$1, 0)), "")</f>
        <v>0</v>
      </c>
      <c r="K27" s="11" cm="1">
        <f t="array" ref="K27">IFERROR(INDEX('Master Data Sheet'!$1:$1048576, MATCH(1, ('Master Data Sheet'!$H:$H=K$2) * (INDEX('Master Data Sheet'!$1:$1, , MATCH($F$1, 'Master Data Sheet'!$1:$1, 0)) = $F$1) * ('Master Data Sheet'!$G:$G=$B27) * ('Master Data Sheet'!$F:$F=$E27) * ('Master Data Sheet'!$A:$A=$F27), 0), MATCH($F$1, 'Master Data Sheet'!$1:$1, 0)), "")</f>
        <v>0.10911925175370227</v>
      </c>
      <c r="L27" s="11" cm="1">
        <f t="array" ref="L27">IFERROR(INDEX('Master Data Sheet'!$1:$1048576, MATCH(1, ('Master Data Sheet'!$H:$H=L$2) * (INDEX('Master Data Sheet'!$1:$1, , MATCH($F$1, 'Master Data Sheet'!$1:$1, 0)) = $F$1) * ('Master Data Sheet'!$G:$G=$B27) * ('Master Data Sheet'!$F:$F=$E27) * ('Master Data Sheet'!$A:$A=$F27), 0), MATCH($F$1, 'Master Data Sheet'!$1:$1, 0)), "")</f>
        <v>0</v>
      </c>
      <c r="M27" s="11" cm="1">
        <f t="array" ref="M27">IFERROR(INDEX('Master Data Sheet'!$1:$1048576, MATCH(1, ('Master Data Sheet'!$H:$H=M$2) * (INDEX('Master Data Sheet'!$1:$1, , MATCH($F$1, 'Master Data Sheet'!$1:$1, 0)) = $F$1) * ('Master Data Sheet'!$G:$G=$B27) * ('Master Data Sheet'!$F:$F=$E27) * ('Master Data Sheet'!$A:$A=$F27), 0), MATCH($F$1, 'Master Data Sheet'!$1:$1, 0)), "")</f>
        <v>0</v>
      </c>
      <c r="N27" s="11" cm="1">
        <f t="array" ref="N27">IFERROR(INDEX('Master Data Sheet'!$1:$1048576, MATCH(1, ('Master Data Sheet'!$H:$H=N$2) * (INDEX('Master Data Sheet'!$1:$1, , MATCH($F$1, 'Master Data Sheet'!$1:$1, 0)) = $F$1) * ('Master Data Sheet'!$G:$G=$B27) * ('Master Data Sheet'!$F:$F=$E27) * ('Master Data Sheet'!$A:$A=$F27), 0), MATCH($F$1, 'Master Data Sheet'!$1:$1, 0)), "")</f>
        <v>0.30917121330215641</v>
      </c>
      <c r="O27" s="11">
        <f t="shared" si="8"/>
        <v>7.5344245258508705E-2</v>
      </c>
      <c r="P27" s="11">
        <f t="shared" si="4"/>
        <v>0.1152270036972548</v>
      </c>
      <c r="Q27" s="11">
        <f>AVERAGE(N27:N29)</f>
        <v>0.35766865852602409</v>
      </c>
      <c r="R27" s="46">
        <f>(1-(O27/O21))*100</f>
        <v>44.230769230769226</v>
      </c>
      <c r="S27" s="46">
        <f>AVERAGE(R27:R29)</f>
        <v>-179.28528164748636</v>
      </c>
      <c r="T27" s="46">
        <f>STDEV(R27:R29)</f>
        <v>343.65822003913286</v>
      </c>
      <c r="U27" s="47">
        <f>(1-(AVERAGE(H27:N29)/AVERAGE(H21:N23)))*100</f>
        <v>-4.9180327868852292</v>
      </c>
      <c r="V27" s="47"/>
      <c r="Y27" s="2"/>
      <c r="Z27" s="2"/>
      <c r="AA27" s="2"/>
      <c r="AB27" s="2"/>
      <c r="AC27" s="2"/>
      <c r="AD27" s="2"/>
      <c r="AE27" s="2"/>
      <c r="AF27" s="2"/>
      <c r="AG27" s="2"/>
    </row>
    <row r="28" spans="1:45" x14ac:dyDescent="0.35">
      <c r="A28" s="41">
        <f>IFERROR(INDEX('Date Key'!$B$2:$B$19, MATCH(F28,'Date Key'!$A$2:$A$19, 0)), "")</f>
        <v>45238</v>
      </c>
      <c r="B28" s="4">
        <f t="shared" si="15"/>
        <v>3</v>
      </c>
      <c r="C28" s="26" t="str">
        <f>IFERROR(INDEX('Date Key'!$G$57:$G$62, MATCH(B28,'Date Key'!$A$57:$A$62, 0)), "")</f>
        <v>High HLR, Lower Outlet Height, No Plants</v>
      </c>
      <c r="D28" s="4" t="str">
        <f>IFERROR(INDEX('Date Key'!$G$2:$G$19, MATCH(F28, 'Date Key'!$A$2:$A$19, 0)), "")</f>
        <v>No</v>
      </c>
      <c r="E28" s="4" t="str">
        <f t="shared" si="1"/>
        <v>tank 2</v>
      </c>
      <c r="F28" s="4">
        <f t="shared" si="2"/>
        <v>8</v>
      </c>
      <c r="G28" s="4">
        <f t="shared" si="22"/>
        <v>2</v>
      </c>
      <c r="H28" s="11" cm="1">
        <f t="array" ref="H28">IFERROR(INDEX('Master Data Sheet'!$1:$1048576, MATCH(1, ('Master Data Sheet'!$H:$H=H$2) * (INDEX('Master Data Sheet'!$1:$1, , MATCH($F$1, 'Master Data Sheet'!$1:$1, 0)) = $F$1) * ('Master Data Sheet'!$G:$G=$B28) * ('Master Data Sheet'!$F:$F=$E28) * ('Master Data Sheet'!$A:$A=$F28), 0), MATCH($F$1, 'Master Data Sheet'!$1:$1, 0)), "")</f>
        <v>0</v>
      </c>
      <c r="I28" s="11" cm="1">
        <f t="array" ref="I28">IFERROR(INDEX('Master Data Sheet'!$1:$1048576, MATCH(1, ('Master Data Sheet'!$H:$H=I$2) * (INDEX('Master Data Sheet'!$1:$1, , MATCH($F$1, 'Master Data Sheet'!$1:$1, 0)) = $F$1) * ('Master Data Sheet'!$G:$G=$B28) * ('Master Data Sheet'!$F:$F=$E28) * ('Master Data Sheet'!$A:$A=$F28), 0), MATCH($F$1, 'Master Data Sheet'!$1:$1, 0)), "")</f>
        <v>0.10911925175370227</v>
      </c>
      <c r="J28" s="11" cm="1">
        <f t="array" ref="J28">IFERROR(INDEX('Master Data Sheet'!$1:$1048576, MATCH(1, ('Master Data Sheet'!$H:$H=J$2) * (INDEX('Master Data Sheet'!$1:$1, , MATCH($F$1, 'Master Data Sheet'!$1:$1, 0)) = $F$1) * ('Master Data Sheet'!$G:$G=$B28) * ('Master Data Sheet'!$F:$F=$E28) * ('Master Data Sheet'!$A:$A=$F28), 0), MATCH($F$1, 'Master Data Sheet'!$1:$1, 0)), "")</f>
        <v>0</v>
      </c>
      <c r="K28" s="11" cm="1">
        <f t="array" ref="K28">IFERROR(INDEX('Master Data Sheet'!$1:$1048576, MATCH(1, ('Master Data Sheet'!$H:$H=K$2) * (INDEX('Master Data Sheet'!$1:$1, , MATCH($F$1, 'Master Data Sheet'!$1:$1, 0)) = $F$1) * ('Master Data Sheet'!$G:$G=$B28) * ('Master Data Sheet'!$F:$F=$E28) * ('Master Data Sheet'!$A:$A=$F28), 0), MATCH($F$1, 'Master Data Sheet'!$1:$1, 0)), "")</f>
        <v>1.8186541958950378E-2</v>
      </c>
      <c r="L28" s="11" cm="1">
        <f t="array" ref="L28">IFERROR(INDEX('Master Data Sheet'!$1:$1048576, MATCH(1, ('Master Data Sheet'!$H:$H=L$2) * (INDEX('Master Data Sheet'!$1:$1, , MATCH($F$1, 'Master Data Sheet'!$1:$1, 0)) = $F$1) * ('Master Data Sheet'!$G:$G=$B28) * ('Master Data Sheet'!$F:$F=$E28) * ('Master Data Sheet'!$A:$A=$F28), 0), MATCH($F$1, 'Master Data Sheet'!$1:$1, 0)), "")</f>
        <v>0.3637308391790075</v>
      </c>
      <c r="M28" s="11" cm="1">
        <f t="array" ref="M28">IFERROR(INDEX('Master Data Sheet'!$1:$1048576, MATCH(1, ('Master Data Sheet'!$H:$H=M$2) * (INDEX('Master Data Sheet'!$1:$1, , MATCH($F$1, 'Master Data Sheet'!$1:$1, 0)) = $F$1) * ('Master Data Sheet'!$G:$G=$B28) * ('Master Data Sheet'!$F:$F=$E28) * ('Master Data Sheet'!$A:$A=$F28), 0), MATCH($F$1, 'Master Data Sheet'!$1:$1, 0)), "")</f>
        <v>0</v>
      </c>
      <c r="N28" s="11" cm="1">
        <f t="array" ref="N28">IFERROR(INDEX('Master Data Sheet'!$1:$1048576, MATCH(1, ('Master Data Sheet'!$H:$H=N$2) * (INDEX('Master Data Sheet'!$1:$1, , MATCH($F$1, 'Master Data Sheet'!$1:$1, 0)) = $F$1) * ('Master Data Sheet'!$G:$G=$B28) * ('Master Data Sheet'!$F:$F=$E28) * ('Master Data Sheet'!$A:$A=$F28), 0), MATCH($F$1, 'Master Data Sheet'!$1:$1, 0)), "")</f>
        <v>0</v>
      </c>
      <c r="O28" s="11">
        <f t="shared" si="8"/>
        <v>7.0148090413094305E-2</v>
      </c>
      <c r="P28" s="11">
        <f t="shared" si="4"/>
        <v>0.13545762108580428</v>
      </c>
      <c r="Q28" s="11"/>
      <c r="R28" s="46">
        <f>(1-(O28/O22))*100</f>
        <v>-574.99999999999989</v>
      </c>
      <c r="X28" t="str">
        <f>IFERROR(INDEX('Date Key'!$G$57:$G$62, MATCH(B27,'Date Key'!$A$57:$A$62, 0)), "")</f>
        <v>High HLR, Lower Outlet Height, No Plants</v>
      </c>
      <c r="Y28" s="1">
        <f t="shared" ref="Y28:AE28" si="32">H27</f>
        <v>0.10911925175370227</v>
      </c>
      <c r="Z28" s="1">
        <f t="shared" si="32"/>
        <v>0</v>
      </c>
      <c r="AA28" s="1">
        <f t="shared" si="32"/>
        <v>0</v>
      </c>
      <c r="AB28" s="1">
        <f t="shared" si="32"/>
        <v>0.10911925175370227</v>
      </c>
      <c r="AC28" s="1">
        <f t="shared" si="32"/>
        <v>0</v>
      </c>
      <c r="AD28" s="1">
        <f t="shared" si="32"/>
        <v>0</v>
      </c>
      <c r="AE28" s="1">
        <f t="shared" si="32"/>
        <v>0.30917121330215641</v>
      </c>
      <c r="AF28" s="1">
        <f t="shared" ref="AF28:AL28" si="33">H28</f>
        <v>0</v>
      </c>
      <c r="AG28" s="1">
        <f t="shared" si="33"/>
        <v>0.10911925175370227</v>
      </c>
      <c r="AH28" s="1">
        <f t="shared" si="33"/>
        <v>0</v>
      </c>
      <c r="AI28" s="1">
        <f t="shared" si="33"/>
        <v>1.8186541958950378E-2</v>
      </c>
      <c r="AJ28" s="1">
        <f t="shared" si="33"/>
        <v>0.3637308391790075</v>
      </c>
      <c r="AK28" s="1">
        <f t="shared" si="33"/>
        <v>0</v>
      </c>
      <c r="AL28" s="1">
        <f t="shared" si="33"/>
        <v>0</v>
      </c>
      <c r="AM28" s="1">
        <f t="shared" ref="AM28:AS28" si="34">H29</f>
        <v>0.2364250454663549</v>
      </c>
      <c r="AN28" s="1">
        <f t="shared" si="34"/>
        <v>0.3637308391790075</v>
      </c>
      <c r="AO28" s="1">
        <f t="shared" si="34"/>
        <v>5.4559625876851134E-2</v>
      </c>
      <c r="AP28" s="1">
        <f t="shared" si="34"/>
        <v>0.38191738113795792</v>
      </c>
      <c r="AQ28" s="1">
        <f t="shared" si="34"/>
        <v>0.45466354897375955</v>
      </c>
      <c r="AR28" s="1">
        <f t="shared" si="34"/>
        <v>0.21823850350740454</v>
      </c>
      <c r="AS28" s="1">
        <f t="shared" si="34"/>
        <v>0.76383476227591585</v>
      </c>
    </row>
    <row r="29" spans="1:45" x14ac:dyDescent="0.35">
      <c r="A29" s="42">
        <f>IFERROR(INDEX('Date Key'!$B$2:$B$19, MATCH(F29,'Date Key'!$A$2:$A$19, 0)), "")</f>
        <v>45246</v>
      </c>
      <c r="B29" s="27">
        <f t="shared" si="15"/>
        <v>3</v>
      </c>
      <c r="C29" s="51" t="str">
        <f>IFERROR(INDEX('Date Key'!$G$57:$G$62, MATCH(B29,'Date Key'!$A$57:$A$62, 0)), "")</f>
        <v>High HLR, Lower Outlet Height, No Plants</v>
      </c>
      <c r="D29" s="27" t="str">
        <f>IFERROR(INDEX('Date Key'!$G$2:$G$19, MATCH(F29, 'Date Key'!$A$2:$A$19, 0)), "")</f>
        <v>Yes</v>
      </c>
      <c r="E29" s="27" t="str">
        <f t="shared" si="1"/>
        <v>tank 2</v>
      </c>
      <c r="F29" s="27">
        <f t="shared" si="2"/>
        <v>9</v>
      </c>
      <c r="G29" s="27">
        <f t="shared" si="22"/>
        <v>3</v>
      </c>
      <c r="H29" s="28" cm="1">
        <f t="array" ref="H29">IFERROR(INDEX('Master Data Sheet'!$1:$1048576, MATCH(1, ('Master Data Sheet'!$H:$H=H$2) * (INDEX('Master Data Sheet'!$1:$1, , MATCH($F$1, 'Master Data Sheet'!$1:$1, 0)) = $F$1) * ('Master Data Sheet'!$G:$G=$B29) * ('Master Data Sheet'!$F:$F=$E29) * ('Master Data Sheet'!$A:$A=$F29), 0), MATCH($F$1, 'Master Data Sheet'!$1:$1, 0)), "")</f>
        <v>0.2364250454663549</v>
      </c>
      <c r="I29" s="28" cm="1">
        <f t="array" ref="I29">IFERROR(INDEX('Master Data Sheet'!$1:$1048576, MATCH(1, ('Master Data Sheet'!$H:$H=I$2) * (INDEX('Master Data Sheet'!$1:$1, , MATCH($F$1, 'Master Data Sheet'!$1:$1, 0)) = $F$1) * ('Master Data Sheet'!$G:$G=$B29) * ('Master Data Sheet'!$F:$F=$E29) * ('Master Data Sheet'!$A:$A=$F29), 0), MATCH($F$1, 'Master Data Sheet'!$1:$1, 0)), "")</f>
        <v>0.3637308391790075</v>
      </c>
      <c r="J29" s="28" cm="1">
        <f t="array" ref="J29">IFERROR(INDEX('Master Data Sheet'!$1:$1048576, MATCH(1, ('Master Data Sheet'!$H:$H=J$2) * (INDEX('Master Data Sheet'!$1:$1, , MATCH($F$1, 'Master Data Sheet'!$1:$1, 0)) = $F$1) * ('Master Data Sheet'!$G:$G=$B29) * ('Master Data Sheet'!$F:$F=$E29) * ('Master Data Sheet'!$A:$A=$F29), 0), MATCH($F$1, 'Master Data Sheet'!$1:$1, 0)), "")</f>
        <v>5.4559625876851134E-2</v>
      </c>
      <c r="K29" s="28" cm="1">
        <f t="array" ref="K29">IFERROR(INDEX('Master Data Sheet'!$1:$1048576, MATCH(1, ('Master Data Sheet'!$H:$H=K$2) * (INDEX('Master Data Sheet'!$1:$1, , MATCH($F$1, 'Master Data Sheet'!$1:$1, 0)) = $F$1) * ('Master Data Sheet'!$G:$G=$B29) * ('Master Data Sheet'!$F:$F=$E29) * ('Master Data Sheet'!$A:$A=$F29), 0), MATCH($F$1, 'Master Data Sheet'!$1:$1, 0)), "")</f>
        <v>0.38191738113795792</v>
      </c>
      <c r="L29" s="28" cm="1">
        <f t="array" ref="L29">IFERROR(INDEX('Master Data Sheet'!$1:$1048576, MATCH(1, ('Master Data Sheet'!$H:$H=L$2) * (INDEX('Master Data Sheet'!$1:$1, , MATCH($F$1, 'Master Data Sheet'!$1:$1, 0)) = $F$1) * ('Master Data Sheet'!$G:$G=$B29) * ('Master Data Sheet'!$F:$F=$E29) * ('Master Data Sheet'!$A:$A=$F29), 0), MATCH($F$1, 'Master Data Sheet'!$1:$1, 0)), "")</f>
        <v>0.45466354897375955</v>
      </c>
      <c r="M29" s="28" cm="1">
        <f t="array" ref="M29">IFERROR(INDEX('Master Data Sheet'!$1:$1048576, MATCH(1, ('Master Data Sheet'!$H:$H=M$2) * (INDEX('Master Data Sheet'!$1:$1, , MATCH($F$1, 'Master Data Sheet'!$1:$1, 0)) = $F$1) * ('Master Data Sheet'!$G:$G=$B29) * ('Master Data Sheet'!$F:$F=$E29) * ('Master Data Sheet'!$A:$A=$F29), 0), MATCH($F$1, 'Master Data Sheet'!$1:$1, 0)), "")</f>
        <v>0.21823850350740454</v>
      </c>
      <c r="N29" s="28" cm="1">
        <f t="array" ref="N29">IFERROR(INDEX('Master Data Sheet'!$1:$1048576, MATCH(1, ('Master Data Sheet'!$H:$H=N$2) * (INDEX('Master Data Sheet'!$1:$1, , MATCH($F$1, 'Master Data Sheet'!$1:$1, 0)) = $F$1) * ('Master Data Sheet'!$G:$G=$B29) * ('Master Data Sheet'!$F:$F=$E29) * ('Master Data Sheet'!$A:$A=$F29), 0), MATCH($F$1, 'Master Data Sheet'!$1:$1, 0)), "")</f>
        <v>0.76383476227591585</v>
      </c>
      <c r="O29" s="28">
        <f t="shared" si="8"/>
        <v>0.35333852948817884</v>
      </c>
      <c r="P29" s="28">
        <f t="shared" si="4"/>
        <v>0.22393759568918656</v>
      </c>
      <c r="Q29" s="28"/>
      <c r="R29" s="48">
        <f>(1-(O29/O23))*100</f>
        <v>-7.0866141732283783</v>
      </c>
      <c r="S29" s="27"/>
      <c r="T29" s="27"/>
      <c r="U29" s="27"/>
      <c r="V29" s="27"/>
    </row>
    <row r="30" spans="1:45" x14ac:dyDescent="0.35">
      <c r="A30" s="41">
        <f>IFERROR(INDEX('Date Key'!$B$2:$B$19, MATCH(F30,'Date Key'!$A$2:$A$19, 0)), "")</f>
        <v>45250</v>
      </c>
      <c r="B30" s="4">
        <f t="shared" si="15"/>
        <v>4</v>
      </c>
      <c r="C30" s="26" t="str">
        <f>IFERROR(INDEX('Date Key'!$G$57:$G$62, MATCH(B30,'Date Key'!$A$57:$A$62, 0)), "")</f>
        <v>High HLR, Upper Outlet Height, No Plants</v>
      </c>
      <c r="D30" s="4" t="str">
        <f>IFERROR(INDEX('Date Key'!$G$2:$G$19, MATCH(F30, 'Date Key'!$A$2:$A$19, 0)), "")</f>
        <v>Yes</v>
      </c>
      <c r="E30" s="4" t="str">
        <f t="shared" si="1"/>
        <v>in</v>
      </c>
      <c r="F30" s="4">
        <f t="shared" si="2"/>
        <v>10</v>
      </c>
      <c r="G30" s="4">
        <f t="shared" si="22"/>
        <v>1</v>
      </c>
      <c r="H30" s="11" cm="1">
        <f t="array" ref="H30">IFERROR(INDEX('Master Data Sheet'!$1:$1048576, MATCH(1, ('Master Data Sheet'!$H:$H=H$2) * (INDEX('Master Data Sheet'!$1:$1, , MATCH($F$1, 'Master Data Sheet'!$1:$1, 0)) = $F$1) * ('Master Data Sheet'!$G:$G=$B30) * ('Master Data Sheet'!$F:$F=$E30) * ('Master Data Sheet'!$A:$A=$F30), 0), MATCH($F$1, 'Master Data Sheet'!$1:$1, 0)), "")</f>
        <v>0.10911925175370227</v>
      </c>
      <c r="I30" s="11" cm="1">
        <f t="array" ref="I30">IFERROR(INDEX('Master Data Sheet'!$1:$1048576, MATCH(1, ('Master Data Sheet'!$H:$H=I$2) * (INDEX('Master Data Sheet'!$1:$1, , MATCH($F$1, 'Master Data Sheet'!$1:$1, 0)) = $F$1) * ('Master Data Sheet'!$G:$G=$B30) * ('Master Data Sheet'!$F:$F=$E30) * ('Master Data Sheet'!$A:$A=$F30), 0), MATCH($F$1, 'Master Data Sheet'!$1:$1, 0)), "")</f>
        <v>0</v>
      </c>
      <c r="J30" s="11" cm="1">
        <f t="array" ref="J30">IFERROR(INDEX('Master Data Sheet'!$1:$1048576, MATCH(1, ('Master Data Sheet'!$H:$H=J$2) * (INDEX('Master Data Sheet'!$1:$1, , MATCH($F$1, 'Master Data Sheet'!$1:$1, 0)) = $F$1) * ('Master Data Sheet'!$G:$G=$B30) * ('Master Data Sheet'!$F:$F=$E30) * ('Master Data Sheet'!$A:$A=$F30), 0), MATCH($F$1, 'Master Data Sheet'!$1:$1, 0)), "")</f>
        <v>7.2746167835801512E-2</v>
      </c>
      <c r="K30" s="11" cm="1">
        <f t="array" ref="K30">IFERROR(INDEX('Master Data Sheet'!$1:$1048576, MATCH(1, ('Master Data Sheet'!$H:$H=K$2) * (INDEX('Master Data Sheet'!$1:$1, , MATCH($F$1, 'Master Data Sheet'!$1:$1, 0)) = $F$1) * ('Master Data Sheet'!$G:$G=$B30) * ('Master Data Sheet'!$F:$F=$E30) * ('Master Data Sheet'!$A:$A=$F30), 0), MATCH($F$1, 'Master Data Sheet'!$1:$1, 0)), "")</f>
        <v>1.8186541958950382</v>
      </c>
      <c r="L30" s="11" cm="1">
        <f t="array" ref="L30">IFERROR(INDEX('Master Data Sheet'!$1:$1048576, MATCH(1, ('Master Data Sheet'!$H:$H=L$2) * (INDEX('Master Data Sheet'!$1:$1, , MATCH($F$1, 'Master Data Sheet'!$1:$1, 0)) = $F$1) * ('Master Data Sheet'!$G:$G=$B30) * ('Master Data Sheet'!$F:$F=$E30) * ('Master Data Sheet'!$A:$A=$F30), 0), MATCH($F$1, 'Master Data Sheet'!$1:$1, 0)), "")</f>
        <v>0</v>
      </c>
      <c r="M30" s="11" cm="1">
        <f t="array" ref="M30">IFERROR(INDEX('Master Data Sheet'!$1:$1048576, MATCH(1, ('Master Data Sheet'!$H:$H=M$2) * (INDEX('Master Data Sheet'!$1:$1, , MATCH($F$1, 'Master Data Sheet'!$1:$1, 0)) = $F$1) * ('Master Data Sheet'!$G:$G=$B30) * ('Master Data Sheet'!$F:$F=$E30) * ('Master Data Sheet'!$A:$A=$F30), 0), MATCH($F$1, 'Master Data Sheet'!$1:$1, 0)), "")</f>
        <v>0</v>
      </c>
      <c r="N30" s="11" cm="1">
        <f t="array" ref="N30">IFERROR(INDEX('Master Data Sheet'!$1:$1048576, MATCH(1, ('Master Data Sheet'!$H:$H=N$2) * (INDEX('Master Data Sheet'!$1:$1, , MATCH($F$1, 'Master Data Sheet'!$1:$1, 0)) = $F$1) * ('Master Data Sheet'!$G:$G=$B30) * ('Master Data Sheet'!$F:$F=$E30) * ('Master Data Sheet'!$A:$A=$F30), 0), MATCH($F$1, 'Master Data Sheet'!$1:$1, 0)), "")</f>
        <v>0</v>
      </c>
      <c r="O30" s="11">
        <f t="shared" si="8"/>
        <v>0.28578851649779174</v>
      </c>
      <c r="P30" s="11">
        <f t="shared" si="4"/>
        <v>0.67736949138445979</v>
      </c>
      <c r="Q30" s="11">
        <f>AVERAGE(O30:O32)</f>
        <v>0.42176013502686316</v>
      </c>
      <c r="S30" s="11">
        <f>AVERAGE(O30:O32)</f>
        <v>0.42176013502686316</v>
      </c>
      <c r="T30" s="11">
        <f>AVERAGE(P30:P32)</f>
        <v>0.62614950749335985</v>
      </c>
      <c r="V30" s="47">
        <f>AVERAGE(U33, U36)</f>
        <v>49.025266333553326</v>
      </c>
      <c r="X30" t="s">
        <v>343</v>
      </c>
    </row>
    <row r="31" spans="1:45" x14ac:dyDescent="0.35">
      <c r="A31" s="41">
        <f>IFERROR(INDEX('Date Key'!$B$2:$B$19, MATCH(F31,'Date Key'!$A$2:$A$19, 0)), "")</f>
        <v>45259</v>
      </c>
      <c r="B31" s="4">
        <f t="shared" si="15"/>
        <v>4</v>
      </c>
      <c r="C31" s="26" t="str">
        <f>IFERROR(INDEX('Date Key'!$G$57:$G$62, MATCH(B31,'Date Key'!$A$57:$A$62, 0)), "")</f>
        <v>High HLR, Upper Outlet Height, No Plants</v>
      </c>
      <c r="D31" s="4" t="str">
        <f>IFERROR(INDEX('Date Key'!$G$2:$G$19, MATCH(F31, 'Date Key'!$A$2:$A$19, 0)), "")</f>
        <v>No</v>
      </c>
      <c r="E31" s="4" t="str">
        <f t="shared" si="1"/>
        <v>in</v>
      </c>
      <c r="F31" s="4">
        <f t="shared" si="2"/>
        <v>11</v>
      </c>
      <c r="G31" s="4">
        <f t="shared" si="22"/>
        <v>2</v>
      </c>
      <c r="H31" s="11" cm="1">
        <f t="array" ref="H31">IFERROR(INDEX('Master Data Sheet'!$1:$1048576, MATCH(1, ('Master Data Sheet'!$H:$H=H$2) * (INDEX('Master Data Sheet'!$1:$1, , MATCH($F$1, 'Master Data Sheet'!$1:$1, 0)) = $F$1) * ('Master Data Sheet'!$G:$G=$B31) * ('Master Data Sheet'!$F:$F=$E31) * ('Master Data Sheet'!$A:$A=$F31), 0), MATCH($F$1, 'Master Data Sheet'!$1:$1, 0)), "")</f>
        <v>0.32139577594123048</v>
      </c>
      <c r="I31" s="11" cm="1">
        <f t="array" ref="I31">IFERROR(INDEX('Master Data Sheet'!$1:$1048576, MATCH(1, ('Master Data Sheet'!$H:$H=I$2) * (INDEX('Master Data Sheet'!$1:$1, , MATCH($F$1, 'Master Data Sheet'!$1:$1, 0)) = $F$1) * ('Master Data Sheet'!$G:$G=$B31) * ('Master Data Sheet'!$F:$F=$E31) * ('Master Data Sheet'!$A:$A=$F31), 0), MATCH($F$1, 'Master Data Sheet'!$1:$1, 0)), "")</f>
        <v>0</v>
      </c>
      <c r="J31" s="11" cm="1">
        <f t="array" ref="J31">IFERROR(INDEX('Master Data Sheet'!$1:$1048576, MATCH(1, ('Master Data Sheet'!$H:$H=J$2) * (INDEX('Master Data Sheet'!$1:$1, , MATCH($F$1, 'Master Data Sheet'!$1:$1, 0)) = $F$1) * ('Master Data Sheet'!$G:$G=$B31) * ('Master Data Sheet'!$F:$F=$E31) * ('Master Data Sheet'!$A:$A=$F31), 0), MATCH($F$1, 'Master Data Sheet'!$1:$1, 0)), "")</f>
        <v>0</v>
      </c>
      <c r="K31" s="11" cm="1">
        <f t="array" ref="K31">IFERROR(INDEX('Master Data Sheet'!$1:$1048576, MATCH(1, ('Master Data Sheet'!$H:$H=K$2) * (INDEX('Master Data Sheet'!$1:$1, , MATCH($F$1, 'Master Data Sheet'!$1:$1, 0)) = $F$1) * ('Master Data Sheet'!$G:$G=$B31) * ('Master Data Sheet'!$F:$F=$E31) * ('Master Data Sheet'!$A:$A=$F31), 0), MATCH($F$1, 'Master Data Sheet'!$1:$1, 0)), "")</f>
        <v>0.59993878175696358</v>
      </c>
      <c r="L31" s="11" cm="1">
        <f t="array" ref="L31">IFERROR(INDEX('Master Data Sheet'!$1:$1048576, MATCH(1, ('Master Data Sheet'!$H:$H=L$2) * (INDEX('Master Data Sheet'!$1:$1, , MATCH($F$1, 'Master Data Sheet'!$1:$1, 0)) = $F$1) * ('Master Data Sheet'!$G:$G=$B31) * ('Master Data Sheet'!$F:$F=$E31) * ('Master Data Sheet'!$A:$A=$F31), 0), MATCH($F$1, 'Master Data Sheet'!$1:$1, 0)), "")</f>
        <v>0</v>
      </c>
      <c r="M31" s="11" cm="1">
        <f t="array" ref="M31">IFERROR(INDEX('Master Data Sheet'!$1:$1048576, MATCH(1, ('Master Data Sheet'!$H:$H=M$2) * (INDEX('Master Data Sheet'!$1:$1, , MATCH($F$1, 'Master Data Sheet'!$1:$1, 0)) = $F$1) * ('Master Data Sheet'!$G:$G=$B31) * ('Master Data Sheet'!$F:$F=$E31) * ('Master Data Sheet'!$A:$A=$F31), 0), MATCH($F$1, 'Master Data Sheet'!$1:$1, 0)), "")</f>
        <v>0.32139577594123048</v>
      </c>
      <c r="N31" s="11" cm="1">
        <f t="array" ref="N31">IFERROR(INDEX('Master Data Sheet'!$1:$1048576, MATCH(1, ('Master Data Sheet'!$H:$H=N$2) * (INDEX('Master Data Sheet'!$1:$1, , MATCH($F$1, 'Master Data Sheet'!$1:$1, 0)) = $F$1) * ('Master Data Sheet'!$G:$G=$B31) * ('Master Data Sheet'!$F:$F=$E31) * ('Master Data Sheet'!$A:$A=$F31), 0), MATCH($F$1, 'Master Data Sheet'!$1:$1, 0)), "")</f>
        <v>2.2711968166513623</v>
      </c>
      <c r="O31" s="11">
        <f t="shared" si="8"/>
        <v>0.50198959289868383</v>
      </c>
      <c r="P31" s="11">
        <f t="shared" si="4"/>
        <v>0.81249586170832666</v>
      </c>
      <c r="Q31" s="11"/>
      <c r="X31" t="str">
        <f>IFERROR(INDEX('Date Key'!$G$57:$G$62, MATCH(B30,'Date Key'!$A$57:$A$62, 0)), "")</f>
        <v>High HLR, Upper Outlet Height, No Plants</v>
      </c>
      <c r="Y31" s="1">
        <f t="shared" ref="Y31:AE31" si="35">H30</f>
        <v>0.10911925175370227</v>
      </c>
      <c r="Z31" s="1">
        <f t="shared" si="35"/>
        <v>0</v>
      </c>
      <c r="AA31" s="1">
        <f t="shared" si="35"/>
        <v>7.2746167835801512E-2</v>
      </c>
      <c r="AB31" s="1">
        <f t="shared" si="35"/>
        <v>1.8186541958950382</v>
      </c>
      <c r="AC31" s="1">
        <f t="shared" si="35"/>
        <v>0</v>
      </c>
      <c r="AD31" s="1">
        <f t="shared" si="35"/>
        <v>0</v>
      </c>
      <c r="AE31" s="1">
        <f t="shared" si="35"/>
        <v>0</v>
      </c>
      <c r="AF31" s="1">
        <f t="shared" ref="AF31:AL31" si="36">H31</f>
        <v>0.32139577594123048</v>
      </c>
      <c r="AG31" s="1">
        <f t="shared" si="36"/>
        <v>0</v>
      </c>
      <c r="AH31" s="1">
        <f t="shared" si="36"/>
        <v>0</v>
      </c>
      <c r="AI31" s="1">
        <f t="shared" si="36"/>
        <v>0.59993878175696358</v>
      </c>
      <c r="AJ31" s="1">
        <f t="shared" si="36"/>
        <v>0</v>
      </c>
      <c r="AK31" s="1">
        <f t="shared" si="36"/>
        <v>0.32139577594123048</v>
      </c>
      <c r="AL31" s="1">
        <f t="shared" si="36"/>
        <v>2.2711968166513623</v>
      </c>
      <c r="AM31" s="1">
        <f t="shared" ref="AM31:AS31" si="37">H32</f>
        <v>0.57851239669421495</v>
      </c>
      <c r="AN31" s="1">
        <f t="shared" si="37"/>
        <v>1.1998775635139272</v>
      </c>
      <c r="AO31" s="1">
        <f t="shared" si="37"/>
        <v>0.64279155188246095</v>
      </c>
      <c r="AP31" s="1">
        <f t="shared" si="37"/>
        <v>0.44995408631772271</v>
      </c>
      <c r="AQ31" s="1">
        <f t="shared" si="37"/>
        <v>0.21426385062748698</v>
      </c>
      <c r="AR31" s="1">
        <f t="shared" si="37"/>
        <v>0</v>
      </c>
      <c r="AS31" s="1">
        <f t="shared" si="37"/>
        <v>0.25711662075298441</v>
      </c>
    </row>
    <row r="32" spans="1:45" x14ac:dyDescent="0.35">
      <c r="A32" s="41">
        <f>IFERROR(INDEX('Date Key'!$B$2:$B$19, MATCH(F32,'Date Key'!$A$2:$A$19, 0)), "")</f>
        <v>45266</v>
      </c>
      <c r="B32" s="4">
        <f t="shared" si="15"/>
        <v>4</v>
      </c>
      <c r="C32" s="26" t="str">
        <f>IFERROR(INDEX('Date Key'!$G$57:$G$62, MATCH(B32,'Date Key'!$A$57:$A$62, 0)), "")</f>
        <v>High HLR, Upper Outlet Height, No Plants</v>
      </c>
      <c r="D32" s="4" t="str">
        <f>IFERROR(INDEX('Date Key'!$G$2:$G$19, MATCH(F32, 'Date Key'!$A$2:$A$19, 0)), "")</f>
        <v>No</v>
      </c>
      <c r="E32" s="4" t="str">
        <f t="shared" si="1"/>
        <v>in</v>
      </c>
      <c r="F32" s="4">
        <f t="shared" si="2"/>
        <v>12</v>
      </c>
      <c r="G32" s="4">
        <f t="shared" si="22"/>
        <v>3</v>
      </c>
      <c r="H32" s="11" cm="1">
        <f t="array" ref="H32">IFERROR(INDEX('Master Data Sheet'!$1:$1048576, MATCH(1, ('Master Data Sheet'!$H:$H=H$2) * (INDEX('Master Data Sheet'!$1:$1, , MATCH($F$1, 'Master Data Sheet'!$1:$1, 0)) = $F$1) * ('Master Data Sheet'!$G:$G=$B32) * ('Master Data Sheet'!$F:$F=$E32) * ('Master Data Sheet'!$A:$A=$F32), 0), MATCH($F$1, 'Master Data Sheet'!$1:$1, 0)), "")</f>
        <v>0.57851239669421495</v>
      </c>
      <c r="I32" s="11" cm="1">
        <f t="array" ref="I32">IFERROR(INDEX('Master Data Sheet'!$1:$1048576, MATCH(1, ('Master Data Sheet'!$H:$H=I$2) * (INDEX('Master Data Sheet'!$1:$1, , MATCH($F$1, 'Master Data Sheet'!$1:$1, 0)) = $F$1) * ('Master Data Sheet'!$G:$G=$B32) * ('Master Data Sheet'!$F:$F=$E32) * ('Master Data Sheet'!$A:$A=$F32), 0), MATCH($F$1, 'Master Data Sheet'!$1:$1, 0)), "")</f>
        <v>1.1998775635139272</v>
      </c>
      <c r="J32" s="11" cm="1">
        <f t="array" ref="J32">IFERROR(INDEX('Master Data Sheet'!$1:$1048576, MATCH(1, ('Master Data Sheet'!$H:$H=J$2) * (INDEX('Master Data Sheet'!$1:$1, , MATCH($F$1, 'Master Data Sheet'!$1:$1, 0)) = $F$1) * ('Master Data Sheet'!$G:$G=$B32) * ('Master Data Sheet'!$F:$F=$E32) * ('Master Data Sheet'!$A:$A=$F32), 0), MATCH($F$1, 'Master Data Sheet'!$1:$1, 0)), "")</f>
        <v>0.64279155188246095</v>
      </c>
      <c r="K32" s="11" cm="1">
        <f t="array" ref="K32">IFERROR(INDEX('Master Data Sheet'!$1:$1048576, MATCH(1, ('Master Data Sheet'!$H:$H=K$2) * (INDEX('Master Data Sheet'!$1:$1, , MATCH($F$1, 'Master Data Sheet'!$1:$1, 0)) = $F$1) * ('Master Data Sheet'!$G:$G=$B32) * ('Master Data Sheet'!$F:$F=$E32) * ('Master Data Sheet'!$A:$A=$F32), 0), MATCH($F$1, 'Master Data Sheet'!$1:$1, 0)), "")</f>
        <v>0.44995408631772271</v>
      </c>
      <c r="L32" s="11" cm="1">
        <f t="array" ref="L32">IFERROR(INDEX('Master Data Sheet'!$1:$1048576, MATCH(1, ('Master Data Sheet'!$H:$H=L$2) * (INDEX('Master Data Sheet'!$1:$1, , MATCH($F$1, 'Master Data Sheet'!$1:$1, 0)) = $F$1) * ('Master Data Sheet'!$G:$G=$B32) * ('Master Data Sheet'!$F:$F=$E32) * ('Master Data Sheet'!$A:$A=$F32), 0), MATCH($F$1, 'Master Data Sheet'!$1:$1, 0)), "")</f>
        <v>0.21426385062748698</v>
      </c>
      <c r="M32" s="11" cm="1">
        <f t="array" ref="M32">IFERROR(INDEX('Master Data Sheet'!$1:$1048576, MATCH(1, ('Master Data Sheet'!$H:$H=M$2) * (INDEX('Master Data Sheet'!$1:$1, , MATCH($F$1, 'Master Data Sheet'!$1:$1, 0)) = $F$1) * ('Master Data Sheet'!$G:$G=$B32) * ('Master Data Sheet'!$F:$F=$E32) * ('Master Data Sheet'!$A:$A=$F32), 0), MATCH($F$1, 'Master Data Sheet'!$1:$1, 0)), "")</f>
        <v>0</v>
      </c>
      <c r="N32" s="11" cm="1">
        <f t="array" ref="N32">IFERROR(INDEX('Master Data Sheet'!$1:$1048576, MATCH(1, ('Master Data Sheet'!$H:$H=N$2) * (INDEX('Master Data Sheet'!$1:$1, , MATCH($F$1, 'Master Data Sheet'!$1:$1, 0)) = $F$1) * ('Master Data Sheet'!$G:$G=$B32) * ('Master Data Sheet'!$F:$F=$E32) * ('Master Data Sheet'!$A:$A=$F32), 0), MATCH($F$1, 'Master Data Sheet'!$1:$1, 0)), "")</f>
        <v>0.25711662075298441</v>
      </c>
      <c r="O32" s="11">
        <f t="shared" si="8"/>
        <v>0.4775022956841139</v>
      </c>
      <c r="P32" s="11">
        <f t="shared" si="4"/>
        <v>0.38858316938729298</v>
      </c>
      <c r="Q32" s="11"/>
      <c r="Y32" s="1"/>
      <c r="Z32" s="1"/>
      <c r="AA32" s="1"/>
      <c r="AB32" s="1"/>
      <c r="AC32" s="1"/>
      <c r="AD32" s="1"/>
      <c r="AE32" s="1"/>
      <c r="AF32" s="1"/>
      <c r="AG32" s="1"/>
      <c r="AH32" s="1"/>
      <c r="AI32" s="1"/>
      <c r="AJ32" s="1"/>
      <c r="AK32" s="1"/>
      <c r="AL32" s="1"/>
      <c r="AM32" s="1"/>
      <c r="AN32" s="1"/>
      <c r="AO32" s="1"/>
      <c r="AP32" s="1"/>
      <c r="AQ32" s="1"/>
      <c r="AR32" s="1"/>
      <c r="AS32" s="1"/>
    </row>
    <row r="33" spans="1:45" x14ac:dyDescent="0.35">
      <c r="A33" s="41">
        <f>IFERROR(INDEX('Date Key'!$B$2:$B$19, MATCH(F33,'Date Key'!$A$2:$A$19, 0)), "")</f>
        <v>45250</v>
      </c>
      <c r="B33" s="4">
        <f t="shared" si="15"/>
        <v>4</v>
      </c>
      <c r="C33" s="26" t="str">
        <f>IFERROR(INDEX('Date Key'!$G$57:$G$62, MATCH(B33,'Date Key'!$A$57:$A$62, 0)), "")</f>
        <v>High HLR, Upper Outlet Height, No Plants</v>
      </c>
      <c r="D33" s="4" t="str">
        <f>IFERROR(INDEX('Date Key'!$G$2:$G$19, MATCH(F33, 'Date Key'!$A$2:$A$19, 0)), "")</f>
        <v>Yes</v>
      </c>
      <c r="E33" s="4" t="str">
        <f t="shared" si="1"/>
        <v>tank 1</v>
      </c>
      <c r="F33" s="4">
        <f t="shared" si="2"/>
        <v>10</v>
      </c>
      <c r="G33" s="4">
        <f t="shared" si="22"/>
        <v>1</v>
      </c>
      <c r="H33" s="11" cm="1">
        <f t="array" ref="H33">IFERROR(INDEX('Master Data Sheet'!$1:$1048576, MATCH(1, ('Master Data Sheet'!$H:$H=H$2) * (INDEX('Master Data Sheet'!$1:$1, , MATCH($F$1, 'Master Data Sheet'!$1:$1, 0)) = $F$1) * ('Master Data Sheet'!$G:$G=$B33) * ('Master Data Sheet'!$F:$F=$E33) * ('Master Data Sheet'!$A:$A=$F33), 0), MATCH($F$1, 'Master Data Sheet'!$1:$1, 0)), "")</f>
        <v>0.18186541958950375</v>
      </c>
      <c r="I33" s="11" cm="1">
        <f t="array" ref="I33">IFERROR(INDEX('Master Data Sheet'!$1:$1048576, MATCH(1, ('Master Data Sheet'!$H:$H=I$2) * (INDEX('Master Data Sheet'!$1:$1, , MATCH($F$1, 'Master Data Sheet'!$1:$1, 0)) = $F$1) * ('Master Data Sheet'!$G:$G=$B33) * ('Master Data Sheet'!$F:$F=$E33) * ('Master Data Sheet'!$A:$A=$F33), 0), MATCH($F$1, 'Master Data Sheet'!$1:$1, 0)), "")</f>
        <v>0.12730579371265266</v>
      </c>
      <c r="J33" s="11" cm="1">
        <f t="array" ref="J33">IFERROR(INDEX('Master Data Sheet'!$1:$1048576, MATCH(1, ('Master Data Sheet'!$H:$H=J$2) * (INDEX('Master Data Sheet'!$1:$1, , MATCH($F$1, 'Master Data Sheet'!$1:$1, 0)) = $F$1) * ('Master Data Sheet'!$G:$G=$B33) * ('Master Data Sheet'!$F:$F=$E33) * ('Master Data Sheet'!$A:$A=$F33), 0), MATCH($F$1, 'Master Data Sheet'!$1:$1, 0)), "")</f>
        <v>0</v>
      </c>
      <c r="K33" s="11" cm="1">
        <f t="array" ref="K33">IFERROR(INDEX('Master Data Sheet'!$1:$1048576, MATCH(1, ('Master Data Sheet'!$H:$H=K$2) * (INDEX('Master Data Sheet'!$1:$1, , MATCH($F$1, 'Master Data Sheet'!$1:$1, 0)) = $F$1) * ('Master Data Sheet'!$G:$G=$B33) * ('Master Data Sheet'!$F:$F=$E33) * ('Master Data Sheet'!$A:$A=$F33), 0), MATCH($F$1, 'Master Data Sheet'!$1:$1, 0)), "")</f>
        <v>0</v>
      </c>
      <c r="L33" s="11" cm="1">
        <f t="array" ref="L33">IFERROR(INDEX('Master Data Sheet'!$1:$1048576, MATCH(1, ('Master Data Sheet'!$H:$H=L$2) * (INDEX('Master Data Sheet'!$1:$1, , MATCH($F$1, 'Master Data Sheet'!$1:$1, 0)) = $F$1) * ('Master Data Sheet'!$G:$G=$B33) * ('Master Data Sheet'!$F:$F=$E33) * ('Master Data Sheet'!$A:$A=$F33), 0), MATCH($F$1, 'Master Data Sheet'!$1:$1, 0)), "")</f>
        <v>0</v>
      </c>
      <c r="M33" s="11" cm="1">
        <f t="array" ref="M33">IFERROR(INDEX('Master Data Sheet'!$1:$1048576, MATCH(1, ('Master Data Sheet'!$H:$H=M$2) * (INDEX('Master Data Sheet'!$1:$1, , MATCH($F$1, 'Master Data Sheet'!$1:$1, 0)) = $F$1) * ('Master Data Sheet'!$G:$G=$B33) * ('Master Data Sheet'!$F:$F=$E33) * ('Master Data Sheet'!$A:$A=$F33), 0), MATCH($F$1, 'Master Data Sheet'!$1:$1, 0)), "")</f>
        <v>0</v>
      </c>
      <c r="N33" s="11" cm="1">
        <f t="array" ref="N33">IFERROR(INDEX('Master Data Sheet'!$1:$1048576, MATCH(1, ('Master Data Sheet'!$H:$H=N$2) * (INDEX('Master Data Sheet'!$1:$1, , MATCH($F$1, 'Master Data Sheet'!$1:$1, 0)) = $F$1) * ('Master Data Sheet'!$G:$G=$B33) * ('Master Data Sheet'!$F:$F=$E33) * ('Master Data Sheet'!$A:$A=$F33), 0), MATCH($F$1, 'Master Data Sheet'!$1:$1, 0)), "")</f>
        <v>0.76383476227591585</v>
      </c>
      <c r="O33" s="11">
        <f t="shared" si="8"/>
        <v>0.15328656793972462</v>
      </c>
      <c r="P33" s="11">
        <f t="shared" si="4"/>
        <v>0.27935877071166654</v>
      </c>
      <c r="Q33" s="11">
        <f>AVERAGE(O33:O35)</f>
        <v>0.1561868398591042</v>
      </c>
      <c r="R33" s="46">
        <f>(1-(O33/O30))*100</f>
        <v>46.363636363636388</v>
      </c>
      <c r="S33" s="46">
        <f>AVERAGE(R33:R35)</f>
        <v>60.738055981958439</v>
      </c>
      <c r="T33" s="46">
        <f>STDEV(R33:R35)</f>
        <v>13.24060996924138</v>
      </c>
      <c r="U33" s="47">
        <f>(1-(AVERAGE(H33:N35)/AVERAGE(H30:N32)))*100</f>
        <v>62.967851418874332</v>
      </c>
      <c r="V33" s="47"/>
      <c r="Y33" s="2"/>
      <c r="Z33" s="2"/>
      <c r="AA33" s="2"/>
      <c r="AB33" s="2"/>
      <c r="AC33" s="2"/>
      <c r="AD33" s="2"/>
      <c r="AE33" s="2"/>
      <c r="AF33" s="2"/>
      <c r="AG33" s="2"/>
    </row>
    <row r="34" spans="1:45" x14ac:dyDescent="0.35">
      <c r="A34" s="41">
        <f>IFERROR(INDEX('Date Key'!$B$2:$B$19, MATCH(F34,'Date Key'!$A$2:$A$19, 0)), "")</f>
        <v>45259</v>
      </c>
      <c r="B34" s="4">
        <f t="shared" si="15"/>
        <v>4</v>
      </c>
      <c r="C34" s="26" t="str">
        <f>IFERROR(INDEX('Date Key'!$G$57:$G$62, MATCH(B34,'Date Key'!$A$57:$A$62, 0)), "")</f>
        <v>High HLR, Upper Outlet Height, No Plants</v>
      </c>
      <c r="D34" s="4" t="str">
        <f>IFERROR(INDEX('Date Key'!$G$2:$G$19, MATCH(F34, 'Date Key'!$A$2:$A$19, 0)), "")</f>
        <v>No</v>
      </c>
      <c r="E34" s="4" t="str">
        <f t="shared" si="1"/>
        <v>tank 1</v>
      </c>
      <c r="F34" s="4">
        <f t="shared" si="2"/>
        <v>11</v>
      </c>
      <c r="G34" s="4">
        <f t="shared" si="22"/>
        <v>2</v>
      </c>
      <c r="H34" s="11" cm="1">
        <f t="array" ref="H34">IFERROR(INDEX('Master Data Sheet'!$1:$1048576, MATCH(1, ('Master Data Sheet'!$H:$H=H$2) * (INDEX('Master Data Sheet'!$1:$1, , MATCH($F$1, 'Master Data Sheet'!$1:$1, 0)) = $F$1) * ('Master Data Sheet'!$G:$G=$B34) * ('Master Data Sheet'!$F:$F=$E34) * ('Master Data Sheet'!$A:$A=$F34), 0), MATCH($F$1, 'Master Data Sheet'!$1:$1, 0)), "")</f>
        <v>0.14998469543924089</v>
      </c>
      <c r="I34" s="11" cm="1">
        <f t="array" ref="I34">IFERROR(INDEX('Master Data Sheet'!$1:$1048576, MATCH(1, ('Master Data Sheet'!$H:$H=I$2) * (INDEX('Master Data Sheet'!$1:$1, , MATCH($F$1, 'Master Data Sheet'!$1:$1, 0)) = $F$1) * ('Master Data Sheet'!$G:$G=$B34) * ('Master Data Sheet'!$F:$F=$E34) * ('Master Data Sheet'!$A:$A=$F34), 0), MATCH($F$1, 'Master Data Sheet'!$1:$1, 0)), "")</f>
        <v>0.29996939087848179</v>
      </c>
      <c r="J34" s="11" cm="1">
        <f t="array" ref="J34">IFERROR(INDEX('Master Data Sheet'!$1:$1048576, MATCH(1, ('Master Data Sheet'!$H:$H=J$2) * (INDEX('Master Data Sheet'!$1:$1, , MATCH($F$1, 'Master Data Sheet'!$1:$1, 0)) = $F$1) * ('Master Data Sheet'!$G:$G=$B34) * ('Master Data Sheet'!$F:$F=$E34) * ('Master Data Sheet'!$A:$A=$F34), 0), MATCH($F$1, 'Master Data Sheet'!$1:$1, 0)), "")</f>
        <v>0.25711662075298441</v>
      </c>
      <c r="K34" s="11" cm="1">
        <f t="array" ref="K34">IFERROR(INDEX('Master Data Sheet'!$1:$1048576, MATCH(1, ('Master Data Sheet'!$H:$H=K$2) * (INDEX('Master Data Sheet'!$1:$1, , MATCH($F$1, 'Master Data Sheet'!$1:$1, 0)) = $F$1) * ('Master Data Sheet'!$G:$G=$B34) * ('Master Data Sheet'!$F:$F=$E34) * ('Master Data Sheet'!$A:$A=$F34), 0), MATCH($F$1, 'Master Data Sheet'!$1:$1, 0)), "")</f>
        <v>0.14998469543924089</v>
      </c>
      <c r="L34" s="11" cm="1">
        <f t="array" ref="L34">IFERROR(INDEX('Master Data Sheet'!$1:$1048576, MATCH(1, ('Master Data Sheet'!$H:$H=L$2) * (INDEX('Master Data Sheet'!$1:$1, , MATCH($F$1, 'Master Data Sheet'!$1:$1, 0)) = $F$1) * ('Master Data Sheet'!$G:$G=$B34) * ('Master Data Sheet'!$F:$F=$E34) * ('Master Data Sheet'!$A:$A=$F34), 0), MATCH($F$1, 'Master Data Sheet'!$1:$1, 0)), "")</f>
        <v>0.14998469543924089</v>
      </c>
      <c r="M34" s="11" cm="1">
        <f t="array" ref="M34">IFERROR(INDEX('Master Data Sheet'!$1:$1048576, MATCH(1, ('Master Data Sheet'!$H:$H=M$2) * (INDEX('Master Data Sheet'!$1:$1, , MATCH($F$1, 'Master Data Sheet'!$1:$1, 0)) = $F$1) * ('Master Data Sheet'!$G:$G=$B34) * ('Master Data Sheet'!$F:$F=$E34) * ('Master Data Sheet'!$A:$A=$F34), 0), MATCH($F$1, 'Master Data Sheet'!$1:$1, 0)), "")</f>
        <v>0.2785430058157331</v>
      </c>
      <c r="N34" s="11" cm="1">
        <f t="array" ref="N34">IFERROR(INDEX('Master Data Sheet'!$1:$1048576, MATCH(1, ('Master Data Sheet'!$H:$H=N$2) * (INDEX('Master Data Sheet'!$1:$1, , MATCH($F$1, 'Master Data Sheet'!$1:$1, 0)) = $F$1) * ('Master Data Sheet'!$G:$G=$B34) * ('Master Data Sheet'!$F:$F=$E34) * ('Master Data Sheet'!$A:$A=$F34), 0), MATCH($F$1, 'Master Data Sheet'!$1:$1, 0)), "")</f>
        <v>0</v>
      </c>
      <c r="O34" s="11">
        <f t="shared" si="8"/>
        <v>0.18365472910927455</v>
      </c>
      <c r="P34" s="11">
        <f t="shared" si="4"/>
        <v>0.10413101375103011</v>
      </c>
      <c r="Q34" s="11"/>
      <c r="R34" s="46">
        <f>(1-(O34/O31))*100</f>
        <v>63.414634146341477</v>
      </c>
      <c r="X34" t="str">
        <f>IFERROR(INDEX('Date Key'!$G$57:$G$62, MATCH(B33,'Date Key'!$A$57:$A$62, 0)), "")</f>
        <v>High HLR, Upper Outlet Height, No Plants</v>
      </c>
      <c r="Y34" s="1">
        <f t="shared" ref="Y34:AE34" si="38">H33</f>
        <v>0.18186541958950375</v>
      </c>
      <c r="Z34" s="1">
        <f t="shared" si="38"/>
        <v>0.12730579371265266</v>
      </c>
      <c r="AA34" s="1">
        <f t="shared" si="38"/>
        <v>0</v>
      </c>
      <c r="AB34" s="1">
        <f t="shared" si="38"/>
        <v>0</v>
      </c>
      <c r="AC34" s="1">
        <f t="shared" si="38"/>
        <v>0</v>
      </c>
      <c r="AD34" s="1">
        <f t="shared" si="38"/>
        <v>0</v>
      </c>
      <c r="AE34" s="1">
        <f t="shared" si="38"/>
        <v>0.76383476227591585</v>
      </c>
      <c r="AF34" s="1">
        <f t="shared" ref="AF34:AL34" si="39">H34</f>
        <v>0.14998469543924089</v>
      </c>
      <c r="AG34" s="1">
        <f t="shared" si="39"/>
        <v>0.29996939087848179</v>
      </c>
      <c r="AH34" s="1">
        <f t="shared" si="39"/>
        <v>0.25711662075298441</v>
      </c>
      <c r="AI34" s="1">
        <f t="shared" si="39"/>
        <v>0.14998469543924089</v>
      </c>
      <c r="AJ34" s="1">
        <f t="shared" si="39"/>
        <v>0.14998469543924089</v>
      </c>
      <c r="AK34" s="1">
        <f t="shared" si="39"/>
        <v>0.2785430058157331</v>
      </c>
      <c r="AL34" s="1">
        <f t="shared" si="39"/>
        <v>0</v>
      </c>
      <c r="AM34" s="1">
        <f t="shared" ref="AM34:AS34" si="40">H35</f>
        <v>0.44995408631772271</v>
      </c>
      <c r="AN34" s="1">
        <f t="shared" si="40"/>
        <v>0</v>
      </c>
      <c r="AO34" s="1">
        <f t="shared" si="40"/>
        <v>4.2852770125497402E-2</v>
      </c>
      <c r="AP34" s="1">
        <f t="shared" si="40"/>
        <v>0.19283746556473827</v>
      </c>
      <c r="AQ34" s="1">
        <f t="shared" si="40"/>
        <v>0</v>
      </c>
      <c r="AR34" s="1">
        <f t="shared" si="40"/>
        <v>0.23569023569023567</v>
      </c>
      <c r="AS34" s="1">
        <f t="shared" si="40"/>
        <v>0</v>
      </c>
    </row>
    <row r="35" spans="1:45" x14ac:dyDescent="0.35">
      <c r="A35" s="41">
        <f>IFERROR(INDEX('Date Key'!$B$2:$B$19, MATCH(F35,'Date Key'!$A$2:$A$19, 0)), "")</f>
        <v>45266</v>
      </c>
      <c r="B35" s="4">
        <f t="shared" si="15"/>
        <v>4</v>
      </c>
      <c r="C35" s="26" t="str">
        <f>IFERROR(INDEX('Date Key'!$G$57:$G$62, MATCH(B35,'Date Key'!$A$57:$A$62, 0)), "")</f>
        <v>High HLR, Upper Outlet Height, No Plants</v>
      </c>
      <c r="D35" s="4" t="str">
        <f>IFERROR(INDEX('Date Key'!$G$2:$G$19, MATCH(F35, 'Date Key'!$A$2:$A$19, 0)), "")</f>
        <v>No</v>
      </c>
      <c r="E35" s="4" t="str">
        <f t="shared" si="1"/>
        <v>tank 1</v>
      </c>
      <c r="F35" s="4">
        <f t="shared" si="2"/>
        <v>12</v>
      </c>
      <c r="G35" s="4">
        <f t="shared" si="22"/>
        <v>3</v>
      </c>
      <c r="H35" s="11" cm="1">
        <f t="array" ref="H35">IFERROR(INDEX('Master Data Sheet'!$1:$1048576, MATCH(1, ('Master Data Sheet'!$H:$H=H$2) * (INDEX('Master Data Sheet'!$1:$1, , MATCH($F$1, 'Master Data Sheet'!$1:$1, 0)) = $F$1) * ('Master Data Sheet'!$G:$G=$B35) * ('Master Data Sheet'!$F:$F=$E35) * ('Master Data Sheet'!$A:$A=$F35), 0), MATCH($F$1, 'Master Data Sheet'!$1:$1, 0)), "")</f>
        <v>0.44995408631772271</v>
      </c>
      <c r="I35" s="11" cm="1">
        <f t="array" ref="I35">IFERROR(INDEX('Master Data Sheet'!$1:$1048576, MATCH(1, ('Master Data Sheet'!$H:$H=I$2) * (INDEX('Master Data Sheet'!$1:$1, , MATCH($F$1, 'Master Data Sheet'!$1:$1, 0)) = $F$1) * ('Master Data Sheet'!$G:$G=$B35) * ('Master Data Sheet'!$F:$F=$E35) * ('Master Data Sheet'!$A:$A=$F35), 0), MATCH($F$1, 'Master Data Sheet'!$1:$1, 0)), "")</f>
        <v>0</v>
      </c>
      <c r="J35" s="11" cm="1">
        <f t="array" ref="J35">IFERROR(INDEX('Master Data Sheet'!$1:$1048576, MATCH(1, ('Master Data Sheet'!$H:$H=J$2) * (INDEX('Master Data Sheet'!$1:$1, , MATCH($F$1, 'Master Data Sheet'!$1:$1, 0)) = $F$1) * ('Master Data Sheet'!$G:$G=$B35) * ('Master Data Sheet'!$F:$F=$E35) * ('Master Data Sheet'!$A:$A=$F35), 0), MATCH($F$1, 'Master Data Sheet'!$1:$1, 0)), "")</f>
        <v>4.2852770125497402E-2</v>
      </c>
      <c r="K35" s="11" cm="1">
        <f t="array" ref="K35">IFERROR(INDEX('Master Data Sheet'!$1:$1048576, MATCH(1, ('Master Data Sheet'!$H:$H=K$2) * (INDEX('Master Data Sheet'!$1:$1, , MATCH($F$1, 'Master Data Sheet'!$1:$1, 0)) = $F$1) * ('Master Data Sheet'!$G:$G=$B35) * ('Master Data Sheet'!$F:$F=$E35) * ('Master Data Sheet'!$A:$A=$F35), 0), MATCH($F$1, 'Master Data Sheet'!$1:$1, 0)), "")</f>
        <v>0.19283746556473827</v>
      </c>
      <c r="L35" s="11" cm="1">
        <f t="array" ref="L35">IFERROR(INDEX('Master Data Sheet'!$1:$1048576, MATCH(1, ('Master Data Sheet'!$H:$H=L$2) * (INDEX('Master Data Sheet'!$1:$1, , MATCH($F$1, 'Master Data Sheet'!$1:$1, 0)) = $F$1) * ('Master Data Sheet'!$G:$G=$B35) * ('Master Data Sheet'!$F:$F=$E35) * ('Master Data Sheet'!$A:$A=$F35), 0), MATCH($F$1, 'Master Data Sheet'!$1:$1, 0)), "")</f>
        <v>0</v>
      </c>
      <c r="M35" s="11" cm="1">
        <f t="array" ref="M35">IFERROR(INDEX('Master Data Sheet'!$1:$1048576, MATCH(1, ('Master Data Sheet'!$H:$H=M$2) * (INDEX('Master Data Sheet'!$1:$1, , MATCH($F$1, 'Master Data Sheet'!$1:$1, 0)) = $F$1) * ('Master Data Sheet'!$G:$G=$B35) * ('Master Data Sheet'!$F:$F=$E35) * ('Master Data Sheet'!$A:$A=$F35), 0), MATCH($F$1, 'Master Data Sheet'!$1:$1, 0)), "")</f>
        <v>0.23569023569023567</v>
      </c>
      <c r="N35" s="11" cm="1">
        <f t="array" ref="N35">IFERROR(INDEX('Master Data Sheet'!$1:$1048576, MATCH(1, ('Master Data Sheet'!$H:$H=N$2) * (INDEX('Master Data Sheet'!$1:$1, , MATCH($F$1, 'Master Data Sheet'!$1:$1, 0)) = $F$1) * ('Master Data Sheet'!$G:$G=$B35) * ('Master Data Sheet'!$F:$F=$E35) * ('Master Data Sheet'!$A:$A=$F35), 0), MATCH($F$1, 'Master Data Sheet'!$1:$1, 0)), "")</f>
        <v>0</v>
      </c>
      <c r="O35" s="11">
        <f t="shared" si="8"/>
        <v>0.13161922252831343</v>
      </c>
      <c r="P35" s="11">
        <f t="shared" si="4"/>
        <v>0.17115581441768787</v>
      </c>
      <c r="Q35" s="11"/>
      <c r="R35" s="46">
        <f>(1-(O35/O32))*100</f>
        <v>72.435897435897445</v>
      </c>
      <c r="Y35" s="2"/>
      <c r="Z35" s="2"/>
      <c r="AA35" s="2"/>
      <c r="AB35" s="2"/>
      <c r="AC35" s="2"/>
      <c r="AD35" s="2"/>
      <c r="AE35" s="2"/>
      <c r="AF35" s="2"/>
      <c r="AG35" s="2"/>
    </row>
    <row r="36" spans="1:45" x14ac:dyDescent="0.35">
      <c r="A36" s="41">
        <f>IFERROR(INDEX('Date Key'!$B$2:$B$19, MATCH(F36,'Date Key'!$A$2:$A$19, 0)), "")</f>
        <v>45250</v>
      </c>
      <c r="B36" s="4">
        <f t="shared" si="15"/>
        <v>4</v>
      </c>
      <c r="C36" s="26" t="str">
        <f>IFERROR(INDEX('Date Key'!$G$57:$G$62, MATCH(B36,'Date Key'!$A$57:$A$62, 0)), "")</f>
        <v>High HLR, Upper Outlet Height, No Plants</v>
      </c>
      <c r="D36" s="4" t="str">
        <f>IFERROR(INDEX('Date Key'!$G$2:$G$19, MATCH(F36, 'Date Key'!$A$2:$A$19, 0)), "")</f>
        <v>Yes</v>
      </c>
      <c r="E36" s="4" t="str">
        <f t="shared" si="1"/>
        <v>tank 2</v>
      </c>
      <c r="F36" s="4">
        <f t="shared" si="2"/>
        <v>10</v>
      </c>
      <c r="G36" s="4">
        <f t="shared" si="22"/>
        <v>1</v>
      </c>
      <c r="H36" s="11" cm="1">
        <f t="array" ref="H36">IFERROR(INDEX('Master Data Sheet'!$1:$1048576, MATCH(1, ('Master Data Sheet'!$H:$H=H$2) * (INDEX('Master Data Sheet'!$1:$1, , MATCH($F$1, 'Master Data Sheet'!$1:$1, 0)) = $F$1) * ('Master Data Sheet'!$G:$G=$B36) * ('Master Data Sheet'!$F:$F=$E36) * ('Master Data Sheet'!$A:$A=$F36), 0), MATCH($F$1, 'Master Data Sheet'!$1:$1, 0)), "")</f>
        <v>0.32735775526110678</v>
      </c>
      <c r="I36" s="11" cm="1">
        <f t="array" ref="I36">IFERROR(INDEX('Master Data Sheet'!$1:$1048576, MATCH(1, ('Master Data Sheet'!$H:$H=I$2) * (INDEX('Master Data Sheet'!$1:$1, , MATCH($F$1, 'Master Data Sheet'!$1:$1, 0)) = $F$1) * ('Master Data Sheet'!$G:$G=$B36) * ('Master Data Sheet'!$F:$F=$E36) * ('Master Data Sheet'!$A:$A=$F36), 0), MATCH($F$1, 'Master Data Sheet'!$1:$1, 0)), "")</f>
        <v>0.32735775526110678</v>
      </c>
      <c r="J36" s="11" cm="1">
        <f t="array" ref="J36">IFERROR(INDEX('Master Data Sheet'!$1:$1048576, MATCH(1, ('Master Data Sheet'!$H:$H=J$2) * (INDEX('Master Data Sheet'!$1:$1, , MATCH($F$1, 'Master Data Sheet'!$1:$1, 0)) = $F$1) * ('Master Data Sheet'!$G:$G=$B36) * ('Master Data Sheet'!$F:$F=$E36) * ('Master Data Sheet'!$A:$A=$F36), 0), MATCH($F$1, 'Master Data Sheet'!$1:$1, 0)), "")</f>
        <v>0</v>
      </c>
      <c r="K36" s="11" cm="1">
        <f t="array" ref="K36">IFERROR(INDEX('Master Data Sheet'!$1:$1048576, MATCH(1, ('Master Data Sheet'!$H:$H=K$2) * (INDEX('Master Data Sheet'!$1:$1, , MATCH($F$1, 'Master Data Sheet'!$1:$1, 0)) = $F$1) * ('Master Data Sheet'!$G:$G=$B36) * ('Master Data Sheet'!$F:$F=$E36) * ('Master Data Sheet'!$A:$A=$F36), 0), MATCH($F$1, 'Master Data Sheet'!$1:$1, 0)), "")</f>
        <v>0</v>
      </c>
      <c r="L36" s="11" cm="1">
        <f t="array" ref="L36">IFERROR(INDEX('Master Data Sheet'!$1:$1048576, MATCH(1, ('Master Data Sheet'!$H:$H=L$2) * (INDEX('Master Data Sheet'!$1:$1, , MATCH($F$1, 'Master Data Sheet'!$1:$1, 0)) = $F$1) * ('Master Data Sheet'!$G:$G=$B36) * ('Master Data Sheet'!$F:$F=$E36) * ('Master Data Sheet'!$A:$A=$F36), 0), MATCH($F$1, 'Master Data Sheet'!$1:$1, 0)), "")</f>
        <v>0.14549233567160302</v>
      </c>
      <c r="M36" s="11" cm="1">
        <f t="array" ref="M36">IFERROR(INDEX('Master Data Sheet'!$1:$1048576, MATCH(1, ('Master Data Sheet'!$H:$H=M$2) * (INDEX('Master Data Sheet'!$1:$1, , MATCH($F$1, 'Master Data Sheet'!$1:$1, 0)) = $F$1) * ('Master Data Sheet'!$G:$G=$B36) * ('Master Data Sheet'!$F:$F=$E36) * ('Master Data Sheet'!$A:$A=$F36), 0), MATCH($F$1, 'Master Data Sheet'!$1:$1, 0)), "")</f>
        <v>0</v>
      </c>
      <c r="N36" s="11" cm="1">
        <f t="array" ref="N36">IFERROR(INDEX('Master Data Sheet'!$1:$1048576, MATCH(1, ('Master Data Sheet'!$H:$H=N$2) * (INDEX('Master Data Sheet'!$1:$1, , MATCH($F$1, 'Master Data Sheet'!$1:$1, 0)) = $F$1) * ('Master Data Sheet'!$G:$G=$B36) * ('Master Data Sheet'!$F:$F=$E36) * ('Master Data Sheet'!$A:$A=$F36), 0), MATCH($F$1, 'Master Data Sheet'!$1:$1, 0)), "")</f>
        <v>0</v>
      </c>
      <c r="O36" s="11">
        <f t="shared" si="8"/>
        <v>0.11431540659911665</v>
      </c>
      <c r="P36" s="11">
        <f t="shared" si="4"/>
        <v>0.1549290882398085</v>
      </c>
      <c r="Q36" s="11">
        <f>AVERAGE(N36:N38)</f>
        <v>9.9989796959493935E-2</v>
      </c>
      <c r="R36" s="46">
        <f>(1-(O36/O30))*100</f>
        <v>60.000000000000007</v>
      </c>
      <c r="S36" s="46">
        <f>AVERAGE(R36:R38)</f>
        <v>39.215134459036896</v>
      </c>
      <c r="T36" s="46">
        <f>STDEV(R36:R38)</f>
        <v>44.235957084288977</v>
      </c>
      <c r="U36" s="47">
        <f>(1-(AVERAGE(H36:N38)/AVERAGE(H30:N32)))*100</f>
        <v>35.082681248232319</v>
      </c>
      <c r="V36" s="47"/>
      <c r="Y36" s="2"/>
      <c r="Z36" s="2"/>
      <c r="AA36" s="2"/>
      <c r="AB36" s="2"/>
      <c r="AC36" s="2"/>
      <c r="AD36" s="2"/>
      <c r="AE36" s="2"/>
      <c r="AF36" s="2"/>
      <c r="AG36" s="2"/>
    </row>
    <row r="37" spans="1:45" x14ac:dyDescent="0.35">
      <c r="A37" s="41">
        <f>IFERROR(INDEX('Date Key'!$B$2:$B$19, MATCH(F37,'Date Key'!$A$2:$A$19, 0)), "")</f>
        <v>45259</v>
      </c>
      <c r="B37" s="4">
        <f t="shared" si="15"/>
        <v>4</v>
      </c>
      <c r="C37" s="26" t="str">
        <f>IFERROR(INDEX('Date Key'!$G$57:$G$62, MATCH(B37,'Date Key'!$A$57:$A$62, 0)), "")</f>
        <v>High HLR, Upper Outlet Height, No Plants</v>
      </c>
      <c r="D37" s="4" t="str">
        <f>IFERROR(INDEX('Date Key'!$G$2:$G$19, MATCH(F37, 'Date Key'!$A$2:$A$19, 0)), "")</f>
        <v>No</v>
      </c>
      <c r="E37" s="4" t="str">
        <f t="shared" si="1"/>
        <v>tank 2</v>
      </c>
      <c r="F37" s="4">
        <f t="shared" si="2"/>
        <v>11</v>
      </c>
      <c r="G37" s="4">
        <f t="shared" si="22"/>
        <v>2</v>
      </c>
      <c r="H37" s="11" cm="1">
        <f t="array" ref="H37">IFERROR(INDEX('Master Data Sheet'!$1:$1048576, MATCH(1, ('Master Data Sheet'!$H:$H=H$2) * (INDEX('Master Data Sheet'!$1:$1, , MATCH($F$1, 'Master Data Sheet'!$1:$1, 0)) = $F$1) * ('Master Data Sheet'!$G:$G=$B37) * ('Master Data Sheet'!$F:$F=$E37) * ('Master Data Sheet'!$A:$A=$F37), 0), MATCH($F$1, 'Master Data Sheet'!$1:$1, 0)), "")</f>
        <v>0.34282216100397922</v>
      </c>
      <c r="I37" s="11" cm="1">
        <f t="array" ref="I37">IFERROR(INDEX('Master Data Sheet'!$1:$1048576, MATCH(1, ('Master Data Sheet'!$H:$H=I$2) * (INDEX('Master Data Sheet'!$1:$1, , MATCH($F$1, 'Master Data Sheet'!$1:$1, 0)) = $F$1) * ('Master Data Sheet'!$G:$G=$B37) * ('Master Data Sheet'!$F:$F=$E37) * ('Master Data Sheet'!$A:$A=$F37), 0), MATCH($F$1, 'Master Data Sheet'!$1:$1, 0)), "")</f>
        <v>1.6284052647689009</v>
      </c>
      <c r="J37" s="11" cm="1">
        <f t="array" ref="J37">IFERROR(INDEX('Master Data Sheet'!$1:$1048576, MATCH(1, ('Master Data Sheet'!$H:$H=J$2) * (INDEX('Master Data Sheet'!$1:$1, , MATCH($F$1, 'Master Data Sheet'!$1:$1, 0)) = $F$1) * ('Master Data Sheet'!$G:$G=$B37) * ('Master Data Sheet'!$F:$F=$E37) * ('Master Data Sheet'!$A:$A=$F37), 0), MATCH($F$1, 'Master Data Sheet'!$1:$1, 0)), "")</f>
        <v>0.32139577594123048</v>
      </c>
      <c r="K37" s="11" cm="1">
        <f t="array" ref="K37">IFERROR(INDEX('Master Data Sheet'!$1:$1048576, MATCH(1, ('Master Data Sheet'!$H:$H=K$2) * (INDEX('Master Data Sheet'!$1:$1, , MATCH($F$1, 'Master Data Sheet'!$1:$1, 0)) = $F$1) * ('Master Data Sheet'!$G:$G=$B37) * ('Master Data Sheet'!$F:$F=$E37) * ('Master Data Sheet'!$A:$A=$F37), 0), MATCH($F$1, 'Master Data Sheet'!$1:$1, 0)), "")</f>
        <v>0.68564432200795844</v>
      </c>
      <c r="L37" s="11" cm="1">
        <f t="array" ref="L37">IFERROR(INDEX('Master Data Sheet'!$1:$1048576, MATCH(1, ('Master Data Sheet'!$H:$H=L$2) * (INDEX('Master Data Sheet'!$1:$1, , MATCH($F$1, 'Master Data Sheet'!$1:$1, 0)) = $F$1) * ('Master Data Sheet'!$G:$G=$B37) * ('Master Data Sheet'!$F:$F=$E37) * ('Master Data Sheet'!$A:$A=$F37), 0), MATCH($F$1, 'Master Data Sheet'!$1:$1, 0)), "")</f>
        <v>0</v>
      </c>
      <c r="M37" s="11" cm="1">
        <f t="array" ref="M37">IFERROR(INDEX('Master Data Sheet'!$1:$1048576, MATCH(1, ('Master Data Sheet'!$H:$H=M$2) * (INDEX('Master Data Sheet'!$1:$1, , MATCH($F$1, 'Master Data Sheet'!$1:$1, 0)) = $F$1) * ('Master Data Sheet'!$G:$G=$B37) * ('Master Data Sheet'!$F:$F=$E37) * ('Master Data Sheet'!$A:$A=$F37), 0), MATCH($F$1, 'Master Data Sheet'!$1:$1, 0)), "")</f>
        <v>0.64279155188246095</v>
      </c>
      <c r="N37" s="11" cm="1">
        <f t="array" ref="N37">IFERROR(INDEX('Master Data Sheet'!$1:$1048576, MATCH(1, ('Master Data Sheet'!$H:$H=N$2) * (INDEX('Master Data Sheet'!$1:$1, , MATCH($F$1, 'Master Data Sheet'!$1:$1, 0)) = $F$1) * ('Master Data Sheet'!$G:$G=$B37) * ('Master Data Sheet'!$F:$F=$E37) * ('Master Data Sheet'!$A:$A=$F37), 0), MATCH($F$1, 'Master Data Sheet'!$1:$1, 0)), "")</f>
        <v>0.29996939087848179</v>
      </c>
      <c r="O37" s="11">
        <f t="shared" si="8"/>
        <v>0.56014692378328745</v>
      </c>
      <c r="P37" s="11">
        <f t="shared" si="4"/>
        <v>0.52431617410449349</v>
      </c>
      <c r="Q37" s="11"/>
      <c r="R37" s="46">
        <f>(1-(O37/O31))*100</f>
        <v>-11.585365853658548</v>
      </c>
      <c r="X37" t="str">
        <f>IFERROR(INDEX('Date Key'!$G$57:$G$62, MATCH(B36,'Date Key'!$A$57:$A$62, 0)), "")</f>
        <v>High HLR, Upper Outlet Height, No Plants</v>
      </c>
      <c r="Y37" s="1">
        <f t="shared" ref="Y37:AE37" si="41">H36</f>
        <v>0.32735775526110678</v>
      </c>
      <c r="Z37" s="1">
        <f t="shared" si="41"/>
        <v>0.32735775526110678</v>
      </c>
      <c r="AA37" s="1">
        <f t="shared" si="41"/>
        <v>0</v>
      </c>
      <c r="AB37" s="1">
        <f t="shared" si="41"/>
        <v>0</v>
      </c>
      <c r="AC37" s="1">
        <f t="shared" si="41"/>
        <v>0.14549233567160302</v>
      </c>
      <c r="AD37" s="1">
        <f t="shared" si="41"/>
        <v>0</v>
      </c>
      <c r="AE37" s="1">
        <f t="shared" si="41"/>
        <v>0</v>
      </c>
      <c r="AF37" s="1">
        <f t="shared" ref="AF37:AL37" si="42">H37</f>
        <v>0.34282216100397922</v>
      </c>
      <c r="AG37" s="1">
        <f t="shared" si="42"/>
        <v>1.6284052647689009</v>
      </c>
      <c r="AH37" s="1">
        <f t="shared" si="42"/>
        <v>0.32139577594123048</v>
      </c>
      <c r="AI37" s="1">
        <f t="shared" si="42"/>
        <v>0.68564432200795844</v>
      </c>
      <c r="AJ37" s="1">
        <f t="shared" si="42"/>
        <v>0</v>
      </c>
      <c r="AK37" s="1">
        <f t="shared" si="42"/>
        <v>0.64279155188246095</v>
      </c>
      <c r="AL37" s="1">
        <f t="shared" si="42"/>
        <v>0.29996939087848179</v>
      </c>
      <c r="AM37" s="1">
        <f t="shared" ref="AM37:AS37" si="43">H38</f>
        <v>0.6642179369452097</v>
      </c>
      <c r="AN37" s="1">
        <f t="shared" si="43"/>
        <v>0.36424854606672796</v>
      </c>
      <c r="AO37" s="1">
        <f t="shared" si="43"/>
        <v>0</v>
      </c>
      <c r="AP37" s="1">
        <f t="shared" si="43"/>
        <v>0</v>
      </c>
      <c r="AQ37" s="1">
        <f t="shared" si="43"/>
        <v>0</v>
      </c>
      <c r="AR37" s="1">
        <f t="shared" si="43"/>
        <v>0</v>
      </c>
      <c r="AS37" s="1">
        <f t="shared" si="43"/>
        <v>0</v>
      </c>
    </row>
    <row r="38" spans="1:45" x14ac:dyDescent="0.35">
      <c r="A38" s="42">
        <f>IFERROR(INDEX('Date Key'!$B$2:$B$19, MATCH(F38,'Date Key'!$A$2:$A$19, 0)), "")</f>
        <v>45266</v>
      </c>
      <c r="B38" s="27">
        <f t="shared" si="15"/>
        <v>4</v>
      </c>
      <c r="C38" s="51" t="str">
        <f>IFERROR(INDEX('Date Key'!$G$57:$G$62, MATCH(B38,'Date Key'!$A$57:$A$62, 0)), "")</f>
        <v>High HLR, Upper Outlet Height, No Plants</v>
      </c>
      <c r="D38" s="27" t="str">
        <f>IFERROR(INDEX('Date Key'!$G$2:$G$19, MATCH(F38, 'Date Key'!$A$2:$A$19, 0)), "")</f>
        <v>No</v>
      </c>
      <c r="E38" s="27" t="str">
        <f t="shared" si="1"/>
        <v>tank 2</v>
      </c>
      <c r="F38" s="27">
        <f t="shared" si="2"/>
        <v>12</v>
      </c>
      <c r="G38" s="27">
        <f t="shared" si="22"/>
        <v>3</v>
      </c>
      <c r="H38" s="28" cm="1">
        <f t="array" ref="H38">IFERROR(INDEX('Master Data Sheet'!$1:$1048576, MATCH(1, ('Master Data Sheet'!$H:$H=H$2) * (INDEX('Master Data Sheet'!$1:$1, , MATCH($F$1, 'Master Data Sheet'!$1:$1, 0)) = $F$1) * ('Master Data Sheet'!$G:$G=$B38) * ('Master Data Sheet'!$F:$F=$E38) * ('Master Data Sheet'!$A:$A=$F38), 0), MATCH($F$1, 'Master Data Sheet'!$1:$1, 0)), "")</f>
        <v>0.6642179369452097</v>
      </c>
      <c r="I38" s="28" cm="1">
        <f t="array" ref="I38">IFERROR(INDEX('Master Data Sheet'!$1:$1048576, MATCH(1, ('Master Data Sheet'!$H:$H=I$2) * (INDEX('Master Data Sheet'!$1:$1, , MATCH($F$1, 'Master Data Sheet'!$1:$1, 0)) = $F$1) * ('Master Data Sheet'!$G:$G=$B38) * ('Master Data Sheet'!$F:$F=$E38) * ('Master Data Sheet'!$A:$A=$F38), 0), MATCH($F$1, 'Master Data Sheet'!$1:$1, 0)), "")</f>
        <v>0.36424854606672796</v>
      </c>
      <c r="J38" s="28" cm="1">
        <f t="array" ref="J38">IFERROR(INDEX('Master Data Sheet'!$1:$1048576, MATCH(1, ('Master Data Sheet'!$H:$H=J$2) * (INDEX('Master Data Sheet'!$1:$1, , MATCH($F$1, 'Master Data Sheet'!$1:$1, 0)) = $F$1) * ('Master Data Sheet'!$G:$G=$B38) * ('Master Data Sheet'!$F:$F=$E38) * ('Master Data Sheet'!$A:$A=$F38), 0), MATCH($F$1, 'Master Data Sheet'!$1:$1, 0)), "")</f>
        <v>0</v>
      </c>
      <c r="K38" s="28" cm="1">
        <f t="array" ref="K38">IFERROR(INDEX('Master Data Sheet'!$1:$1048576, MATCH(1, ('Master Data Sheet'!$H:$H=K$2) * (INDEX('Master Data Sheet'!$1:$1, , MATCH($F$1, 'Master Data Sheet'!$1:$1, 0)) = $F$1) * ('Master Data Sheet'!$G:$G=$B38) * ('Master Data Sheet'!$F:$F=$E38) * ('Master Data Sheet'!$A:$A=$F38), 0), MATCH($F$1, 'Master Data Sheet'!$1:$1, 0)), "")</f>
        <v>0</v>
      </c>
      <c r="L38" s="28" cm="1">
        <f t="array" ref="L38">IFERROR(INDEX('Master Data Sheet'!$1:$1048576, MATCH(1, ('Master Data Sheet'!$H:$H=L$2) * (INDEX('Master Data Sheet'!$1:$1, , MATCH($F$1, 'Master Data Sheet'!$1:$1, 0)) = $F$1) * ('Master Data Sheet'!$G:$G=$B38) * ('Master Data Sheet'!$F:$F=$E38) * ('Master Data Sheet'!$A:$A=$F38), 0), MATCH($F$1, 'Master Data Sheet'!$1:$1, 0)), "")</f>
        <v>0</v>
      </c>
      <c r="M38" s="28" cm="1">
        <f t="array" ref="M38">IFERROR(INDEX('Master Data Sheet'!$1:$1048576, MATCH(1, ('Master Data Sheet'!$H:$H=M$2) * (INDEX('Master Data Sheet'!$1:$1, , MATCH($F$1, 'Master Data Sheet'!$1:$1, 0)) = $F$1) * ('Master Data Sheet'!$G:$G=$B38) * ('Master Data Sheet'!$F:$F=$E38) * ('Master Data Sheet'!$A:$A=$F38), 0), MATCH($F$1, 'Master Data Sheet'!$1:$1, 0)), "")</f>
        <v>0</v>
      </c>
      <c r="N38" s="28" cm="1">
        <f t="array" ref="N38">IFERROR(INDEX('Master Data Sheet'!$1:$1048576, MATCH(1, ('Master Data Sheet'!$H:$H=N$2) * (INDEX('Master Data Sheet'!$1:$1, , MATCH($F$1, 'Master Data Sheet'!$1:$1, 0)) = $F$1) * ('Master Data Sheet'!$G:$G=$B38) * ('Master Data Sheet'!$F:$F=$E38) * ('Master Data Sheet'!$A:$A=$F38), 0), MATCH($F$1, 'Master Data Sheet'!$1:$1, 0)), "")</f>
        <v>0</v>
      </c>
      <c r="O38" s="28">
        <f t="shared" si="8"/>
        <v>0.14692378328741967</v>
      </c>
      <c r="P38" s="28">
        <f t="shared" si="4"/>
        <v>0.26544185942281695</v>
      </c>
      <c r="Q38" s="28"/>
      <c r="R38" s="48">
        <f>(1-(O38/O32))*100</f>
        <v>69.230769230769226</v>
      </c>
      <c r="S38" s="27"/>
      <c r="T38" s="27"/>
      <c r="U38" s="27"/>
      <c r="V38" s="27"/>
    </row>
    <row r="39" spans="1:45" x14ac:dyDescent="0.35">
      <c r="A39" s="41">
        <f>IFERROR(INDEX('Date Key'!$B$2:$B$19, MATCH(F39,'Date Key'!$A$2:$A$19, 0)), "")</f>
        <v>45313</v>
      </c>
      <c r="B39" s="4">
        <f t="shared" si="15"/>
        <v>5</v>
      </c>
      <c r="C39" s="26" t="str">
        <f>IFERROR(INDEX('Date Key'!$G$57:$G$62, MATCH(B39,'Date Key'!$A$57:$A$62, 0)), "")</f>
        <v>High HLR, Lower Outlet Height, Yes Plants</v>
      </c>
      <c r="D39" s="4" t="str">
        <f>IFERROR(INDEX('Date Key'!$G$2:$G$19, MATCH(F39, 'Date Key'!$A$2:$A$19, 0)), "")</f>
        <v>Yes</v>
      </c>
      <c r="E39" s="4" t="str">
        <f t="shared" si="1"/>
        <v>in</v>
      </c>
      <c r="F39" s="4">
        <f t="shared" si="2"/>
        <v>13</v>
      </c>
      <c r="G39" s="4">
        <f t="shared" si="22"/>
        <v>1</v>
      </c>
      <c r="H39" s="11" cm="1">
        <f t="array" ref="H39">IFERROR(INDEX('Master Data Sheet'!$1:$1048576, MATCH(1, ('Master Data Sheet'!$H:$H=H$2) * (INDEX('Master Data Sheet'!$1:$1, , MATCH($F$1, 'Master Data Sheet'!$1:$1, 0)) = $F$1) * ('Master Data Sheet'!$G:$G=$B39) * ('Master Data Sheet'!$F:$F=$E39) * ('Master Data Sheet'!$A:$A=$F39), 0), MATCH($F$1, 'Master Data Sheet'!$1:$1, 0)), "")</f>
        <v>0.87726467783680695</v>
      </c>
      <c r="I39" s="11" cm="1">
        <f t="array" ref="I39">IFERROR(INDEX('Master Data Sheet'!$1:$1048576, MATCH(1, ('Master Data Sheet'!$H:$H=I$2) * (INDEX('Master Data Sheet'!$1:$1, , MATCH($F$1, 'Master Data Sheet'!$1:$1, 0)) = $F$1) * ('Master Data Sheet'!$G:$G=$B39) * ('Master Data Sheet'!$F:$F=$E39) * ('Master Data Sheet'!$A:$A=$F39), 0), MATCH($F$1, 'Master Data Sheet'!$1:$1, 0)), "")</f>
        <v>0.68655496526358795</v>
      </c>
      <c r="J39" s="11" cm="1">
        <f t="array" ref="J39">IFERROR(INDEX('Master Data Sheet'!$1:$1048576, MATCH(1, ('Master Data Sheet'!$H:$H=J$2) * (INDEX('Master Data Sheet'!$1:$1, , MATCH($F$1, 'Master Data Sheet'!$1:$1, 0)) = $F$1) * ('Master Data Sheet'!$G:$G=$B39) * ('Master Data Sheet'!$F:$F=$E39) * ('Master Data Sheet'!$A:$A=$F39), 0), MATCH($F$1, 'Master Data Sheet'!$1:$1, 0)), "")</f>
        <v>0.65794850837760532</v>
      </c>
      <c r="K39" s="11" cm="1">
        <f t="array" ref="K39">IFERROR(INDEX('Master Data Sheet'!$1:$1048576, MATCH(1, ('Master Data Sheet'!$H:$H=K$2) * (INDEX('Master Data Sheet'!$1:$1, , MATCH($F$1, 'Master Data Sheet'!$1:$1, 0)) = $F$1) * ('Master Data Sheet'!$G:$G=$B39) * ('Master Data Sheet'!$F:$F=$E39) * ('Master Data Sheet'!$A:$A=$F39), 0), MATCH($F$1, 'Master Data Sheet'!$1:$1, 0)), "")</f>
        <v>0.61027108023430054</v>
      </c>
      <c r="L39" s="11" cm="1">
        <f t="array" ref="L39">IFERROR(INDEX('Master Data Sheet'!$1:$1048576, MATCH(1, ('Master Data Sheet'!$H:$H=L$2) * (INDEX('Master Data Sheet'!$1:$1, , MATCH($F$1, 'Master Data Sheet'!$1:$1, 0)) = $F$1) * ('Master Data Sheet'!$G:$G=$B39) * ('Master Data Sheet'!$F:$F=$E39) * ('Master Data Sheet'!$A:$A=$F39), 0), MATCH($F$1, 'Master Data Sheet'!$1:$1, 0)), "")</f>
        <v>0.54352268083367394</v>
      </c>
      <c r="M39" s="11" cm="1">
        <f t="array" ref="M39">IFERROR(INDEX('Master Data Sheet'!$1:$1048576, MATCH(1, ('Master Data Sheet'!$H:$H=M$2) * (INDEX('Master Data Sheet'!$1:$1, , MATCH($F$1, 'Master Data Sheet'!$1:$1, 0)) = $F$1) * ('Master Data Sheet'!$G:$G=$B39) * ('Master Data Sheet'!$F:$F=$E39) * ('Master Data Sheet'!$A:$A=$F39), 0), MATCH($F$1, 'Master Data Sheet'!$1:$1, 0)), "")</f>
        <v>0.44816782454706444</v>
      </c>
      <c r="N39" s="11" cm="1">
        <f t="array" ref="N39">IFERROR(INDEX('Master Data Sheet'!$1:$1048576, MATCH(1, ('Master Data Sheet'!$H:$H=N$2) * (INDEX('Master Data Sheet'!$1:$1, , MATCH($F$1, 'Master Data Sheet'!$1:$1, 0)) = $F$1) * ('Master Data Sheet'!$G:$G=$B39) * ('Master Data Sheet'!$F:$F=$E39) * ('Master Data Sheet'!$A:$A=$F39), 0), MATCH($F$1, 'Master Data Sheet'!$1:$1, 0)), "")</f>
        <v>0.40049039640375977</v>
      </c>
      <c r="O39" s="11">
        <f t="shared" si="8"/>
        <v>0.60346001907097124</v>
      </c>
      <c r="P39" s="11">
        <f t="shared" si="4"/>
        <v>0.16010099166172881</v>
      </c>
      <c r="Q39" s="11">
        <f>AVERAGE(O39:O41)</f>
        <v>0.24656041411251869</v>
      </c>
      <c r="S39" s="11">
        <f>AVERAGE(O39:O41)</f>
        <v>0.24656041411251869</v>
      </c>
      <c r="T39" s="11">
        <f>AVERAGE(P39:P41)</f>
        <v>6.5135300401692575E-2</v>
      </c>
      <c r="V39" s="47">
        <f>AVERAGE(U42, U45)</f>
        <v>-9.4843462246776813</v>
      </c>
      <c r="X39" t="s">
        <v>343</v>
      </c>
    </row>
    <row r="40" spans="1:45" x14ac:dyDescent="0.35">
      <c r="A40" s="41">
        <f>IFERROR(INDEX('Date Key'!$B$2:$B$19, MATCH(F40,'Date Key'!$A$2:$A$19, 0)), "")</f>
        <v>45322</v>
      </c>
      <c r="B40" s="4">
        <f t="shared" si="15"/>
        <v>5</v>
      </c>
      <c r="C40" s="26" t="str">
        <f>IFERROR(INDEX('Date Key'!$G$57:$G$62, MATCH(B40,'Date Key'!$A$57:$A$62, 0)), "")</f>
        <v>High HLR, Lower Outlet Height, Yes Plants</v>
      </c>
      <c r="D40" s="4" t="str">
        <f>IFERROR(INDEX('Date Key'!$G$2:$G$19, MATCH(F40, 'Date Key'!$A$2:$A$19, 0)), "")</f>
        <v>No</v>
      </c>
      <c r="E40" s="4" t="str">
        <f t="shared" si="1"/>
        <v>in</v>
      </c>
      <c r="F40" s="4">
        <f t="shared" si="2"/>
        <v>14</v>
      </c>
      <c r="G40" s="4">
        <f t="shared" si="22"/>
        <v>2</v>
      </c>
      <c r="H40" s="11" cm="1">
        <f t="array" ref="H40">IFERROR(INDEX('Master Data Sheet'!$1:$1048576, MATCH(1, ('Master Data Sheet'!$H:$H=H$2) * (INDEX('Master Data Sheet'!$1:$1, , MATCH($F$1, 'Master Data Sheet'!$1:$1, 0)) = $F$1) * ('Master Data Sheet'!$G:$G=$B40) * ('Master Data Sheet'!$F:$F=$E40) * ('Master Data Sheet'!$A:$A=$F40), 0), MATCH($F$1, 'Master Data Sheet'!$1:$1, 0)), "")</f>
        <v>0.13349679880125323</v>
      </c>
      <c r="I40" s="11" cm="1">
        <f t="array" ref="I40">IFERROR(INDEX('Master Data Sheet'!$1:$1048576, MATCH(1, ('Master Data Sheet'!$H:$H=I$2) * (INDEX('Master Data Sheet'!$1:$1, , MATCH($F$1, 'Master Data Sheet'!$1:$1, 0)) = $F$1) * ('Master Data Sheet'!$G:$G=$B40) * ('Master Data Sheet'!$F:$F=$E40) * ('Master Data Sheet'!$A:$A=$F40), 0), MATCH($F$1, 'Master Data Sheet'!$1:$1, 0)), "")</f>
        <v>9.5354856286609446E-2</v>
      </c>
      <c r="J40" s="11" cm="1">
        <f t="array" ref="J40">IFERROR(INDEX('Master Data Sheet'!$1:$1048576, MATCH(1, ('Master Data Sheet'!$H:$H=J$2) * (INDEX('Master Data Sheet'!$1:$1, , MATCH($F$1, 'Master Data Sheet'!$1:$1, 0)) = $F$1) * ('Master Data Sheet'!$G:$G=$B40) * ('Master Data Sheet'!$F:$F=$E40) * ('Master Data Sheet'!$A:$A=$F40), 0), MATCH($F$1, 'Master Data Sheet'!$1:$1, 0)), "")</f>
        <v>0.13349679880125323</v>
      </c>
      <c r="K40" s="11" cm="1">
        <f t="array" ref="K40">IFERROR(INDEX('Master Data Sheet'!$1:$1048576, MATCH(1, ('Master Data Sheet'!$H:$H=K$2) * (INDEX('Master Data Sheet'!$1:$1, , MATCH($F$1, 'Master Data Sheet'!$1:$1, 0)) = $F$1) * ('Master Data Sheet'!$G:$G=$B40) * ('Master Data Sheet'!$F:$F=$E40) * ('Master Data Sheet'!$A:$A=$F40), 0), MATCH($F$1, 'Master Data Sheet'!$1:$1, 0)), "")</f>
        <v>0.12396131317259229</v>
      </c>
      <c r="L40" s="11" cm="1">
        <f t="array" ref="L40">IFERROR(INDEX('Master Data Sheet'!$1:$1048576, MATCH(1, ('Master Data Sheet'!$H:$H=L$2) * (INDEX('Master Data Sheet'!$1:$1, , MATCH($F$1, 'Master Data Sheet'!$1:$1, 0)) = $F$1) * ('Master Data Sheet'!$G:$G=$B40) * ('Master Data Sheet'!$F:$F=$E40) * ('Master Data Sheet'!$A:$A=$F40), 0), MATCH($F$1, 'Master Data Sheet'!$1:$1, 0)), "")</f>
        <v>0.13349679880125323</v>
      </c>
      <c r="M40" s="11" cm="1">
        <f t="array" ref="M40">IFERROR(INDEX('Master Data Sheet'!$1:$1048576, MATCH(1, ('Master Data Sheet'!$H:$H=M$2) * (INDEX('Master Data Sheet'!$1:$1, , MATCH($F$1, 'Master Data Sheet'!$1:$1, 0)) = $F$1) * ('Master Data Sheet'!$G:$G=$B40) * ('Master Data Sheet'!$F:$F=$E40) * ('Master Data Sheet'!$A:$A=$F40), 0), MATCH($F$1, 'Master Data Sheet'!$1:$1, 0)), "")</f>
        <v>0.13349679880125323</v>
      </c>
      <c r="N40" s="11" cm="1">
        <f t="array" ref="N40">IFERROR(INDEX('Master Data Sheet'!$1:$1048576, MATCH(1, ('Master Data Sheet'!$H:$H=N$2) * (INDEX('Master Data Sheet'!$1:$1, , MATCH($F$1, 'Master Data Sheet'!$1:$1, 0)) = $F$1) * ('Master Data Sheet'!$G:$G=$B40) * ('Master Data Sheet'!$F:$F=$E40) * ('Master Data Sheet'!$A:$A=$F40), 0), MATCH($F$1, 'Master Data Sheet'!$1:$1, 0)), "")</f>
        <v>0.15256777005857514</v>
      </c>
      <c r="O40" s="11">
        <f t="shared" si="8"/>
        <v>0.12941016210325568</v>
      </c>
      <c r="P40" s="11">
        <f t="shared" si="4"/>
        <v>1.7284535540729454E-2</v>
      </c>
      <c r="Q40" s="11"/>
      <c r="X40" t="str">
        <f>IFERROR(INDEX('Date Key'!$G$57:$G$62, MATCH(B39,'Date Key'!$A$57:$A$62, 0)), "")</f>
        <v>High HLR, Lower Outlet Height, Yes Plants</v>
      </c>
      <c r="Y40" s="1">
        <f t="shared" ref="Y40:AE40" si="44">H39</f>
        <v>0.87726467783680695</v>
      </c>
      <c r="Z40" s="1">
        <f t="shared" si="44"/>
        <v>0.68655496526358795</v>
      </c>
      <c r="AA40" s="1">
        <f t="shared" si="44"/>
        <v>0.65794850837760532</v>
      </c>
      <c r="AB40" s="1">
        <f t="shared" si="44"/>
        <v>0.61027108023430054</v>
      </c>
      <c r="AC40" s="1">
        <f t="shared" si="44"/>
        <v>0.54352268083367394</v>
      </c>
      <c r="AD40" s="1">
        <f t="shared" si="44"/>
        <v>0.44816782454706444</v>
      </c>
      <c r="AE40" s="1">
        <f t="shared" si="44"/>
        <v>0.40049039640375977</v>
      </c>
      <c r="AF40" s="1">
        <f t="shared" ref="AF40:AL40" si="45">H40</f>
        <v>0.13349679880125323</v>
      </c>
      <c r="AG40" s="1">
        <f t="shared" si="45"/>
        <v>9.5354856286609446E-2</v>
      </c>
      <c r="AH40" s="1">
        <f t="shared" si="45"/>
        <v>0.13349679880125323</v>
      </c>
      <c r="AI40" s="1">
        <f t="shared" si="45"/>
        <v>0.12396131317259229</v>
      </c>
      <c r="AJ40" s="1">
        <f t="shared" si="45"/>
        <v>0.13349679880125323</v>
      </c>
      <c r="AK40" s="1">
        <f t="shared" si="45"/>
        <v>0.13349679880125323</v>
      </c>
      <c r="AL40" s="1">
        <f t="shared" si="45"/>
        <v>0.15256777005857514</v>
      </c>
      <c r="AM40" s="1">
        <f t="shared" ref="AM40:AS40" si="46">H41</f>
        <v>0</v>
      </c>
      <c r="AN40" s="1">
        <f t="shared" si="46"/>
        <v>4.7677428143304723E-2</v>
      </c>
      <c r="AO40" s="1">
        <f t="shared" si="46"/>
        <v>0</v>
      </c>
      <c r="AP40" s="1">
        <f t="shared" si="46"/>
        <v>0</v>
      </c>
      <c r="AQ40" s="1">
        <f t="shared" si="46"/>
        <v>0</v>
      </c>
      <c r="AR40" s="1">
        <f t="shared" si="46"/>
        <v>0</v>
      </c>
      <c r="AS40" s="1">
        <f t="shared" si="46"/>
        <v>0</v>
      </c>
    </row>
    <row r="41" spans="1:45" x14ac:dyDescent="0.35">
      <c r="A41" s="41">
        <f>IFERROR(INDEX('Date Key'!$B$2:$B$19, MATCH(F41,'Date Key'!$A$2:$A$19, 0)), "")</f>
        <v>45330</v>
      </c>
      <c r="B41" s="4">
        <f t="shared" si="15"/>
        <v>5</v>
      </c>
      <c r="C41" s="26" t="str">
        <f>IFERROR(INDEX('Date Key'!$G$57:$G$62, MATCH(B41,'Date Key'!$A$57:$A$62, 0)), "")</f>
        <v>High HLR, Lower Outlet Height, Yes Plants</v>
      </c>
      <c r="D41" s="4" t="str">
        <f>IFERROR(INDEX('Date Key'!$G$2:$G$19, MATCH(F41, 'Date Key'!$A$2:$A$19, 0)), "")</f>
        <v>No</v>
      </c>
      <c r="E41" s="4" t="str">
        <f t="shared" si="1"/>
        <v>in</v>
      </c>
      <c r="F41" s="4">
        <f t="shared" si="2"/>
        <v>15</v>
      </c>
      <c r="G41" s="4">
        <f t="shared" si="22"/>
        <v>3</v>
      </c>
      <c r="H41" s="11" cm="1">
        <f t="array" ref="H41">IFERROR(INDEX('Master Data Sheet'!$1:$1048576, MATCH(1, ('Master Data Sheet'!$H:$H=H$2) * (INDEX('Master Data Sheet'!$1:$1, , MATCH($F$1, 'Master Data Sheet'!$1:$1, 0)) = $F$1) * ('Master Data Sheet'!$G:$G=$B41) * ('Master Data Sheet'!$F:$F=$E41) * ('Master Data Sheet'!$A:$A=$F41), 0), MATCH($F$1, 'Master Data Sheet'!$1:$1, 0)), "")</f>
        <v>0</v>
      </c>
      <c r="I41" s="11" cm="1">
        <f t="array" ref="I41">IFERROR(INDEX('Master Data Sheet'!$1:$1048576, MATCH(1, ('Master Data Sheet'!$H:$H=I$2) * (INDEX('Master Data Sheet'!$1:$1, , MATCH($F$1, 'Master Data Sheet'!$1:$1, 0)) = $F$1) * ('Master Data Sheet'!$G:$G=$B41) * ('Master Data Sheet'!$F:$F=$E41) * ('Master Data Sheet'!$A:$A=$F41), 0), MATCH($F$1, 'Master Data Sheet'!$1:$1, 0)), "")</f>
        <v>4.7677428143304723E-2</v>
      </c>
      <c r="J41" s="11" cm="1">
        <f t="array" ref="J41">IFERROR(INDEX('Master Data Sheet'!$1:$1048576, MATCH(1, ('Master Data Sheet'!$H:$H=J$2) * (INDEX('Master Data Sheet'!$1:$1, , MATCH($F$1, 'Master Data Sheet'!$1:$1, 0)) = $F$1) * ('Master Data Sheet'!$G:$G=$B41) * ('Master Data Sheet'!$F:$F=$E41) * ('Master Data Sheet'!$A:$A=$F41), 0), MATCH($F$1, 'Master Data Sheet'!$1:$1, 0)), "")</f>
        <v>0</v>
      </c>
      <c r="K41" s="11" cm="1">
        <f t="array" ref="K41">IFERROR(INDEX('Master Data Sheet'!$1:$1048576, MATCH(1, ('Master Data Sheet'!$H:$H=K$2) * (INDEX('Master Data Sheet'!$1:$1, , MATCH($F$1, 'Master Data Sheet'!$1:$1, 0)) = $F$1) * ('Master Data Sheet'!$G:$G=$B41) * ('Master Data Sheet'!$F:$F=$E41) * ('Master Data Sheet'!$A:$A=$F41), 0), MATCH($F$1, 'Master Data Sheet'!$1:$1, 0)), "")</f>
        <v>0</v>
      </c>
      <c r="L41" s="11" cm="1">
        <f t="array" ref="L41">IFERROR(INDEX('Master Data Sheet'!$1:$1048576, MATCH(1, ('Master Data Sheet'!$H:$H=L$2) * (INDEX('Master Data Sheet'!$1:$1, , MATCH($F$1, 'Master Data Sheet'!$1:$1, 0)) = $F$1) * ('Master Data Sheet'!$G:$G=$B41) * ('Master Data Sheet'!$F:$F=$E41) * ('Master Data Sheet'!$A:$A=$F41), 0), MATCH($F$1, 'Master Data Sheet'!$1:$1, 0)), "")</f>
        <v>0</v>
      </c>
      <c r="M41" s="11" cm="1">
        <f t="array" ref="M41">IFERROR(INDEX('Master Data Sheet'!$1:$1048576, MATCH(1, ('Master Data Sheet'!$H:$H=M$2) * (INDEX('Master Data Sheet'!$1:$1, , MATCH($F$1, 'Master Data Sheet'!$1:$1, 0)) = $F$1) * ('Master Data Sheet'!$G:$G=$B41) * ('Master Data Sheet'!$F:$F=$E41) * ('Master Data Sheet'!$A:$A=$F41), 0), MATCH($F$1, 'Master Data Sheet'!$1:$1, 0)), "")</f>
        <v>0</v>
      </c>
      <c r="N41" s="11" cm="1">
        <f t="array" ref="N41">IFERROR(INDEX('Master Data Sheet'!$1:$1048576, MATCH(1, ('Master Data Sheet'!$H:$H=N$2) * (INDEX('Master Data Sheet'!$1:$1, , MATCH($F$1, 'Master Data Sheet'!$1:$1, 0)) = $F$1) * ('Master Data Sheet'!$G:$G=$B41) * ('Master Data Sheet'!$F:$F=$E41) * ('Master Data Sheet'!$A:$A=$F41), 0), MATCH($F$1, 'Master Data Sheet'!$1:$1, 0)), "")</f>
        <v>0</v>
      </c>
      <c r="O41" s="11">
        <f t="shared" si="8"/>
        <v>6.8110611633292462E-3</v>
      </c>
      <c r="P41" s="11">
        <f t="shared" si="4"/>
        <v>1.8020374002619469E-2</v>
      </c>
      <c r="Q41" s="11"/>
      <c r="Y41" s="1"/>
      <c r="Z41" s="1"/>
      <c r="AA41" s="1"/>
      <c r="AB41" s="1"/>
      <c r="AC41" s="1"/>
      <c r="AD41" s="1"/>
      <c r="AE41" s="1"/>
      <c r="AF41" s="1"/>
      <c r="AG41" s="1"/>
      <c r="AH41" s="1"/>
      <c r="AI41" s="1"/>
      <c r="AJ41" s="1"/>
      <c r="AK41" s="1"/>
      <c r="AL41" s="1"/>
      <c r="AM41" s="1"/>
      <c r="AN41" s="1"/>
      <c r="AO41" s="1"/>
      <c r="AP41" s="1"/>
      <c r="AQ41" s="1"/>
      <c r="AR41" s="1"/>
      <c r="AS41" s="1"/>
    </row>
    <row r="42" spans="1:45" x14ac:dyDescent="0.35">
      <c r="A42" s="41">
        <f>IFERROR(INDEX('Date Key'!$B$2:$B$19, MATCH(F42,'Date Key'!$A$2:$A$19, 0)), "")</f>
        <v>45313</v>
      </c>
      <c r="B42" s="4">
        <f t="shared" si="15"/>
        <v>5</v>
      </c>
      <c r="C42" s="26" t="str">
        <f>IFERROR(INDEX('Date Key'!$G$57:$G$62, MATCH(B42,'Date Key'!$A$57:$A$62, 0)), "")</f>
        <v>High HLR, Lower Outlet Height, Yes Plants</v>
      </c>
      <c r="D42" s="4" t="str">
        <f>IFERROR(INDEX('Date Key'!$G$2:$G$19, MATCH(F42, 'Date Key'!$A$2:$A$19, 0)), "")</f>
        <v>Yes</v>
      </c>
      <c r="E42" s="4" t="str">
        <f t="shared" si="1"/>
        <v>tank 1</v>
      </c>
      <c r="F42" s="4">
        <f t="shared" si="2"/>
        <v>13</v>
      </c>
      <c r="G42" s="4">
        <f t="shared" si="22"/>
        <v>1</v>
      </c>
      <c r="H42" s="11" cm="1">
        <f t="array" ref="H42">IFERROR(INDEX('Master Data Sheet'!$1:$1048576, MATCH(1, ('Master Data Sheet'!$H:$H=H$2) * (INDEX('Master Data Sheet'!$1:$1, , MATCH($F$1, 'Master Data Sheet'!$1:$1, 0)) = $F$1) * ('Master Data Sheet'!$G:$G=$B42) * ('Master Data Sheet'!$F:$F=$E42) * ('Master Data Sheet'!$A:$A=$F42), 0), MATCH($F$1, 'Master Data Sheet'!$1:$1, 0)), "")</f>
        <v>0.19070971257321889</v>
      </c>
      <c r="I42" s="11" cm="1">
        <f t="array" ref="I42">IFERROR(INDEX('Master Data Sheet'!$1:$1048576, MATCH(1, ('Master Data Sheet'!$H:$H=I$2) * (INDEX('Master Data Sheet'!$1:$1, , MATCH($F$1, 'Master Data Sheet'!$1:$1, 0)) = $F$1) * ('Master Data Sheet'!$G:$G=$B42) * ('Master Data Sheet'!$F:$F=$E42) * ('Master Data Sheet'!$A:$A=$F42), 0), MATCH($F$1, 'Master Data Sheet'!$1:$1, 0)), "")</f>
        <v>0.45770331017572541</v>
      </c>
      <c r="J42" s="11" cm="1">
        <f t="array" ref="J42">IFERROR(INDEX('Master Data Sheet'!$1:$1048576, MATCH(1, ('Master Data Sheet'!$H:$H=J$2) * (INDEX('Master Data Sheet'!$1:$1, , MATCH($F$1, 'Master Data Sheet'!$1:$1, 0)) = $F$1) * ('Master Data Sheet'!$G:$G=$B42) * ('Master Data Sheet'!$F:$F=$E42) * ('Master Data Sheet'!$A:$A=$F42), 0), MATCH($F$1, 'Master Data Sheet'!$1:$1, 0)), "")</f>
        <v>0.62934205149162237</v>
      </c>
      <c r="K42" s="11" cm="1">
        <f t="array" ref="K42">IFERROR(INDEX('Master Data Sheet'!$1:$1048576, MATCH(1, ('Master Data Sheet'!$H:$H=K$2) * (INDEX('Master Data Sheet'!$1:$1, , MATCH($F$1, 'Master Data Sheet'!$1:$1, 0)) = $F$1) * ('Master Data Sheet'!$G:$G=$B42) * ('Master Data Sheet'!$F:$F=$E42) * ('Master Data Sheet'!$A:$A=$F42), 0), MATCH($F$1, 'Master Data Sheet'!$1:$1, 0)), "")</f>
        <v>0.67701947963492692</v>
      </c>
      <c r="L42" s="11" cm="1">
        <f t="array" ref="L42">IFERROR(INDEX('Master Data Sheet'!$1:$1048576, MATCH(1, ('Master Data Sheet'!$H:$H=L$2) * (INDEX('Master Data Sheet'!$1:$1, , MATCH($F$1, 'Master Data Sheet'!$1:$1, 0)) = $F$1) * ('Master Data Sheet'!$G:$G=$B42) * ('Master Data Sheet'!$F:$F=$E42) * ('Master Data Sheet'!$A:$A=$F42), 0), MATCH($F$1, 'Master Data Sheet'!$1:$1, 0)), "")</f>
        <v>0.76283885029287557</v>
      </c>
      <c r="M42" s="11" cm="1">
        <f t="array" ref="M42">IFERROR(INDEX('Master Data Sheet'!$1:$1048576, MATCH(1, ('Master Data Sheet'!$H:$H=M$2) * (INDEX('Master Data Sheet'!$1:$1, , MATCH($F$1, 'Master Data Sheet'!$1:$1, 0)) = $F$1) * ('Master Data Sheet'!$G:$G=$B42) * ('Master Data Sheet'!$F:$F=$E42) * ('Master Data Sheet'!$A:$A=$F42), 0), MATCH($F$1, 'Master Data Sheet'!$1:$1, 0)), "")</f>
        <v>0.58166462334831759</v>
      </c>
      <c r="N42" s="11" cm="1">
        <f t="array" ref="N42">IFERROR(INDEX('Master Data Sheet'!$1:$1048576, MATCH(1, ('Master Data Sheet'!$H:$H=N$2) * (INDEX('Master Data Sheet'!$1:$1, , MATCH($F$1, 'Master Data Sheet'!$1:$1, 0)) = $F$1) * ('Master Data Sheet'!$G:$G=$B42) * ('Master Data Sheet'!$F:$F=$E42) * ('Master Data Sheet'!$A:$A=$F42), 0), MATCH($F$1, 'Master Data Sheet'!$1:$1, 0)), "")</f>
        <v>0.50538073831903008</v>
      </c>
      <c r="O42" s="11">
        <f t="shared" si="8"/>
        <v>0.54352268083367383</v>
      </c>
      <c r="P42" s="11">
        <f t="shared" si="4"/>
        <v>0.1862066559708262</v>
      </c>
      <c r="Q42" s="11">
        <f>AVERAGE(O42:O44)</f>
        <v>0.33328792625891113</v>
      </c>
      <c r="R42" s="46">
        <f>(1-(O42/O39))*100</f>
        <v>9.9322799097065548</v>
      </c>
      <c r="S42" s="46">
        <f>AVERAGE(R42:R44)</f>
        <v>-641.25064353886978</v>
      </c>
      <c r="T42" s="46">
        <f>STDEV(R42:R44)</f>
        <v>989.57322195789482</v>
      </c>
      <c r="U42" s="47">
        <f>(1-(AVERAGE(H42:N44)/AVERAGE(H39:N41)))*100</f>
        <v>-35.174953959484313</v>
      </c>
      <c r="V42" s="47"/>
      <c r="Y42" s="2"/>
      <c r="Z42" s="2"/>
      <c r="AA42" s="2"/>
      <c r="AB42" s="2"/>
      <c r="AC42" s="2"/>
      <c r="AD42" s="2"/>
      <c r="AE42" s="2"/>
      <c r="AF42" s="2"/>
      <c r="AG42" s="2"/>
    </row>
    <row r="43" spans="1:45" x14ac:dyDescent="0.35">
      <c r="A43" s="41">
        <f>IFERROR(INDEX('Date Key'!$B$2:$B$19, MATCH(F43,'Date Key'!$A$2:$A$19, 0)), "")</f>
        <v>45322</v>
      </c>
      <c r="B43" s="4">
        <f t="shared" si="15"/>
        <v>5</v>
      </c>
      <c r="C43" s="26" t="str">
        <f>IFERROR(INDEX('Date Key'!$G$57:$G$62, MATCH(B43,'Date Key'!$A$57:$A$62, 0)), "")</f>
        <v>High HLR, Lower Outlet Height, Yes Plants</v>
      </c>
      <c r="D43" s="4" t="str">
        <f>IFERROR(INDEX('Date Key'!$G$2:$G$19, MATCH(F43, 'Date Key'!$A$2:$A$19, 0)), "")</f>
        <v>No</v>
      </c>
      <c r="E43" s="4" t="str">
        <f t="shared" si="1"/>
        <v>tank 1</v>
      </c>
      <c r="F43" s="4">
        <f t="shared" si="2"/>
        <v>14</v>
      </c>
      <c r="G43" s="4">
        <f t="shared" si="22"/>
        <v>2</v>
      </c>
      <c r="H43" s="11" cm="1">
        <f t="array" ref="H43">IFERROR(INDEX('Master Data Sheet'!$1:$1048576, MATCH(1, ('Master Data Sheet'!$H:$H=H$2) * (INDEX('Master Data Sheet'!$1:$1, , MATCH($F$1, 'Master Data Sheet'!$1:$1, 0)) = $F$1) * ('Master Data Sheet'!$G:$G=$B43) * ('Master Data Sheet'!$F:$F=$E43) * ('Master Data Sheet'!$A:$A=$F43), 0), MATCH($F$1, 'Master Data Sheet'!$1:$1, 0)), "")</f>
        <v>0.26699359760250646</v>
      </c>
      <c r="I43" s="11" cm="1">
        <f t="array" ref="I43">IFERROR(INDEX('Master Data Sheet'!$1:$1048576, MATCH(1, ('Master Data Sheet'!$H:$H=I$2) * (INDEX('Master Data Sheet'!$1:$1, , MATCH($F$1, 'Master Data Sheet'!$1:$1, 0)) = $F$1) * ('Master Data Sheet'!$G:$G=$B43) * ('Master Data Sheet'!$F:$F=$E43) * ('Master Data Sheet'!$A:$A=$F43), 0), MATCH($F$1, 'Master Data Sheet'!$1:$1, 0)), "")</f>
        <v>0.38141942514643778</v>
      </c>
      <c r="J43" s="11" cm="1">
        <f t="array" ref="J43">IFERROR(INDEX('Master Data Sheet'!$1:$1048576, MATCH(1, ('Master Data Sheet'!$H:$H=J$2) * (INDEX('Master Data Sheet'!$1:$1, , MATCH($F$1, 'Master Data Sheet'!$1:$1, 0)) = $F$1) * ('Master Data Sheet'!$G:$G=$B43) * ('Master Data Sheet'!$F:$F=$E43) * ('Master Data Sheet'!$A:$A=$F43), 0), MATCH($F$1, 'Master Data Sheet'!$1:$1, 0)), "")</f>
        <v>0.37188393951777687</v>
      </c>
      <c r="K43" s="11" cm="1">
        <f t="array" ref="K43">IFERROR(INDEX('Master Data Sheet'!$1:$1048576, MATCH(1, ('Master Data Sheet'!$H:$H=K$2) * (INDEX('Master Data Sheet'!$1:$1, , MATCH($F$1, 'Master Data Sheet'!$1:$1, 0)) = $F$1) * ('Master Data Sheet'!$G:$G=$B43) * ('Master Data Sheet'!$F:$F=$E43) * ('Master Data Sheet'!$A:$A=$F43), 0), MATCH($F$1, 'Master Data Sheet'!$1:$1, 0)), "")</f>
        <v>0.33374199700313312</v>
      </c>
      <c r="L43" s="11" cm="1">
        <f t="array" ref="L43">IFERROR(INDEX('Master Data Sheet'!$1:$1048576, MATCH(1, ('Master Data Sheet'!$H:$H=L$2) * (INDEX('Master Data Sheet'!$1:$1, , MATCH($F$1, 'Master Data Sheet'!$1:$1, 0)) = $F$1) * ('Master Data Sheet'!$G:$G=$B43) * ('Master Data Sheet'!$F:$F=$E43) * ('Master Data Sheet'!$A:$A=$F43), 0), MATCH($F$1, 'Master Data Sheet'!$1:$1, 0)), "")</f>
        <v>0.35281296826045494</v>
      </c>
      <c r="M43" s="11" cm="1">
        <f t="array" ref="M43">IFERROR(INDEX('Master Data Sheet'!$1:$1048576, MATCH(1, ('Master Data Sheet'!$H:$H=M$2) * (INDEX('Master Data Sheet'!$1:$1, , MATCH($F$1, 'Master Data Sheet'!$1:$1, 0)) = $F$1) * ('Master Data Sheet'!$G:$G=$B43) * ('Master Data Sheet'!$F:$F=$E43) * ('Master Data Sheet'!$A:$A=$F43), 0), MATCH($F$1, 'Master Data Sheet'!$1:$1, 0)), "")</f>
        <v>0.30513554011715027</v>
      </c>
      <c r="N43" s="11" cm="1">
        <f t="array" ref="N43">IFERROR(INDEX('Master Data Sheet'!$1:$1048576, MATCH(1, ('Master Data Sheet'!$H:$H=N$2) * (INDEX('Master Data Sheet'!$1:$1, , MATCH($F$1, 'Master Data Sheet'!$1:$1, 0)) = $F$1) * ('Master Data Sheet'!$G:$G=$B43) * ('Master Data Sheet'!$F:$F=$E43) * ('Master Data Sheet'!$A:$A=$F43), 0), MATCH($F$1, 'Master Data Sheet'!$1:$1, 0)), "")</f>
        <v>0.28606456885982834</v>
      </c>
      <c r="O43" s="11">
        <f t="shared" si="8"/>
        <v>0.32829314807246973</v>
      </c>
      <c r="P43" s="11">
        <f t="shared" si="4"/>
        <v>4.364751338399938E-2</v>
      </c>
      <c r="Q43" s="11"/>
      <c r="R43" s="46">
        <f>(1-(O43/O40))*100</f>
        <v>-153.68421052631584</v>
      </c>
      <c r="X43" t="str">
        <f>IFERROR(INDEX('Date Key'!$G$57:$G$62, MATCH(B42,'Date Key'!$A$57:$A$62, 0)), "")</f>
        <v>High HLR, Lower Outlet Height, Yes Plants</v>
      </c>
      <c r="Y43" s="1">
        <f t="shared" ref="Y43:AE43" si="47">H42</f>
        <v>0.19070971257321889</v>
      </c>
      <c r="Z43" s="1">
        <f t="shared" si="47"/>
        <v>0.45770331017572541</v>
      </c>
      <c r="AA43" s="1">
        <f t="shared" si="47"/>
        <v>0.62934205149162237</v>
      </c>
      <c r="AB43" s="1">
        <f t="shared" si="47"/>
        <v>0.67701947963492692</v>
      </c>
      <c r="AC43" s="1">
        <f t="shared" si="47"/>
        <v>0.76283885029287557</v>
      </c>
      <c r="AD43" s="1">
        <f t="shared" si="47"/>
        <v>0.58166462334831759</v>
      </c>
      <c r="AE43" s="1">
        <f t="shared" si="47"/>
        <v>0.50538073831903008</v>
      </c>
      <c r="AF43" s="1">
        <f t="shared" ref="AF43:AL43" si="48">H43</f>
        <v>0.26699359760250646</v>
      </c>
      <c r="AG43" s="1">
        <f t="shared" si="48"/>
        <v>0.38141942514643778</v>
      </c>
      <c r="AH43" s="1">
        <f t="shared" si="48"/>
        <v>0.37188393951777687</v>
      </c>
      <c r="AI43" s="1">
        <f t="shared" si="48"/>
        <v>0.33374199700313312</v>
      </c>
      <c r="AJ43" s="1">
        <f t="shared" si="48"/>
        <v>0.35281296826045494</v>
      </c>
      <c r="AK43" s="1">
        <f t="shared" si="48"/>
        <v>0.30513554011715027</v>
      </c>
      <c r="AL43" s="1">
        <f t="shared" si="48"/>
        <v>0.28606456885982834</v>
      </c>
      <c r="AM43" s="1">
        <f t="shared" ref="AM43:AS43" si="49">H44</f>
        <v>4.7677428143304723E-2</v>
      </c>
      <c r="AN43" s="1">
        <f t="shared" si="49"/>
        <v>0.13349679880125323</v>
      </c>
      <c r="AO43" s="1">
        <f t="shared" si="49"/>
        <v>0.11442582754393135</v>
      </c>
      <c r="AP43" s="1">
        <f t="shared" si="49"/>
        <v>0.31467102574581118</v>
      </c>
      <c r="AQ43" s="1">
        <f t="shared" si="49"/>
        <v>0.12396131317259229</v>
      </c>
      <c r="AR43" s="1">
        <f t="shared" si="49"/>
        <v>8.5819370657948493E-2</v>
      </c>
      <c r="AS43" s="1">
        <f t="shared" si="49"/>
        <v>7.6283885029287568E-2</v>
      </c>
    </row>
    <row r="44" spans="1:45" x14ac:dyDescent="0.35">
      <c r="A44" s="41">
        <f>IFERROR(INDEX('Date Key'!$B$2:$B$19, MATCH(F44,'Date Key'!$A$2:$A$19, 0)), "")</f>
        <v>45330</v>
      </c>
      <c r="B44" s="4">
        <f t="shared" si="15"/>
        <v>5</v>
      </c>
      <c r="C44" s="26" t="str">
        <f>IFERROR(INDEX('Date Key'!$G$57:$G$62, MATCH(B44,'Date Key'!$A$57:$A$62, 0)), "")</f>
        <v>High HLR, Lower Outlet Height, Yes Plants</v>
      </c>
      <c r="D44" s="4" t="str">
        <f>IFERROR(INDEX('Date Key'!$G$2:$G$19, MATCH(F44, 'Date Key'!$A$2:$A$19, 0)), "")</f>
        <v>No</v>
      </c>
      <c r="E44" s="4" t="str">
        <f t="shared" si="1"/>
        <v>tank 1</v>
      </c>
      <c r="F44" s="4">
        <f t="shared" si="2"/>
        <v>15</v>
      </c>
      <c r="G44" s="4">
        <f t="shared" si="22"/>
        <v>3</v>
      </c>
      <c r="H44" s="11" cm="1">
        <f t="array" ref="H44">IFERROR(INDEX('Master Data Sheet'!$1:$1048576, MATCH(1, ('Master Data Sheet'!$H:$H=H$2) * (INDEX('Master Data Sheet'!$1:$1, , MATCH($F$1, 'Master Data Sheet'!$1:$1, 0)) = $F$1) * ('Master Data Sheet'!$G:$G=$B44) * ('Master Data Sheet'!$F:$F=$E44) * ('Master Data Sheet'!$A:$A=$F44), 0), MATCH($F$1, 'Master Data Sheet'!$1:$1, 0)), "")</f>
        <v>4.7677428143304723E-2</v>
      </c>
      <c r="I44" s="11" cm="1">
        <f t="array" ref="I44">IFERROR(INDEX('Master Data Sheet'!$1:$1048576, MATCH(1, ('Master Data Sheet'!$H:$H=I$2) * (INDEX('Master Data Sheet'!$1:$1, , MATCH($F$1, 'Master Data Sheet'!$1:$1, 0)) = $F$1) * ('Master Data Sheet'!$G:$G=$B44) * ('Master Data Sheet'!$F:$F=$E44) * ('Master Data Sheet'!$A:$A=$F44), 0), MATCH($F$1, 'Master Data Sheet'!$1:$1, 0)), "")</f>
        <v>0.13349679880125323</v>
      </c>
      <c r="J44" s="11" cm="1">
        <f t="array" ref="J44">IFERROR(INDEX('Master Data Sheet'!$1:$1048576, MATCH(1, ('Master Data Sheet'!$H:$H=J$2) * (INDEX('Master Data Sheet'!$1:$1, , MATCH($F$1, 'Master Data Sheet'!$1:$1, 0)) = $F$1) * ('Master Data Sheet'!$G:$G=$B44) * ('Master Data Sheet'!$F:$F=$E44) * ('Master Data Sheet'!$A:$A=$F44), 0), MATCH($F$1, 'Master Data Sheet'!$1:$1, 0)), "")</f>
        <v>0.11442582754393135</v>
      </c>
      <c r="K44" s="11" cm="1">
        <f t="array" ref="K44">IFERROR(INDEX('Master Data Sheet'!$1:$1048576, MATCH(1, ('Master Data Sheet'!$H:$H=K$2) * (INDEX('Master Data Sheet'!$1:$1, , MATCH($F$1, 'Master Data Sheet'!$1:$1, 0)) = $F$1) * ('Master Data Sheet'!$G:$G=$B44) * ('Master Data Sheet'!$F:$F=$E44) * ('Master Data Sheet'!$A:$A=$F44), 0), MATCH($F$1, 'Master Data Sheet'!$1:$1, 0)), "")</f>
        <v>0.31467102574581118</v>
      </c>
      <c r="L44" s="11" cm="1">
        <f t="array" ref="L44">IFERROR(INDEX('Master Data Sheet'!$1:$1048576, MATCH(1, ('Master Data Sheet'!$H:$H=L$2) * (INDEX('Master Data Sheet'!$1:$1, , MATCH($F$1, 'Master Data Sheet'!$1:$1, 0)) = $F$1) * ('Master Data Sheet'!$G:$G=$B44) * ('Master Data Sheet'!$F:$F=$E44) * ('Master Data Sheet'!$A:$A=$F44), 0), MATCH($F$1, 'Master Data Sheet'!$1:$1, 0)), "")</f>
        <v>0.12396131317259229</v>
      </c>
      <c r="M44" s="11" cm="1">
        <f t="array" ref="M44">IFERROR(INDEX('Master Data Sheet'!$1:$1048576, MATCH(1, ('Master Data Sheet'!$H:$H=M$2) * (INDEX('Master Data Sheet'!$1:$1, , MATCH($F$1, 'Master Data Sheet'!$1:$1, 0)) = $F$1) * ('Master Data Sheet'!$G:$G=$B44) * ('Master Data Sheet'!$F:$F=$E44) * ('Master Data Sheet'!$A:$A=$F44), 0), MATCH($F$1, 'Master Data Sheet'!$1:$1, 0)), "")</f>
        <v>8.5819370657948493E-2</v>
      </c>
      <c r="N44" s="11" cm="1">
        <f t="array" ref="N44">IFERROR(INDEX('Master Data Sheet'!$1:$1048576, MATCH(1, ('Master Data Sheet'!$H:$H=N$2) * (INDEX('Master Data Sheet'!$1:$1, , MATCH($F$1, 'Master Data Sheet'!$1:$1, 0)) = $F$1) * ('Master Data Sheet'!$G:$G=$B44) * ('Master Data Sheet'!$F:$F=$E44) * ('Master Data Sheet'!$A:$A=$F44), 0), MATCH($F$1, 'Master Data Sheet'!$1:$1, 0)), "")</f>
        <v>7.6283885029287568E-2</v>
      </c>
      <c r="O44" s="11">
        <f t="shared" si="8"/>
        <v>0.12804794987058984</v>
      </c>
      <c r="P44" s="11">
        <f t="shared" si="4"/>
        <v>8.754267273156037E-2</v>
      </c>
      <c r="Q44" s="11"/>
      <c r="R44" s="46">
        <f>(1-(O44/O41))*100</f>
        <v>-1780</v>
      </c>
      <c r="Y44" s="2"/>
      <c r="Z44" s="2"/>
      <c r="AA44" s="2"/>
      <c r="AB44" s="2"/>
      <c r="AC44" s="2"/>
      <c r="AD44" s="2"/>
      <c r="AE44" s="2"/>
      <c r="AF44" s="2"/>
      <c r="AG44" s="2"/>
    </row>
    <row r="45" spans="1:45" x14ac:dyDescent="0.35">
      <c r="A45" s="41">
        <f>IFERROR(INDEX('Date Key'!$B$2:$B$19, MATCH(F45,'Date Key'!$A$2:$A$19, 0)), "")</f>
        <v>45313</v>
      </c>
      <c r="B45" s="4">
        <f t="shared" si="15"/>
        <v>5</v>
      </c>
      <c r="C45" s="26" t="str">
        <f>IFERROR(INDEX('Date Key'!$G$57:$G$62, MATCH(B45,'Date Key'!$A$57:$A$62, 0)), "")</f>
        <v>High HLR, Lower Outlet Height, Yes Plants</v>
      </c>
      <c r="D45" s="4" t="str">
        <f>IFERROR(INDEX('Date Key'!$G$2:$G$19, MATCH(F45, 'Date Key'!$A$2:$A$19, 0)), "")</f>
        <v>Yes</v>
      </c>
      <c r="E45" s="4" t="str">
        <f t="shared" si="1"/>
        <v>tank 2</v>
      </c>
      <c r="F45" s="4">
        <f t="shared" si="2"/>
        <v>13</v>
      </c>
      <c r="G45" s="4">
        <f t="shared" si="22"/>
        <v>1</v>
      </c>
      <c r="H45" s="11" cm="1">
        <f t="array" ref="H45">IFERROR(INDEX('Master Data Sheet'!$1:$1048576, MATCH(1, ('Master Data Sheet'!$H:$H=H$2) * (INDEX('Master Data Sheet'!$1:$1, , MATCH($F$1, 'Master Data Sheet'!$1:$1, 0)) = $F$1) * ('Master Data Sheet'!$G:$G=$B45) * ('Master Data Sheet'!$F:$F=$E45) * ('Master Data Sheet'!$A:$A=$F45), 0), MATCH($F$1, 'Master Data Sheet'!$1:$1, 0)), "")</f>
        <v>0.18117422694455795</v>
      </c>
      <c r="I45" s="11" cm="1">
        <f t="array" ref="I45">IFERROR(INDEX('Master Data Sheet'!$1:$1048576, MATCH(1, ('Master Data Sheet'!$H:$H=I$2) * (INDEX('Master Data Sheet'!$1:$1, , MATCH($F$1, 'Master Data Sheet'!$1:$1, 0)) = $F$1) * ('Master Data Sheet'!$G:$G=$B45) * ('Master Data Sheet'!$F:$F=$E45) * ('Master Data Sheet'!$A:$A=$F45), 0), MATCH($F$1, 'Master Data Sheet'!$1:$1, 0)), "")</f>
        <v>0.38141942514643778</v>
      </c>
      <c r="J45" s="11" cm="1">
        <f t="array" ref="J45">IFERROR(INDEX('Master Data Sheet'!$1:$1048576, MATCH(1, ('Master Data Sheet'!$H:$H=J$2) * (INDEX('Master Data Sheet'!$1:$1, , MATCH($F$1, 'Master Data Sheet'!$1:$1, 0)) = $F$1) * ('Master Data Sheet'!$G:$G=$B45) * ('Master Data Sheet'!$F:$F=$E45) * ('Master Data Sheet'!$A:$A=$F45), 0), MATCH($F$1, 'Master Data Sheet'!$1:$1, 0)), "")</f>
        <v>0.43863233891840347</v>
      </c>
      <c r="K45" s="11" cm="1">
        <f t="array" ref="K45">IFERROR(INDEX('Master Data Sheet'!$1:$1048576, MATCH(1, ('Master Data Sheet'!$H:$H=K$2) * (INDEX('Master Data Sheet'!$1:$1, , MATCH($F$1, 'Master Data Sheet'!$1:$1, 0)) = $F$1) * ('Master Data Sheet'!$G:$G=$B45) * ('Master Data Sheet'!$F:$F=$E45) * ('Master Data Sheet'!$A:$A=$F45), 0), MATCH($F$1, 'Master Data Sheet'!$1:$1, 0)), "")</f>
        <v>0.6484130227489443</v>
      </c>
      <c r="L45" s="11" cm="1">
        <f t="array" ref="L45">IFERROR(INDEX('Master Data Sheet'!$1:$1048576, MATCH(1, ('Master Data Sheet'!$H:$H=L$2) * (INDEX('Master Data Sheet'!$1:$1, , MATCH($F$1, 'Master Data Sheet'!$1:$1, 0)) = $F$1) * ('Master Data Sheet'!$G:$G=$B45) * ('Master Data Sheet'!$F:$F=$E45) * ('Master Data Sheet'!$A:$A=$F45), 0), MATCH($F$1, 'Master Data Sheet'!$1:$1, 0)), "")</f>
        <v>0.43863233891840347</v>
      </c>
      <c r="M45" s="11" cm="1">
        <f t="array" ref="M45">IFERROR(INDEX('Master Data Sheet'!$1:$1048576, MATCH(1, ('Master Data Sheet'!$H:$H=M$2) * (INDEX('Master Data Sheet'!$1:$1, , MATCH($F$1, 'Master Data Sheet'!$1:$1, 0)) = $F$1) * ('Master Data Sheet'!$G:$G=$B45) * ('Master Data Sheet'!$F:$F=$E45) * ('Master Data Sheet'!$A:$A=$F45), 0), MATCH($F$1, 'Master Data Sheet'!$1:$1, 0)), "")</f>
        <v>0.3909549107750987</v>
      </c>
      <c r="N45" s="11" cm="1">
        <f t="array" ref="N45">IFERROR(INDEX('Master Data Sheet'!$1:$1048576, MATCH(1, ('Master Data Sheet'!$H:$H=N$2) * (INDEX('Master Data Sheet'!$1:$1, , MATCH($F$1, 'Master Data Sheet'!$1:$1, 0)) = $F$1) * ('Master Data Sheet'!$G:$G=$B45) * ('Master Data Sheet'!$F:$F=$E45) * ('Master Data Sheet'!$A:$A=$F45), 0), MATCH($F$1, 'Master Data Sheet'!$1:$1, 0)), "")</f>
        <v>0.5244517095763519</v>
      </c>
      <c r="O45" s="11">
        <f t="shared" si="8"/>
        <v>0.42909685328974251</v>
      </c>
      <c r="P45" s="11">
        <f t="shared" si="4"/>
        <v>0.14292629531981993</v>
      </c>
      <c r="Q45" s="11">
        <f>AVERAGE(N45:N47)</f>
        <v>0.20024519820187983</v>
      </c>
      <c r="R45" s="46">
        <f>(1-(O45/O39))*100</f>
        <v>28.893905191873593</v>
      </c>
      <c r="S45" s="46">
        <f>AVERAGE(R45:R47)</f>
        <v>-288.61431230446323</v>
      </c>
      <c r="T45" s="46">
        <f>STDEV(R45:R47)</f>
        <v>529.60735209555355</v>
      </c>
      <c r="U45" s="47">
        <f>(1-(AVERAGE(H45:N47)/AVERAGE(H39:N41)))*100</f>
        <v>16.20626151012895</v>
      </c>
      <c r="V45" s="47"/>
      <c r="Y45" s="2"/>
      <c r="Z45" s="2"/>
      <c r="AA45" s="2"/>
      <c r="AB45" s="2"/>
      <c r="AC45" s="2"/>
      <c r="AD45" s="2"/>
      <c r="AE45" s="2"/>
      <c r="AF45" s="2"/>
      <c r="AG45" s="2"/>
    </row>
    <row r="46" spans="1:45" x14ac:dyDescent="0.35">
      <c r="A46" s="41">
        <f>IFERROR(INDEX('Date Key'!$B$2:$B$19, MATCH(F46,'Date Key'!$A$2:$A$19, 0)), "")</f>
        <v>45322</v>
      </c>
      <c r="B46" s="4">
        <f t="shared" si="15"/>
        <v>5</v>
      </c>
      <c r="C46" s="26" t="str">
        <f>IFERROR(INDEX('Date Key'!$G$57:$G$62, MATCH(B46,'Date Key'!$A$57:$A$62, 0)), "")</f>
        <v>High HLR, Lower Outlet Height, Yes Plants</v>
      </c>
      <c r="D46" s="4" t="str">
        <f>IFERROR(INDEX('Date Key'!$G$2:$G$19, MATCH(F46, 'Date Key'!$A$2:$A$19, 0)), "")</f>
        <v>No</v>
      </c>
      <c r="E46" s="4" t="str">
        <f t="shared" si="1"/>
        <v>tank 2</v>
      </c>
      <c r="F46" s="4">
        <f t="shared" si="2"/>
        <v>14</v>
      </c>
      <c r="G46" s="4">
        <f t="shared" si="22"/>
        <v>2</v>
      </c>
      <c r="H46" s="11" cm="1">
        <f t="array" ref="H46">IFERROR(INDEX('Master Data Sheet'!$1:$1048576, MATCH(1, ('Master Data Sheet'!$H:$H=H$2) * (INDEX('Master Data Sheet'!$1:$1, , MATCH($F$1, 'Master Data Sheet'!$1:$1, 0)) = $F$1) * ('Master Data Sheet'!$G:$G=$B46) * ('Master Data Sheet'!$F:$F=$E46) * ('Master Data Sheet'!$A:$A=$F46), 0), MATCH($F$1, 'Master Data Sheet'!$1:$1, 0)), "")</f>
        <v>0.23838714071652367</v>
      </c>
      <c r="I46" s="11" cm="1">
        <f t="array" ref="I46">IFERROR(INDEX('Master Data Sheet'!$1:$1048576, MATCH(1, ('Master Data Sheet'!$H:$H=I$2) * (INDEX('Master Data Sheet'!$1:$1, , MATCH($F$1, 'Master Data Sheet'!$1:$1, 0)) = $F$1) * ('Master Data Sheet'!$G:$G=$B46) * ('Master Data Sheet'!$F:$F=$E46) * ('Master Data Sheet'!$A:$A=$F46), 0), MATCH($F$1, 'Master Data Sheet'!$1:$1, 0)), "")</f>
        <v>0.26699359760250646</v>
      </c>
      <c r="J46" s="11" cm="1">
        <f t="array" ref="J46">IFERROR(INDEX('Master Data Sheet'!$1:$1048576, MATCH(1, ('Master Data Sheet'!$H:$H=J$2) * (INDEX('Master Data Sheet'!$1:$1, , MATCH($F$1, 'Master Data Sheet'!$1:$1, 0)) = $F$1) * ('Master Data Sheet'!$G:$G=$B46) * ('Master Data Sheet'!$F:$F=$E46) * ('Master Data Sheet'!$A:$A=$F46), 0), MATCH($F$1, 'Master Data Sheet'!$1:$1, 0)), "")</f>
        <v>0.12396131317259229</v>
      </c>
      <c r="K46" s="11" cm="1">
        <f t="array" ref="K46">IFERROR(INDEX('Master Data Sheet'!$1:$1048576, MATCH(1, ('Master Data Sheet'!$H:$H=K$2) * (INDEX('Master Data Sheet'!$1:$1, , MATCH($F$1, 'Master Data Sheet'!$1:$1, 0)) = $F$1) * ('Master Data Sheet'!$G:$G=$B46) * ('Master Data Sheet'!$F:$F=$E46) * ('Master Data Sheet'!$A:$A=$F46), 0), MATCH($F$1, 'Master Data Sheet'!$1:$1, 0)), "")</f>
        <v>7.6283885029287568E-2</v>
      </c>
      <c r="L46" s="11" cm="1">
        <f t="array" ref="L46">IFERROR(INDEX('Master Data Sheet'!$1:$1048576, MATCH(1, ('Master Data Sheet'!$H:$H=L$2) * (INDEX('Master Data Sheet'!$1:$1, , MATCH($F$1, 'Master Data Sheet'!$1:$1, 0)) = $F$1) * ('Master Data Sheet'!$G:$G=$B46) * ('Master Data Sheet'!$F:$F=$E46) * ('Master Data Sheet'!$A:$A=$F46), 0), MATCH($F$1, 'Master Data Sheet'!$1:$1, 0)), "")</f>
        <v>4.7677428143304723E-2</v>
      </c>
      <c r="M46" s="11" cm="1">
        <f t="array" ref="M46">IFERROR(INDEX('Master Data Sheet'!$1:$1048576, MATCH(1, ('Master Data Sheet'!$H:$H=M$2) * (INDEX('Master Data Sheet'!$1:$1, , MATCH($F$1, 'Master Data Sheet'!$1:$1, 0)) = $F$1) * ('Master Data Sheet'!$G:$G=$B46) * ('Master Data Sheet'!$F:$F=$E46) * ('Master Data Sheet'!$A:$A=$F46), 0), MATCH($F$1, 'Master Data Sheet'!$1:$1, 0)), "")</f>
        <v>5.7212913771965676E-2</v>
      </c>
      <c r="N46" s="11" cm="1">
        <f t="array" ref="N46">IFERROR(INDEX('Master Data Sheet'!$1:$1048576, MATCH(1, ('Master Data Sheet'!$H:$H=N$2) * (INDEX('Master Data Sheet'!$1:$1, , MATCH($F$1, 'Master Data Sheet'!$1:$1, 0)) = $F$1) * ('Master Data Sheet'!$G:$G=$B46) * ('Master Data Sheet'!$F:$F=$E46) * ('Master Data Sheet'!$A:$A=$F46), 0), MATCH($F$1, 'Master Data Sheet'!$1:$1, 0)), "")</f>
        <v>4.7677428143304723E-2</v>
      </c>
      <c r="O46" s="11">
        <f t="shared" si="8"/>
        <v>0.12259910093992644</v>
      </c>
      <c r="P46" s="11">
        <f t="shared" si="4"/>
        <v>9.3010271162574917E-2</v>
      </c>
      <c r="Q46" s="11"/>
      <c r="R46" s="46">
        <f>(1-(O46/O40))*100</f>
        <v>5.2631578947368363</v>
      </c>
      <c r="X46" t="str">
        <f>IFERROR(INDEX('Date Key'!$G$57:$G$62, MATCH(B45,'Date Key'!$A$57:$A$62, 0)), "")</f>
        <v>High HLR, Lower Outlet Height, Yes Plants</v>
      </c>
      <c r="Y46" s="1">
        <f t="shared" ref="Y46:AE46" si="50">H45</f>
        <v>0.18117422694455795</v>
      </c>
      <c r="Z46" s="1">
        <f t="shared" si="50"/>
        <v>0.38141942514643778</v>
      </c>
      <c r="AA46" s="1">
        <f t="shared" si="50"/>
        <v>0.43863233891840347</v>
      </c>
      <c r="AB46" s="1">
        <f t="shared" si="50"/>
        <v>0.6484130227489443</v>
      </c>
      <c r="AC46" s="1">
        <f t="shared" si="50"/>
        <v>0.43863233891840347</v>
      </c>
      <c r="AD46" s="1">
        <f t="shared" si="50"/>
        <v>0.3909549107750987</v>
      </c>
      <c r="AE46" s="1">
        <f t="shared" si="50"/>
        <v>0.5244517095763519</v>
      </c>
      <c r="AF46" s="1">
        <f t="shared" ref="AF46:AL46" si="51">H46</f>
        <v>0.23838714071652367</v>
      </c>
      <c r="AG46" s="1">
        <f t="shared" si="51"/>
        <v>0.26699359760250646</v>
      </c>
      <c r="AH46" s="1">
        <f t="shared" si="51"/>
        <v>0.12396131317259229</v>
      </c>
      <c r="AI46" s="1">
        <f t="shared" si="51"/>
        <v>7.6283885029287568E-2</v>
      </c>
      <c r="AJ46" s="1">
        <f t="shared" si="51"/>
        <v>4.7677428143304723E-2</v>
      </c>
      <c r="AK46" s="1">
        <f t="shared" si="51"/>
        <v>5.7212913771965676E-2</v>
      </c>
      <c r="AL46" s="1">
        <f t="shared" si="51"/>
        <v>4.7677428143304723E-2</v>
      </c>
      <c r="AM46" s="1">
        <f t="shared" ref="AM46:AS46" si="52">H47</f>
        <v>0.17163874131589699</v>
      </c>
      <c r="AN46" s="1">
        <f t="shared" si="52"/>
        <v>7.6283885029287568E-2</v>
      </c>
      <c r="AO46" s="1">
        <f t="shared" si="52"/>
        <v>4.7677428143304723E-2</v>
      </c>
      <c r="AP46" s="1">
        <f t="shared" si="52"/>
        <v>5.7212913771965676E-2</v>
      </c>
      <c r="AQ46" s="1">
        <f t="shared" si="52"/>
        <v>3.8141942514643784E-2</v>
      </c>
      <c r="AR46" s="1">
        <f t="shared" si="52"/>
        <v>5.7212913771965676E-2</v>
      </c>
      <c r="AS46" s="1">
        <f t="shared" si="52"/>
        <v>2.8606456885982838E-2</v>
      </c>
    </row>
    <row r="47" spans="1:45" x14ac:dyDescent="0.35">
      <c r="A47" s="42">
        <f>IFERROR(INDEX('Date Key'!$B$2:$B$19, MATCH(F47,'Date Key'!$A$2:$A$19, 0)), "")</f>
        <v>45330</v>
      </c>
      <c r="B47" s="27">
        <f t="shared" si="15"/>
        <v>5</v>
      </c>
      <c r="C47" s="51" t="str">
        <f>IFERROR(INDEX('Date Key'!$G$57:$G$62, MATCH(B47,'Date Key'!$A$57:$A$62, 0)), "")</f>
        <v>High HLR, Lower Outlet Height, Yes Plants</v>
      </c>
      <c r="D47" s="27" t="str">
        <f>IFERROR(INDEX('Date Key'!$G$2:$G$19, MATCH(F47, 'Date Key'!$A$2:$A$19, 0)), "")</f>
        <v>No</v>
      </c>
      <c r="E47" s="27" t="str">
        <f t="shared" si="1"/>
        <v>tank 2</v>
      </c>
      <c r="F47" s="27">
        <f t="shared" si="2"/>
        <v>15</v>
      </c>
      <c r="G47" s="27">
        <f t="shared" si="22"/>
        <v>3</v>
      </c>
      <c r="H47" s="28" cm="1">
        <f t="array" ref="H47">IFERROR(INDEX('Master Data Sheet'!$1:$1048576, MATCH(1, ('Master Data Sheet'!$H:$H=H$2) * (INDEX('Master Data Sheet'!$1:$1, , MATCH($F$1, 'Master Data Sheet'!$1:$1, 0)) = $F$1) * ('Master Data Sheet'!$G:$G=$B47) * ('Master Data Sheet'!$F:$F=$E47) * ('Master Data Sheet'!$A:$A=$F47), 0), MATCH($F$1, 'Master Data Sheet'!$1:$1, 0)), "")</f>
        <v>0.17163874131589699</v>
      </c>
      <c r="I47" s="28" cm="1">
        <f t="array" ref="I47">IFERROR(INDEX('Master Data Sheet'!$1:$1048576, MATCH(1, ('Master Data Sheet'!$H:$H=I$2) * (INDEX('Master Data Sheet'!$1:$1, , MATCH($F$1, 'Master Data Sheet'!$1:$1, 0)) = $F$1) * ('Master Data Sheet'!$G:$G=$B47) * ('Master Data Sheet'!$F:$F=$E47) * ('Master Data Sheet'!$A:$A=$F47), 0), MATCH($F$1, 'Master Data Sheet'!$1:$1, 0)), "")</f>
        <v>7.6283885029287568E-2</v>
      </c>
      <c r="J47" s="28" cm="1">
        <f t="array" ref="J47">IFERROR(INDEX('Master Data Sheet'!$1:$1048576, MATCH(1, ('Master Data Sheet'!$H:$H=J$2) * (INDEX('Master Data Sheet'!$1:$1, , MATCH($F$1, 'Master Data Sheet'!$1:$1, 0)) = $F$1) * ('Master Data Sheet'!$G:$G=$B47) * ('Master Data Sheet'!$F:$F=$E47) * ('Master Data Sheet'!$A:$A=$F47), 0), MATCH($F$1, 'Master Data Sheet'!$1:$1, 0)), "")</f>
        <v>4.7677428143304723E-2</v>
      </c>
      <c r="K47" s="28" cm="1">
        <f t="array" ref="K47">IFERROR(INDEX('Master Data Sheet'!$1:$1048576, MATCH(1, ('Master Data Sheet'!$H:$H=K$2) * (INDEX('Master Data Sheet'!$1:$1, , MATCH($F$1, 'Master Data Sheet'!$1:$1, 0)) = $F$1) * ('Master Data Sheet'!$G:$G=$B47) * ('Master Data Sheet'!$F:$F=$E47) * ('Master Data Sheet'!$A:$A=$F47), 0), MATCH($F$1, 'Master Data Sheet'!$1:$1, 0)), "")</f>
        <v>5.7212913771965676E-2</v>
      </c>
      <c r="L47" s="28" cm="1">
        <f t="array" ref="L47">IFERROR(INDEX('Master Data Sheet'!$1:$1048576, MATCH(1, ('Master Data Sheet'!$H:$H=L$2) * (INDEX('Master Data Sheet'!$1:$1, , MATCH($F$1, 'Master Data Sheet'!$1:$1, 0)) = $F$1) * ('Master Data Sheet'!$G:$G=$B47) * ('Master Data Sheet'!$F:$F=$E47) * ('Master Data Sheet'!$A:$A=$F47), 0), MATCH($F$1, 'Master Data Sheet'!$1:$1, 0)), "")</f>
        <v>3.8141942514643784E-2</v>
      </c>
      <c r="M47" s="28" cm="1">
        <f t="array" ref="M47">IFERROR(INDEX('Master Data Sheet'!$1:$1048576, MATCH(1, ('Master Data Sheet'!$H:$H=M$2) * (INDEX('Master Data Sheet'!$1:$1, , MATCH($F$1, 'Master Data Sheet'!$1:$1, 0)) = $F$1) * ('Master Data Sheet'!$G:$G=$B47) * ('Master Data Sheet'!$F:$F=$E47) * ('Master Data Sheet'!$A:$A=$F47), 0), MATCH($F$1, 'Master Data Sheet'!$1:$1, 0)), "")</f>
        <v>5.7212913771965676E-2</v>
      </c>
      <c r="N47" s="28" cm="1">
        <f t="array" ref="N47">IFERROR(INDEX('Master Data Sheet'!$1:$1048576, MATCH(1, ('Master Data Sheet'!$H:$H=N$2) * (INDEX('Master Data Sheet'!$1:$1, , MATCH($F$1, 'Master Data Sheet'!$1:$1, 0)) = $F$1) * ('Master Data Sheet'!$G:$G=$B47) * ('Master Data Sheet'!$F:$F=$E47) * ('Master Data Sheet'!$A:$A=$F47), 0), MATCH($F$1, 'Master Data Sheet'!$1:$1, 0)), "")</f>
        <v>2.8606456885982838E-2</v>
      </c>
      <c r="O47" s="28">
        <f t="shared" si="8"/>
        <v>6.8110611633292462E-2</v>
      </c>
      <c r="P47" s="28">
        <f t="shared" si="4"/>
        <v>4.8129356996735588E-2</v>
      </c>
      <c r="Q47" s="28"/>
      <c r="R47" s="48">
        <f>(1-(O47/O41))*100</f>
        <v>-900</v>
      </c>
      <c r="S47" s="27"/>
      <c r="T47" s="27"/>
      <c r="U47" s="27"/>
      <c r="V47" s="27"/>
    </row>
    <row r="48" spans="1:45" x14ac:dyDescent="0.35">
      <c r="A48" s="41">
        <f>IFERROR(INDEX('Date Key'!$B$2:$B$19, MATCH(F48,'Date Key'!$A$2:$A$19, 0)), "")</f>
        <v>45371</v>
      </c>
      <c r="B48" s="4">
        <f t="shared" si="15"/>
        <v>6</v>
      </c>
      <c r="C48" s="26" t="str">
        <f>IFERROR(INDEX('Date Key'!$G$57:$G$62, MATCH(B48,'Date Key'!$A$57:$A$62, 0)), "")</f>
        <v>Medium HLR, Upper Outlet Height, Yes Plants</v>
      </c>
      <c r="D48" s="4" t="str">
        <f>IFERROR(INDEX('Date Key'!$G$2:$G$19, MATCH(F48, 'Date Key'!$A$2:$A$19, 0)), "")</f>
        <v>No</v>
      </c>
      <c r="E48" s="4" t="str">
        <f t="shared" si="1"/>
        <v>in</v>
      </c>
      <c r="F48" s="4">
        <f t="shared" si="2"/>
        <v>16</v>
      </c>
      <c r="G48" s="4">
        <f t="shared" si="22"/>
        <v>1</v>
      </c>
      <c r="H48" s="11" cm="1">
        <f t="array" ref="H48">IFERROR(INDEX('Master Data Sheet'!$1:$1048576, MATCH(1, ('Master Data Sheet'!$H:$H=H$2) * (INDEX('Master Data Sheet'!$1:$1, , MATCH($F$1, 'Master Data Sheet'!$1:$1, 0)) = $F$1) * ('Master Data Sheet'!$G:$G=$B48) * ('Master Data Sheet'!$F:$F=$E48) * ('Master Data Sheet'!$A:$A=$F48), 0), MATCH($F$1, 'Master Data Sheet'!$1:$1, 0)), "")</f>
        <v>0</v>
      </c>
      <c r="I48" s="11" cm="1">
        <f t="array" ref="I48">IFERROR(INDEX('Master Data Sheet'!$1:$1048576, MATCH(1, ('Master Data Sheet'!$H:$H=I$2) * (INDEX('Master Data Sheet'!$1:$1, , MATCH($F$1, 'Master Data Sheet'!$1:$1, 0)) = $F$1) * ('Master Data Sheet'!$G:$G=$B48) * ('Master Data Sheet'!$F:$F=$E48) * ('Master Data Sheet'!$A:$A=$F48), 0), MATCH($F$1, 'Master Data Sheet'!$1:$1, 0)), "")</f>
        <v>1.9070971257321892E-2</v>
      </c>
      <c r="J48" s="11" cm="1">
        <f t="array" ref="J48">IFERROR(INDEX('Master Data Sheet'!$1:$1048576, MATCH(1, ('Master Data Sheet'!$H:$H=J$2) * (INDEX('Master Data Sheet'!$1:$1, , MATCH($F$1, 'Master Data Sheet'!$1:$1, 0)) = $F$1) * ('Master Data Sheet'!$G:$G=$B48) * ('Master Data Sheet'!$F:$F=$E48) * ('Master Data Sheet'!$A:$A=$F48), 0), MATCH($F$1, 'Master Data Sheet'!$1:$1, 0)), "")</f>
        <v>5.7212913771965676E-2</v>
      </c>
      <c r="K48" s="11" cm="1">
        <f t="array" ref="K48">IFERROR(INDEX('Master Data Sheet'!$1:$1048576, MATCH(1, ('Master Data Sheet'!$H:$H=K$2) * (INDEX('Master Data Sheet'!$1:$1, , MATCH($F$1, 'Master Data Sheet'!$1:$1, 0)) = $F$1) * ('Master Data Sheet'!$G:$G=$B48) * ('Master Data Sheet'!$F:$F=$E48) * ('Master Data Sheet'!$A:$A=$F48), 0), MATCH($F$1, 'Master Data Sheet'!$1:$1, 0)), "")</f>
        <v>2.8606456885982838E-2</v>
      </c>
      <c r="L48" s="11" cm="1">
        <f t="array" ref="L48">IFERROR(INDEX('Master Data Sheet'!$1:$1048576, MATCH(1, ('Master Data Sheet'!$H:$H=L$2) * (INDEX('Master Data Sheet'!$1:$1, , MATCH($F$1, 'Master Data Sheet'!$1:$1, 0)) = $F$1) * ('Master Data Sheet'!$G:$G=$B48) * ('Master Data Sheet'!$F:$F=$E48) * ('Master Data Sheet'!$A:$A=$F48), 0), MATCH($F$1, 'Master Data Sheet'!$1:$1, 0)), "")</f>
        <v>1.9070971257321892E-2</v>
      </c>
      <c r="M48" s="11" cm="1">
        <f t="array" ref="M48">IFERROR(INDEX('Master Data Sheet'!$1:$1048576, MATCH(1, ('Master Data Sheet'!$H:$H=M$2) * (INDEX('Master Data Sheet'!$1:$1, , MATCH($F$1, 'Master Data Sheet'!$1:$1, 0)) = $F$1) * ('Master Data Sheet'!$G:$G=$B48) * ('Master Data Sheet'!$F:$F=$E48) * ('Master Data Sheet'!$A:$A=$F48), 0), MATCH($F$1, 'Master Data Sheet'!$1:$1, 0)), "")</f>
        <v>3.8141942514643784E-2</v>
      </c>
      <c r="N48" s="11" cm="1">
        <f t="array" ref="N48">IFERROR(INDEX('Master Data Sheet'!$1:$1048576, MATCH(1, ('Master Data Sheet'!$H:$H=N$2) * (INDEX('Master Data Sheet'!$1:$1, , MATCH($F$1, 'Master Data Sheet'!$1:$1, 0)) = $F$1) * ('Master Data Sheet'!$G:$G=$B48) * ('Master Data Sheet'!$F:$F=$E48) * ('Master Data Sheet'!$A:$A=$F48), 0), MATCH($F$1, 'Master Data Sheet'!$1:$1, 0)), "")</f>
        <v>7.6283885029287568E-2</v>
      </c>
      <c r="O48" s="11">
        <f t="shared" si="8"/>
        <v>3.4055305816646238E-2</v>
      </c>
      <c r="P48" s="11">
        <f t="shared" si="4"/>
        <v>2.5738242239056242E-2</v>
      </c>
      <c r="Q48" s="11">
        <f>AVERAGE(O48:O50)</f>
        <v>0.10367905290991042</v>
      </c>
      <c r="S48" s="11">
        <f>AVERAGE(O48:O50)</f>
        <v>0.10367905290991042</v>
      </c>
      <c r="T48" s="11">
        <f>AVERAGE(P48:P50)</f>
        <v>3.5025207976272725E-2</v>
      </c>
      <c r="V48" s="47">
        <f>AVERAGE(U51, U54)</f>
        <v>-244.54936753338015</v>
      </c>
      <c r="X48" t="s">
        <v>343</v>
      </c>
    </row>
    <row r="49" spans="1:46" x14ac:dyDescent="0.35">
      <c r="A49" s="41">
        <f>IFERROR(INDEX('Date Key'!$B$2:$B$19, MATCH(F49,'Date Key'!$A$2:$A$19, 0)), "")</f>
        <v>45392</v>
      </c>
      <c r="B49" s="4">
        <f t="shared" si="15"/>
        <v>6</v>
      </c>
      <c r="C49" s="26" t="str">
        <f>IFERROR(INDEX('Date Key'!$G$57:$G$62, MATCH(B49,'Date Key'!$A$57:$A$62, 0)), "")</f>
        <v>Medium HLR, Upper Outlet Height, Yes Plants</v>
      </c>
      <c r="D49" s="4" t="str">
        <f>IFERROR(INDEX('Date Key'!$G$2:$G$19, MATCH(F49, 'Date Key'!$A$2:$A$19, 0)), "")</f>
        <v>No</v>
      </c>
      <c r="E49" s="4" t="str">
        <f t="shared" si="1"/>
        <v>in</v>
      </c>
      <c r="F49" s="4">
        <f t="shared" si="2"/>
        <v>17</v>
      </c>
      <c r="G49" s="4">
        <f t="shared" si="22"/>
        <v>2</v>
      </c>
      <c r="H49" s="11" cm="1">
        <f t="array" ref="H49">IFERROR(INDEX('Master Data Sheet'!$1:$1048576, MATCH(1, ('Master Data Sheet'!$H:$H=H$2) * (INDEX('Master Data Sheet'!$1:$1, , MATCH($F$1, 'Master Data Sheet'!$1:$1, 0)) = $F$1) * ('Master Data Sheet'!$G:$G=$B49) * ('Master Data Sheet'!$F:$F=$E49) * ('Master Data Sheet'!$A:$A=$F49), 0), MATCH($F$1, 'Master Data Sheet'!$1:$1, 0)), "")</f>
        <v>0</v>
      </c>
      <c r="I49" s="11" cm="1">
        <f t="array" ref="I49">IFERROR(INDEX('Master Data Sheet'!$1:$1048576, MATCH(1, ('Master Data Sheet'!$H:$H=I$2) * (INDEX('Master Data Sheet'!$1:$1, , MATCH($F$1, 'Master Data Sheet'!$1:$1, 0)) = $F$1) * ('Master Data Sheet'!$G:$G=$B49) * ('Master Data Sheet'!$F:$F=$E49) * ('Master Data Sheet'!$A:$A=$F49), 0), MATCH($F$1, 'Master Data Sheet'!$1:$1, 0)), "")</f>
        <v>0</v>
      </c>
      <c r="J49" s="11" cm="1">
        <f t="array" ref="J49">IFERROR(INDEX('Master Data Sheet'!$1:$1048576, MATCH(1, ('Master Data Sheet'!$H:$H=J$2) * (INDEX('Master Data Sheet'!$1:$1, , MATCH($F$1, 'Master Data Sheet'!$1:$1, 0)) = $F$1) * ('Master Data Sheet'!$G:$G=$B49) * ('Master Data Sheet'!$F:$F=$E49) * ('Master Data Sheet'!$A:$A=$F49), 0), MATCH($F$1, 'Master Data Sheet'!$1:$1, 0)), "")</f>
        <v>0</v>
      </c>
      <c r="K49" s="11" cm="1">
        <f t="array" ref="K49">IFERROR(INDEX('Master Data Sheet'!$1:$1048576, MATCH(1, ('Master Data Sheet'!$H:$H=K$2) * (INDEX('Master Data Sheet'!$1:$1, , MATCH($F$1, 'Master Data Sheet'!$1:$1, 0)) = $F$1) * ('Master Data Sheet'!$G:$G=$B49) * ('Master Data Sheet'!$F:$F=$E49) * ('Master Data Sheet'!$A:$A=$F49), 0), MATCH($F$1, 'Master Data Sheet'!$1:$1, 0)), "")</f>
        <v>0</v>
      </c>
      <c r="L49" s="11" cm="1">
        <f t="array" ref="L49">IFERROR(INDEX('Master Data Sheet'!$1:$1048576, MATCH(1, ('Master Data Sheet'!$H:$H=L$2) * (INDEX('Master Data Sheet'!$1:$1, , MATCH($F$1, 'Master Data Sheet'!$1:$1, 0)) = $F$1) * ('Master Data Sheet'!$G:$G=$B49) * ('Master Data Sheet'!$F:$F=$E49) * ('Master Data Sheet'!$A:$A=$F49), 0), MATCH($F$1, 'Master Data Sheet'!$1:$1, 0)), "")</f>
        <v>0</v>
      </c>
      <c r="M49" s="11" cm="1">
        <f t="array" ref="M49">IFERROR(INDEX('Master Data Sheet'!$1:$1048576, MATCH(1, ('Master Data Sheet'!$H:$H=M$2) * (INDEX('Master Data Sheet'!$1:$1, , MATCH($F$1, 'Master Data Sheet'!$1:$1, 0)) = $F$1) * ('Master Data Sheet'!$G:$G=$B49) * ('Master Data Sheet'!$F:$F=$E49) * ('Master Data Sheet'!$A:$A=$F49), 0), MATCH($F$1, 'Master Data Sheet'!$1:$1, 0)), "")</f>
        <v>0</v>
      </c>
      <c r="N49" s="11" cm="1">
        <f t="array" ref="N49">IFERROR(INDEX('Master Data Sheet'!$1:$1048576, MATCH(1, ('Master Data Sheet'!$H:$H=N$2) * (INDEX('Master Data Sheet'!$1:$1, , MATCH($F$1, 'Master Data Sheet'!$1:$1, 0)) = $F$1) * ('Master Data Sheet'!$G:$G=$B49) * ('Master Data Sheet'!$F:$F=$E49) * ('Master Data Sheet'!$A:$A=$F49), 0), MATCH($F$1, 'Master Data Sheet'!$1:$1, 0)), "")</f>
        <v>0</v>
      </c>
      <c r="O49" s="11">
        <f t="shared" si="8"/>
        <v>0</v>
      </c>
      <c r="P49" s="11">
        <f t="shared" si="4"/>
        <v>0</v>
      </c>
      <c r="Q49" s="11"/>
      <c r="X49" t="str">
        <f>IFERROR(INDEX('Date Key'!$G$57:$G$62, MATCH(B48,'Date Key'!$A$57:$A$62, 0)), "")</f>
        <v>Medium HLR, Upper Outlet Height, Yes Plants</v>
      </c>
      <c r="Y49" s="1">
        <f t="shared" ref="Y49:AE49" si="53">H48</f>
        <v>0</v>
      </c>
      <c r="Z49" s="1">
        <f t="shared" si="53"/>
        <v>1.9070971257321892E-2</v>
      </c>
      <c r="AA49" s="1">
        <f t="shared" si="53"/>
        <v>5.7212913771965676E-2</v>
      </c>
      <c r="AB49" s="1">
        <f t="shared" si="53"/>
        <v>2.8606456885982838E-2</v>
      </c>
      <c r="AC49" s="1">
        <f t="shared" si="53"/>
        <v>1.9070971257321892E-2</v>
      </c>
      <c r="AD49" s="1">
        <f t="shared" si="53"/>
        <v>3.8141942514643784E-2</v>
      </c>
      <c r="AE49" s="1">
        <f t="shared" si="53"/>
        <v>7.6283885029287568E-2</v>
      </c>
      <c r="AF49" s="1">
        <f t="shared" ref="AF49:AL49" si="54">H49</f>
        <v>0</v>
      </c>
      <c r="AG49" s="1">
        <f t="shared" si="54"/>
        <v>0</v>
      </c>
      <c r="AH49" s="1">
        <f t="shared" si="54"/>
        <v>0</v>
      </c>
      <c r="AI49" s="1">
        <f t="shared" si="54"/>
        <v>0</v>
      </c>
      <c r="AJ49" s="1">
        <f t="shared" si="54"/>
        <v>0</v>
      </c>
      <c r="AK49" s="1">
        <f t="shared" si="54"/>
        <v>0</v>
      </c>
      <c r="AL49" s="1">
        <f t="shared" si="54"/>
        <v>0</v>
      </c>
      <c r="AM49" s="1">
        <f t="shared" ref="AM49:AS49" si="55">H50</f>
        <v>0.26743075453677173</v>
      </c>
      <c r="AN49" s="1">
        <f t="shared" si="55"/>
        <v>0.36294173829990445</v>
      </c>
      <c r="AO49" s="1">
        <f t="shared" si="55"/>
        <v>0.38204393505253109</v>
      </c>
      <c r="AP49" s="1">
        <f t="shared" si="55"/>
        <v>0.30563514804202485</v>
      </c>
      <c r="AQ49" s="1">
        <f t="shared" si="55"/>
        <v>0.24832855778414517</v>
      </c>
      <c r="AR49" s="1">
        <f t="shared" si="55"/>
        <v>0.21012416427889211</v>
      </c>
      <c r="AS49" s="1">
        <f t="shared" si="55"/>
        <v>0.16236867239732572</v>
      </c>
    </row>
    <row r="50" spans="1:46" x14ac:dyDescent="0.35">
      <c r="A50" s="41">
        <f>IFERROR(INDEX('Date Key'!$B$2:$B$19, MATCH(F50,'Date Key'!$A$2:$A$19, 0)), "")</f>
        <v>45400</v>
      </c>
      <c r="B50" s="4">
        <f t="shared" si="15"/>
        <v>6</v>
      </c>
      <c r="C50" s="26" t="str">
        <f>IFERROR(INDEX('Date Key'!$G$57:$G$62, MATCH(B50,'Date Key'!$A$57:$A$62, 0)), "")</f>
        <v>Medium HLR, Upper Outlet Height, Yes Plants</v>
      </c>
      <c r="D50" s="4" t="str">
        <f>IFERROR(INDEX('Date Key'!$G$2:$G$19, MATCH(F50, 'Date Key'!$A$2:$A$19, 0)), "")</f>
        <v>Yes</v>
      </c>
      <c r="E50" s="4" t="str">
        <f t="shared" si="1"/>
        <v>in</v>
      </c>
      <c r="F50" s="4">
        <f t="shared" si="2"/>
        <v>18</v>
      </c>
      <c r="G50" s="4">
        <f t="shared" si="22"/>
        <v>3</v>
      </c>
      <c r="H50" s="11" cm="1">
        <f t="array" ref="H50">IFERROR(INDEX('Master Data Sheet'!$1:$1048576, MATCH(1, ('Master Data Sheet'!$H:$H=H$2) * (INDEX('Master Data Sheet'!$1:$1, , MATCH($F$1, 'Master Data Sheet'!$1:$1, 0)) = $F$1) * ('Master Data Sheet'!$G:$G=$B50) * ('Master Data Sheet'!$F:$F=$E50) * ('Master Data Sheet'!$A:$A=$F50), 0), MATCH($F$1, 'Master Data Sheet'!$1:$1, 0)), "")</f>
        <v>0.26743075453677173</v>
      </c>
      <c r="I50" s="11" cm="1">
        <f t="array" ref="I50">IFERROR(INDEX('Master Data Sheet'!$1:$1048576, MATCH(1, ('Master Data Sheet'!$H:$H=I$2) * (INDEX('Master Data Sheet'!$1:$1, , MATCH($F$1, 'Master Data Sheet'!$1:$1, 0)) = $F$1) * ('Master Data Sheet'!$G:$G=$B50) * ('Master Data Sheet'!$F:$F=$E50) * ('Master Data Sheet'!$A:$A=$F50), 0), MATCH($F$1, 'Master Data Sheet'!$1:$1, 0)), "")</f>
        <v>0.36294173829990445</v>
      </c>
      <c r="J50" s="11" cm="1">
        <f t="array" ref="J50">IFERROR(INDEX('Master Data Sheet'!$1:$1048576, MATCH(1, ('Master Data Sheet'!$H:$H=J$2) * (INDEX('Master Data Sheet'!$1:$1, , MATCH($F$1, 'Master Data Sheet'!$1:$1, 0)) = $F$1) * ('Master Data Sheet'!$G:$G=$B50) * ('Master Data Sheet'!$F:$F=$E50) * ('Master Data Sheet'!$A:$A=$F50), 0), MATCH($F$1, 'Master Data Sheet'!$1:$1, 0)), "")</f>
        <v>0.38204393505253109</v>
      </c>
      <c r="K50" s="11" cm="1">
        <f t="array" ref="K50">IFERROR(INDEX('Master Data Sheet'!$1:$1048576, MATCH(1, ('Master Data Sheet'!$H:$H=K$2) * (INDEX('Master Data Sheet'!$1:$1, , MATCH($F$1, 'Master Data Sheet'!$1:$1, 0)) = $F$1) * ('Master Data Sheet'!$G:$G=$B50) * ('Master Data Sheet'!$F:$F=$E50) * ('Master Data Sheet'!$A:$A=$F50), 0), MATCH($F$1, 'Master Data Sheet'!$1:$1, 0)), "")</f>
        <v>0.30563514804202485</v>
      </c>
      <c r="L50" s="11" cm="1">
        <f t="array" ref="L50">IFERROR(INDEX('Master Data Sheet'!$1:$1048576, MATCH(1, ('Master Data Sheet'!$H:$H=L$2) * (INDEX('Master Data Sheet'!$1:$1, , MATCH($F$1, 'Master Data Sheet'!$1:$1, 0)) = $F$1) * ('Master Data Sheet'!$G:$G=$B50) * ('Master Data Sheet'!$F:$F=$E50) * ('Master Data Sheet'!$A:$A=$F50), 0), MATCH($F$1, 'Master Data Sheet'!$1:$1, 0)), "")</f>
        <v>0.24832855778414517</v>
      </c>
      <c r="M50" s="11" cm="1">
        <f t="array" ref="M50">IFERROR(INDEX('Master Data Sheet'!$1:$1048576, MATCH(1, ('Master Data Sheet'!$H:$H=M$2) * (INDEX('Master Data Sheet'!$1:$1, , MATCH($F$1, 'Master Data Sheet'!$1:$1, 0)) = $F$1) * ('Master Data Sheet'!$G:$G=$B50) * ('Master Data Sheet'!$F:$F=$E50) * ('Master Data Sheet'!$A:$A=$F50), 0), MATCH($F$1, 'Master Data Sheet'!$1:$1, 0)), "")</f>
        <v>0.21012416427889211</v>
      </c>
      <c r="N50" s="11" cm="1">
        <f t="array" ref="N50">IFERROR(INDEX('Master Data Sheet'!$1:$1048576, MATCH(1, ('Master Data Sheet'!$H:$H=N$2) * (INDEX('Master Data Sheet'!$1:$1, , MATCH($F$1, 'Master Data Sheet'!$1:$1, 0)) = $F$1) * ('Master Data Sheet'!$G:$G=$B50) * ('Master Data Sheet'!$F:$F=$E50) * ('Master Data Sheet'!$A:$A=$F50), 0), MATCH($F$1, 'Master Data Sheet'!$1:$1, 0)), "")</f>
        <v>0.16236867239732572</v>
      </c>
      <c r="O50" s="11">
        <f t="shared" si="8"/>
        <v>0.27698185291308502</v>
      </c>
      <c r="P50" s="11">
        <f t="shared" si="4"/>
        <v>7.933738168976194E-2</v>
      </c>
      <c r="Q50" s="11"/>
      <c r="Y50" s="1"/>
      <c r="Z50" s="1"/>
      <c r="AA50" s="1"/>
      <c r="AB50" s="1"/>
      <c r="AC50" s="1"/>
      <c r="AD50" s="1"/>
      <c r="AE50" s="1"/>
      <c r="AF50" s="1"/>
      <c r="AG50" s="1"/>
      <c r="AH50" s="1"/>
      <c r="AI50" s="1"/>
      <c r="AJ50" s="1"/>
      <c r="AK50" s="1"/>
      <c r="AL50" s="1"/>
      <c r="AM50" s="1"/>
      <c r="AN50" s="1"/>
      <c r="AO50" s="1"/>
      <c r="AP50" s="1"/>
      <c r="AQ50" s="1"/>
      <c r="AR50" s="1"/>
      <c r="AS50" s="1"/>
    </row>
    <row r="51" spans="1:46" x14ac:dyDescent="0.35">
      <c r="A51" s="41">
        <f>IFERROR(INDEX('Date Key'!$B$2:$B$19, MATCH(F51,'Date Key'!$A$2:$A$19, 0)), "")</f>
        <v>45371</v>
      </c>
      <c r="B51" s="4">
        <f t="shared" si="15"/>
        <v>6</v>
      </c>
      <c r="C51" s="26" t="str">
        <f>IFERROR(INDEX('Date Key'!$G$57:$G$62, MATCH(B51,'Date Key'!$A$57:$A$62, 0)), "")</f>
        <v>Medium HLR, Upper Outlet Height, Yes Plants</v>
      </c>
      <c r="D51" s="4" t="str">
        <f>IFERROR(INDEX('Date Key'!$G$2:$G$19, MATCH(F51, 'Date Key'!$A$2:$A$19, 0)), "")</f>
        <v>No</v>
      </c>
      <c r="E51" s="4" t="str">
        <f t="shared" si="1"/>
        <v>tank 1</v>
      </c>
      <c r="F51" s="4">
        <f t="shared" si="2"/>
        <v>16</v>
      </c>
      <c r="G51" s="4">
        <f t="shared" si="22"/>
        <v>1</v>
      </c>
      <c r="H51" s="11" cm="1">
        <f t="array" ref="H51">IFERROR(INDEX('Master Data Sheet'!$1:$1048576, MATCH(1, ('Master Data Sheet'!$H:$H=H$2) * (INDEX('Master Data Sheet'!$1:$1, , MATCH($F$1, 'Master Data Sheet'!$1:$1, 0)) = $F$1) * ('Master Data Sheet'!$G:$G=$B51) * ('Master Data Sheet'!$F:$F=$E51) * ('Master Data Sheet'!$A:$A=$F51), 0), MATCH($F$1, 'Master Data Sheet'!$1:$1, 0)), "")</f>
        <v>9.9073695681787211</v>
      </c>
      <c r="I51" s="11" cm="1">
        <f t="array" ref="I51">IFERROR(INDEX('Master Data Sheet'!$1:$1048576, MATCH(1, ('Master Data Sheet'!$H:$H=I$2) * (INDEX('Master Data Sheet'!$1:$1, , MATCH($F$1, 'Master Data Sheet'!$1:$1, 0)) = $F$1) * ('Master Data Sheet'!$G:$G=$B51) * ('Master Data Sheet'!$F:$F=$E51) * ('Master Data Sheet'!$A:$A=$F51), 0), MATCH($F$1, 'Master Data Sheet'!$1:$1, 0)), "")</f>
        <v>0</v>
      </c>
      <c r="J51" s="11" cm="1">
        <f t="array" ref="J51">IFERROR(INDEX('Master Data Sheet'!$1:$1048576, MATCH(1, ('Master Data Sheet'!$H:$H=J$2) * (INDEX('Master Data Sheet'!$1:$1, , MATCH($F$1, 'Master Data Sheet'!$1:$1, 0)) = $F$1) * ('Master Data Sheet'!$G:$G=$B51) * ('Master Data Sheet'!$F:$F=$E51) * ('Master Data Sheet'!$A:$A=$F51), 0), MATCH($F$1, 'Master Data Sheet'!$1:$1, 0)), "")</f>
        <v>0</v>
      </c>
      <c r="K51" s="11" cm="1">
        <f t="array" ref="K51">IFERROR(INDEX('Master Data Sheet'!$1:$1048576, MATCH(1, ('Master Data Sheet'!$H:$H=K$2) * (INDEX('Master Data Sheet'!$1:$1, , MATCH($F$1, 'Master Data Sheet'!$1:$1, 0)) = $F$1) * ('Master Data Sheet'!$G:$G=$B51) * ('Master Data Sheet'!$F:$F=$E51) * ('Master Data Sheet'!$A:$A=$F51), 0), MATCH($F$1, 'Master Data Sheet'!$1:$1, 0)), "")</f>
        <v>0</v>
      </c>
      <c r="L51" s="11" cm="1">
        <f t="array" ref="L51">IFERROR(INDEX('Master Data Sheet'!$1:$1048576, MATCH(1, ('Master Data Sheet'!$H:$H=L$2) * (INDEX('Master Data Sheet'!$1:$1, , MATCH($F$1, 'Master Data Sheet'!$1:$1, 0)) = $F$1) * ('Master Data Sheet'!$G:$G=$B51) * ('Master Data Sheet'!$F:$F=$E51) * ('Master Data Sheet'!$A:$A=$F51), 0), MATCH($F$1, 'Master Data Sheet'!$1:$1, 0)), "")</f>
        <v>0</v>
      </c>
      <c r="M51" s="11" cm="1">
        <f t="array" ref="M51">IFERROR(INDEX('Master Data Sheet'!$1:$1048576, MATCH(1, ('Master Data Sheet'!$H:$H=M$2) * (INDEX('Master Data Sheet'!$1:$1, , MATCH($F$1, 'Master Data Sheet'!$1:$1, 0)) = $F$1) * ('Master Data Sheet'!$G:$G=$B51) * ('Master Data Sheet'!$F:$F=$E51) * ('Master Data Sheet'!$A:$A=$F51), 0), MATCH($F$1, 'Master Data Sheet'!$1:$1, 0)), "")</f>
        <v>4.7677428143304723E-2</v>
      </c>
      <c r="N51" s="11" cm="1">
        <f t="array" ref="N51">IFERROR(INDEX('Master Data Sheet'!$1:$1048576, MATCH(1, ('Master Data Sheet'!$H:$H=N$2) * (INDEX('Master Data Sheet'!$1:$1, , MATCH($F$1, 'Master Data Sheet'!$1:$1, 0)) = $F$1) * ('Master Data Sheet'!$G:$G=$B51) * ('Master Data Sheet'!$F:$F=$E51) * ('Master Data Sheet'!$A:$A=$F51), 0), MATCH($F$1, 'Master Data Sheet'!$1:$1, 0)), "")</f>
        <v>0.10489034191527041</v>
      </c>
      <c r="O51" s="11">
        <f t="shared" si="8"/>
        <v>1.4371339054624708</v>
      </c>
      <c r="P51" s="11">
        <f t="shared" si="4"/>
        <v>3.7352324748232779</v>
      </c>
      <c r="Q51" s="11">
        <f>AVERAGE(O51:O53)</f>
        <v>0.55226972270589203</v>
      </c>
      <c r="R51" s="46">
        <f>(1-(O51/O48))*100</f>
        <v>-4119.9999999999991</v>
      </c>
      <c r="S51" s="46" t="e">
        <f>AVERAGE(R51:R53)</f>
        <v>#DIV/0!</v>
      </c>
      <c r="T51" s="46" t="e">
        <f>STDEV(R51:R53)</f>
        <v>#DIV/0!</v>
      </c>
      <c r="U51" s="47">
        <f>(1-(AVERAGE(H51:N53)/AVERAGE(H48:N50)))*100</f>
        <v>-432.67242244754539</v>
      </c>
      <c r="V51" s="47"/>
      <c r="Y51" s="2"/>
      <c r="Z51" s="2"/>
      <c r="AA51" s="2"/>
      <c r="AB51" s="2"/>
      <c r="AC51" s="2"/>
      <c r="AD51" s="2"/>
      <c r="AE51" s="2"/>
      <c r="AF51" s="2"/>
      <c r="AG51" s="2"/>
    </row>
    <row r="52" spans="1:46" x14ac:dyDescent="0.35">
      <c r="A52" s="41">
        <f>IFERROR(INDEX('Date Key'!$B$2:$B$19, MATCH(F52,'Date Key'!$A$2:$A$19, 0)), "")</f>
        <v>45392</v>
      </c>
      <c r="B52" s="4">
        <f t="shared" si="15"/>
        <v>6</v>
      </c>
      <c r="C52" s="26" t="str">
        <f>IFERROR(INDEX('Date Key'!$G$57:$G$62, MATCH(B52,'Date Key'!$A$57:$A$62, 0)), "")</f>
        <v>Medium HLR, Upper Outlet Height, Yes Plants</v>
      </c>
      <c r="D52" s="4" t="str">
        <f>IFERROR(INDEX('Date Key'!$G$2:$G$19, MATCH(F52, 'Date Key'!$A$2:$A$19, 0)), "")</f>
        <v>No</v>
      </c>
      <c r="E52" s="4" t="str">
        <f t="shared" si="1"/>
        <v>tank 1</v>
      </c>
      <c r="F52" s="4">
        <f t="shared" si="2"/>
        <v>17</v>
      </c>
      <c r="G52" s="4">
        <f t="shared" si="22"/>
        <v>2</v>
      </c>
      <c r="H52" s="11" cm="1">
        <f t="array" ref="H52">IFERROR(INDEX('Master Data Sheet'!$1:$1048576, MATCH(1, ('Master Data Sheet'!$H:$H=H$2) * (INDEX('Master Data Sheet'!$1:$1, , MATCH($F$1, 'Master Data Sheet'!$1:$1, 0)) = $F$1) * ('Master Data Sheet'!$G:$G=$B52) * ('Master Data Sheet'!$F:$F=$E52) * ('Master Data Sheet'!$A:$A=$F52), 0), MATCH($F$1, 'Master Data Sheet'!$1:$1, 0)), "")</f>
        <v>0</v>
      </c>
      <c r="I52" s="11" cm="1">
        <f t="array" ref="I52">IFERROR(INDEX('Master Data Sheet'!$1:$1048576, MATCH(1, ('Master Data Sheet'!$H:$H=I$2) * (INDEX('Master Data Sheet'!$1:$1, , MATCH($F$1, 'Master Data Sheet'!$1:$1, 0)) = $F$1) * ('Master Data Sheet'!$G:$G=$B52) * ('Master Data Sheet'!$F:$F=$E52) * ('Master Data Sheet'!$A:$A=$F52), 0), MATCH($F$1, 'Master Data Sheet'!$1:$1, 0)), "")</f>
        <v>0</v>
      </c>
      <c r="J52" s="11" cm="1">
        <f t="array" ref="J52">IFERROR(INDEX('Master Data Sheet'!$1:$1048576, MATCH(1, ('Master Data Sheet'!$H:$H=J$2) * (INDEX('Master Data Sheet'!$1:$1, , MATCH($F$1, 'Master Data Sheet'!$1:$1, 0)) = $F$1) * ('Master Data Sheet'!$G:$G=$B52) * ('Master Data Sheet'!$F:$F=$E52) * ('Master Data Sheet'!$A:$A=$F52), 0), MATCH($F$1, 'Master Data Sheet'!$1:$1, 0)), "")</f>
        <v>0</v>
      </c>
      <c r="K52" s="11" cm="1">
        <f t="array" ref="K52">IFERROR(INDEX('Master Data Sheet'!$1:$1048576, MATCH(1, ('Master Data Sheet'!$H:$H=K$2) * (INDEX('Master Data Sheet'!$1:$1, , MATCH($F$1, 'Master Data Sheet'!$1:$1, 0)) = $F$1) * ('Master Data Sheet'!$G:$G=$B52) * ('Master Data Sheet'!$F:$F=$E52) * ('Master Data Sheet'!$A:$A=$F52), 0), MATCH($F$1, 'Master Data Sheet'!$1:$1, 0)), "")</f>
        <v>0</v>
      </c>
      <c r="L52" s="11" cm="1">
        <f t="array" ref="L52">IFERROR(INDEX('Master Data Sheet'!$1:$1048576, MATCH(1, ('Master Data Sheet'!$H:$H=L$2) * (INDEX('Master Data Sheet'!$1:$1, , MATCH($F$1, 'Master Data Sheet'!$1:$1, 0)) = $F$1) * ('Master Data Sheet'!$G:$G=$B52) * ('Master Data Sheet'!$F:$F=$E52) * ('Master Data Sheet'!$A:$A=$F52), 0), MATCH($F$1, 'Master Data Sheet'!$1:$1, 0)), "")</f>
        <v>0</v>
      </c>
      <c r="M52" s="11" cm="1">
        <f t="array" ref="M52">IFERROR(INDEX('Master Data Sheet'!$1:$1048576, MATCH(1, ('Master Data Sheet'!$H:$H=M$2) * (INDEX('Master Data Sheet'!$1:$1, , MATCH($F$1, 'Master Data Sheet'!$1:$1, 0)) = $F$1) * ('Master Data Sheet'!$G:$G=$B52) * ('Master Data Sheet'!$F:$F=$E52) * ('Master Data Sheet'!$A:$A=$F52), 0), MATCH($F$1, 'Master Data Sheet'!$1:$1, 0)), "")</f>
        <v>0</v>
      </c>
      <c r="N52" s="11" cm="1">
        <f t="array" ref="N52">IFERROR(INDEX('Master Data Sheet'!$1:$1048576, MATCH(1, ('Master Data Sheet'!$H:$H=N$2) * (INDEX('Master Data Sheet'!$1:$1, , MATCH($F$1, 'Master Data Sheet'!$1:$1, 0)) = $F$1) * ('Master Data Sheet'!$G:$G=$B52) * ('Master Data Sheet'!$F:$F=$E52) * ('Master Data Sheet'!$A:$A=$F52), 0), MATCH($F$1, 'Master Data Sheet'!$1:$1, 0)), "")</f>
        <v>0</v>
      </c>
      <c r="O52" s="11">
        <f t="shared" si="8"/>
        <v>0</v>
      </c>
      <c r="P52" s="11">
        <f t="shared" si="4"/>
        <v>0</v>
      </c>
      <c r="Q52" s="11"/>
      <c r="R52" s="46" t="e">
        <f>(1-(O52/O49))*100</f>
        <v>#DIV/0!</v>
      </c>
      <c r="X52" t="str">
        <f>IFERROR(INDEX('Date Key'!$G$57:$G$62, MATCH(B51,'Date Key'!$A$57:$A$62, 0)), "")</f>
        <v>Medium HLR, Upper Outlet Height, Yes Plants</v>
      </c>
      <c r="Y52" s="1">
        <f t="shared" ref="Y52:AE52" si="56">H51</f>
        <v>9.9073695681787211</v>
      </c>
      <c r="Z52" s="1">
        <f t="shared" si="56"/>
        <v>0</v>
      </c>
      <c r="AA52" s="1">
        <f t="shared" si="56"/>
        <v>0</v>
      </c>
      <c r="AB52" s="1">
        <f t="shared" si="56"/>
        <v>0</v>
      </c>
      <c r="AC52" s="1">
        <f t="shared" si="56"/>
        <v>0</v>
      </c>
      <c r="AD52" s="1">
        <f t="shared" si="56"/>
        <v>4.7677428143304723E-2</v>
      </c>
      <c r="AE52" s="1">
        <f t="shared" si="56"/>
        <v>0.10489034191527041</v>
      </c>
      <c r="AF52" s="1">
        <f t="shared" ref="AF52:AL52" si="57">H52</f>
        <v>0</v>
      </c>
      <c r="AG52" s="1">
        <f t="shared" si="57"/>
        <v>0</v>
      </c>
      <c r="AH52" s="1">
        <f t="shared" si="57"/>
        <v>0</v>
      </c>
      <c r="AI52" s="1">
        <f t="shared" si="57"/>
        <v>0</v>
      </c>
      <c r="AJ52" s="1">
        <f t="shared" si="57"/>
        <v>0</v>
      </c>
      <c r="AK52" s="1">
        <f t="shared" si="57"/>
        <v>0</v>
      </c>
      <c r="AL52" s="1">
        <f t="shared" si="57"/>
        <v>0</v>
      </c>
      <c r="AM52" s="1">
        <f t="shared" ref="AM52:AS52" si="58">H53</f>
        <v>1.9102196752626553E-2</v>
      </c>
      <c r="AN52" s="1">
        <f t="shared" si="58"/>
        <v>6.6857688634192933E-2</v>
      </c>
      <c r="AO52" s="1">
        <f t="shared" si="58"/>
        <v>0.10506208213944605</v>
      </c>
      <c r="AP52" s="1">
        <f t="shared" si="58"/>
        <v>0.18147086914995222</v>
      </c>
      <c r="AQ52" s="1">
        <f t="shared" si="58"/>
        <v>0.29608404966571156</v>
      </c>
      <c r="AR52" s="1">
        <f t="shared" si="58"/>
        <v>0.42024832855778421</v>
      </c>
      <c r="AS52" s="1">
        <f t="shared" si="58"/>
        <v>0.44890162368672404</v>
      </c>
    </row>
    <row r="53" spans="1:46" x14ac:dyDescent="0.35">
      <c r="A53" s="41">
        <f>IFERROR(INDEX('Date Key'!$B$2:$B$19, MATCH(F53,'Date Key'!$A$2:$A$19, 0)), "")</f>
        <v>45400</v>
      </c>
      <c r="B53" s="4">
        <f t="shared" si="15"/>
        <v>6</v>
      </c>
      <c r="C53" s="26" t="str">
        <f>IFERROR(INDEX('Date Key'!$G$57:$G$62, MATCH(B53,'Date Key'!$A$57:$A$62, 0)), "")</f>
        <v>Medium HLR, Upper Outlet Height, Yes Plants</v>
      </c>
      <c r="D53" s="4" t="str">
        <f>IFERROR(INDEX('Date Key'!$G$2:$G$19, MATCH(F53, 'Date Key'!$A$2:$A$19, 0)), "")</f>
        <v>Yes</v>
      </c>
      <c r="E53" s="4" t="str">
        <f t="shared" si="1"/>
        <v>tank 1</v>
      </c>
      <c r="F53" s="4">
        <f t="shared" si="2"/>
        <v>18</v>
      </c>
      <c r="G53" s="4">
        <f t="shared" si="22"/>
        <v>3</v>
      </c>
      <c r="H53" s="11" cm="1">
        <f t="array" ref="H53">IFERROR(INDEX('Master Data Sheet'!$1:$1048576, MATCH(1, ('Master Data Sheet'!$H:$H=H$2) * (INDEX('Master Data Sheet'!$1:$1, , MATCH($F$1, 'Master Data Sheet'!$1:$1, 0)) = $F$1) * ('Master Data Sheet'!$G:$G=$B53) * ('Master Data Sheet'!$F:$F=$E53) * ('Master Data Sheet'!$A:$A=$F53), 0), MATCH($F$1, 'Master Data Sheet'!$1:$1, 0)), "")</f>
        <v>1.9102196752626553E-2</v>
      </c>
      <c r="I53" s="11" cm="1">
        <f t="array" ref="I53">IFERROR(INDEX('Master Data Sheet'!$1:$1048576, MATCH(1, ('Master Data Sheet'!$H:$H=I$2) * (INDEX('Master Data Sheet'!$1:$1, , MATCH($F$1, 'Master Data Sheet'!$1:$1, 0)) = $F$1) * ('Master Data Sheet'!$G:$G=$B53) * ('Master Data Sheet'!$F:$F=$E53) * ('Master Data Sheet'!$A:$A=$F53), 0), MATCH($F$1, 'Master Data Sheet'!$1:$1, 0)), "")</f>
        <v>6.6857688634192933E-2</v>
      </c>
      <c r="J53" s="11" cm="1">
        <f t="array" ref="J53">IFERROR(INDEX('Master Data Sheet'!$1:$1048576, MATCH(1, ('Master Data Sheet'!$H:$H=J$2) * (INDEX('Master Data Sheet'!$1:$1, , MATCH($F$1, 'Master Data Sheet'!$1:$1, 0)) = $F$1) * ('Master Data Sheet'!$G:$G=$B53) * ('Master Data Sheet'!$F:$F=$E53) * ('Master Data Sheet'!$A:$A=$F53), 0), MATCH($F$1, 'Master Data Sheet'!$1:$1, 0)), "")</f>
        <v>0.10506208213944605</v>
      </c>
      <c r="K53" s="11" cm="1">
        <f t="array" ref="K53">IFERROR(INDEX('Master Data Sheet'!$1:$1048576, MATCH(1, ('Master Data Sheet'!$H:$H=K$2) * (INDEX('Master Data Sheet'!$1:$1, , MATCH($F$1, 'Master Data Sheet'!$1:$1, 0)) = $F$1) * ('Master Data Sheet'!$G:$G=$B53) * ('Master Data Sheet'!$F:$F=$E53) * ('Master Data Sheet'!$A:$A=$F53), 0), MATCH($F$1, 'Master Data Sheet'!$1:$1, 0)), "")</f>
        <v>0.18147086914995222</v>
      </c>
      <c r="L53" s="11" cm="1">
        <f t="array" ref="L53">IFERROR(INDEX('Master Data Sheet'!$1:$1048576, MATCH(1, ('Master Data Sheet'!$H:$H=L$2) * (INDEX('Master Data Sheet'!$1:$1, , MATCH($F$1, 'Master Data Sheet'!$1:$1, 0)) = $F$1) * ('Master Data Sheet'!$G:$G=$B53) * ('Master Data Sheet'!$F:$F=$E53) * ('Master Data Sheet'!$A:$A=$F53), 0), MATCH($F$1, 'Master Data Sheet'!$1:$1, 0)), "")</f>
        <v>0.29608404966571156</v>
      </c>
      <c r="M53" s="11" cm="1">
        <f t="array" ref="M53">IFERROR(INDEX('Master Data Sheet'!$1:$1048576, MATCH(1, ('Master Data Sheet'!$H:$H=M$2) * (INDEX('Master Data Sheet'!$1:$1, , MATCH($F$1, 'Master Data Sheet'!$1:$1, 0)) = $F$1) * ('Master Data Sheet'!$G:$G=$B53) * ('Master Data Sheet'!$F:$F=$E53) * ('Master Data Sheet'!$A:$A=$F53), 0), MATCH($F$1, 'Master Data Sheet'!$1:$1, 0)), "")</f>
        <v>0.42024832855778421</v>
      </c>
      <c r="N53" s="11" cm="1">
        <f t="array" ref="N53">IFERROR(INDEX('Master Data Sheet'!$1:$1048576, MATCH(1, ('Master Data Sheet'!$H:$H=N$2) * (INDEX('Master Data Sheet'!$1:$1, , MATCH($F$1, 'Master Data Sheet'!$1:$1, 0)) = $F$1) * ('Master Data Sheet'!$G:$G=$B53) * ('Master Data Sheet'!$F:$F=$E53) * ('Master Data Sheet'!$A:$A=$F53), 0), MATCH($F$1, 'Master Data Sheet'!$1:$1, 0)), "")</f>
        <v>0.44890162368672404</v>
      </c>
      <c r="O53" s="11">
        <f t="shared" si="8"/>
        <v>0.21967526265520537</v>
      </c>
      <c r="P53" s="11">
        <f t="shared" si="4"/>
        <v>0.17165425745569657</v>
      </c>
      <c r="Q53" s="11"/>
      <c r="R53" s="46">
        <f>(1-(O53/O50))*100</f>
        <v>20.68965517241379</v>
      </c>
      <c r="Y53" s="2"/>
      <c r="Z53" s="2"/>
      <c r="AA53" s="2"/>
      <c r="AB53" s="2"/>
      <c r="AC53" s="2"/>
      <c r="AD53" s="2"/>
      <c r="AE53" s="2"/>
      <c r="AF53" s="2"/>
      <c r="AG53" s="2"/>
    </row>
    <row r="54" spans="1:46" x14ac:dyDescent="0.35">
      <c r="A54" s="41">
        <f>IFERROR(INDEX('Date Key'!$B$2:$B$19, MATCH(F54,'Date Key'!$A$2:$A$19, 0)), "")</f>
        <v>45371</v>
      </c>
      <c r="B54" s="4">
        <f t="shared" si="15"/>
        <v>6</v>
      </c>
      <c r="C54" s="26" t="str">
        <f>IFERROR(INDEX('Date Key'!$G$57:$G$62, MATCH(B54,'Date Key'!$A$57:$A$62, 0)), "")</f>
        <v>Medium HLR, Upper Outlet Height, Yes Plants</v>
      </c>
      <c r="D54" s="4" t="str">
        <f>IFERROR(INDEX('Date Key'!$G$2:$G$19, MATCH(F54, 'Date Key'!$A$2:$A$19, 0)), "")</f>
        <v>No</v>
      </c>
      <c r="E54" s="4" t="str">
        <f t="shared" si="1"/>
        <v>tank 2</v>
      </c>
      <c r="F54" s="4">
        <f t="shared" si="2"/>
        <v>16</v>
      </c>
      <c r="G54" s="4">
        <f t="shared" si="22"/>
        <v>1</v>
      </c>
      <c r="H54" s="11" cm="1">
        <f t="array" ref="H54">IFERROR(INDEX('Master Data Sheet'!$1:$1048576, MATCH(1, ('Master Data Sheet'!$H:$H=H$2) * (INDEX('Master Data Sheet'!$1:$1, , MATCH($F$1, 'Master Data Sheet'!$1:$1, 0)) = $F$1) * ('Master Data Sheet'!$G:$G=$B54) * ('Master Data Sheet'!$F:$F=$E54) * ('Master Data Sheet'!$A:$A=$F54), 0), MATCH($F$1, 'Master Data Sheet'!$1:$1, 0)), "")</f>
        <v>2.3361939790219317</v>
      </c>
      <c r="I54" s="11" cm="1">
        <f t="array" ref="I54">IFERROR(INDEX('Master Data Sheet'!$1:$1048576, MATCH(1, ('Master Data Sheet'!$H:$H=I$2) * (INDEX('Master Data Sheet'!$1:$1, , MATCH($F$1, 'Master Data Sheet'!$1:$1, 0)) = $F$1) * ('Master Data Sheet'!$G:$G=$B54) * ('Master Data Sheet'!$F:$F=$E54) * ('Master Data Sheet'!$A:$A=$F54), 0), MATCH($F$1, 'Master Data Sheet'!$1:$1, 0)), "")</f>
        <v>0</v>
      </c>
      <c r="J54" s="11" cm="1">
        <f t="array" ref="J54">IFERROR(INDEX('Master Data Sheet'!$1:$1048576, MATCH(1, ('Master Data Sheet'!$H:$H=J$2) * (INDEX('Master Data Sheet'!$1:$1, , MATCH($F$1, 'Master Data Sheet'!$1:$1, 0)) = $F$1) * ('Master Data Sheet'!$G:$G=$B54) * ('Master Data Sheet'!$F:$F=$E54) * ('Master Data Sheet'!$A:$A=$F54), 0), MATCH($F$1, 'Master Data Sheet'!$1:$1, 0)), "")</f>
        <v>0</v>
      </c>
      <c r="K54" s="11" cm="1">
        <f t="array" ref="K54">IFERROR(INDEX('Master Data Sheet'!$1:$1048576, MATCH(1, ('Master Data Sheet'!$H:$H=K$2) * (INDEX('Master Data Sheet'!$1:$1, , MATCH($F$1, 'Master Data Sheet'!$1:$1, 0)) = $F$1) * ('Master Data Sheet'!$G:$G=$B54) * ('Master Data Sheet'!$F:$F=$E54) * ('Master Data Sheet'!$A:$A=$F54), 0), MATCH($F$1, 'Master Data Sheet'!$1:$1, 0)), "")</f>
        <v>0</v>
      </c>
      <c r="L54" s="11" cm="1">
        <f t="array" ref="L54">IFERROR(INDEX('Master Data Sheet'!$1:$1048576, MATCH(1, ('Master Data Sheet'!$H:$H=L$2) * (INDEX('Master Data Sheet'!$1:$1, , MATCH($F$1, 'Master Data Sheet'!$1:$1, 0)) = $F$1) * ('Master Data Sheet'!$G:$G=$B54) * ('Master Data Sheet'!$F:$F=$E54) * ('Master Data Sheet'!$A:$A=$F54), 0), MATCH($F$1, 'Master Data Sheet'!$1:$1, 0)), "")</f>
        <v>0</v>
      </c>
      <c r="M54" s="11" cm="1">
        <f t="array" ref="M54">IFERROR(INDEX('Master Data Sheet'!$1:$1048576, MATCH(1, ('Master Data Sheet'!$H:$H=M$2) * (INDEX('Master Data Sheet'!$1:$1, , MATCH($F$1, 'Master Data Sheet'!$1:$1, 0)) = $F$1) * ('Master Data Sheet'!$G:$G=$B54) * ('Master Data Sheet'!$F:$F=$E54) * ('Master Data Sheet'!$A:$A=$F54), 0), MATCH($F$1, 'Master Data Sheet'!$1:$1, 0)), "")</f>
        <v>0</v>
      </c>
      <c r="N54" s="11" cm="1">
        <f t="array" ref="N54">IFERROR(INDEX('Master Data Sheet'!$1:$1048576, MATCH(1, ('Master Data Sheet'!$H:$H=N$2) * (INDEX('Master Data Sheet'!$1:$1, , MATCH($F$1, 'Master Data Sheet'!$1:$1, 0)) = $F$1) * ('Master Data Sheet'!$G:$G=$B54) * ('Master Data Sheet'!$F:$F=$E54) * ('Master Data Sheet'!$A:$A=$F54), 0), MATCH($F$1, 'Master Data Sheet'!$1:$1, 0)), "")</f>
        <v>6.6748399400626615E-2</v>
      </c>
      <c r="O54" s="11">
        <f t="shared" si="8"/>
        <v>0.34327748263179408</v>
      </c>
      <c r="P54" s="11">
        <f t="shared" si="4"/>
        <v>0.87914557439469976</v>
      </c>
      <c r="Q54" s="11">
        <f>AVERAGE(N54:N56)</f>
        <v>9.865825347738176E-2</v>
      </c>
      <c r="R54" s="46">
        <f>(1-(O54/O48))*100</f>
        <v>-908</v>
      </c>
      <c r="S54" s="46" t="e">
        <f>AVERAGE(R54:R56)</f>
        <v>#DIV/0!</v>
      </c>
      <c r="T54" s="46" t="e">
        <f>STDEV(R54:R56)</f>
        <v>#DIV/0!</v>
      </c>
      <c r="U54" s="47">
        <f>(1-(AVERAGE(H54:N56)/AVERAGE(H48:N50)))*100</f>
        <v>-56.426312619214933</v>
      </c>
      <c r="Y54" s="2"/>
      <c r="Z54" s="2"/>
      <c r="AA54" s="2"/>
      <c r="AB54" s="2"/>
      <c r="AC54" s="2"/>
      <c r="AD54" s="2"/>
      <c r="AE54" s="2"/>
      <c r="AF54" s="2"/>
      <c r="AG54" s="2"/>
    </row>
    <row r="55" spans="1:46" x14ac:dyDescent="0.35">
      <c r="A55" s="41">
        <f>IFERROR(INDEX('Date Key'!$B$2:$B$19, MATCH(F55,'Date Key'!$A$2:$A$19, 0)), "")</f>
        <v>45392</v>
      </c>
      <c r="B55" s="4">
        <f t="shared" si="15"/>
        <v>6</v>
      </c>
      <c r="C55" s="26" t="str">
        <f>IFERROR(INDEX('Date Key'!$G$57:$G$62, MATCH(B55,'Date Key'!$A$57:$A$62, 0)), "")</f>
        <v>Medium HLR, Upper Outlet Height, Yes Plants</v>
      </c>
      <c r="D55" s="4" t="str">
        <f>IFERROR(INDEX('Date Key'!$G$2:$G$19, MATCH(F55, 'Date Key'!$A$2:$A$19, 0)), "")</f>
        <v>No</v>
      </c>
      <c r="E55" s="4" t="str">
        <f t="shared" si="1"/>
        <v>tank 2</v>
      </c>
      <c r="F55" s="4">
        <f t="shared" si="2"/>
        <v>17</v>
      </c>
      <c r="G55" s="4">
        <f t="shared" si="22"/>
        <v>2</v>
      </c>
      <c r="H55" s="11" cm="1">
        <f t="array" ref="H55">IFERROR(INDEX('Master Data Sheet'!$1:$1048576, MATCH(1, ('Master Data Sheet'!$H:$H=H$2) * (INDEX('Master Data Sheet'!$1:$1, , MATCH($F$1, 'Master Data Sheet'!$1:$1, 0)) = $F$1) * ('Master Data Sheet'!$G:$G=$B55) * ('Master Data Sheet'!$F:$F=$E55) * ('Master Data Sheet'!$A:$A=$F55), 0), MATCH($F$1, 'Master Data Sheet'!$1:$1, 0)), "")</f>
        <v>0</v>
      </c>
      <c r="I55" s="11" cm="1">
        <f t="array" ref="I55">IFERROR(INDEX('Master Data Sheet'!$1:$1048576, MATCH(1, ('Master Data Sheet'!$H:$H=I$2) * (INDEX('Master Data Sheet'!$1:$1, , MATCH($F$1, 'Master Data Sheet'!$1:$1, 0)) = $F$1) * ('Master Data Sheet'!$G:$G=$B55) * ('Master Data Sheet'!$F:$F=$E55) * ('Master Data Sheet'!$A:$A=$F55), 0), MATCH($F$1, 'Master Data Sheet'!$1:$1, 0)), "")</f>
        <v>0</v>
      </c>
      <c r="J55" s="11" cm="1">
        <f t="array" ref="J55">IFERROR(INDEX('Master Data Sheet'!$1:$1048576, MATCH(1, ('Master Data Sheet'!$H:$H=J$2) * (INDEX('Master Data Sheet'!$1:$1, , MATCH($F$1, 'Master Data Sheet'!$1:$1, 0)) = $F$1) * ('Master Data Sheet'!$G:$G=$B55) * ('Master Data Sheet'!$F:$F=$E55) * ('Master Data Sheet'!$A:$A=$F55), 0), MATCH($F$1, 'Master Data Sheet'!$1:$1, 0)), "")</f>
        <v>0</v>
      </c>
      <c r="K55" s="11" cm="1">
        <f t="array" ref="K55">IFERROR(INDEX('Master Data Sheet'!$1:$1048576, MATCH(1, ('Master Data Sheet'!$H:$H=K$2) * (INDEX('Master Data Sheet'!$1:$1, , MATCH($F$1, 'Master Data Sheet'!$1:$1, 0)) = $F$1) * ('Master Data Sheet'!$G:$G=$B55) * ('Master Data Sheet'!$F:$F=$E55) * ('Master Data Sheet'!$A:$A=$F55), 0), MATCH($F$1, 'Master Data Sheet'!$1:$1, 0)), "")</f>
        <v>0</v>
      </c>
      <c r="L55" s="11" cm="1">
        <f t="array" ref="L55">IFERROR(INDEX('Master Data Sheet'!$1:$1048576, MATCH(1, ('Master Data Sheet'!$H:$H=L$2) * (INDEX('Master Data Sheet'!$1:$1, , MATCH($F$1, 'Master Data Sheet'!$1:$1, 0)) = $F$1) * ('Master Data Sheet'!$G:$G=$B55) * ('Master Data Sheet'!$F:$F=$E55) * ('Master Data Sheet'!$A:$A=$F55), 0), MATCH($F$1, 'Master Data Sheet'!$1:$1, 0)), "")</f>
        <v>0</v>
      </c>
      <c r="M55" s="11" cm="1">
        <f t="array" ref="M55">IFERROR(INDEX('Master Data Sheet'!$1:$1048576, MATCH(1, ('Master Data Sheet'!$H:$H=M$2) * (INDEX('Master Data Sheet'!$1:$1, , MATCH($F$1, 'Master Data Sheet'!$1:$1, 0)) = $F$1) * ('Master Data Sheet'!$G:$G=$B55) * ('Master Data Sheet'!$F:$F=$E55) * ('Master Data Sheet'!$A:$A=$F55), 0), MATCH($F$1, 'Master Data Sheet'!$1:$1, 0)), "")</f>
        <v>0</v>
      </c>
      <c r="N55" s="11" cm="1">
        <f t="array" ref="N55">IFERROR(INDEX('Master Data Sheet'!$1:$1048576, MATCH(1, ('Master Data Sheet'!$H:$H=N$2) * (INDEX('Master Data Sheet'!$1:$1, , MATCH($F$1, 'Master Data Sheet'!$1:$1, 0)) = $F$1) * ('Master Data Sheet'!$G:$G=$B55) * ('Master Data Sheet'!$F:$F=$E55) * ('Master Data Sheet'!$A:$A=$F55), 0), MATCH($F$1, 'Master Data Sheet'!$1:$1, 0)), "")</f>
        <v>0</v>
      </c>
      <c r="O55" s="11">
        <f t="shared" si="8"/>
        <v>0</v>
      </c>
      <c r="P55" s="11">
        <f t="shared" si="4"/>
        <v>0</v>
      </c>
      <c r="Q55" s="11"/>
      <c r="R55" s="46" t="e">
        <f>(1-(O55/O49))*100</f>
        <v>#DIV/0!</v>
      </c>
      <c r="X55" t="str">
        <f>IFERROR(INDEX('Date Key'!$G$57:$G$62, MATCH(B54,'Date Key'!$A$57:$A$62, 0)), "")</f>
        <v>Medium HLR, Upper Outlet Height, Yes Plants</v>
      </c>
      <c r="Y55" s="1">
        <f t="shared" ref="Y55:AE55" si="59">H54</f>
        <v>2.3361939790219317</v>
      </c>
      <c r="Z55" s="1">
        <f t="shared" si="59"/>
        <v>0</v>
      </c>
      <c r="AA55" s="1">
        <f t="shared" si="59"/>
        <v>0</v>
      </c>
      <c r="AB55" s="1">
        <f t="shared" si="59"/>
        <v>0</v>
      </c>
      <c r="AC55" s="1">
        <f t="shared" si="59"/>
        <v>0</v>
      </c>
      <c r="AD55" s="1">
        <f t="shared" si="59"/>
        <v>0</v>
      </c>
      <c r="AE55" s="1">
        <f t="shared" si="59"/>
        <v>6.6748399400626615E-2</v>
      </c>
      <c r="AF55" s="1">
        <f t="shared" ref="AF55:AL55" si="60">H55</f>
        <v>0</v>
      </c>
      <c r="AG55" s="1">
        <f t="shared" si="60"/>
        <v>0</v>
      </c>
      <c r="AH55" s="1">
        <f t="shared" si="60"/>
        <v>0</v>
      </c>
      <c r="AI55" s="1">
        <f t="shared" si="60"/>
        <v>0</v>
      </c>
      <c r="AJ55" s="1">
        <f t="shared" si="60"/>
        <v>0</v>
      </c>
      <c r="AK55" s="1">
        <f t="shared" si="60"/>
        <v>0</v>
      </c>
      <c r="AL55" s="1">
        <f t="shared" si="60"/>
        <v>0</v>
      </c>
      <c r="AM55" s="1">
        <f t="shared" ref="AM55:AS55" si="61">H56</f>
        <v>6.6857688634192933E-2</v>
      </c>
      <c r="AN55" s="1">
        <f t="shared" si="61"/>
        <v>6.6857688634192933E-2</v>
      </c>
      <c r="AO55" s="1">
        <f t="shared" si="61"/>
        <v>7.6408787010506213E-2</v>
      </c>
      <c r="AP55" s="1">
        <f t="shared" si="61"/>
        <v>0.11461318051575933</v>
      </c>
      <c r="AQ55" s="1">
        <f t="shared" si="61"/>
        <v>0.19102196752626555</v>
      </c>
      <c r="AR55" s="1">
        <f t="shared" si="61"/>
        <v>0.25787965616045849</v>
      </c>
      <c r="AS55" s="1">
        <f t="shared" si="61"/>
        <v>0.22922636103151867</v>
      </c>
    </row>
    <row r="56" spans="1:46" x14ac:dyDescent="0.35">
      <c r="A56" s="42">
        <f>IFERROR(INDEX('Date Key'!$B$2:$B$19, MATCH(F56,'Date Key'!$A$2:$A$19, 0)), "")</f>
        <v>45400</v>
      </c>
      <c r="B56" s="27">
        <f t="shared" si="15"/>
        <v>6</v>
      </c>
      <c r="C56" s="51" t="str">
        <f>IFERROR(INDEX('Date Key'!$G$57:$G$62, MATCH(B56,'Date Key'!$A$57:$A$62, 0)), "")</f>
        <v>Medium HLR, Upper Outlet Height, Yes Plants</v>
      </c>
      <c r="D56" s="27" t="str">
        <f>IFERROR(INDEX('Date Key'!$G$2:$G$19, MATCH(F56, 'Date Key'!$A$2:$A$19, 0)), "")</f>
        <v>Yes</v>
      </c>
      <c r="E56" s="27" t="str">
        <f t="shared" si="1"/>
        <v>tank 2</v>
      </c>
      <c r="F56" s="27">
        <f t="shared" si="2"/>
        <v>18</v>
      </c>
      <c r="G56" s="27">
        <f t="shared" si="22"/>
        <v>3</v>
      </c>
      <c r="H56" s="28" cm="1">
        <f t="array" ref="H56">IFERROR(INDEX('Master Data Sheet'!$1:$1048576, MATCH(1, ('Master Data Sheet'!$H:$H=H$2) * (INDEX('Master Data Sheet'!$1:$1, , MATCH($F$1, 'Master Data Sheet'!$1:$1, 0)) = $F$1) * ('Master Data Sheet'!$G:$G=$B56) * ('Master Data Sheet'!$F:$F=$E56) * ('Master Data Sheet'!$A:$A=$F56), 0), MATCH($F$1, 'Master Data Sheet'!$1:$1, 0)), "")</f>
        <v>6.6857688634192933E-2</v>
      </c>
      <c r="I56" s="28" cm="1">
        <f t="array" ref="I56">IFERROR(INDEX('Master Data Sheet'!$1:$1048576, MATCH(1, ('Master Data Sheet'!$H:$H=I$2) * (INDEX('Master Data Sheet'!$1:$1, , MATCH($F$1, 'Master Data Sheet'!$1:$1, 0)) = $F$1) * ('Master Data Sheet'!$G:$G=$B56) * ('Master Data Sheet'!$F:$F=$E56) * ('Master Data Sheet'!$A:$A=$F56), 0), MATCH($F$1, 'Master Data Sheet'!$1:$1, 0)), "")</f>
        <v>6.6857688634192933E-2</v>
      </c>
      <c r="J56" s="28" cm="1">
        <f t="array" ref="J56">IFERROR(INDEX('Master Data Sheet'!$1:$1048576, MATCH(1, ('Master Data Sheet'!$H:$H=J$2) * (INDEX('Master Data Sheet'!$1:$1, , MATCH($F$1, 'Master Data Sheet'!$1:$1, 0)) = $F$1) * ('Master Data Sheet'!$G:$G=$B56) * ('Master Data Sheet'!$F:$F=$E56) * ('Master Data Sheet'!$A:$A=$F56), 0), MATCH($F$1, 'Master Data Sheet'!$1:$1, 0)), "")</f>
        <v>7.6408787010506213E-2</v>
      </c>
      <c r="K56" s="28" cm="1">
        <f t="array" ref="K56">IFERROR(INDEX('Master Data Sheet'!$1:$1048576, MATCH(1, ('Master Data Sheet'!$H:$H=K$2) * (INDEX('Master Data Sheet'!$1:$1, , MATCH($F$1, 'Master Data Sheet'!$1:$1, 0)) = $F$1) * ('Master Data Sheet'!$G:$G=$B56) * ('Master Data Sheet'!$F:$F=$E56) * ('Master Data Sheet'!$A:$A=$F56), 0), MATCH($F$1, 'Master Data Sheet'!$1:$1, 0)), "")</f>
        <v>0.11461318051575933</v>
      </c>
      <c r="L56" s="28" cm="1">
        <f t="array" ref="L56">IFERROR(INDEX('Master Data Sheet'!$1:$1048576, MATCH(1, ('Master Data Sheet'!$H:$H=L$2) * (INDEX('Master Data Sheet'!$1:$1, , MATCH($F$1, 'Master Data Sheet'!$1:$1, 0)) = $F$1) * ('Master Data Sheet'!$G:$G=$B56) * ('Master Data Sheet'!$F:$F=$E56) * ('Master Data Sheet'!$A:$A=$F56), 0), MATCH($F$1, 'Master Data Sheet'!$1:$1, 0)), "")</f>
        <v>0.19102196752626555</v>
      </c>
      <c r="M56" s="28" cm="1">
        <f t="array" ref="M56">IFERROR(INDEX('Master Data Sheet'!$1:$1048576, MATCH(1, ('Master Data Sheet'!$H:$H=M$2) * (INDEX('Master Data Sheet'!$1:$1, , MATCH($F$1, 'Master Data Sheet'!$1:$1, 0)) = $F$1) * ('Master Data Sheet'!$G:$G=$B56) * ('Master Data Sheet'!$F:$F=$E56) * ('Master Data Sheet'!$A:$A=$F56), 0), MATCH($F$1, 'Master Data Sheet'!$1:$1, 0)), "")</f>
        <v>0.25787965616045849</v>
      </c>
      <c r="N56" s="28" cm="1">
        <f t="array" ref="N56">IFERROR(INDEX('Master Data Sheet'!$1:$1048576, MATCH(1, ('Master Data Sheet'!$H:$H=N$2) * (INDEX('Master Data Sheet'!$1:$1, , MATCH($F$1, 'Master Data Sheet'!$1:$1, 0)) = $F$1) * ('Master Data Sheet'!$G:$G=$B56) * ('Master Data Sheet'!$F:$F=$E56) * ('Master Data Sheet'!$A:$A=$F56), 0), MATCH($F$1, 'Master Data Sheet'!$1:$1, 0)), "")</f>
        <v>0.22922636103151867</v>
      </c>
      <c r="O56" s="28">
        <f t="shared" si="8"/>
        <v>0.14326647564469916</v>
      </c>
      <c r="P56" s="28">
        <f t="shared" si="4"/>
        <v>8.1418095208815155E-2</v>
      </c>
      <c r="Q56" s="28"/>
      <c r="R56" s="48">
        <f>(1-(O56/O50))*100</f>
        <v>48.275862068965516</v>
      </c>
      <c r="S56" s="27"/>
      <c r="T56" s="27"/>
      <c r="U56" s="27"/>
      <c r="V56" s="27"/>
    </row>
    <row r="58" spans="1:46" x14ac:dyDescent="0.35">
      <c r="X58" t="s">
        <v>456</v>
      </c>
      <c r="Y58" t="s">
        <v>465</v>
      </c>
    </row>
    <row r="59" spans="1:46" x14ac:dyDescent="0.35">
      <c r="X59" t="s">
        <v>344</v>
      </c>
      <c r="Y59" s="30" t="s">
        <v>457</v>
      </c>
      <c r="Z59" s="1">
        <f t="shared" ref="Z59:AT59" si="62">Y4</f>
        <v>0.28166438042981246</v>
      </c>
      <c r="AA59" s="1">
        <f t="shared" si="62"/>
        <v>0.64014631915866493</v>
      </c>
      <c r="AB59" s="1">
        <f t="shared" si="62"/>
        <v>0.43529949702789206</v>
      </c>
      <c r="AC59" s="1">
        <f t="shared" si="62"/>
        <v>0.92181069958847728</v>
      </c>
      <c r="AD59" s="1">
        <f t="shared" si="62"/>
        <v>7.6817558299039787E-2</v>
      </c>
      <c r="AE59" s="1">
        <f t="shared" si="62"/>
        <v>0.28166438042981246</v>
      </c>
      <c r="AF59" s="1">
        <f t="shared" si="62"/>
        <v>0</v>
      </c>
      <c r="AG59" s="1">
        <f t="shared" si="62"/>
        <v>0.40969364426154553</v>
      </c>
      <c r="AH59" s="1">
        <f t="shared" si="62"/>
        <v>0.28166438042981246</v>
      </c>
      <c r="AI59" s="1">
        <f t="shared" si="62"/>
        <v>0.20484682213077277</v>
      </c>
      <c r="AJ59" s="1">
        <f t="shared" si="62"/>
        <v>0.12802926383173296</v>
      </c>
      <c r="AK59" s="1">
        <f t="shared" si="62"/>
        <v>0</v>
      </c>
      <c r="AL59" s="1">
        <f t="shared" si="62"/>
        <v>0.15363511659807957</v>
      </c>
      <c r="AM59" s="1">
        <f t="shared" si="62"/>
        <v>0.99862825788751708</v>
      </c>
      <c r="AN59" s="1">
        <f t="shared" si="62"/>
        <v>0.59372349448685335</v>
      </c>
      <c r="AO59" s="1">
        <f t="shared" si="62"/>
        <v>0.18999151823579305</v>
      </c>
      <c r="AP59" s="1">
        <f t="shared" si="62"/>
        <v>0.11874469889737066</v>
      </c>
      <c r="AQ59" s="1">
        <f t="shared" si="62"/>
        <v>0</v>
      </c>
      <c r="AR59" s="1">
        <f t="shared" si="62"/>
        <v>0.23748939779474132</v>
      </c>
      <c r="AS59" s="1">
        <f t="shared" si="62"/>
        <v>0</v>
      </c>
      <c r="AT59" s="1">
        <f t="shared" si="62"/>
        <v>0.14249363867684478</v>
      </c>
    </row>
    <row r="60" spans="1:46" x14ac:dyDescent="0.35">
      <c r="X60" t="s">
        <v>345</v>
      </c>
      <c r="Y60" s="30" t="s">
        <v>457</v>
      </c>
      <c r="Z60" s="1">
        <f t="shared" ref="Z60:AT60" si="63">Y7</f>
        <v>0.20484682213077277</v>
      </c>
      <c r="AA60" s="1">
        <f t="shared" si="63"/>
        <v>0.23045267489711932</v>
      </c>
      <c r="AB60" s="1">
        <f t="shared" si="63"/>
        <v>0.38408779149519889</v>
      </c>
      <c r="AC60" s="1">
        <f t="shared" si="63"/>
        <v>0.12802926383173296</v>
      </c>
      <c r="AD60" s="1">
        <f t="shared" si="63"/>
        <v>1.3571101966163694</v>
      </c>
      <c r="AE60" s="1">
        <f t="shared" si="63"/>
        <v>0.97302240512117066</v>
      </c>
      <c r="AF60" s="1">
        <f t="shared" si="63"/>
        <v>1.1010516689529035</v>
      </c>
      <c r="AG60" s="1">
        <f t="shared" si="63"/>
        <v>0.46090534979423864</v>
      </c>
      <c r="AH60" s="1">
        <f t="shared" si="63"/>
        <v>0.92181069958847728</v>
      </c>
      <c r="AI60" s="1">
        <f t="shared" si="63"/>
        <v>0.15363511659807957</v>
      </c>
      <c r="AJ60" s="1">
        <f t="shared" si="63"/>
        <v>0.79378143575674442</v>
      </c>
      <c r="AK60" s="1">
        <f t="shared" si="63"/>
        <v>0.8449931412894377</v>
      </c>
      <c r="AL60" s="1">
        <f t="shared" si="63"/>
        <v>0.43529949702789206</v>
      </c>
      <c r="AM60" s="1">
        <f t="shared" si="63"/>
        <v>1.2802926383173299</v>
      </c>
      <c r="AN60" s="1">
        <f t="shared" si="63"/>
        <v>0.26123833757421538</v>
      </c>
      <c r="AO60" s="1">
        <f t="shared" si="63"/>
        <v>0.28498727735368956</v>
      </c>
      <c r="AP60" s="1">
        <f t="shared" si="63"/>
        <v>0.14249363867684478</v>
      </c>
      <c r="AQ60" s="1">
        <f t="shared" si="63"/>
        <v>9.4995759117896525E-2</v>
      </c>
      <c r="AR60" s="1">
        <f t="shared" si="63"/>
        <v>0.3799830364715861</v>
      </c>
      <c r="AS60" s="1">
        <f t="shared" si="63"/>
        <v>0.28498727735368956</v>
      </c>
      <c r="AT60" s="1">
        <f t="shared" si="63"/>
        <v>0.33248515691263786</v>
      </c>
    </row>
    <row r="61" spans="1:46" x14ac:dyDescent="0.35">
      <c r="X61" t="s">
        <v>346</v>
      </c>
      <c r="Y61" s="30" t="s">
        <v>457</v>
      </c>
      <c r="Z61" s="1">
        <f t="shared" ref="Z61:AT61" si="64">Y10</f>
        <v>2.5605852766346596E-2</v>
      </c>
      <c r="AA61" s="1">
        <f t="shared" si="64"/>
        <v>0.12802926383173296</v>
      </c>
      <c r="AB61" s="1">
        <f t="shared" si="64"/>
        <v>0.23045267489711932</v>
      </c>
      <c r="AC61" s="1">
        <f t="shared" si="64"/>
        <v>0</v>
      </c>
      <c r="AD61" s="1">
        <f t="shared" si="64"/>
        <v>7.6817558299039787E-2</v>
      </c>
      <c r="AE61" s="1">
        <f t="shared" si="64"/>
        <v>0.79378143575674442</v>
      </c>
      <c r="AF61" s="1">
        <f t="shared" si="64"/>
        <v>0.28166438042981246</v>
      </c>
      <c r="AG61" s="1">
        <f t="shared" si="64"/>
        <v>0</v>
      </c>
      <c r="AH61" s="1">
        <f t="shared" si="64"/>
        <v>0.66575217192501146</v>
      </c>
      <c r="AI61" s="1">
        <f t="shared" si="64"/>
        <v>0.35848193872885231</v>
      </c>
      <c r="AJ61" s="1">
        <f t="shared" si="64"/>
        <v>0.28166438042981246</v>
      </c>
      <c r="AK61" s="1">
        <f t="shared" si="64"/>
        <v>2.5605852766346596E-2</v>
      </c>
      <c r="AL61" s="1">
        <f t="shared" si="64"/>
        <v>0.35848193872885231</v>
      </c>
      <c r="AM61" s="1">
        <f t="shared" si="64"/>
        <v>0.56332876085962491</v>
      </c>
      <c r="AN61" s="1">
        <f t="shared" si="64"/>
        <v>4.7497879558948262E-2</v>
      </c>
      <c r="AO61" s="1">
        <f t="shared" si="64"/>
        <v>0</v>
      </c>
      <c r="AP61" s="1">
        <f t="shared" si="64"/>
        <v>0.21374045801526714</v>
      </c>
      <c r="AQ61" s="1">
        <f t="shared" si="64"/>
        <v>0.11874469889737066</v>
      </c>
      <c r="AR61" s="1">
        <f t="shared" si="64"/>
        <v>0.26123833757421538</v>
      </c>
      <c r="AS61" s="1">
        <f t="shared" si="64"/>
        <v>4.7497879558948262E-2</v>
      </c>
      <c r="AT61" s="1">
        <f t="shared" si="64"/>
        <v>0.18999151823579305</v>
      </c>
    </row>
    <row r="62" spans="1:46" x14ac:dyDescent="0.35">
      <c r="X62" t="s">
        <v>344</v>
      </c>
      <c r="Y62" s="30" t="s">
        <v>458</v>
      </c>
      <c r="Z62" s="1">
        <f t="shared" ref="Z62:AT62" si="65">Y13</f>
        <v>7.124681933842239E-2</v>
      </c>
      <c r="AA62" s="1">
        <f t="shared" si="65"/>
        <v>0.44529262086513999</v>
      </c>
      <c r="AB62" s="1">
        <f t="shared" si="65"/>
        <v>0</v>
      </c>
      <c r="AC62" s="1">
        <f t="shared" si="65"/>
        <v>7.124681933842239E-2</v>
      </c>
      <c r="AD62" s="1">
        <f t="shared" si="65"/>
        <v>0</v>
      </c>
      <c r="AE62" s="1">
        <f t="shared" si="65"/>
        <v>0</v>
      </c>
      <c r="AF62" s="1">
        <f t="shared" si="65"/>
        <v>0</v>
      </c>
      <c r="AG62" s="1">
        <f t="shared" si="65"/>
        <v>0</v>
      </c>
      <c r="AH62" s="1">
        <f t="shared" si="65"/>
        <v>0</v>
      </c>
      <c r="AI62" s="1">
        <f t="shared" si="65"/>
        <v>0</v>
      </c>
      <c r="AJ62" s="1">
        <f t="shared" si="65"/>
        <v>0.25461158742530532</v>
      </c>
      <c r="AK62" s="1">
        <f t="shared" si="65"/>
        <v>0</v>
      </c>
      <c r="AL62" s="1">
        <f t="shared" si="65"/>
        <v>0.14549233567160302</v>
      </c>
      <c r="AM62" s="1">
        <f t="shared" si="65"/>
        <v>0</v>
      </c>
      <c r="AN62" s="1">
        <f t="shared" si="65"/>
        <v>7.2746167835801512E-2</v>
      </c>
      <c r="AO62" s="1">
        <f t="shared" si="65"/>
        <v>0.20005196154845417</v>
      </c>
      <c r="AP62" s="1">
        <f t="shared" si="65"/>
        <v>0.40010392309690834</v>
      </c>
      <c r="AQ62" s="1">
        <f t="shared" si="65"/>
        <v>0.18186541958950375</v>
      </c>
      <c r="AR62" s="1">
        <f t="shared" si="65"/>
        <v>0.3637308391790075</v>
      </c>
      <c r="AS62" s="1">
        <f t="shared" si="65"/>
        <v>0.45466354897375955</v>
      </c>
      <c r="AT62" s="1">
        <f t="shared" si="65"/>
        <v>0.30917121330215641</v>
      </c>
    </row>
    <row r="63" spans="1:46" x14ac:dyDescent="0.35">
      <c r="X63" t="s">
        <v>345</v>
      </c>
      <c r="Y63" s="30" t="s">
        <v>458</v>
      </c>
      <c r="Z63" s="1">
        <f t="shared" ref="Z63:AT63" si="66">Y16</f>
        <v>0</v>
      </c>
      <c r="AA63" s="1">
        <f t="shared" si="66"/>
        <v>0.14249363867684478</v>
      </c>
      <c r="AB63" s="1">
        <f t="shared" si="66"/>
        <v>0.40966921119592875</v>
      </c>
      <c r="AC63" s="1">
        <f t="shared" si="66"/>
        <v>0.60559796437659041</v>
      </c>
      <c r="AD63" s="1">
        <f t="shared" si="66"/>
        <v>0.56997455470737912</v>
      </c>
      <c r="AE63" s="1">
        <f t="shared" si="66"/>
        <v>0.24936386768447841</v>
      </c>
      <c r="AF63" s="1">
        <f t="shared" si="66"/>
        <v>0.55216284987277353</v>
      </c>
      <c r="AG63" s="1">
        <f t="shared" si="66"/>
        <v>0</v>
      </c>
      <c r="AH63" s="1">
        <f t="shared" si="66"/>
        <v>0</v>
      </c>
      <c r="AI63" s="1">
        <f t="shared" si="66"/>
        <v>7.2746167835801512E-2</v>
      </c>
      <c r="AJ63" s="1">
        <f t="shared" si="66"/>
        <v>0</v>
      </c>
      <c r="AK63" s="1">
        <f t="shared" si="66"/>
        <v>0</v>
      </c>
      <c r="AL63" s="1">
        <f t="shared" si="66"/>
        <v>0.10911925175370227</v>
      </c>
      <c r="AM63" s="1">
        <f t="shared" si="66"/>
        <v>9.0932709794751876E-2</v>
      </c>
      <c r="AN63" s="1">
        <f t="shared" si="66"/>
        <v>3.6373083917900756E-2</v>
      </c>
      <c r="AO63" s="1">
        <f t="shared" si="66"/>
        <v>0.25461158742530532</v>
      </c>
      <c r="AP63" s="1">
        <f t="shared" si="66"/>
        <v>0.2364250454663549</v>
      </c>
      <c r="AQ63" s="1">
        <f t="shared" si="66"/>
        <v>0</v>
      </c>
      <c r="AR63" s="1">
        <f t="shared" si="66"/>
        <v>0</v>
      </c>
      <c r="AS63" s="1">
        <f t="shared" si="66"/>
        <v>0.16367887763055339</v>
      </c>
      <c r="AT63" s="1">
        <f t="shared" si="66"/>
        <v>0.16367887763055339</v>
      </c>
    </row>
    <row r="64" spans="1:46" x14ac:dyDescent="0.35">
      <c r="X64" t="s">
        <v>346</v>
      </c>
      <c r="Y64" s="30" t="s">
        <v>458</v>
      </c>
      <c r="Z64" s="1">
        <f t="shared" ref="Z64:AT64" si="67">Y19</f>
        <v>3.5623409669211195E-2</v>
      </c>
      <c r="AA64" s="1">
        <f t="shared" si="67"/>
        <v>0</v>
      </c>
      <c r="AB64" s="1">
        <f t="shared" si="67"/>
        <v>1.7811704834605598E-2</v>
      </c>
      <c r="AC64" s="1">
        <f t="shared" si="67"/>
        <v>0</v>
      </c>
      <c r="AD64" s="1">
        <f t="shared" si="67"/>
        <v>0</v>
      </c>
      <c r="AE64" s="1">
        <f t="shared" si="67"/>
        <v>0</v>
      </c>
      <c r="AF64" s="1">
        <f t="shared" si="67"/>
        <v>0</v>
      </c>
      <c r="AG64" s="1">
        <f t="shared" si="67"/>
        <v>0</v>
      </c>
      <c r="AH64" s="1">
        <f t="shared" si="67"/>
        <v>0</v>
      </c>
      <c r="AI64" s="1">
        <f t="shared" si="67"/>
        <v>7.2746167835801512E-2</v>
      </c>
      <c r="AJ64" s="1">
        <f t="shared" si="67"/>
        <v>5.4559625876851134E-2</v>
      </c>
      <c r="AK64" s="1">
        <f t="shared" si="67"/>
        <v>5.4559625876851134E-2</v>
      </c>
      <c r="AL64" s="1">
        <f t="shared" si="67"/>
        <v>9.0932709794751876E-2</v>
      </c>
      <c r="AM64" s="1">
        <f t="shared" si="67"/>
        <v>0</v>
      </c>
      <c r="AN64" s="1">
        <f t="shared" si="67"/>
        <v>0.18186541958950375</v>
      </c>
      <c r="AO64" s="1">
        <f t="shared" si="67"/>
        <v>0</v>
      </c>
      <c r="AP64" s="1">
        <f t="shared" si="67"/>
        <v>0.12730579371265266</v>
      </c>
      <c r="AQ64" s="1">
        <f t="shared" si="67"/>
        <v>0.43647700701480907</v>
      </c>
      <c r="AR64" s="1">
        <f t="shared" si="67"/>
        <v>0.18186541958950375</v>
      </c>
      <c r="AS64" s="1">
        <f t="shared" si="67"/>
        <v>0.29098467134320605</v>
      </c>
      <c r="AT64" s="1">
        <f t="shared" si="67"/>
        <v>0</v>
      </c>
    </row>
    <row r="65" spans="24:46" x14ac:dyDescent="0.35">
      <c r="X65" t="s">
        <v>344</v>
      </c>
      <c r="Y65" s="30" t="s">
        <v>459</v>
      </c>
      <c r="Z65" s="1">
        <f t="shared" ref="Z65:AT65" si="68">Y22</f>
        <v>0.3637308391790075</v>
      </c>
      <c r="AA65" s="1">
        <f t="shared" si="68"/>
        <v>0.18186541958950375</v>
      </c>
      <c r="AB65" s="1">
        <f t="shared" si="68"/>
        <v>0.10911925175370227</v>
      </c>
      <c r="AC65" s="1">
        <f t="shared" si="68"/>
        <v>0</v>
      </c>
      <c r="AD65" s="1">
        <f t="shared" si="68"/>
        <v>0</v>
      </c>
      <c r="AE65" s="1">
        <f t="shared" si="68"/>
        <v>0</v>
      </c>
      <c r="AF65" s="1">
        <f t="shared" si="68"/>
        <v>0.29098467134320605</v>
      </c>
      <c r="AG65" s="1">
        <f t="shared" si="68"/>
        <v>0</v>
      </c>
      <c r="AH65" s="1">
        <f t="shared" si="68"/>
        <v>0</v>
      </c>
      <c r="AI65" s="1">
        <f t="shared" si="68"/>
        <v>0</v>
      </c>
      <c r="AJ65" s="1">
        <f t="shared" si="68"/>
        <v>0</v>
      </c>
      <c r="AK65" s="1">
        <f t="shared" si="68"/>
        <v>7.2746167835801512E-2</v>
      </c>
      <c r="AL65" s="1">
        <f t="shared" si="68"/>
        <v>0</v>
      </c>
      <c r="AM65" s="1">
        <f t="shared" si="68"/>
        <v>0</v>
      </c>
      <c r="AN65" s="1">
        <f t="shared" si="68"/>
        <v>0.2364250454663549</v>
      </c>
      <c r="AO65" s="1">
        <f t="shared" si="68"/>
        <v>0.74564822031696543</v>
      </c>
      <c r="AP65" s="1">
        <f t="shared" si="68"/>
        <v>0.21823850350740454</v>
      </c>
      <c r="AQ65" s="1">
        <f t="shared" si="68"/>
        <v>0.34554429722005714</v>
      </c>
      <c r="AR65" s="1">
        <f t="shared" si="68"/>
        <v>0.29098467134320605</v>
      </c>
      <c r="AS65" s="1">
        <f t="shared" si="68"/>
        <v>0.43647700701480907</v>
      </c>
      <c r="AT65" s="1">
        <f t="shared" si="68"/>
        <v>3.6373083917900756E-2</v>
      </c>
    </row>
    <row r="66" spans="24:46" x14ac:dyDescent="0.35">
      <c r="X66" t="s">
        <v>345</v>
      </c>
      <c r="Y66" s="30" t="s">
        <v>459</v>
      </c>
      <c r="Z66" s="1">
        <f t="shared" ref="Z66:AT66" si="69">Y25</f>
        <v>0.30917121330215641</v>
      </c>
      <c r="AA66" s="1">
        <f t="shared" si="69"/>
        <v>9.0932709794751876E-2</v>
      </c>
      <c r="AB66" s="1">
        <f t="shared" si="69"/>
        <v>0.12730579371265266</v>
      </c>
      <c r="AC66" s="1">
        <f t="shared" si="69"/>
        <v>0.10911925175370227</v>
      </c>
      <c r="AD66" s="1">
        <f t="shared" si="69"/>
        <v>0</v>
      </c>
      <c r="AE66" s="1">
        <f t="shared" si="69"/>
        <v>0</v>
      </c>
      <c r="AF66" s="1">
        <f t="shared" si="69"/>
        <v>0.30917121330215641</v>
      </c>
      <c r="AG66" s="1">
        <f t="shared" si="69"/>
        <v>0</v>
      </c>
      <c r="AH66" s="1">
        <f t="shared" si="69"/>
        <v>0.3637308391790075</v>
      </c>
      <c r="AI66" s="1">
        <f t="shared" si="69"/>
        <v>3.6373083917900756E-2</v>
      </c>
      <c r="AJ66" s="1">
        <f t="shared" si="69"/>
        <v>0</v>
      </c>
      <c r="AK66" s="1">
        <f t="shared" si="69"/>
        <v>5.4559625876851134E-2</v>
      </c>
      <c r="AL66" s="1">
        <f t="shared" si="69"/>
        <v>0</v>
      </c>
      <c r="AM66" s="1">
        <f t="shared" si="69"/>
        <v>0</v>
      </c>
      <c r="AN66" s="1">
        <f t="shared" si="69"/>
        <v>0.18186541958950375</v>
      </c>
      <c r="AO66" s="1">
        <f t="shared" si="69"/>
        <v>0</v>
      </c>
      <c r="AP66" s="1">
        <f t="shared" si="69"/>
        <v>0.3637308391790075</v>
      </c>
      <c r="AQ66" s="1">
        <f t="shared" si="69"/>
        <v>0.45466354897375955</v>
      </c>
      <c r="AR66" s="1">
        <f t="shared" si="69"/>
        <v>0.41829046505585876</v>
      </c>
      <c r="AS66" s="1">
        <f t="shared" si="69"/>
        <v>0.25461158742530532</v>
      </c>
      <c r="AT66" s="1">
        <f t="shared" si="69"/>
        <v>5.4559625876851134E-2</v>
      </c>
    </row>
    <row r="67" spans="24:46" x14ac:dyDescent="0.35">
      <c r="X67" t="s">
        <v>346</v>
      </c>
      <c r="Y67" s="30" t="s">
        <v>459</v>
      </c>
      <c r="Z67" s="1">
        <f t="shared" ref="Z67:AT67" si="70">Y28</f>
        <v>0.10911925175370227</v>
      </c>
      <c r="AA67" s="1">
        <f t="shared" si="70"/>
        <v>0</v>
      </c>
      <c r="AB67" s="1">
        <f t="shared" si="70"/>
        <v>0</v>
      </c>
      <c r="AC67" s="1">
        <f t="shared" si="70"/>
        <v>0.10911925175370227</v>
      </c>
      <c r="AD67" s="1">
        <f t="shared" si="70"/>
        <v>0</v>
      </c>
      <c r="AE67" s="1">
        <f t="shared" si="70"/>
        <v>0</v>
      </c>
      <c r="AF67" s="1">
        <f t="shared" si="70"/>
        <v>0.30917121330215641</v>
      </c>
      <c r="AG67" s="1">
        <f t="shared" si="70"/>
        <v>0</v>
      </c>
      <c r="AH67" s="1">
        <f t="shared" si="70"/>
        <v>0.10911925175370227</v>
      </c>
      <c r="AI67" s="1">
        <f t="shared" si="70"/>
        <v>0</v>
      </c>
      <c r="AJ67" s="1">
        <f t="shared" si="70"/>
        <v>1.8186541958950378E-2</v>
      </c>
      <c r="AK67" s="1">
        <f t="shared" si="70"/>
        <v>0.3637308391790075</v>
      </c>
      <c r="AL67" s="1">
        <f t="shared" si="70"/>
        <v>0</v>
      </c>
      <c r="AM67" s="1">
        <f t="shared" si="70"/>
        <v>0</v>
      </c>
      <c r="AN67" s="1">
        <f t="shared" si="70"/>
        <v>0.2364250454663549</v>
      </c>
      <c r="AO67" s="1">
        <f t="shared" si="70"/>
        <v>0.3637308391790075</v>
      </c>
      <c r="AP67" s="1">
        <f t="shared" si="70"/>
        <v>5.4559625876851134E-2</v>
      </c>
      <c r="AQ67" s="1">
        <f t="shared" si="70"/>
        <v>0.38191738113795792</v>
      </c>
      <c r="AR67" s="1">
        <f t="shared" si="70"/>
        <v>0.45466354897375955</v>
      </c>
      <c r="AS67" s="1">
        <f t="shared" si="70"/>
        <v>0.21823850350740454</v>
      </c>
      <c r="AT67" s="1">
        <f t="shared" si="70"/>
        <v>0.76383476227591585</v>
      </c>
    </row>
    <row r="68" spans="24:46" x14ac:dyDescent="0.35">
      <c r="X68" t="s">
        <v>344</v>
      </c>
      <c r="Y68" s="30" t="s">
        <v>460</v>
      </c>
      <c r="Z68" s="1">
        <f t="shared" ref="Z68:AT68" si="71">Y31</f>
        <v>0.10911925175370227</v>
      </c>
      <c r="AA68" s="1">
        <f t="shared" si="71"/>
        <v>0</v>
      </c>
      <c r="AB68" s="1">
        <f t="shared" si="71"/>
        <v>7.2746167835801512E-2</v>
      </c>
      <c r="AC68" s="1">
        <f t="shared" si="71"/>
        <v>1.8186541958950382</v>
      </c>
      <c r="AD68" s="1">
        <f t="shared" si="71"/>
        <v>0</v>
      </c>
      <c r="AE68" s="1">
        <f t="shared" si="71"/>
        <v>0</v>
      </c>
      <c r="AF68" s="1">
        <f t="shared" si="71"/>
        <v>0</v>
      </c>
      <c r="AG68" s="1">
        <f t="shared" si="71"/>
        <v>0.32139577594123048</v>
      </c>
      <c r="AH68" s="1">
        <f t="shared" si="71"/>
        <v>0</v>
      </c>
      <c r="AI68" s="1">
        <f t="shared" si="71"/>
        <v>0</v>
      </c>
      <c r="AJ68" s="1">
        <f t="shared" si="71"/>
        <v>0.59993878175696358</v>
      </c>
      <c r="AK68" s="1">
        <f t="shared" si="71"/>
        <v>0</v>
      </c>
      <c r="AL68" s="1">
        <f t="shared" si="71"/>
        <v>0.32139577594123048</v>
      </c>
      <c r="AM68" s="1">
        <f t="shared" si="71"/>
        <v>2.2711968166513623</v>
      </c>
      <c r="AN68" s="1">
        <f t="shared" si="71"/>
        <v>0.57851239669421495</v>
      </c>
      <c r="AO68" s="1">
        <f t="shared" si="71"/>
        <v>1.1998775635139272</v>
      </c>
      <c r="AP68" s="1">
        <f t="shared" si="71"/>
        <v>0.64279155188246095</v>
      </c>
      <c r="AQ68" s="1">
        <f t="shared" si="71"/>
        <v>0.44995408631772271</v>
      </c>
      <c r="AR68" s="1">
        <f t="shared" si="71"/>
        <v>0.21426385062748698</v>
      </c>
      <c r="AS68" s="1">
        <f t="shared" si="71"/>
        <v>0</v>
      </c>
      <c r="AT68" s="1">
        <f t="shared" si="71"/>
        <v>0.25711662075298441</v>
      </c>
    </row>
    <row r="69" spans="24:46" x14ac:dyDescent="0.35">
      <c r="X69" t="s">
        <v>345</v>
      </c>
      <c r="Y69" s="30" t="s">
        <v>460</v>
      </c>
      <c r="Z69" s="1">
        <f t="shared" ref="Z69:AT69" si="72">Y34</f>
        <v>0.18186541958950375</v>
      </c>
      <c r="AA69" s="1">
        <f t="shared" si="72"/>
        <v>0.12730579371265266</v>
      </c>
      <c r="AB69" s="1">
        <f t="shared" si="72"/>
        <v>0</v>
      </c>
      <c r="AC69" s="1">
        <f t="shared" si="72"/>
        <v>0</v>
      </c>
      <c r="AD69" s="1">
        <f t="shared" si="72"/>
        <v>0</v>
      </c>
      <c r="AE69" s="1">
        <f t="shared" si="72"/>
        <v>0</v>
      </c>
      <c r="AF69" s="1">
        <f t="shared" si="72"/>
        <v>0.76383476227591585</v>
      </c>
      <c r="AG69" s="1">
        <f t="shared" si="72"/>
        <v>0.14998469543924089</v>
      </c>
      <c r="AH69" s="1">
        <f t="shared" si="72"/>
        <v>0.29996939087848179</v>
      </c>
      <c r="AI69" s="1">
        <f t="shared" si="72"/>
        <v>0.25711662075298441</v>
      </c>
      <c r="AJ69" s="1">
        <f t="shared" si="72"/>
        <v>0.14998469543924089</v>
      </c>
      <c r="AK69" s="1">
        <f t="shared" si="72"/>
        <v>0.14998469543924089</v>
      </c>
      <c r="AL69" s="1">
        <f t="shared" si="72"/>
        <v>0.2785430058157331</v>
      </c>
      <c r="AM69" s="1">
        <f t="shared" si="72"/>
        <v>0</v>
      </c>
      <c r="AN69" s="1">
        <f t="shared" si="72"/>
        <v>0.44995408631772271</v>
      </c>
      <c r="AO69" s="1">
        <f t="shared" si="72"/>
        <v>0</v>
      </c>
      <c r="AP69" s="1">
        <f t="shared" si="72"/>
        <v>4.2852770125497402E-2</v>
      </c>
      <c r="AQ69" s="1">
        <f t="shared" si="72"/>
        <v>0.19283746556473827</v>
      </c>
      <c r="AR69" s="1">
        <f t="shared" si="72"/>
        <v>0</v>
      </c>
      <c r="AS69" s="1">
        <f t="shared" si="72"/>
        <v>0.23569023569023567</v>
      </c>
      <c r="AT69" s="1">
        <f t="shared" si="72"/>
        <v>0</v>
      </c>
    </row>
    <row r="70" spans="24:46" x14ac:dyDescent="0.35">
      <c r="X70" t="s">
        <v>346</v>
      </c>
      <c r="Y70" s="30" t="s">
        <v>460</v>
      </c>
      <c r="Z70" s="1">
        <f t="shared" ref="Z70:AT70" si="73">Y37</f>
        <v>0.32735775526110678</v>
      </c>
      <c r="AA70" s="1">
        <f t="shared" si="73"/>
        <v>0.32735775526110678</v>
      </c>
      <c r="AB70" s="1">
        <f t="shared" si="73"/>
        <v>0</v>
      </c>
      <c r="AC70" s="1">
        <f t="shared" si="73"/>
        <v>0</v>
      </c>
      <c r="AD70" s="1">
        <f t="shared" si="73"/>
        <v>0.14549233567160302</v>
      </c>
      <c r="AE70" s="1">
        <f t="shared" si="73"/>
        <v>0</v>
      </c>
      <c r="AF70" s="1">
        <f t="shared" si="73"/>
        <v>0</v>
      </c>
      <c r="AG70" s="1">
        <f t="shared" si="73"/>
        <v>0.34282216100397922</v>
      </c>
      <c r="AH70" s="1">
        <f t="shared" si="73"/>
        <v>1.6284052647689009</v>
      </c>
      <c r="AI70" s="1">
        <f t="shared" si="73"/>
        <v>0.32139577594123048</v>
      </c>
      <c r="AJ70" s="1">
        <f t="shared" si="73"/>
        <v>0.68564432200795844</v>
      </c>
      <c r="AK70" s="1">
        <f t="shared" si="73"/>
        <v>0</v>
      </c>
      <c r="AL70" s="1">
        <f t="shared" si="73"/>
        <v>0.64279155188246095</v>
      </c>
      <c r="AM70" s="1">
        <f t="shared" si="73"/>
        <v>0.29996939087848179</v>
      </c>
      <c r="AN70" s="1">
        <f t="shared" si="73"/>
        <v>0.6642179369452097</v>
      </c>
      <c r="AO70" s="1">
        <f t="shared" si="73"/>
        <v>0.36424854606672796</v>
      </c>
      <c r="AP70" s="1">
        <f t="shared" si="73"/>
        <v>0</v>
      </c>
      <c r="AQ70" s="1">
        <f t="shared" si="73"/>
        <v>0</v>
      </c>
      <c r="AR70" s="1">
        <f t="shared" si="73"/>
        <v>0</v>
      </c>
      <c r="AS70" s="1">
        <f t="shared" si="73"/>
        <v>0</v>
      </c>
      <c r="AT70" s="1">
        <f t="shared" si="73"/>
        <v>0</v>
      </c>
    </row>
    <row r="71" spans="24:46" x14ac:dyDescent="0.35">
      <c r="X71" t="s">
        <v>344</v>
      </c>
      <c r="Y71" s="30" t="s">
        <v>461</v>
      </c>
      <c r="Z71" s="1">
        <f t="shared" ref="Z71:AT71" si="74">Y40</f>
        <v>0.87726467783680695</v>
      </c>
      <c r="AA71" s="1">
        <f t="shared" si="74"/>
        <v>0.68655496526358795</v>
      </c>
      <c r="AB71" s="1">
        <f t="shared" si="74"/>
        <v>0.65794850837760532</v>
      </c>
      <c r="AC71" s="1">
        <f t="shared" si="74"/>
        <v>0.61027108023430054</v>
      </c>
      <c r="AD71" s="1">
        <f t="shared" si="74"/>
        <v>0.54352268083367394</v>
      </c>
      <c r="AE71" s="1">
        <f t="shared" si="74"/>
        <v>0.44816782454706444</v>
      </c>
      <c r="AF71" s="1">
        <f t="shared" si="74"/>
        <v>0.40049039640375977</v>
      </c>
      <c r="AG71" s="1">
        <f t="shared" si="74"/>
        <v>0.13349679880125323</v>
      </c>
      <c r="AH71" s="1">
        <f t="shared" si="74"/>
        <v>9.5354856286609446E-2</v>
      </c>
      <c r="AI71" s="1">
        <f t="shared" si="74"/>
        <v>0.13349679880125323</v>
      </c>
      <c r="AJ71" s="1">
        <f t="shared" si="74"/>
        <v>0.12396131317259229</v>
      </c>
      <c r="AK71" s="1">
        <f t="shared" si="74"/>
        <v>0.13349679880125323</v>
      </c>
      <c r="AL71" s="1">
        <f t="shared" si="74"/>
        <v>0.13349679880125323</v>
      </c>
      <c r="AM71" s="1">
        <f t="shared" si="74"/>
        <v>0.15256777005857514</v>
      </c>
      <c r="AN71" s="1">
        <f t="shared" si="74"/>
        <v>0</v>
      </c>
      <c r="AO71" s="1">
        <f t="shared" si="74"/>
        <v>4.7677428143304723E-2</v>
      </c>
      <c r="AP71" s="1">
        <f t="shared" si="74"/>
        <v>0</v>
      </c>
      <c r="AQ71" s="1">
        <f t="shared" si="74"/>
        <v>0</v>
      </c>
      <c r="AR71" s="1">
        <f t="shared" si="74"/>
        <v>0</v>
      </c>
      <c r="AS71" s="1">
        <f t="shared" si="74"/>
        <v>0</v>
      </c>
      <c r="AT71" s="1">
        <f t="shared" si="74"/>
        <v>0</v>
      </c>
    </row>
    <row r="72" spans="24:46" x14ac:dyDescent="0.35">
      <c r="X72" t="s">
        <v>345</v>
      </c>
      <c r="Y72" s="30" t="s">
        <v>461</v>
      </c>
      <c r="Z72" s="1">
        <f t="shared" ref="Z72:AT72" si="75">Y43</f>
        <v>0.19070971257321889</v>
      </c>
      <c r="AA72" s="1">
        <f t="shared" si="75"/>
        <v>0.45770331017572541</v>
      </c>
      <c r="AB72" s="1">
        <f t="shared" si="75"/>
        <v>0.62934205149162237</v>
      </c>
      <c r="AC72" s="1">
        <f t="shared" si="75"/>
        <v>0.67701947963492692</v>
      </c>
      <c r="AD72" s="1">
        <f t="shared" si="75"/>
        <v>0.76283885029287557</v>
      </c>
      <c r="AE72" s="1">
        <f t="shared" si="75"/>
        <v>0.58166462334831759</v>
      </c>
      <c r="AF72" s="1">
        <f t="shared" si="75"/>
        <v>0.50538073831903008</v>
      </c>
      <c r="AG72" s="1">
        <f t="shared" si="75"/>
        <v>0.26699359760250646</v>
      </c>
      <c r="AH72" s="1">
        <f t="shared" si="75"/>
        <v>0.38141942514643778</v>
      </c>
      <c r="AI72" s="1">
        <f t="shared" si="75"/>
        <v>0.37188393951777687</v>
      </c>
      <c r="AJ72" s="1">
        <f t="shared" si="75"/>
        <v>0.33374199700313312</v>
      </c>
      <c r="AK72" s="1">
        <f t="shared" si="75"/>
        <v>0.35281296826045494</v>
      </c>
      <c r="AL72" s="1">
        <f t="shared" si="75"/>
        <v>0.30513554011715027</v>
      </c>
      <c r="AM72" s="1">
        <f t="shared" si="75"/>
        <v>0.28606456885982834</v>
      </c>
      <c r="AN72" s="1">
        <f t="shared" si="75"/>
        <v>4.7677428143304723E-2</v>
      </c>
      <c r="AO72" s="1">
        <f t="shared" si="75"/>
        <v>0.13349679880125323</v>
      </c>
      <c r="AP72" s="1">
        <f t="shared" si="75"/>
        <v>0.11442582754393135</v>
      </c>
      <c r="AQ72" s="1">
        <f t="shared" si="75"/>
        <v>0.31467102574581118</v>
      </c>
      <c r="AR72" s="1">
        <f t="shared" si="75"/>
        <v>0.12396131317259229</v>
      </c>
      <c r="AS72" s="1">
        <f t="shared" si="75"/>
        <v>8.5819370657948493E-2</v>
      </c>
      <c r="AT72" s="1">
        <f t="shared" si="75"/>
        <v>7.6283885029287568E-2</v>
      </c>
    </row>
    <row r="73" spans="24:46" x14ac:dyDescent="0.35">
      <c r="X73" t="s">
        <v>346</v>
      </c>
      <c r="Y73" s="30" t="s">
        <v>461</v>
      </c>
      <c r="Z73" s="1">
        <f t="shared" ref="Z73:AT73" si="76">Y46</f>
        <v>0.18117422694455795</v>
      </c>
      <c r="AA73" s="1">
        <f t="shared" si="76"/>
        <v>0.38141942514643778</v>
      </c>
      <c r="AB73" s="1">
        <f t="shared" si="76"/>
        <v>0.43863233891840347</v>
      </c>
      <c r="AC73" s="1">
        <f t="shared" si="76"/>
        <v>0.6484130227489443</v>
      </c>
      <c r="AD73" s="1">
        <f t="shared" si="76"/>
        <v>0.43863233891840347</v>
      </c>
      <c r="AE73" s="1">
        <f t="shared" si="76"/>
        <v>0.3909549107750987</v>
      </c>
      <c r="AF73" s="1">
        <f t="shared" si="76"/>
        <v>0.5244517095763519</v>
      </c>
      <c r="AG73" s="1">
        <f t="shared" si="76"/>
        <v>0.23838714071652367</v>
      </c>
      <c r="AH73" s="1">
        <f t="shared" si="76"/>
        <v>0.26699359760250646</v>
      </c>
      <c r="AI73" s="1">
        <f t="shared" si="76"/>
        <v>0.12396131317259229</v>
      </c>
      <c r="AJ73" s="1">
        <f t="shared" si="76"/>
        <v>7.6283885029287568E-2</v>
      </c>
      <c r="AK73" s="1">
        <f t="shared" si="76"/>
        <v>4.7677428143304723E-2</v>
      </c>
      <c r="AL73" s="1">
        <f t="shared" si="76"/>
        <v>5.7212913771965676E-2</v>
      </c>
      <c r="AM73" s="1">
        <f t="shared" si="76"/>
        <v>4.7677428143304723E-2</v>
      </c>
      <c r="AN73" s="1">
        <f t="shared" si="76"/>
        <v>0.17163874131589699</v>
      </c>
      <c r="AO73" s="1">
        <f t="shared" si="76"/>
        <v>7.6283885029287568E-2</v>
      </c>
      <c r="AP73" s="1">
        <f t="shared" si="76"/>
        <v>4.7677428143304723E-2</v>
      </c>
      <c r="AQ73" s="1">
        <f t="shared" si="76"/>
        <v>5.7212913771965676E-2</v>
      </c>
      <c r="AR73" s="1">
        <f t="shared" si="76"/>
        <v>3.8141942514643784E-2</v>
      </c>
      <c r="AS73" s="1">
        <f t="shared" si="76"/>
        <v>5.7212913771965676E-2</v>
      </c>
      <c r="AT73" s="1">
        <f t="shared" si="76"/>
        <v>2.8606456885982838E-2</v>
      </c>
    </row>
    <row r="74" spans="24:46" x14ac:dyDescent="0.35">
      <c r="X74" t="s">
        <v>344</v>
      </c>
      <c r="Y74" s="30" t="s">
        <v>462</v>
      </c>
      <c r="Z74" s="1">
        <f t="shared" ref="Z74:AT74" si="77">Y49</f>
        <v>0</v>
      </c>
      <c r="AA74" s="1">
        <f t="shared" si="77"/>
        <v>1.9070971257321892E-2</v>
      </c>
      <c r="AB74" s="1">
        <f t="shared" si="77"/>
        <v>5.7212913771965676E-2</v>
      </c>
      <c r="AC74" s="1">
        <f t="shared" si="77"/>
        <v>2.8606456885982838E-2</v>
      </c>
      <c r="AD74" s="1">
        <f t="shared" si="77"/>
        <v>1.9070971257321892E-2</v>
      </c>
      <c r="AE74" s="1">
        <f t="shared" si="77"/>
        <v>3.8141942514643784E-2</v>
      </c>
      <c r="AF74" s="1">
        <f t="shared" si="77"/>
        <v>7.6283885029287568E-2</v>
      </c>
      <c r="AG74" s="1">
        <f t="shared" si="77"/>
        <v>0</v>
      </c>
      <c r="AH74" s="1">
        <f t="shared" si="77"/>
        <v>0</v>
      </c>
      <c r="AI74" s="1">
        <f t="shared" si="77"/>
        <v>0</v>
      </c>
      <c r="AJ74" s="1">
        <f t="shared" si="77"/>
        <v>0</v>
      </c>
      <c r="AK74" s="1">
        <f t="shared" si="77"/>
        <v>0</v>
      </c>
      <c r="AL74" s="1">
        <f t="shared" si="77"/>
        <v>0</v>
      </c>
      <c r="AM74" s="1">
        <f t="shared" si="77"/>
        <v>0</v>
      </c>
      <c r="AN74" s="1">
        <f t="shared" si="77"/>
        <v>0.26743075453677173</v>
      </c>
      <c r="AO74" s="1">
        <f t="shared" si="77"/>
        <v>0.36294173829990445</v>
      </c>
      <c r="AP74" s="1">
        <f t="shared" si="77"/>
        <v>0.38204393505253109</v>
      </c>
      <c r="AQ74" s="1">
        <f t="shared" si="77"/>
        <v>0.30563514804202485</v>
      </c>
      <c r="AR74" s="1">
        <f t="shared" si="77"/>
        <v>0.24832855778414517</v>
      </c>
      <c r="AS74" s="1">
        <f t="shared" si="77"/>
        <v>0.21012416427889211</v>
      </c>
      <c r="AT74" s="1">
        <f t="shared" si="77"/>
        <v>0.16236867239732572</v>
      </c>
    </row>
    <row r="75" spans="24:46" x14ac:dyDescent="0.35">
      <c r="X75" t="s">
        <v>345</v>
      </c>
      <c r="Y75" s="30" t="s">
        <v>462</v>
      </c>
      <c r="Z75" s="1">
        <f t="shared" ref="Z75:AT75" si="78">Y52</f>
        <v>9.9073695681787211</v>
      </c>
      <c r="AA75" s="1">
        <f t="shared" si="78"/>
        <v>0</v>
      </c>
      <c r="AB75" s="1">
        <f t="shared" si="78"/>
        <v>0</v>
      </c>
      <c r="AC75" s="1">
        <f t="shared" si="78"/>
        <v>0</v>
      </c>
      <c r="AD75" s="1">
        <f t="shared" si="78"/>
        <v>0</v>
      </c>
      <c r="AE75" s="1">
        <f t="shared" si="78"/>
        <v>4.7677428143304723E-2</v>
      </c>
      <c r="AF75" s="1">
        <f t="shared" si="78"/>
        <v>0.10489034191527041</v>
      </c>
      <c r="AG75" s="1">
        <f t="shared" si="78"/>
        <v>0</v>
      </c>
      <c r="AH75" s="1">
        <f t="shared" si="78"/>
        <v>0</v>
      </c>
      <c r="AI75" s="1">
        <f t="shared" si="78"/>
        <v>0</v>
      </c>
      <c r="AJ75" s="1">
        <f t="shared" si="78"/>
        <v>0</v>
      </c>
      <c r="AK75" s="1">
        <f t="shared" si="78"/>
        <v>0</v>
      </c>
      <c r="AL75" s="1">
        <f t="shared" si="78"/>
        <v>0</v>
      </c>
      <c r="AM75" s="1">
        <f t="shared" si="78"/>
        <v>0</v>
      </c>
      <c r="AN75" s="1">
        <f t="shared" si="78"/>
        <v>1.9102196752626553E-2</v>
      </c>
      <c r="AO75" s="1">
        <f t="shared" si="78"/>
        <v>6.6857688634192933E-2</v>
      </c>
      <c r="AP75" s="1">
        <f t="shared" si="78"/>
        <v>0.10506208213944605</v>
      </c>
      <c r="AQ75" s="1">
        <f t="shared" si="78"/>
        <v>0.18147086914995222</v>
      </c>
      <c r="AR75" s="1">
        <f t="shared" si="78"/>
        <v>0.29608404966571156</v>
      </c>
      <c r="AS75" s="1">
        <f t="shared" si="78"/>
        <v>0.42024832855778421</v>
      </c>
      <c r="AT75" s="1">
        <f t="shared" si="78"/>
        <v>0.44890162368672404</v>
      </c>
    </row>
    <row r="76" spans="24:46" x14ac:dyDescent="0.35">
      <c r="X76" t="s">
        <v>346</v>
      </c>
      <c r="Y76" s="30" t="s">
        <v>462</v>
      </c>
      <c r="Z76" s="1">
        <f t="shared" ref="Z76:AT76" si="79">Y55</f>
        <v>2.3361939790219317</v>
      </c>
      <c r="AA76" s="1">
        <f t="shared" si="79"/>
        <v>0</v>
      </c>
      <c r="AB76" s="1">
        <f t="shared" si="79"/>
        <v>0</v>
      </c>
      <c r="AC76" s="1">
        <f t="shared" si="79"/>
        <v>0</v>
      </c>
      <c r="AD76" s="1">
        <f t="shared" si="79"/>
        <v>0</v>
      </c>
      <c r="AE76" s="1">
        <f t="shared" si="79"/>
        <v>0</v>
      </c>
      <c r="AF76" s="1">
        <f t="shared" si="79"/>
        <v>6.6748399400626615E-2</v>
      </c>
      <c r="AG76" s="1">
        <f t="shared" si="79"/>
        <v>0</v>
      </c>
      <c r="AH76" s="1">
        <f t="shared" si="79"/>
        <v>0</v>
      </c>
      <c r="AI76" s="1">
        <f t="shared" si="79"/>
        <v>0</v>
      </c>
      <c r="AJ76" s="1">
        <f t="shared" si="79"/>
        <v>0</v>
      </c>
      <c r="AK76" s="1">
        <f t="shared" si="79"/>
        <v>0</v>
      </c>
      <c r="AL76" s="1">
        <f t="shared" si="79"/>
        <v>0</v>
      </c>
      <c r="AM76" s="1">
        <f t="shared" si="79"/>
        <v>0</v>
      </c>
      <c r="AN76" s="1">
        <f t="shared" si="79"/>
        <v>6.6857688634192933E-2</v>
      </c>
      <c r="AO76" s="1">
        <f t="shared" si="79"/>
        <v>6.6857688634192933E-2</v>
      </c>
      <c r="AP76" s="1">
        <f t="shared" si="79"/>
        <v>7.6408787010506213E-2</v>
      </c>
      <c r="AQ76" s="1">
        <f t="shared" si="79"/>
        <v>0.11461318051575933</v>
      </c>
      <c r="AR76" s="1">
        <f t="shared" si="79"/>
        <v>0.19102196752626555</v>
      </c>
      <c r="AS76" s="1">
        <f t="shared" si="79"/>
        <v>0.25787965616045849</v>
      </c>
      <c r="AT76" s="1">
        <f t="shared" si="79"/>
        <v>0.22922636103151867</v>
      </c>
    </row>
    <row r="79" spans="24:46" x14ac:dyDescent="0.35">
      <c r="X79" t="s">
        <v>530</v>
      </c>
    </row>
    <row r="80" spans="24:46" x14ac:dyDescent="0.35">
      <c r="X80" t="s">
        <v>529</v>
      </c>
      <c r="Y80" t="s">
        <v>528</v>
      </c>
    </row>
    <row r="81" spans="24:25" x14ac:dyDescent="0.35">
      <c r="X81">
        <v>0</v>
      </c>
      <c r="Y81" s="1">
        <f>AVERAGE(H52:H53)</f>
        <v>9.5510983763132766E-3</v>
      </c>
    </row>
    <row r="82" spans="24:25" x14ac:dyDescent="0.35">
      <c r="X82">
        <f t="shared" ref="X82:X87" si="80">X81+30</f>
        <v>30</v>
      </c>
      <c r="Y82" s="1">
        <f>AVERAGE(I51:I53)</f>
        <v>2.2285896211397645E-2</v>
      </c>
    </row>
    <row r="83" spans="24:25" x14ac:dyDescent="0.35">
      <c r="X83">
        <f t="shared" si="80"/>
        <v>60</v>
      </c>
      <c r="Y83" s="1">
        <f>AVERAGE(J51:J53)</f>
        <v>3.5020694046482018E-2</v>
      </c>
    </row>
    <row r="84" spans="24:25" x14ac:dyDescent="0.35">
      <c r="X84">
        <f t="shared" si="80"/>
        <v>90</v>
      </c>
      <c r="Y84" s="1">
        <f>AVERAGE(K51:K53)</f>
        <v>6.0490289716650741E-2</v>
      </c>
    </row>
    <row r="85" spans="24:25" x14ac:dyDescent="0.35">
      <c r="X85">
        <f t="shared" si="80"/>
        <v>120</v>
      </c>
      <c r="Y85" s="1">
        <f>AVERAGE(L51:L53)</f>
        <v>9.8694683221903848E-2</v>
      </c>
    </row>
    <row r="86" spans="24:25" x14ac:dyDescent="0.35">
      <c r="X86">
        <f t="shared" si="80"/>
        <v>150</v>
      </c>
      <c r="Y86" s="1">
        <f>AVERAGE(M51:M53)</f>
        <v>0.15597525223369632</v>
      </c>
    </row>
    <row r="87" spans="24:25" x14ac:dyDescent="0.35">
      <c r="X87">
        <f t="shared" si="80"/>
        <v>180</v>
      </c>
      <c r="Y87" s="1">
        <f>AVERAGE(N51:N53)</f>
        <v>0.18459732186733149</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4F0B51-282F-4C03-91EC-C875EFFD7D87}">
  <sheetPr codeName="Sheet14">
    <tabColor theme="8" tint="0.39997558519241921"/>
  </sheetPr>
  <dimension ref="A1:AT87"/>
  <sheetViews>
    <sheetView topLeftCell="J1" zoomScale="75" zoomScaleNormal="75" workbookViewId="0">
      <selection activeCell="T4" sqref="T4"/>
    </sheetView>
  </sheetViews>
  <sheetFormatPr defaultColWidth="11" defaultRowHeight="15.5" x14ac:dyDescent="0.35"/>
  <cols>
    <col min="1" max="1" width="14.6640625" style="65" customWidth="1"/>
    <col min="2" max="2" width="12.08203125" style="4" customWidth="1"/>
    <col min="3" max="3" width="41.33203125" style="4" customWidth="1"/>
    <col min="4" max="4" width="8.5" style="4" customWidth="1"/>
    <col min="5" max="22" width="11" style="4"/>
    <col min="24" max="24" width="17" customWidth="1"/>
  </cols>
  <sheetData>
    <row r="1" spans="1:45" ht="23.5" x14ac:dyDescent="0.35">
      <c r="A1" s="50" t="s">
        <v>467</v>
      </c>
      <c r="C1" s="26" t="s">
        <v>468</v>
      </c>
      <c r="F1" s="70" t="s">
        <v>18</v>
      </c>
      <c r="G1" s="26" t="s">
        <v>527</v>
      </c>
    </row>
    <row r="2" spans="1:45" ht="49.5" customHeight="1" x14ac:dyDescent="0.35">
      <c r="A2" s="18"/>
      <c r="B2" s="18" t="s">
        <v>433</v>
      </c>
      <c r="C2" s="18" t="s">
        <v>466</v>
      </c>
      <c r="D2" s="18" t="s">
        <v>497</v>
      </c>
      <c r="E2" s="18" t="s">
        <v>387</v>
      </c>
      <c r="F2" s="18" t="s">
        <v>404</v>
      </c>
      <c r="G2" s="18" t="s">
        <v>454</v>
      </c>
      <c r="H2" s="18">
        <v>0</v>
      </c>
      <c r="I2" s="18">
        <v>30</v>
      </c>
      <c r="J2" s="18">
        <v>60</v>
      </c>
      <c r="K2" s="18">
        <v>90</v>
      </c>
      <c r="L2" s="18">
        <v>120</v>
      </c>
      <c r="M2" s="18">
        <v>150</v>
      </c>
      <c r="N2" s="18">
        <v>180</v>
      </c>
      <c r="O2" s="19" t="s">
        <v>340</v>
      </c>
      <c r="P2" s="19" t="s">
        <v>547</v>
      </c>
      <c r="Q2" s="19" t="s">
        <v>340</v>
      </c>
      <c r="R2" s="19" t="s">
        <v>341</v>
      </c>
      <c r="S2" s="19" t="s">
        <v>342</v>
      </c>
      <c r="T2" s="19" t="s">
        <v>547</v>
      </c>
      <c r="U2" s="19" t="s">
        <v>475</v>
      </c>
      <c r="V2" s="19" t="s">
        <v>533</v>
      </c>
    </row>
    <row r="3" spans="1:45" x14ac:dyDescent="0.35">
      <c r="A3" s="41">
        <f>IFERROR(INDEX('Date Key'!$B$2:$B$19, MATCH(F3,'Date Key'!$A$2:$A$19, 0)), "")</f>
        <v>45175</v>
      </c>
      <c r="B3" s="4">
        <f>INT((ROW(A1)-1)/9)+1</f>
        <v>1</v>
      </c>
      <c r="C3" s="26" t="str">
        <f>IFERROR(INDEX('Date Key'!$G$57:$G$62, MATCH(B3,'Date Key'!$A$57:$A$62, 0)), "")</f>
        <v>Low HLR, Lower Outlet Height, No Plants</v>
      </c>
      <c r="D3" s="4" t="str">
        <f>IFERROR(INDEX('Date Key'!$G$2:$G$19, MATCH(F3, 'Date Key'!$A$2:$A$19, 0)), "")</f>
        <v>No</v>
      </c>
      <c r="E3" s="4" t="str">
        <f>CHOOSE(MOD(ROW(G3)-ROW($G$3), 9) + 1, "in", "in", "in", "tank 1", "tank 1", "tank 1", "tank 2", "tank 2", "tank 2")</f>
        <v>in</v>
      </c>
      <c r="F3" s="4">
        <f>MOD(ROW(G3)-ROW($G$3), 3) + 1 + 3 * INT((ROW(G3)-ROW($G$3))/9)</f>
        <v>1</v>
      </c>
      <c r="G3" s="4">
        <f>MOD(ROW(G3)-ROW($G$3), 3) + 1</f>
        <v>1</v>
      </c>
      <c r="H3" s="11" cm="1">
        <f t="array" ref="H3">IFERROR(INDEX('Master Data Sheet'!$1:$1048576, MATCH(1, ('Master Data Sheet'!$H:$H=H$2) * (INDEX('Master Data Sheet'!$1:$1, , MATCH($F$1, 'Master Data Sheet'!$1:$1, 0)) = $F$1) * ('Master Data Sheet'!$G:$G=$B3) * ('Master Data Sheet'!$F:$F=$E3) * ('Master Data Sheet'!$A:$A=$F3), 0), MATCH($F$1, 'Master Data Sheet'!$1:$1, 0)), "")</f>
        <v>4.5328399629972239E-2</v>
      </c>
      <c r="I3" s="11" cm="1">
        <f t="array" ref="I3">IFERROR(INDEX('Master Data Sheet'!$1:$1048576, MATCH(1, ('Master Data Sheet'!$H:$H=I$2) * (INDEX('Master Data Sheet'!$1:$1, , MATCH($F$1, 'Master Data Sheet'!$1:$1, 0)) = $F$1) * ('Master Data Sheet'!$G:$G=$B3) * ('Master Data Sheet'!$F:$F=$E3) * ('Master Data Sheet'!$A:$A=$F3), 0), MATCH($F$1, 'Master Data Sheet'!$1:$1, 0)), "")</f>
        <v>6.475485661424607E-2</v>
      </c>
      <c r="J3" s="11" cm="1">
        <f t="array" ref="J3">IFERROR(INDEX('Master Data Sheet'!$1:$1048576, MATCH(1, ('Master Data Sheet'!$H:$H=J$2) * (INDEX('Master Data Sheet'!$1:$1, , MATCH($F$1, 'Master Data Sheet'!$1:$1, 0)) = $F$1) * ('Master Data Sheet'!$G:$G=$B3) * ('Master Data Sheet'!$F:$F=$E3) * ('Master Data Sheet'!$A:$A=$F3), 0), MATCH($F$1, 'Master Data Sheet'!$1:$1, 0)), "")</f>
        <v>9.7132284921369091E-2</v>
      </c>
      <c r="K3" s="11" cm="1">
        <f t="array" ref="K3">IFERROR(INDEX('Master Data Sheet'!$1:$1048576, MATCH(1, ('Master Data Sheet'!$H:$H=K$2) * (INDEX('Master Data Sheet'!$1:$1, , MATCH($F$1, 'Master Data Sheet'!$1:$1, 0)) = $F$1) * ('Master Data Sheet'!$G:$G=$B3) * ('Master Data Sheet'!$F:$F=$E3) * ('Master Data Sheet'!$A:$A=$F3), 0), MATCH($F$1, 'Master Data Sheet'!$1:$1, 0)), "")</f>
        <v>6.475485661424607E-2</v>
      </c>
      <c r="L3" s="11" cm="1">
        <f t="array" ref="L3">IFERROR(INDEX('Master Data Sheet'!$1:$1048576, MATCH(1, ('Master Data Sheet'!$H:$H=L$2) * (INDEX('Master Data Sheet'!$1:$1, , MATCH($F$1, 'Master Data Sheet'!$1:$1, 0)) = $F$1) * ('Master Data Sheet'!$G:$G=$B3) * ('Master Data Sheet'!$F:$F=$E3) * ('Master Data Sheet'!$A:$A=$F3), 0), MATCH($F$1, 'Master Data Sheet'!$1:$1, 0)), "")</f>
        <v>5.8279370952821465E-2</v>
      </c>
      <c r="M3" s="11" cm="1">
        <f t="array" ref="M3">IFERROR(INDEX('Master Data Sheet'!$1:$1048576, MATCH(1, ('Master Data Sheet'!$H:$H=M$2) * (INDEX('Master Data Sheet'!$1:$1, , MATCH($F$1, 'Master Data Sheet'!$1:$1, 0)) = $F$1) * ('Master Data Sheet'!$G:$G=$B3) * ('Master Data Sheet'!$F:$F=$E3) * ('Master Data Sheet'!$A:$A=$F3), 0), MATCH($F$1, 'Master Data Sheet'!$1:$1, 0)), "")</f>
        <v>7.7705827937095281E-2</v>
      </c>
      <c r="N3" s="11" cm="1">
        <f t="array" ref="N3">IFERROR(INDEX('Master Data Sheet'!$1:$1048576, MATCH(1, ('Master Data Sheet'!$H:$H=N$2) * (INDEX('Master Data Sheet'!$1:$1, , MATCH($F$1, 'Master Data Sheet'!$1:$1, 0)) = $F$1) * ('Master Data Sheet'!$G:$G=$B3) * ('Master Data Sheet'!$F:$F=$E3) * ('Master Data Sheet'!$A:$A=$F3), 0), MATCH($F$1, 'Master Data Sheet'!$1:$1, 0)), "")</f>
        <v>9.0656799259944479E-2</v>
      </c>
      <c r="O3" s="11">
        <f>AVERAGE(H3:N3)</f>
        <v>7.1230342275670669E-2</v>
      </c>
      <c r="P3" s="11">
        <f>STDEV(H3:N3)</f>
        <v>1.8315439290678359E-2</v>
      </c>
      <c r="Q3" s="11">
        <f>AVERAGE(O3,O5)</f>
        <v>4.4403330249768731E-2</v>
      </c>
      <c r="S3" s="46">
        <f>AVERAGE(O3:O5)</f>
        <v>4.9337033610854147E-2</v>
      </c>
      <c r="T3" s="11">
        <f>AVERAGE(P3:P5)</f>
        <v>1.6198259964752357E-2</v>
      </c>
      <c r="V3" s="47">
        <f>AVERAGE(U6, U9)</f>
        <v>-64.583333333333343</v>
      </c>
      <c r="X3" t="s">
        <v>343</v>
      </c>
    </row>
    <row r="4" spans="1:45" x14ac:dyDescent="0.35">
      <c r="A4" s="41">
        <f>IFERROR(INDEX('Date Key'!$B$2:$B$19, MATCH(F4,'Date Key'!$A$2:$A$19, 0)), "")</f>
        <v>45181</v>
      </c>
      <c r="B4" s="4">
        <f t="shared" ref="B4:B11" si="0">INT((ROW(B2)-1)/9)+1</f>
        <v>1</v>
      </c>
      <c r="C4" s="26" t="str">
        <f>IFERROR(INDEX('Date Key'!$G$57:$G$62, MATCH(B4,'Date Key'!$A$57:$A$62, 0)), "")</f>
        <v>Low HLR, Lower Outlet Height, No Plants</v>
      </c>
      <c r="D4" s="4" t="str">
        <f>IFERROR(INDEX('Date Key'!$G$2:$G$19, MATCH(F4, 'Date Key'!$A$2:$A$19, 0)), "")</f>
        <v>No</v>
      </c>
      <c r="E4" s="4" t="str">
        <f t="shared" ref="E4:E56" si="1">CHOOSE(MOD(ROW(G4)-ROW($G$3), 9) + 1, "in", "in", "in", "tank 1", "tank 1", "tank 1", "tank 2", "tank 2", "tank 2")</f>
        <v>in</v>
      </c>
      <c r="F4" s="4">
        <f t="shared" ref="F4:F56" si="2">MOD(ROW(G4)-ROW($G$3), 3) + 1 + 3 * INT((ROW(G4)-ROW($G$3))/9)</f>
        <v>2</v>
      </c>
      <c r="G4" s="4">
        <f t="shared" ref="G4:G15" si="3">MOD(ROW(G4)-ROW($G$3), 3) + 1</f>
        <v>2</v>
      </c>
      <c r="H4" s="11" cm="1">
        <f t="array" ref="H4">IFERROR(INDEX('Master Data Sheet'!$1:$1048576, MATCH(1, ('Master Data Sheet'!$H:$H=H$2) * (INDEX('Master Data Sheet'!$1:$1, , MATCH($F$1, 'Master Data Sheet'!$1:$1, 0)) = $F$1) * ('Master Data Sheet'!$G:$G=$B4) * ('Master Data Sheet'!$F:$F=$E4) * ('Master Data Sheet'!$A:$A=$F4), 0), MATCH($F$1, 'Master Data Sheet'!$1:$1, 0)), "")</f>
        <v>7.7705827937095281E-2</v>
      </c>
      <c r="I4" s="11" cm="1">
        <f t="array" ref="I4">IFERROR(INDEX('Master Data Sheet'!$1:$1048576, MATCH(1, ('Master Data Sheet'!$H:$H=I$2) * (INDEX('Master Data Sheet'!$1:$1, , MATCH($F$1, 'Master Data Sheet'!$1:$1, 0)) = $F$1) * ('Master Data Sheet'!$G:$G=$B4) * ('Master Data Sheet'!$F:$F=$E4) * ('Master Data Sheet'!$A:$A=$F4), 0), MATCH($F$1, 'Master Data Sheet'!$1:$1, 0)), "")</f>
        <v>5.1803885291396852E-2</v>
      </c>
      <c r="J4" s="11" cm="1">
        <f t="array" ref="J4">IFERROR(INDEX('Master Data Sheet'!$1:$1048576, MATCH(1, ('Master Data Sheet'!$H:$H=J$2) * (INDEX('Master Data Sheet'!$1:$1, , MATCH($F$1, 'Master Data Sheet'!$1:$1, 0)) = $F$1) * ('Master Data Sheet'!$G:$G=$B4) * ('Master Data Sheet'!$F:$F=$E4) * ('Master Data Sheet'!$A:$A=$F4), 0), MATCH($F$1, 'Master Data Sheet'!$1:$1, 0)), "")</f>
        <v>7.1230342275670669E-2</v>
      </c>
      <c r="K4" s="11" cm="1">
        <f t="array" ref="K4">IFERROR(INDEX('Master Data Sheet'!$1:$1048576, MATCH(1, ('Master Data Sheet'!$H:$H=K$2) * (INDEX('Master Data Sheet'!$1:$1, , MATCH($F$1, 'Master Data Sheet'!$1:$1, 0)) = $F$1) * ('Master Data Sheet'!$G:$G=$B4) * ('Master Data Sheet'!$F:$F=$E4) * ('Master Data Sheet'!$A:$A=$F4), 0), MATCH($F$1, 'Master Data Sheet'!$1:$1, 0)), "")</f>
        <v>6.475485661424607E-2</v>
      </c>
      <c r="L4" s="11" cm="1">
        <f t="array" ref="L4">IFERROR(INDEX('Master Data Sheet'!$1:$1048576, MATCH(1, ('Master Data Sheet'!$H:$H=L$2) * (INDEX('Master Data Sheet'!$1:$1, , MATCH($F$1, 'Master Data Sheet'!$1:$1, 0)) = $F$1) * ('Master Data Sheet'!$G:$G=$B4) * ('Master Data Sheet'!$F:$F=$E4) * ('Master Data Sheet'!$A:$A=$F4), 0), MATCH($F$1, 'Master Data Sheet'!$1:$1, 0)), "")</f>
        <v>5.1803885291396852E-2</v>
      </c>
      <c r="M4" s="11" cm="1">
        <f t="array" ref="M4">IFERROR(INDEX('Master Data Sheet'!$1:$1048576, MATCH(1, ('Master Data Sheet'!$H:$H=M$2) * (INDEX('Master Data Sheet'!$1:$1, , MATCH($F$1, 'Master Data Sheet'!$1:$1, 0)) = $F$1) * ('Master Data Sheet'!$G:$G=$B4) * ('Master Data Sheet'!$F:$F=$E4) * ('Master Data Sheet'!$A:$A=$F4), 0), MATCH($F$1, 'Master Data Sheet'!$1:$1, 0)), "")</f>
        <v>5.1803885291396852E-2</v>
      </c>
      <c r="N4" s="11" cm="1">
        <f t="array" ref="N4">IFERROR(INDEX('Master Data Sheet'!$1:$1048576, MATCH(1, ('Master Data Sheet'!$H:$H=N$2) * (INDEX('Master Data Sheet'!$1:$1, , MATCH($F$1, 'Master Data Sheet'!$1:$1, 0)) = $F$1) * ('Master Data Sheet'!$G:$G=$B4) * ('Master Data Sheet'!$F:$F=$E4) * ('Master Data Sheet'!$A:$A=$F4), 0), MATCH($F$1, 'Master Data Sheet'!$1:$1, 0)), "")</f>
        <v>4.5328399629972239E-2</v>
      </c>
      <c r="O4" s="11">
        <f>AVERAGE(H4:N4)</f>
        <v>5.9204440333024973E-2</v>
      </c>
      <c r="P4" s="11">
        <f t="shared" ref="P4:P56" si="4">STDEV(H4:N4)</f>
        <v>1.2073248196393382E-2</v>
      </c>
      <c r="Q4" s="11"/>
      <c r="X4" t="str">
        <f>IFERROR(INDEX('Date Key'!$G$57:$G$62, MATCH(B3,'Date Key'!$A$57:$A$62, 0)), "")</f>
        <v>Low HLR, Lower Outlet Height, No Plants</v>
      </c>
      <c r="Y4" s="1">
        <f t="shared" ref="Y4:AE4" si="5">H3</f>
        <v>4.5328399629972239E-2</v>
      </c>
      <c r="Z4" s="1">
        <f t="shared" si="5"/>
        <v>6.475485661424607E-2</v>
      </c>
      <c r="AA4" s="1">
        <f t="shared" si="5"/>
        <v>9.7132284921369091E-2</v>
      </c>
      <c r="AB4" s="1">
        <f t="shared" si="5"/>
        <v>6.475485661424607E-2</v>
      </c>
      <c r="AC4" s="1">
        <f t="shared" si="5"/>
        <v>5.8279370952821465E-2</v>
      </c>
      <c r="AD4" s="1">
        <f t="shared" si="5"/>
        <v>7.7705827937095281E-2</v>
      </c>
      <c r="AE4" s="1">
        <f t="shared" si="5"/>
        <v>9.0656799259944479E-2</v>
      </c>
      <c r="AF4" s="1">
        <f t="shared" ref="AF4:AL4" si="6">H4</f>
        <v>7.7705827937095281E-2</v>
      </c>
      <c r="AG4" s="1">
        <f t="shared" si="6"/>
        <v>5.1803885291396852E-2</v>
      </c>
      <c r="AH4" s="1">
        <f t="shared" si="6"/>
        <v>7.1230342275670669E-2</v>
      </c>
      <c r="AI4" s="1">
        <f t="shared" si="6"/>
        <v>6.475485661424607E-2</v>
      </c>
      <c r="AJ4" s="1">
        <f t="shared" si="6"/>
        <v>5.1803885291396852E-2</v>
      </c>
      <c r="AK4" s="1">
        <f t="shared" si="6"/>
        <v>5.1803885291396852E-2</v>
      </c>
      <c r="AL4" s="1">
        <f t="shared" si="6"/>
        <v>4.5328399629972239E-2</v>
      </c>
      <c r="AM4" s="1">
        <f t="shared" ref="AM4:AS4" si="7">H5</f>
        <v>5.1803885291396852E-2</v>
      </c>
      <c r="AN4" s="1">
        <f t="shared" si="7"/>
        <v>6.4754856614246065E-3</v>
      </c>
      <c r="AO4" s="1">
        <f t="shared" si="7"/>
        <v>0</v>
      </c>
      <c r="AP4" s="1">
        <f t="shared" si="7"/>
        <v>2.5901942645698426E-2</v>
      </c>
      <c r="AQ4" s="1">
        <f t="shared" si="7"/>
        <v>1.942645698427382E-2</v>
      </c>
      <c r="AR4" s="1">
        <f t="shared" si="7"/>
        <v>0</v>
      </c>
      <c r="AS4" s="1">
        <f t="shared" si="7"/>
        <v>1.942645698427382E-2</v>
      </c>
    </row>
    <row r="5" spans="1:45" x14ac:dyDescent="0.35">
      <c r="A5" s="41">
        <f>IFERROR(INDEX('Date Key'!$B$2:$B$19, MATCH(F5,'Date Key'!$A$2:$A$19, 0)), "")</f>
        <v>45195</v>
      </c>
      <c r="B5" s="4">
        <f t="shared" si="0"/>
        <v>1</v>
      </c>
      <c r="C5" s="26" t="str">
        <f>IFERROR(INDEX('Date Key'!$G$57:$G$62, MATCH(B5,'Date Key'!$A$57:$A$62, 0)), "")</f>
        <v>Low HLR, Lower Outlet Height, No Plants</v>
      </c>
      <c r="D5" s="4" t="str">
        <f>IFERROR(INDEX('Date Key'!$G$2:$G$19, MATCH(F5, 'Date Key'!$A$2:$A$19, 0)), "")</f>
        <v>No</v>
      </c>
      <c r="E5" s="4" t="str">
        <f t="shared" si="1"/>
        <v>in</v>
      </c>
      <c r="F5" s="4">
        <f t="shared" si="2"/>
        <v>3</v>
      </c>
      <c r="G5" s="4">
        <f t="shared" si="3"/>
        <v>3</v>
      </c>
      <c r="H5" s="11" cm="1">
        <f t="array" ref="H5">IFERROR(INDEX('Master Data Sheet'!$1:$1048576, MATCH(1, ('Master Data Sheet'!$H:$H=H$2) * (INDEX('Master Data Sheet'!$1:$1, , MATCH($F$1, 'Master Data Sheet'!$1:$1, 0)) = $F$1) * ('Master Data Sheet'!$G:$G=$B5) * ('Master Data Sheet'!$F:$F=$E5) * ('Master Data Sheet'!$A:$A=$F5), 0), MATCH($F$1, 'Master Data Sheet'!$1:$1, 0)), "")</f>
        <v>5.1803885291396852E-2</v>
      </c>
      <c r="I5" s="11" cm="1">
        <f t="array" ref="I5">IFERROR(INDEX('Master Data Sheet'!$1:$1048576, MATCH(1, ('Master Data Sheet'!$H:$H=I$2) * (INDEX('Master Data Sheet'!$1:$1, , MATCH($F$1, 'Master Data Sheet'!$1:$1, 0)) = $F$1) * ('Master Data Sheet'!$G:$G=$B5) * ('Master Data Sheet'!$F:$F=$E5) * ('Master Data Sheet'!$A:$A=$F5), 0), MATCH($F$1, 'Master Data Sheet'!$1:$1, 0)), "")</f>
        <v>6.4754856614246065E-3</v>
      </c>
      <c r="J5" s="11" cm="1">
        <f t="array" ref="J5">IFERROR(INDEX('Master Data Sheet'!$1:$1048576, MATCH(1, ('Master Data Sheet'!$H:$H=J$2) * (INDEX('Master Data Sheet'!$1:$1, , MATCH($F$1, 'Master Data Sheet'!$1:$1, 0)) = $F$1) * ('Master Data Sheet'!$G:$G=$B5) * ('Master Data Sheet'!$F:$F=$E5) * ('Master Data Sheet'!$A:$A=$F5), 0), MATCH($F$1, 'Master Data Sheet'!$1:$1, 0)), "")</f>
        <v>0</v>
      </c>
      <c r="K5" s="11" cm="1">
        <f t="array" ref="K5">IFERROR(INDEX('Master Data Sheet'!$1:$1048576, MATCH(1, ('Master Data Sheet'!$H:$H=K$2) * (INDEX('Master Data Sheet'!$1:$1, , MATCH($F$1, 'Master Data Sheet'!$1:$1, 0)) = $F$1) * ('Master Data Sheet'!$G:$G=$B5) * ('Master Data Sheet'!$F:$F=$E5) * ('Master Data Sheet'!$A:$A=$F5), 0), MATCH($F$1, 'Master Data Sheet'!$1:$1, 0)), "")</f>
        <v>2.5901942645698426E-2</v>
      </c>
      <c r="L5" s="11" cm="1">
        <f t="array" ref="L5">IFERROR(INDEX('Master Data Sheet'!$1:$1048576, MATCH(1, ('Master Data Sheet'!$H:$H=L$2) * (INDEX('Master Data Sheet'!$1:$1, , MATCH($F$1, 'Master Data Sheet'!$1:$1, 0)) = $F$1) * ('Master Data Sheet'!$G:$G=$B5) * ('Master Data Sheet'!$F:$F=$E5) * ('Master Data Sheet'!$A:$A=$F5), 0), MATCH($F$1, 'Master Data Sheet'!$1:$1, 0)), "")</f>
        <v>1.942645698427382E-2</v>
      </c>
      <c r="M5" s="11" cm="1">
        <f t="array" ref="M5">IFERROR(INDEX('Master Data Sheet'!$1:$1048576, MATCH(1, ('Master Data Sheet'!$H:$H=M$2) * (INDEX('Master Data Sheet'!$1:$1, , MATCH($F$1, 'Master Data Sheet'!$1:$1, 0)) = $F$1) * ('Master Data Sheet'!$G:$G=$B5) * ('Master Data Sheet'!$F:$F=$E5) * ('Master Data Sheet'!$A:$A=$F5), 0), MATCH($F$1, 'Master Data Sheet'!$1:$1, 0)), "")</f>
        <v>0</v>
      </c>
      <c r="N5" s="11" cm="1">
        <f t="array" ref="N5">IFERROR(INDEX('Master Data Sheet'!$1:$1048576, MATCH(1, ('Master Data Sheet'!$H:$H=N$2) * (INDEX('Master Data Sheet'!$1:$1, , MATCH($F$1, 'Master Data Sheet'!$1:$1, 0)) = $F$1) * ('Master Data Sheet'!$G:$G=$B5) * ('Master Data Sheet'!$F:$F=$E5) * ('Master Data Sheet'!$A:$A=$F5), 0), MATCH($F$1, 'Master Data Sheet'!$1:$1, 0)), "")</f>
        <v>1.942645698427382E-2</v>
      </c>
      <c r="O5" s="11">
        <f>AVERAGE(H5:N5)</f>
        <v>1.757631822386679E-2</v>
      </c>
      <c r="P5" s="11">
        <f t="shared" si="4"/>
        <v>1.8206092407185334E-2</v>
      </c>
      <c r="Q5" s="11"/>
      <c r="Y5" s="1"/>
      <c r="Z5" s="1"/>
      <c r="AA5" s="1"/>
      <c r="AB5" s="1"/>
      <c r="AC5" s="1"/>
      <c r="AD5" s="1"/>
      <c r="AE5" s="1"/>
      <c r="AF5" s="1"/>
      <c r="AG5" s="1"/>
      <c r="AH5" s="1"/>
      <c r="AI5" s="1"/>
      <c r="AJ5" s="1"/>
      <c r="AK5" s="1"/>
      <c r="AL5" s="1"/>
      <c r="AM5" s="1"/>
      <c r="AN5" s="1"/>
      <c r="AO5" s="1"/>
      <c r="AP5" s="1"/>
      <c r="AQ5" s="1"/>
      <c r="AR5" s="1"/>
      <c r="AS5" s="1"/>
    </row>
    <row r="6" spans="1:45" x14ac:dyDescent="0.35">
      <c r="A6" s="41">
        <f>IFERROR(INDEX('Date Key'!$B$2:$B$19, MATCH(F6,'Date Key'!$A$2:$A$19, 0)), "")</f>
        <v>45175</v>
      </c>
      <c r="B6" s="4">
        <f t="shared" si="0"/>
        <v>1</v>
      </c>
      <c r="C6" s="26" t="str">
        <f>IFERROR(INDEX('Date Key'!$G$57:$G$62, MATCH(B6,'Date Key'!$A$57:$A$62, 0)), "")</f>
        <v>Low HLR, Lower Outlet Height, No Plants</v>
      </c>
      <c r="D6" s="4" t="str">
        <f>IFERROR(INDEX('Date Key'!$G$2:$G$19, MATCH(F6, 'Date Key'!$A$2:$A$19, 0)), "")</f>
        <v>No</v>
      </c>
      <c r="E6" s="4" t="str">
        <f t="shared" si="1"/>
        <v>tank 1</v>
      </c>
      <c r="F6" s="4">
        <f t="shared" si="2"/>
        <v>1</v>
      </c>
      <c r="G6" s="4">
        <f t="shared" si="3"/>
        <v>1</v>
      </c>
      <c r="H6" s="11" cm="1">
        <f t="array" ref="H6">IFERROR(INDEX('Master Data Sheet'!$1:$1048576, MATCH(1, ('Master Data Sheet'!$H:$H=H$2) * (INDEX('Master Data Sheet'!$1:$1, , MATCH($F$1, 'Master Data Sheet'!$1:$1, 0)) = $F$1) * ('Master Data Sheet'!$G:$G=$B6) * ('Master Data Sheet'!$F:$F=$E6) * ('Master Data Sheet'!$A:$A=$F6), 0), MATCH($F$1, 'Master Data Sheet'!$1:$1, 0)), "")</f>
        <v>5.8279370952821465E-2</v>
      </c>
      <c r="I6" s="11" cm="1">
        <f t="array" ref="I6">IFERROR(INDEX('Master Data Sheet'!$1:$1048576, MATCH(1, ('Master Data Sheet'!$H:$H=I$2) * (INDEX('Master Data Sheet'!$1:$1, , MATCH($F$1, 'Master Data Sheet'!$1:$1, 0)) = $F$1) * ('Master Data Sheet'!$G:$G=$B6) * ('Master Data Sheet'!$F:$F=$E6) * ('Master Data Sheet'!$A:$A=$F6), 0), MATCH($F$1, 'Master Data Sheet'!$1:$1, 0)), "")</f>
        <v>5.8279370952821465E-2</v>
      </c>
      <c r="J6" s="11" cm="1">
        <f t="array" ref="J6">IFERROR(INDEX('Master Data Sheet'!$1:$1048576, MATCH(1, ('Master Data Sheet'!$H:$H=J$2) * (INDEX('Master Data Sheet'!$1:$1, , MATCH($F$1, 'Master Data Sheet'!$1:$1, 0)) = $F$1) * ('Master Data Sheet'!$G:$G=$B6) * ('Master Data Sheet'!$F:$F=$E6) * ('Master Data Sheet'!$A:$A=$F6), 0), MATCH($F$1, 'Master Data Sheet'!$1:$1, 0)), "")</f>
        <v>2.5901942645698426E-2</v>
      </c>
      <c r="K6" s="11" cm="1">
        <f t="array" ref="K6">IFERROR(INDEX('Master Data Sheet'!$1:$1048576, MATCH(1, ('Master Data Sheet'!$H:$H=K$2) * (INDEX('Master Data Sheet'!$1:$1, , MATCH($F$1, 'Master Data Sheet'!$1:$1, 0)) = $F$1) * ('Master Data Sheet'!$G:$G=$B6) * ('Master Data Sheet'!$F:$F=$E6) * ('Master Data Sheet'!$A:$A=$F6), 0), MATCH($F$1, 'Master Data Sheet'!$1:$1, 0)), "")</f>
        <v>0.47918593894542089</v>
      </c>
      <c r="L6" s="11" cm="1">
        <f t="array" ref="L6">IFERROR(INDEX('Master Data Sheet'!$1:$1048576, MATCH(1, ('Master Data Sheet'!$H:$H=L$2) * (INDEX('Master Data Sheet'!$1:$1, , MATCH($F$1, 'Master Data Sheet'!$1:$1, 0)) = $F$1) * ('Master Data Sheet'!$G:$G=$B6) * ('Master Data Sheet'!$F:$F=$E6) * ('Master Data Sheet'!$A:$A=$F6), 0), MATCH($F$1, 'Master Data Sheet'!$1:$1, 0)), "")</f>
        <v>5.1803885291396852E-2</v>
      </c>
      <c r="M6" s="11" cm="1">
        <f t="array" ref="M6">IFERROR(INDEX('Master Data Sheet'!$1:$1048576, MATCH(1, ('Master Data Sheet'!$H:$H=M$2) * (INDEX('Master Data Sheet'!$1:$1, , MATCH($F$1, 'Master Data Sheet'!$1:$1, 0)) = $F$1) * ('Master Data Sheet'!$G:$G=$B6) * ('Master Data Sheet'!$F:$F=$E6) * ('Master Data Sheet'!$A:$A=$F6), 0), MATCH($F$1, 'Master Data Sheet'!$1:$1, 0)), "")</f>
        <v>3.2377428307123035E-2</v>
      </c>
      <c r="N6" s="11" cm="1">
        <f t="array" ref="N6">IFERROR(INDEX('Master Data Sheet'!$1:$1048576, MATCH(1, ('Master Data Sheet'!$H:$H=N$2) * (INDEX('Master Data Sheet'!$1:$1, , MATCH($F$1, 'Master Data Sheet'!$1:$1, 0)) = $F$1) * ('Master Data Sheet'!$G:$G=$B6) * ('Master Data Sheet'!$F:$F=$E6) * ('Master Data Sheet'!$A:$A=$F6), 0), MATCH($F$1, 'Master Data Sheet'!$1:$1, 0)), "")</f>
        <v>9.0656799259944479E-2</v>
      </c>
      <c r="O6" s="11">
        <f>AVERAGE(H6:N6)</f>
        <v>0.11378353376503239</v>
      </c>
      <c r="P6" s="11">
        <f t="shared" si="4"/>
        <v>0.16248425186658136</v>
      </c>
      <c r="Q6" s="11">
        <f>AVERAGE(O6,O8)</f>
        <v>5.8741905642923226E-2</v>
      </c>
      <c r="R6" s="46">
        <f>(1-(O6/O3))*100</f>
        <v>-59.740259740259781</v>
      </c>
      <c r="S6" s="46">
        <f>AVERAGE(R6:R8)</f>
        <v>3.2773695602642854</v>
      </c>
      <c r="T6" s="46">
        <f>STDEV(R6:R8)</f>
        <v>70.204176463154539</v>
      </c>
      <c r="U6" s="47">
        <f>(1-(AVERAGE(H6:N6,H8:N8)/AVERAGE(H3:N3,H5:N5)))*100</f>
        <v>-32.2916666666667</v>
      </c>
      <c r="V6" s="47"/>
      <c r="W6" s="14"/>
      <c r="Y6" s="2"/>
      <c r="Z6" s="2"/>
      <c r="AA6" s="2"/>
      <c r="AB6" s="2"/>
      <c r="AC6" s="2"/>
      <c r="AD6" s="2"/>
      <c r="AE6" s="2"/>
      <c r="AF6" s="2"/>
      <c r="AG6" s="2"/>
    </row>
    <row r="7" spans="1:45" x14ac:dyDescent="0.35">
      <c r="A7" s="41">
        <f>IFERROR(INDEX('Date Key'!$B$2:$B$19, MATCH(F7,'Date Key'!$A$2:$A$19, 0)), "")</f>
        <v>45181</v>
      </c>
      <c r="B7" s="4">
        <f t="shared" si="0"/>
        <v>1</v>
      </c>
      <c r="C7" s="26" t="str">
        <f>IFERROR(INDEX('Date Key'!$G$57:$G$62, MATCH(B7,'Date Key'!$A$57:$A$62, 0)), "")</f>
        <v>Low HLR, Lower Outlet Height, No Plants</v>
      </c>
      <c r="D7" s="4" t="str">
        <f>IFERROR(INDEX('Date Key'!$G$2:$G$19, MATCH(F7, 'Date Key'!$A$2:$A$19, 0)), "")</f>
        <v>No</v>
      </c>
      <c r="E7" s="4" t="str">
        <f t="shared" si="1"/>
        <v>tank 1</v>
      </c>
      <c r="F7" s="4">
        <f t="shared" si="2"/>
        <v>2</v>
      </c>
      <c r="G7" s="4">
        <f t="shared" si="3"/>
        <v>2</v>
      </c>
      <c r="H7" s="11" cm="1">
        <f t="array" ref="H7">IFERROR(INDEX('Master Data Sheet'!$1:$1048576, MATCH(1, ('Master Data Sheet'!$H:$H=H$2) * (INDEX('Master Data Sheet'!$1:$1, , MATCH($F$1, 'Master Data Sheet'!$1:$1, 0)) = $F$1) * ('Master Data Sheet'!$G:$G=$B7) * ('Master Data Sheet'!$F:$F=$E7) * ('Master Data Sheet'!$A:$A=$F7), 0), MATCH($F$1, 'Master Data Sheet'!$1:$1, 0)), "")</f>
        <v>8.4181313598519894E-2</v>
      </c>
      <c r="I7" s="11" cm="1">
        <f t="array" ref="I7">IFERROR(INDEX('Master Data Sheet'!$1:$1048576, MATCH(1, ('Master Data Sheet'!$H:$H=I$2) * (INDEX('Master Data Sheet'!$1:$1, , MATCH($F$1, 'Master Data Sheet'!$1:$1, 0)) = $F$1) * ('Master Data Sheet'!$G:$G=$B7) * ('Master Data Sheet'!$F:$F=$E7) * ('Master Data Sheet'!$A:$A=$F7), 0), MATCH($F$1, 'Master Data Sheet'!$1:$1, 0)), "")</f>
        <v>0.16188714153561518</v>
      </c>
      <c r="J7" s="11" cm="1">
        <f t="array" ref="J7">IFERROR(INDEX('Master Data Sheet'!$1:$1048576, MATCH(1, ('Master Data Sheet'!$H:$H=J$2) * (INDEX('Master Data Sheet'!$1:$1, , MATCH($F$1, 'Master Data Sheet'!$1:$1, 0)) = $F$1) * ('Master Data Sheet'!$G:$G=$B7) * ('Master Data Sheet'!$F:$F=$E7) * ('Master Data Sheet'!$A:$A=$F7), 0), MATCH($F$1, 'Master Data Sheet'!$1:$1, 0)), "")</f>
        <v>0.11655874190564293</v>
      </c>
      <c r="K7" s="11" cm="1">
        <f t="array" ref="K7">IFERROR(INDEX('Master Data Sheet'!$1:$1048576, MATCH(1, ('Master Data Sheet'!$H:$H=K$2) * (INDEX('Master Data Sheet'!$1:$1, , MATCH($F$1, 'Master Data Sheet'!$1:$1, 0)) = $F$1) * ('Master Data Sheet'!$G:$G=$B7) * ('Master Data Sheet'!$F:$F=$E7) * ('Master Data Sheet'!$A:$A=$F7), 0), MATCH($F$1, 'Master Data Sheet'!$1:$1, 0)), "")</f>
        <v>4.5328399629972239E-2</v>
      </c>
      <c r="L7" s="11" cm="1">
        <f t="array" ref="L7">IFERROR(INDEX('Master Data Sheet'!$1:$1048576, MATCH(1, ('Master Data Sheet'!$H:$H=L$2) * (INDEX('Master Data Sheet'!$1:$1, , MATCH($F$1, 'Master Data Sheet'!$1:$1, 0)) = $F$1) * ('Master Data Sheet'!$G:$G=$B7) * ('Master Data Sheet'!$F:$F=$E7) * ('Master Data Sheet'!$A:$A=$F7), 0), MATCH($F$1, 'Master Data Sheet'!$1:$1, 0)), "")</f>
        <v>4.5328399629972239E-2</v>
      </c>
      <c r="M7" s="11" cm="1">
        <f t="array" ref="M7">IFERROR(INDEX('Master Data Sheet'!$1:$1048576, MATCH(1, ('Master Data Sheet'!$H:$H=M$2) * (INDEX('Master Data Sheet'!$1:$1, , MATCH($F$1, 'Master Data Sheet'!$1:$1, 0)) = $F$1) * ('Master Data Sheet'!$G:$G=$B7) * ('Master Data Sheet'!$F:$F=$E7) * ('Master Data Sheet'!$A:$A=$F7), 0), MATCH($F$1, 'Master Data Sheet'!$1:$1, 0)), "")</f>
        <v>0</v>
      </c>
      <c r="N7" s="11" cm="1">
        <f t="array" ref="N7">IFERROR(INDEX('Master Data Sheet'!$1:$1048576, MATCH(1, ('Master Data Sheet'!$H:$H=N$2) * (INDEX('Master Data Sheet'!$1:$1, , MATCH($F$1, 'Master Data Sheet'!$1:$1, 0)) = $F$1) * ('Master Data Sheet'!$G:$G=$B7) * ('Master Data Sheet'!$F:$F=$E7) * ('Master Data Sheet'!$A:$A=$F7), 0), MATCH($F$1, 'Master Data Sheet'!$1:$1, 0)), "")</f>
        <v>0</v>
      </c>
      <c r="O7" s="11">
        <f t="shared" ref="O7:O56" si="8">AVERAGE(H7:N7)</f>
        <v>6.475485661424607E-2</v>
      </c>
      <c r="P7" s="11">
        <f t="shared" si="4"/>
        <v>6.0051183597104457E-2</v>
      </c>
      <c r="Q7" s="11"/>
      <c r="R7" s="46">
        <f>(1-(O7/O4))*100</f>
        <v>-9.375</v>
      </c>
      <c r="X7" t="str">
        <f>IFERROR(INDEX('Date Key'!$G$57:$G$62, MATCH(B6,'Date Key'!$A$57:$A$62, 0)), "")</f>
        <v>Low HLR, Lower Outlet Height, No Plants</v>
      </c>
      <c r="Y7" s="1">
        <f t="shared" ref="Y7:AE7" si="9">H6</f>
        <v>5.8279370952821465E-2</v>
      </c>
      <c r="Z7" s="1">
        <f t="shared" si="9"/>
        <v>5.8279370952821465E-2</v>
      </c>
      <c r="AA7" s="1">
        <f t="shared" si="9"/>
        <v>2.5901942645698426E-2</v>
      </c>
      <c r="AB7" s="1">
        <f t="shared" si="9"/>
        <v>0.47918593894542089</v>
      </c>
      <c r="AC7" s="1">
        <f t="shared" si="9"/>
        <v>5.1803885291396852E-2</v>
      </c>
      <c r="AD7" s="1">
        <f t="shared" si="9"/>
        <v>3.2377428307123035E-2</v>
      </c>
      <c r="AE7" s="1">
        <f t="shared" si="9"/>
        <v>9.0656799259944479E-2</v>
      </c>
      <c r="AF7" s="1">
        <f t="shared" ref="AF7:AL7" si="10">H7</f>
        <v>8.4181313598519894E-2</v>
      </c>
      <c r="AG7" s="1">
        <f t="shared" si="10"/>
        <v>0.16188714153561518</v>
      </c>
      <c r="AH7" s="1">
        <f t="shared" si="10"/>
        <v>0.11655874190564293</v>
      </c>
      <c r="AI7" s="1">
        <f t="shared" si="10"/>
        <v>4.5328399629972239E-2</v>
      </c>
      <c r="AJ7" s="1">
        <f t="shared" si="10"/>
        <v>4.5328399629972239E-2</v>
      </c>
      <c r="AK7" s="1">
        <f t="shared" si="10"/>
        <v>0</v>
      </c>
      <c r="AL7" s="1">
        <f t="shared" si="10"/>
        <v>0</v>
      </c>
      <c r="AM7" s="1">
        <f t="shared" ref="AM7:AS7" si="11">H8</f>
        <v>0</v>
      </c>
      <c r="AN7" s="1">
        <f t="shared" si="11"/>
        <v>0</v>
      </c>
      <c r="AO7" s="1">
        <f t="shared" si="11"/>
        <v>0</v>
      </c>
      <c r="AP7" s="1">
        <f t="shared" si="11"/>
        <v>0</v>
      </c>
      <c r="AQ7" s="1">
        <f t="shared" si="11"/>
        <v>0</v>
      </c>
      <c r="AR7" s="1">
        <f t="shared" si="11"/>
        <v>2.5901942645698426E-2</v>
      </c>
      <c r="AS7" s="1">
        <f t="shared" si="11"/>
        <v>0</v>
      </c>
    </row>
    <row r="8" spans="1:45" x14ac:dyDescent="0.35">
      <c r="A8" s="41">
        <f>IFERROR(INDEX('Date Key'!$B$2:$B$19, MATCH(F8,'Date Key'!$A$2:$A$19, 0)), "")</f>
        <v>45195</v>
      </c>
      <c r="B8" s="4">
        <f t="shared" si="0"/>
        <v>1</v>
      </c>
      <c r="C8" s="26" t="str">
        <f>IFERROR(INDEX('Date Key'!$G$57:$G$62, MATCH(B8,'Date Key'!$A$57:$A$62, 0)), "")</f>
        <v>Low HLR, Lower Outlet Height, No Plants</v>
      </c>
      <c r="D8" s="4" t="str">
        <f>IFERROR(INDEX('Date Key'!$G$2:$G$19, MATCH(F8, 'Date Key'!$A$2:$A$19, 0)), "")</f>
        <v>No</v>
      </c>
      <c r="E8" s="4" t="str">
        <f t="shared" si="1"/>
        <v>tank 1</v>
      </c>
      <c r="F8" s="4">
        <f t="shared" si="2"/>
        <v>3</v>
      </c>
      <c r="G8" s="4">
        <f t="shared" si="3"/>
        <v>3</v>
      </c>
      <c r="H8" s="11" cm="1">
        <f t="array" ref="H8">IFERROR(INDEX('Master Data Sheet'!$1:$1048576, MATCH(1, ('Master Data Sheet'!$H:$H=H$2) * (INDEX('Master Data Sheet'!$1:$1, , MATCH($F$1, 'Master Data Sheet'!$1:$1, 0)) = $F$1) * ('Master Data Sheet'!$G:$G=$B8) * ('Master Data Sheet'!$F:$F=$E8) * ('Master Data Sheet'!$A:$A=$F8), 0), MATCH($F$1, 'Master Data Sheet'!$1:$1, 0)), "")</f>
        <v>0</v>
      </c>
      <c r="I8" s="11" cm="1">
        <f t="array" ref="I8">IFERROR(INDEX('Master Data Sheet'!$1:$1048576, MATCH(1, ('Master Data Sheet'!$H:$H=I$2) * (INDEX('Master Data Sheet'!$1:$1, , MATCH($F$1, 'Master Data Sheet'!$1:$1, 0)) = $F$1) * ('Master Data Sheet'!$G:$G=$B8) * ('Master Data Sheet'!$F:$F=$E8) * ('Master Data Sheet'!$A:$A=$F8), 0), MATCH($F$1, 'Master Data Sheet'!$1:$1, 0)), "")</f>
        <v>0</v>
      </c>
      <c r="J8" s="11" cm="1">
        <f t="array" ref="J8">IFERROR(INDEX('Master Data Sheet'!$1:$1048576, MATCH(1, ('Master Data Sheet'!$H:$H=J$2) * (INDEX('Master Data Sheet'!$1:$1, , MATCH($F$1, 'Master Data Sheet'!$1:$1, 0)) = $F$1) * ('Master Data Sheet'!$G:$G=$B8) * ('Master Data Sheet'!$F:$F=$E8) * ('Master Data Sheet'!$A:$A=$F8), 0), MATCH($F$1, 'Master Data Sheet'!$1:$1, 0)), "")</f>
        <v>0</v>
      </c>
      <c r="K8" s="11" cm="1">
        <f t="array" ref="K8">IFERROR(INDEX('Master Data Sheet'!$1:$1048576, MATCH(1, ('Master Data Sheet'!$H:$H=K$2) * (INDEX('Master Data Sheet'!$1:$1, , MATCH($F$1, 'Master Data Sheet'!$1:$1, 0)) = $F$1) * ('Master Data Sheet'!$G:$G=$B8) * ('Master Data Sheet'!$F:$F=$E8) * ('Master Data Sheet'!$A:$A=$F8), 0), MATCH($F$1, 'Master Data Sheet'!$1:$1, 0)), "")</f>
        <v>0</v>
      </c>
      <c r="L8" s="11" cm="1">
        <f t="array" ref="L8">IFERROR(INDEX('Master Data Sheet'!$1:$1048576, MATCH(1, ('Master Data Sheet'!$H:$H=L$2) * (INDEX('Master Data Sheet'!$1:$1, , MATCH($F$1, 'Master Data Sheet'!$1:$1, 0)) = $F$1) * ('Master Data Sheet'!$G:$G=$B8) * ('Master Data Sheet'!$F:$F=$E8) * ('Master Data Sheet'!$A:$A=$F8), 0), MATCH($F$1, 'Master Data Sheet'!$1:$1, 0)), "")</f>
        <v>0</v>
      </c>
      <c r="M8" s="11" cm="1">
        <f t="array" ref="M8">IFERROR(INDEX('Master Data Sheet'!$1:$1048576, MATCH(1, ('Master Data Sheet'!$H:$H=M$2) * (INDEX('Master Data Sheet'!$1:$1, , MATCH($F$1, 'Master Data Sheet'!$1:$1, 0)) = $F$1) * ('Master Data Sheet'!$G:$G=$B8) * ('Master Data Sheet'!$F:$F=$E8) * ('Master Data Sheet'!$A:$A=$F8), 0), MATCH($F$1, 'Master Data Sheet'!$1:$1, 0)), "")</f>
        <v>2.5901942645698426E-2</v>
      </c>
      <c r="N8" s="11" cm="1">
        <f t="array" ref="N8">IFERROR(INDEX('Master Data Sheet'!$1:$1048576, MATCH(1, ('Master Data Sheet'!$H:$H=N$2) * (INDEX('Master Data Sheet'!$1:$1, , MATCH($F$1, 'Master Data Sheet'!$1:$1, 0)) = $F$1) * ('Master Data Sheet'!$G:$G=$B8) * ('Master Data Sheet'!$F:$F=$E8) * ('Master Data Sheet'!$A:$A=$F8), 0), MATCH($F$1, 'Master Data Sheet'!$1:$1, 0)), "")</f>
        <v>0</v>
      </c>
      <c r="O8" s="11">
        <f t="shared" si="8"/>
        <v>3.7002775208140608E-3</v>
      </c>
      <c r="P8" s="11">
        <f t="shared" si="4"/>
        <v>9.7900141019966348E-3</v>
      </c>
      <c r="Q8" s="11"/>
      <c r="R8" s="46">
        <f>(1-(O8/O5))*100</f>
        <v>78.94736842105263</v>
      </c>
      <c r="Y8" s="2"/>
      <c r="Z8" s="2"/>
      <c r="AA8" s="2"/>
      <c r="AB8" s="2"/>
      <c r="AC8" s="2"/>
      <c r="AD8" s="2"/>
      <c r="AE8" s="2"/>
      <c r="AF8" s="2"/>
      <c r="AG8" s="2"/>
    </row>
    <row r="9" spans="1:45" x14ac:dyDescent="0.35">
      <c r="A9" s="41">
        <f>IFERROR(INDEX('Date Key'!$B$2:$B$19, MATCH(F9,'Date Key'!$A$2:$A$19, 0)), "")</f>
        <v>45175</v>
      </c>
      <c r="B9" s="4">
        <f t="shared" si="0"/>
        <v>1</v>
      </c>
      <c r="C9" s="26" t="str">
        <f>IFERROR(INDEX('Date Key'!$G$57:$G$62, MATCH(B9,'Date Key'!$A$57:$A$62, 0)), "")</f>
        <v>Low HLR, Lower Outlet Height, No Plants</v>
      </c>
      <c r="D9" s="4" t="str">
        <f>IFERROR(INDEX('Date Key'!$G$2:$G$19, MATCH(F9, 'Date Key'!$A$2:$A$19, 0)), "")</f>
        <v>No</v>
      </c>
      <c r="E9" s="4" t="str">
        <f t="shared" si="1"/>
        <v>tank 2</v>
      </c>
      <c r="F9" s="4">
        <f t="shared" si="2"/>
        <v>1</v>
      </c>
      <c r="G9" s="4">
        <f t="shared" si="3"/>
        <v>1</v>
      </c>
      <c r="H9" s="11" cm="1">
        <f t="array" ref="H9">IFERROR(INDEX('Master Data Sheet'!$1:$1048576, MATCH(1, ('Master Data Sheet'!$H:$H=H$2) * (INDEX('Master Data Sheet'!$1:$1, , MATCH($F$1, 'Master Data Sheet'!$1:$1, 0)) = $F$1) * ('Master Data Sheet'!$G:$G=$B9) * ('Master Data Sheet'!$F:$F=$E9) * ('Master Data Sheet'!$A:$A=$F9), 0), MATCH($F$1, 'Master Data Sheet'!$1:$1, 0)), "")</f>
        <v>1.942645698427382E-2</v>
      </c>
      <c r="I9" s="11" cm="1">
        <f t="array" ref="I9">IFERROR(INDEX('Master Data Sheet'!$1:$1048576, MATCH(1, ('Master Data Sheet'!$H:$H=I$2) * (INDEX('Master Data Sheet'!$1:$1, , MATCH($F$1, 'Master Data Sheet'!$1:$1, 0)) = $F$1) * ('Master Data Sheet'!$G:$G=$B9) * ('Master Data Sheet'!$F:$F=$E9) * ('Master Data Sheet'!$A:$A=$F9), 0), MATCH($F$1, 'Master Data Sheet'!$1:$1, 0)), "")</f>
        <v>4.5328399629972239E-2</v>
      </c>
      <c r="J9" s="11" cm="1">
        <f t="array" ref="J9">IFERROR(INDEX('Master Data Sheet'!$1:$1048576, MATCH(1, ('Master Data Sheet'!$H:$H=J$2) * (INDEX('Master Data Sheet'!$1:$1, , MATCH($F$1, 'Master Data Sheet'!$1:$1, 0)) = $F$1) * ('Master Data Sheet'!$G:$G=$B9) * ('Master Data Sheet'!$F:$F=$E9) * ('Master Data Sheet'!$A:$A=$F9), 0), MATCH($F$1, 'Master Data Sheet'!$1:$1, 0)), "")</f>
        <v>4.5328399629972239E-2</v>
      </c>
      <c r="K9" s="11" cm="1">
        <f t="array" ref="K9">IFERROR(INDEX('Master Data Sheet'!$1:$1048576, MATCH(1, ('Master Data Sheet'!$H:$H=K$2) * (INDEX('Master Data Sheet'!$1:$1, , MATCH($F$1, 'Master Data Sheet'!$1:$1, 0)) = $F$1) * ('Master Data Sheet'!$G:$G=$B9) * ('Master Data Sheet'!$F:$F=$E9) * ('Master Data Sheet'!$A:$A=$F9), 0), MATCH($F$1, 'Master Data Sheet'!$1:$1, 0)), "")</f>
        <v>0.12950971322849214</v>
      </c>
      <c r="L9" s="11" cm="1">
        <f t="array" ref="L9">IFERROR(INDEX('Master Data Sheet'!$1:$1048576, MATCH(1, ('Master Data Sheet'!$H:$H=L$2) * (INDEX('Master Data Sheet'!$1:$1, , MATCH($F$1, 'Master Data Sheet'!$1:$1, 0)) = $F$1) * ('Master Data Sheet'!$G:$G=$B9) * ('Master Data Sheet'!$F:$F=$E9) * ('Master Data Sheet'!$A:$A=$F9), 0), MATCH($F$1, 'Master Data Sheet'!$1:$1, 0)), "")</f>
        <v>0.20721554116558741</v>
      </c>
      <c r="M9" s="11" cm="1">
        <f t="array" ref="M9">IFERROR(INDEX('Master Data Sheet'!$1:$1048576, MATCH(1, ('Master Data Sheet'!$H:$H=M$2) * (INDEX('Master Data Sheet'!$1:$1, , MATCH($F$1, 'Master Data Sheet'!$1:$1, 0)) = $F$1) * ('Master Data Sheet'!$G:$G=$B9) * ('Master Data Sheet'!$F:$F=$E9) * ('Master Data Sheet'!$A:$A=$F9), 0), MATCH($F$1, 'Master Data Sheet'!$1:$1, 0)), "")</f>
        <v>0.28492136910268268</v>
      </c>
      <c r="N9" s="11" cm="1">
        <f t="array" ref="N9">IFERROR(INDEX('Master Data Sheet'!$1:$1048576, MATCH(1, ('Master Data Sheet'!$H:$H=N$2) * (INDEX('Master Data Sheet'!$1:$1, , MATCH($F$1, 'Master Data Sheet'!$1:$1, 0)) = $F$1) * ('Master Data Sheet'!$G:$G=$B9) * ('Master Data Sheet'!$F:$F=$E9) * ('Master Data Sheet'!$A:$A=$F9), 0), MATCH($F$1, 'Master Data Sheet'!$1:$1, 0)), "")</f>
        <v>0.27844588344125809</v>
      </c>
      <c r="O9" s="11">
        <f t="shared" si="8"/>
        <v>0.14431082331174835</v>
      </c>
      <c r="P9" s="11">
        <f t="shared" si="4"/>
        <v>0.11338045222494007</v>
      </c>
      <c r="Q9" s="11">
        <f>AVERAGE(N9,N11)</f>
        <v>0.16512488436632747</v>
      </c>
      <c r="R9" s="46">
        <f>(1-(O9/O3))*100</f>
        <v>-102.59740259740258</v>
      </c>
      <c r="S9" s="46">
        <f>AVERAGE(R9:R11)</f>
        <v>-221.78137104123948</v>
      </c>
      <c r="T9" s="46">
        <f>STDEV(R9:R11)</f>
        <v>231.92325151229903</v>
      </c>
      <c r="U9" s="47">
        <f>(1-(AVERAGE(H9:N9,H11:N11)/AVERAGE(H3:N3,H5:N5)))*100</f>
        <v>-96.875</v>
      </c>
      <c r="V9" s="47"/>
      <c r="Y9" s="2"/>
      <c r="Z9" s="2"/>
      <c r="AA9" s="2"/>
      <c r="AB9" s="2"/>
      <c r="AC9" s="2"/>
      <c r="AD9" s="2"/>
      <c r="AE9" s="2"/>
      <c r="AF9" s="2"/>
      <c r="AG9" s="2"/>
    </row>
    <row r="10" spans="1:45" x14ac:dyDescent="0.35">
      <c r="A10" s="41">
        <f>IFERROR(INDEX('Date Key'!$B$2:$B$19, MATCH(F10,'Date Key'!$A$2:$A$19, 0)), "")</f>
        <v>45181</v>
      </c>
      <c r="B10" s="4">
        <f t="shared" si="0"/>
        <v>1</v>
      </c>
      <c r="C10" s="26" t="str">
        <f>IFERROR(INDEX('Date Key'!$G$57:$G$62, MATCH(B10,'Date Key'!$A$57:$A$62, 0)), "")</f>
        <v>Low HLR, Lower Outlet Height, No Plants</v>
      </c>
      <c r="D10" s="4" t="str">
        <f>IFERROR(INDEX('Date Key'!$G$2:$G$19, MATCH(F10, 'Date Key'!$A$2:$A$19, 0)), "")</f>
        <v>No</v>
      </c>
      <c r="E10" s="4" t="str">
        <f t="shared" si="1"/>
        <v>tank 2</v>
      </c>
      <c r="F10" s="4">
        <f t="shared" si="2"/>
        <v>2</v>
      </c>
      <c r="G10" s="4">
        <f t="shared" si="3"/>
        <v>2</v>
      </c>
      <c r="H10" s="11" cm="1">
        <f t="array" ref="H10">IFERROR(INDEX('Master Data Sheet'!$1:$1048576, MATCH(1, ('Master Data Sheet'!$H:$H=H$2) * (INDEX('Master Data Sheet'!$1:$1, , MATCH($F$1, 'Master Data Sheet'!$1:$1, 0)) = $F$1) * ('Master Data Sheet'!$G:$G=$B10) * ('Master Data Sheet'!$F:$F=$E10) * ('Master Data Sheet'!$A:$A=$F10), 0), MATCH($F$1, 'Master Data Sheet'!$1:$1, 0)), "")</f>
        <v>0.1036077705827937</v>
      </c>
      <c r="I10" s="11" cm="1">
        <f t="array" ref="I10">IFERROR(INDEX('Master Data Sheet'!$1:$1048576, MATCH(1, ('Master Data Sheet'!$H:$H=I$2) * (INDEX('Master Data Sheet'!$1:$1, , MATCH($F$1, 'Master Data Sheet'!$1:$1, 0)) = $F$1) * ('Master Data Sheet'!$G:$G=$B10) * ('Master Data Sheet'!$F:$F=$E10) * ('Master Data Sheet'!$A:$A=$F10), 0), MATCH($F$1, 'Master Data Sheet'!$1:$1, 0)), "")</f>
        <v>0.31082331174838113</v>
      </c>
      <c r="J10" s="11" cm="1">
        <f t="array" ref="J10">IFERROR(INDEX('Master Data Sheet'!$1:$1048576, MATCH(1, ('Master Data Sheet'!$H:$H=J$2) * (INDEX('Master Data Sheet'!$1:$1, , MATCH($F$1, 'Master Data Sheet'!$1:$1, 0)) = $F$1) * ('Master Data Sheet'!$G:$G=$B10) * ('Master Data Sheet'!$F:$F=$E10) * ('Master Data Sheet'!$A:$A=$F10), 0), MATCH($F$1, 'Master Data Sheet'!$1:$1, 0)), "")</f>
        <v>0.40795559666975023</v>
      </c>
      <c r="K10" s="11" cm="1">
        <f t="array" ref="K10">IFERROR(INDEX('Master Data Sheet'!$1:$1048576, MATCH(1, ('Master Data Sheet'!$H:$H=K$2) * (INDEX('Master Data Sheet'!$1:$1, , MATCH($F$1, 'Master Data Sheet'!$1:$1, 0)) = $F$1) * ('Master Data Sheet'!$G:$G=$B10) * ('Master Data Sheet'!$F:$F=$E10) * ('Master Data Sheet'!$A:$A=$F10), 0), MATCH($F$1, 'Master Data Sheet'!$1:$1, 0)), "")</f>
        <v>0.45328399629972255</v>
      </c>
      <c r="L10" s="11" cm="1">
        <f t="array" ref="L10">IFERROR(INDEX('Master Data Sheet'!$1:$1048576, MATCH(1, ('Master Data Sheet'!$H:$H=L$2) * (INDEX('Master Data Sheet'!$1:$1, , MATCH($F$1, 'Master Data Sheet'!$1:$1, 0)) = $F$1) * ('Master Data Sheet'!$G:$G=$B10) * ('Master Data Sheet'!$F:$F=$E10) * ('Master Data Sheet'!$A:$A=$F10), 0), MATCH($F$1, 'Master Data Sheet'!$1:$1, 0)), "")</f>
        <v>0.4273820536540241</v>
      </c>
      <c r="M10" s="11" cm="1">
        <f t="array" ref="M10">IFERROR(INDEX('Master Data Sheet'!$1:$1048576, MATCH(1, ('Master Data Sheet'!$H:$H=M$2) * (INDEX('Master Data Sheet'!$1:$1, , MATCH($F$1, 'Master Data Sheet'!$1:$1, 0)) = $F$1) * ('Master Data Sheet'!$G:$G=$B10) * ('Master Data Sheet'!$F:$F=$E10) * ('Master Data Sheet'!$A:$A=$F10), 0), MATCH($F$1, 'Master Data Sheet'!$1:$1, 0)), "")</f>
        <v>0.40148011100832565</v>
      </c>
      <c r="N10" s="11" cm="1">
        <f t="array" ref="N10">IFERROR(INDEX('Master Data Sheet'!$1:$1048576, MATCH(1, ('Master Data Sheet'!$H:$H=N$2) * (INDEX('Master Data Sheet'!$1:$1, , MATCH($F$1, 'Master Data Sheet'!$1:$1, 0)) = $F$1) * ('Master Data Sheet'!$G:$G=$B10) * ('Master Data Sheet'!$F:$F=$E10) * ('Master Data Sheet'!$A:$A=$F10), 0), MATCH($F$1, 'Master Data Sheet'!$1:$1, 0)), "")</f>
        <v>0.33672525439407958</v>
      </c>
      <c r="O10" s="11">
        <f t="shared" si="8"/>
        <v>0.34875115633672527</v>
      </c>
      <c r="P10" s="11">
        <f t="shared" si="4"/>
        <v>0.11907551130208105</v>
      </c>
      <c r="Q10" s="11"/>
      <c r="R10" s="46">
        <f>(1-(O10/O4))*100</f>
        <v>-489.06250000000011</v>
      </c>
      <c r="X10" t="str">
        <f>IFERROR(INDEX('Date Key'!$G$57:$G$62, MATCH(B9,'Date Key'!$A$57:$A$62, 0)), "")</f>
        <v>Low HLR, Lower Outlet Height, No Plants</v>
      </c>
      <c r="Y10" s="1">
        <f t="shared" ref="Y10:AE10" si="12">H9</f>
        <v>1.942645698427382E-2</v>
      </c>
      <c r="Z10" s="1">
        <f t="shared" si="12"/>
        <v>4.5328399629972239E-2</v>
      </c>
      <c r="AA10" s="1">
        <f t="shared" si="12"/>
        <v>4.5328399629972239E-2</v>
      </c>
      <c r="AB10" s="1">
        <f t="shared" si="12"/>
        <v>0.12950971322849214</v>
      </c>
      <c r="AC10" s="1">
        <f t="shared" si="12"/>
        <v>0.20721554116558741</v>
      </c>
      <c r="AD10" s="1">
        <f t="shared" si="12"/>
        <v>0.28492136910268268</v>
      </c>
      <c r="AE10" s="1">
        <f t="shared" si="12"/>
        <v>0.27844588344125809</v>
      </c>
      <c r="AF10" s="1">
        <f t="shared" ref="AF10:AL10" si="13">H10</f>
        <v>0.1036077705827937</v>
      </c>
      <c r="AG10" s="1">
        <f t="shared" si="13"/>
        <v>0.31082331174838113</v>
      </c>
      <c r="AH10" s="1">
        <f t="shared" si="13"/>
        <v>0.40795559666975023</v>
      </c>
      <c r="AI10" s="1">
        <f t="shared" si="13"/>
        <v>0.45328399629972255</v>
      </c>
      <c r="AJ10" s="1">
        <f t="shared" si="13"/>
        <v>0.4273820536540241</v>
      </c>
      <c r="AK10" s="1">
        <f t="shared" si="13"/>
        <v>0.40148011100832565</v>
      </c>
      <c r="AL10" s="1">
        <f t="shared" si="13"/>
        <v>0.33672525439407958</v>
      </c>
      <c r="AM10" s="1">
        <f t="shared" ref="AM10:AS10" si="14">H11</f>
        <v>2.5901942645698426E-2</v>
      </c>
      <c r="AN10" s="1">
        <f t="shared" si="14"/>
        <v>1.2950971322849213E-2</v>
      </c>
      <c r="AO10" s="1">
        <f t="shared" si="14"/>
        <v>0</v>
      </c>
      <c r="AP10" s="1">
        <f t="shared" si="14"/>
        <v>3.2377428307123035E-2</v>
      </c>
      <c r="AQ10" s="1">
        <f t="shared" si="14"/>
        <v>5.1803885291396852E-2</v>
      </c>
      <c r="AR10" s="1">
        <f t="shared" si="14"/>
        <v>3.8852913968547641E-2</v>
      </c>
      <c r="AS10" s="1">
        <f t="shared" si="14"/>
        <v>5.1803885291396852E-2</v>
      </c>
    </row>
    <row r="11" spans="1:45" x14ac:dyDescent="0.35">
      <c r="A11" s="42">
        <f>IFERROR(INDEX('Date Key'!$B$2:$B$19, MATCH(F11,'Date Key'!$A$2:$A$19, 0)), "")</f>
        <v>45195</v>
      </c>
      <c r="B11" s="27">
        <f t="shared" si="0"/>
        <v>1</v>
      </c>
      <c r="C11" s="51" t="str">
        <f>IFERROR(INDEX('Date Key'!$G$57:$G$62, MATCH(B11,'Date Key'!$A$57:$A$62, 0)), "")</f>
        <v>Low HLR, Lower Outlet Height, No Plants</v>
      </c>
      <c r="D11" s="27" t="str">
        <f>IFERROR(INDEX('Date Key'!$G$2:$G$19, MATCH(F11, 'Date Key'!$A$2:$A$19, 0)), "")</f>
        <v>No</v>
      </c>
      <c r="E11" s="27" t="str">
        <f t="shared" si="1"/>
        <v>tank 2</v>
      </c>
      <c r="F11" s="27">
        <f t="shared" si="2"/>
        <v>3</v>
      </c>
      <c r="G11" s="27">
        <f t="shared" si="3"/>
        <v>3</v>
      </c>
      <c r="H11" s="28" cm="1">
        <f t="array" ref="H11">IFERROR(INDEX('Master Data Sheet'!$1:$1048576, MATCH(1, ('Master Data Sheet'!$H:$H=H$2) * (INDEX('Master Data Sheet'!$1:$1, , MATCH($F$1, 'Master Data Sheet'!$1:$1, 0)) = $F$1) * ('Master Data Sheet'!$G:$G=$B11) * ('Master Data Sheet'!$F:$F=$E11) * ('Master Data Sheet'!$A:$A=$F11), 0), MATCH($F$1, 'Master Data Sheet'!$1:$1, 0)), "")</f>
        <v>2.5901942645698426E-2</v>
      </c>
      <c r="I11" s="28" cm="1">
        <f t="array" ref="I11">IFERROR(INDEX('Master Data Sheet'!$1:$1048576, MATCH(1, ('Master Data Sheet'!$H:$H=I$2) * (INDEX('Master Data Sheet'!$1:$1, , MATCH($F$1, 'Master Data Sheet'!$1:$1, 0)) = $F$1) * ('Master Data Sheet'!$G:$G=$B11) * ('Master Data Sheet'!$F:$F=$E11) * ('Master Data Sheet'!$A:$A=$F11), 0), MATCH($F$1, 'Master Data Sheet'!$1:$1, 0)), "")</f>
        <v>1.2950971322849213E-2</v>
      </c>
      <c r="J11" s="28" cm="1">
        <f t="array" ref="J11">IFERROR(INDEX('Master Data Sheet'!$1:$1048576, MATCH(1, ('Master Data Sheet'!$H:$H=J$2) * (INDEX('Master Data Sheet'!$1:$1, , MATCH($F$1, 'Master Data Sheet'!$1:$1, 0)) = $F$1) * ('Master Data Sheet'!$G:$G=$B11) * ('Master Data Sheet'!$F:$F=$E11) * ('Master Data Sheet'!$A:$A=$F11), 0), MATCH($F$1, 'Master Data Sheet'!$1:$1, 0)), "")</f>
        <v>0</v>
      </c>
      <c r="K11" s="28" cm="1">
        <f t="array" ref="K11">IFERROR(INDEX('Master Data Sheet'!$1:$1048576, MATCH(1, ('Master Data Sheet'!$H:$H=K$2) * (INDEX('Master Data Sheet'!$1:$1, , MATCH($F$1, 'Master Data Sheet'!$1:$1, 0)) = $F$1) * ('Master Data Sheet'!$G:$G=$B11) * ('Master Data Sheet'!$F:$F=$E11) * ('Master Data Sheet'!$A:$A=$F11), 0), MATCH($F$1, 'Master Data Sheet'!$1:$1, 0)), "")</f>
        <v>3.2377428307123035E-2</v>
      </c>
      <c r="L11" s="28" cm="1">
        <f t="array" ref="L11">IFERROR(INDEX('Master Data Sheet'!$1:$1048576, MATCH(1, ('Master Data Sheet'!$H:$H=L$2) * (INDEX('Master Data Sheet'!$1:$1, , MATCH($F$1, 'Master Data Sheet'!$1:$1, 0)) = $F$1) * ('Master Data Sheet'!$G:$G=$B11) * ('Master Data Sheet'!$F:$F=$E11) * ('Master Data Sheet'!$A:$A=$F11), 0), MATCH($F$1, 'Master Data Sheet'!$1:$1, 0)), "")</f>
        <v>5.1803885291396852E-2</v>
      </c>
      <c r="M11" s="28" cm="1">
        <f t="array" ref="M11">IFERROR(INDEX('Master Data Sheet'!$1:$1048576, MATCH(1, ('Master Data Sheet'!$H:$H=M$2) * (INDEX('Master Data Sheet'!$1:$1, , MATCH($F$1, 'Master Data Sheet'!$1:$1, 0)) = $F$1) * ('Master Data Sheet'!$G:$G=$B11) * ('Master Data Sheet'!$F:$F=$E11) * ('Master Data Sheet'!$A:$A=$F11), 0), MATCH($F$1, 'Master Data Sheet'!$1:$1, 0)), "")</f>
        <v>3.8852913968547641E-2</v>
      </c>
      <c r="N11" s="28" cm="1">
        <f t="array" ref="N11">IFERROR(INDEX('Master Data Sheet'!$1:$1048576, MATCH(1, ('Master Data Sheet'!$H:$H=N$2) * (INDEX('Master Data Sheet'!$1:$1, , MATCH($F$1, 'Master Data Sheet'!$1:$1, 0)) = $F$1) * ('Master Data Sheet'!$G:$G=$B11) * ('Master Data Sheet'!$F:$F=$E11) * ('Master Data Sheet'!$A:$A=$F11), 0), MATCH($F$1, 'Master Data Sheet'!$1:$1, 0)), "")</f>
        <v>5.1803885291396852E-2</v>
      </c>
      <c r="O11" s="28">
        <f t="shared" si="8"/>
        <v>3.0527289546716001E-2</v>
      </c>
      <c r="P11" s="28">
        <f t="shared" si="4"/>
        <v>1.9323398129994816E-2</v>
      </c>
      <c r="Q11" s="28"/>
      <c r="R11" s="48">
        <f>(1-(O11/O5))*100</f>
        <v>-73.68421052631578</v>
      </c>
      <c r="S11" s="27"/>
      <c r="T11" s="27"/>
      <c r="U11" s="27"/>
      <c r="V11" s="27"/>
    </row>
    <row r="12" spans="1:45" x14ac:dyDescent="0.35">
      <c r="A12" s="41">
        <f>IFERROR(INDEX('Date Key'!$B$2:$B$19, MATCH(F12,'Date Key'!$A$2:$A$19, 0)), "")</f>
        <v>45217</v>
      </c>
      <c r="B12" s="4">
        <f>INT((ROW(B10)-1)/9)+1</f>
        <v>2</v>
      </c>
      <c r="C12" s="26" t="str">
        <f>IFERROR(INDEX('Date Key'!$G$57:$G$62, MATCH(B12,'Date Key'!$A$57:$A$62, 0)), "")</f>
        <v>Medium HLR, Lower Outlet Height, No Plants</v>
      </c>
      <c r="D12" s="4" t="str">
        <f>IFERROR(INDEX('Date Key'!$G$2:$G$19, MATCH(F12, 'Date Key'!$A$2:$A$19, 0)), "")</f>
        <v>No</v>
      </c>
      <c r="E12" s="4" t="str">
        <f t="shared" si="1"/>
        <v>in</v>
      </c>
      <c r="F12" s="4">
        <f t="shared" si="2"/>
        <v>4</v>
      </c>
      <c r="G12" s="4">
        <f t="shared" si="3"/>
        <v>1</v>
      </c>
      <c r="H12" s="11" cm="1">
        <f t="array" ref="H12">IFERROR(INDEX('Master Data Sheet'!$1:$1048576, MATCH(1, ('Master Data Sheet'!$H:$H=H$2) * (INDEX('Master Data Sheet'!$1:$1, , MATCH($F$1, 'Master Data Sheet'!$1:$1, 0)) = $F$1) * ('Master Data Sheet'!$G:$G=$B12) * ('Master Data Sheet'!$F:$F=$E12) * ('Master Data Sheet'!$A:$A=$F12), 0), MATCH($F$1, 'Master Data Sheet'!$1:$1, 0)), "")</f>
        <v>5.0139674808394805E-2</v>
      </c>
      <c r="I12" s="11" cm="1">
        <f t="array" ref="I12">IFERROR(INDEX('Master Data Sheet'!$1:$1048576, MATCH(1, ('Master Data Sheet'!$H:$H=I$2) * (INDEX('Master Data Sheet'!$1:$1, , MATCH($F$1, 'Master Data Sheet'!$1:$1, 0)) = $F$1) * ('Master Data Sheet'!$G:$G=$B12) * ('Master Data Sheet'!$F:$F=$E12) * ('Master Data Sheet'!$A:$A=$F12), 0), MATCH($F$1, 'Master Data Sheet'!$1:$1, 0)), "")</f>
        <v>4.0111739846715851E-2</v>
      </c>
      <c r="J12" s="11" cm="1">
        <f t="array" ref="J12">IFERROR(INDEX('Master Data Sheet'!$1:$1048576, MATCH(1, ('Master Data Sheet'!$H:$H=J$2) * (INDEX('Master Data Sheet'!$1:$1, , MATCH($F$1, 'Master Data Sheet'!$1:$1, 0)) = $F$1) * ('Master Data Sheet'!$G:$G=$B12) * ('Master Data Sheet'!$F:$F=$E12) * ('Master Data Sheet'!$A:$A=$F12), 0), MATCH($F$1, 'Master Data Sheet'!$1:$1, 0)), "")</f>
        <v>0</v>
      </c>
      <c r="K12" s="11" cm="1">
        <f t="array" ref="K12">IFERROR(INDEX('Master Data Sheet'!$1:$1048576, MATCH(1, ('Master Data Sheet'!$H:$H=K$2) * (INDEX('Master Data Sheet'!$1:$1, , MATCH($F$1, 'Master Data Sheet'!$1:$1, 0)) = $F$1) * ('Master Data Sheet'!$G:$G=$B12) * ('Master Data Sheet'!$F:$F=$E12) * ('Master Data Sheet'!$A:$A=$F12), 0), MATCH($F$1, 'Master Data Sheet'!$1:$1, 0)), "")</f>
        <v>3.509777236587637E-2</v>
      </c>
      <c r="L12" s="11" cm="1">
        <f t="array" ref="L12">IFERROR(INDEX('Master Data Sheet'!$1:$1048576, MATCH(1, ('Master Data Sheet'!$H:$H=L$2) * (INDEX('Master Data Sheet'!$1:$1, , MATCH($F$1, 'Master Data Sheet'!$1:$1, 0)) = $F$1) * ('Master Data Sheet'!$G:$G=$B12) * ('Master Data Sheet'!$F:$F=$E12) * ('Master Data Sheet'!$A:$A=$F12), 0), MATCH($F$1, 'Master Data Sheet'!$1:$1, 0)), "")</f>
        <v>2.5069837404197402E-2</v>
      </c>
      <c r="M12" s="11" cm="1">
        <f t="array" ref="M12">IFERROR(INDEX('Master Data Sheet'!$1:$1048576, MATCH(1, ('Master Data Sheet'!$H:$H=M$2) * (INDEX('Master Data Sheet'!$1:$1, , MATCH($F$1, 'Master Data Sheet'!$1:$1, 0)) = $F$1) * ('Master Data Sheet'!$G:$G=$B12) * ('Master Data Sheet'!$F:$F=$E12) * ('Master Data Sheet'!$A:$A=$F12), 0), MATCH($F$1, 'Master Data Sheet'!$1:$1, 0)), "")</f>
        <v>8.0223479693431701E-2</v>
      </c>
      <c r="N12" s="11" cm="1">
        <f t="array" ref="N12">IFERROR(INDEX('Master Data Sheet'!$1:$1048576, MATCH(1, ('Master Data Sheet'!$H:$H=N$2) * (INDEX('Master Data Sheet'!$1:$1, , MATCH($F$1, 'Master Data Sheet'!$1:$1, 0)) = $F$1) * ('Master Data Sheet'!$G:$G=$B12) * ('Master Data Sheet'!$F:$F=$E12) * ('Master Data Sheet'!$A:$A=$F12), 0), MATCH($F$1, 'Master Data Sheet'!$1:$1, 0)), "")</f>
        <v>3.008380488503689E-2</v>
      </c>
      <c r="O12" s="11">
        <f t="shared" si="8"/>
        <v>3.7246615571950428E-2</v>
      </c>
      <c r="P12" s="11">
        <f t="shared" si="4"/>
        <v>2.4538943353619089E-2</v>
      </c>
      <c r="Q12" s="11">
        <f>AVERAGE(O12:O14)</f>
        <v>4.1421499875512746E-2</v>
      </c>
      <c r="S12" s="11">
        <f>AVERAGE(O12:O14)</f>
        <v>4.1421499875512746E-2</v>
      </c>
      <c r="T12" s="11">
        <f>AVERAGE(P12:P14)</f>
        <v>1.7507666033487464E-2</v>
      </c>
      <c r="V12" s="47">
        <f>AVERAGE(U15, U18)</f>
        <v>-181.35780531525214</v>
      </c>
      <c r="X12" t="s">
        <v>343</v>
      </c>
    </row>
    <row r="13" spans="1:45" x14ac:dyDescent="0.35">
      <c r="A13" s="41">
        <f>IFERROR(INDEX('Date Key'!$B$2:$B$19, MATCH(F13,'Date Key'!$A$2:$A$19, 0)), "")</f>
        <v>45224</v>
      </c>
      <c r="B13" s="4">
        <f t="shared" ref="B13:B56" si="15">INT((ROW(B11)-1)/9)+1</f>
        <v>2</v>
      </c>
      <c r="C13" s="26" t="str">
        <f>IFERROR(INDEX('Date Key'!$G$57:$G$62, MATCH(B13,'Date Key'!$A$57:$A$62, 0)), "")</f>
        <v>Medium HLR, Lower Outlet Height, No Plants</v>
      </c>
      <c r="D13" s="4" t="str">
        <f>IFERROR(INDEX('Date Key'!$G$2:$G$19, MATCH(F13, 'Date Key'!$A$2:$A$19, 0)), "")</f>
        <v>No</v>
      </c>
      <c r="E13" s="4" t="str">
        <f t="shared" si="1"/>
        <v>in</v>
      </c>
      <c r="F13" s="4">
        <f t="shared" si="2"/>
        <v>5</v>
      </c>
      <c r="G13" s="4">
        <f t="shared" si="3"/>
        <v>2</v>
      </c>
      <c r="H13" s="11" cm="1">
        <f t="array" ref="H13">IFERROR(INDEX('Master Data Sheet'!$1:$1048576, MATCH(1, ('Master Data Sheet'!$H:$H=H$2) * (INDEX('Master Data Sheet'!$1:$1, , MATCH($F$1, 'Master Data Sheet'!$1:$1, 0)) = $F$1) * ('Master Data Sheet'!$G:$G=$B13) * ('Master Data Sheet'!$F:$F=$E13) * ('Master Data Sheet'!$A:$A=$F13), 0), MATCH($F$1, 'Master Data Sheet'!$1:$1, 0)), "")</f>
        <v>3.008380488503689E-2</v>
      </c>
      <c r="I13" s="11" cm="1">
        <f t="array" ref="I13">IFERROR(INDEX('Master Data Sheet'!$1:$1048576, MATCH(1, ('Master Data Sheet'!$H:$H=I$2) * (INDEX('Master Data Sheet'!$1:$1, , MATCH($F$1, 'Master Data Sheet'!$1:$1, 0)) = $F$1) * ('Master Data Sheet'!$G:$G=$B13) * ('Master Data Sheet'!$F:$F=$E13) * ('Master Data Sheet'!$A:$A=$F13), 0), MATCH($F$1, 'Master Data Sheet'!$1:$1, 0)), "")</f>
        <v>2.5069837404197402E-2</v>
      </c>
      <c r="J13" s="11" cm="1">
        <f t="array" ref="J13">IFERROR(INDEX('Master Data Sheet'!$1:$1048576, MATCH(1, ('Master Data Sheet'!$H:$H=J$2) * (INDEX('Master Data Sheet'!$1:$1, , MATCH($F$1, 'Master Data Sheet'!$1:$1, 0)) = $F$1) * ('Master Data Sheet'!$G:$G=$B13) * ('Master Data Sheet'!$F:$F=$E13) * ('Master Data Sheet'!$A:$A=$F13), 0), MATCH($F$1, 'Master Data Sheet'!$1:$1, 0)), "")</f>
        <v>0</v>
      </c>
      <c r="K13" s="11" cm="1">
        <f t="array" ref="K13">IFERROR(INDEX('Master Data Sheet'!$1:$1048576, MATCH(1, ('Master Data Sheet'!$H:$H=K$2) * (INDEX('Master Data Sheet'!$1:$1, , MATCH($F$1, 'Master Data Sheet'!$1:$1, 0)) = $F$1) * ('Master Data Sheet'!$G:$G=$B13) * ('Master Data Sheet'!$F:$F=$E13) * ('Master Data Sheet'!$A:$A=$F13), 0), MATCH($F$1, 'Master Data Sheet'!$1:$1, 0)), "")</f>
        <v>2.5069837404197402E-2</v>
      </c>
      <c r="L13" s="11" cm="1">
        <f t="array" ref="L13">IFERROR(INDEX('Master Data Sheet'!$1:$1048576, MATCH(1, ('Master Data Sheet'!$H:$H=L$2) * (INDEX('Master Data Sheet'!$1:$1, , MATCH($F$1, 'Master Data Sheet'!$1:$1, 0)) = $F$1) * ('Master Data Sheet'!$G:$G=$B13) * ('Master Data Sheet'!$F:$F=$E13) * ('Master Data Sheet'!$A:$A=$F13), 0), MATCH($F$1, 'Master Data Sheet'!$1:$1, 0)), "")</f>
        <v>2.0055869923357925E-2</v>
      </c>
      <c r="M13" s="11" cm="1">
        <f t="array" ref="M13">IFERROR(INDEX('Master Data Sheet'!$1:$1048576, MATCH(1, ('Master Data Sheet'!$H:$H=M$2) * (INDEX('Master Data Sheet'!$1:$1, , MATCH($F$1, 'Master Data Sheet'!$1:$1, 0)) = $F$1) * ('Master Data Sheet'!$G:$G=$B13) * ('Master Data Sheet'!$F:$F=$E13) * ('Master Data Sheet'!$A:$A=$F13), 0), MATCH($F$1, 'Master Data Sheet'!$1:$1, 0)), "")</f>
        <v>0</v>
      </c>
      <c r="N13" s="11" cm="1">
        <f t="array" ref="N13">IFERROR(INDEX('Master Data Sheet'!$1:$1048576, MATCH(1, ('Master Data Sheet'!$H:$H=N$2) * (INDEX('Master Data Sheet'!$1:$1, , MATCH($F$1, 'Master Data Sheet'!$1:$1, 0)) = $F$1) * ('Master Data Sheet'!$G:$G=$B13) * ('Master Data Sheet'!$F:$F=$E13) * ('Master Data Sheet'!$A:$A=$F13), 0), MATCH($F$1, 'Master Data Sheet'!$1:$1, 0)), "")</f>
        <v>1.5041902442518445E-2</v>
      </c>
      <c r="O13" s="11">
        <f t="shared" si="8"/>
        <v>1.6474464579901153E-2</v>
      </c>
      <c r="P13" s="11">
        <f t="shared" si="4"/>
        <v>1.2183798507435548E-2</v>
      </c>
      <c r="Q13" s="11"/>
      <c r="X13" t="str">
        <f>IFERROR(INDEX('Date Key'!$G$57:$G$62, MATCH(B12,'Date Key'!$A$57:$A$62, 0)), "")</f>
        <v>Medium HLR, Lower Outlet Height, No Plants</v>
      </c>
      <c r="Y13" s="1">
        <f t="shared" ref="Y13:AE13" si="16">H12</f>
        <v>5.0139674808394805E-2</v>
      </c>
      <c r="Z13" s="1">
        <f t="shared" si="16"/>
        <v>4.0111739846715851E-2</v>
      </c>
      <c r="AA13" s="1">
        <f t="shared" si="16"/>
        <v>0</v>
      </c>
      <c r="AB13" s="1">
        <f t="shared" si="16"/>
        <v>3.509777236587637E-2</v>
      </c>
      <c r="AC13" s="1">
        <f t="shared" si="16"/>
        <v>2.5069837404197402E-2</v>
      </c>
      <c r="AD13" s="1">
        <f t="shared" si="16"/>
        <v>8.0223479693431701E-2</v>
      </c>
      <c r="AE13" s="1">
        <f t="shared" si="16"/>
        <v>3.008380488503689E-2</v>
      </c>
      <c r="AF13" s="1">
        <f t="shared" ref="AF13:AL13" si="17">H13</f>
        <v>3.008380488503689E-2</v>
      </c>
      <c r="AG13" s="1">
        <f t="shared" si="17"/>
        <v>2.5069837404197402E-2</v>
      </c>
      <c r="AH13" s="1">
        <f t="shared" si="17"/>
        <v>0</v>
      </c>
      <c r="AI13" s="1">
        <f t="shared" si="17"/>
        <v>2.5069837404197402E-2</v>
      </c>
      <c r="AJ13" s="1">
        <f t="shared" si="17"/>
        <v>2.0055869923357925E-2</v>
      </c>
      <c r="AK13" s="1">
        <f t="shared" si="17"/>
        <v>0</v>
      </c>
      <c r="AL13" s="1">
        <f t="shared" si="17"/>
        <v>1.5041902442518445E-2</v>
      </c>
      <c r="AM13" s="1">
        <f t="shared" ref="AM13:AS13" si="18">H14</f>
        <v>4.938039363228066E-2</v>
      </c>
      <c r="AN13" s="1">
        <f t="shared" si="18"/>
        <v>5.9256472358736809E-2</v>
      </c>
      <c r="AO13" s="1">
        <f t="shared" si="18"/>
        <v>6.4194511721964873E-2</v>
      </c>
      <c r="AP13" s="1">
        <f t="shared" si="18"/>
        <v>6.9132551085192936E-2</v>
      </c>
      <c r="AQ13" s="1">
        <f t="shared" si="18"/>
        <v>8.8884708538105178E-2</v>
      </c>
      <c r="AR13" s="1">
        <f t="shared" si="18"/>
        <v>9.3822747901333256E-2</v>
      </c>
      <c r="AS13" s="1">
        <f t="shared" si="18"/>
        <v>6.9132551085192936E-2</v>
      </c>
    </row>
    <row r="14" spans="1:45" x14ac:dyDescent="0.35">
      <c r="A14" s="41">
        <f>IFERROR(INDEX('Date Key'!$B$2:$B$19, MATCH(F14,'Date Key'!$A$2:$A$19, 0)), "")</f>
        <v>45230</v>
      </c>
      <c r="B14" s="4">
        <f t="shared" si="15"/>
        <v>2</v>
      </c>
      <c r="C14" s="26" t="str">
        <f>IFERROR(INDEX('Date Key'!$G$57:$G$62, MATCH(B14,'Date Key'!$A$57:$A$62, 0)), "")</f>
        <v>Medium HLR, Lower Outlet Height, No Plants</v>
      </c>
      <c r="D14" s="4" t="str">
        <f>IFERROR(INDEX('Date Key'!$G$2:$G$19, MATCH(F14, 'Date Key'!$A$2:$A$19, 0)), "")</f>
        <v>Yes</v>
      </c>
      <c r="E14" s="4" t="str">
        <f t="shared" si="1"/>
        <v>in</v>
      </c>
      <c r="F14" s="4">
        <f t="shared" si="2"/>
        <v>6</v>
      </c>
      <c r="G14" s="4">
        <f t="shared" si="3"/>
        <v>3</v>
      </c>
      <c r="H14" s="11" cm="1">
        <f t="array" ref="H14">IFERROR(INDEX('Master Data Sheet'!$1:$1048576, MATCH(1, ('Master Data Sheet'!$H:$H=H$2) * (INDEX('Master Data Sheet'!$1:$1, , MATCH($F$1, 'Master Data Sheet'!$1:$1, 0)) = $F$1) * ('Master Data Sheet'!$G:$G=$B14) * ('Master Data Sheet'!$F:$F=$E14) * ('Master Data Sheet'!$A:$A=$F14), 0), MATCH($F$1, 'Master Data Sheet'!$1:$1, 0)), "")</f>
        <v>4.938039363228066E-2</v>
      </c>
      <c r="I14" s="11" cm="1">
        <f t="array" ref="I14">IFERROR(INDEX('Master Data Sheet'!$1:$1048576, MATCH(1, ('Master Data Sheet'!$H:$H=I$2) * (INDEX('Master Data Sheet'!$1:$1, , MATCH($F$1, 'Master Data Sheet'!$1:$1, 0)) = $F$1) * ('Master Data Sheet'!$G:$G=$B14) * ('Master Data Sheet'!$F:$F=$E14) * ('Master Data Sheet'!$A:$A=$F14), 0), MATCH($F$1, 'Master Data Sheet'!$1:$1, 0)), "")</f>
        <v>5.9256472358736809E-2</v>
      </c>
      <c r="J14" s="11" cm="1">
        <f t="array" ref="J14">IFERROR(INDEX('Master Data Sheet'!$1:$1048576, MATCH(1, ('Master Data Sheet'!$H:$H=J$2) * (INDEX('Master Data Sheet'!$1:$1, , MATCH($F$1, 'Master Data Sheet'!$1:$1, 0)) = $F$1) * ('Master Data Sheet'!$G:$G=$B14) * ('Master Data Sheet'!$F:$F=$E14) * ('Master Data Sheet'!$A:$A=$F14), 0), MATCH($F$1, 'Master Data Sheet'!$1:$1, 0)), "")</f>
        <v>6.4194511721964873E-2</v>
      </c>
      <c r="K14" s="11" cm="1">
        <f t="array" ref="K14">IFERROR(INDEX('Master Data Sheet'!$1:$1048576, MATCH(1, ('Master Data Sheet'!$H:$H=K$2) * (INDEX('Master Data Sheet'!$1:$1, , MATCH($F$1, 'Master Data Sheet'!$1:$1, 0)) = $F$1) * ('Master Data Sheet'!$G:$G=$B14) * ('Master Data Sheet'!$F:$F=$E14) * ('Master Data Sheet'!$A:$A=$F14), 0), MATCH($F$1, 'Master Data Sheet'!$1:$1, 0)), "")</f>
        <v>6.9132551085192936E-2</v>
      </c>
      <c r="L14" s="11" cm="1">
        <f t="array" ref="L14">IFERROR(INDEX('Master Data Sheet'!$1:$1048576, MATCH(1, ('Master Data Sheet'!$H:$H=L$2) * (INDEX('Master Data Sheet'!$1:$1, , MATCH($F$1, 'Master Data Sheet'!$1:$1, 0)) = $F$1) * ('Master Data Sheet'!$G:$G=$B14) * ('Master Data Sheet'!$F:$F=$E14) * ('Master Data Sheet'!$A:$A=$F14), 0), MATCH($F$1, 'Master Data Sheet'!$1:$1, 0)), "")</f>
        <v>8.8884708538105178E-2</v>
      </c>
      <c r="M14" s="11" cm="1">
        <f t="array" ref="M14">IFERROR(INDEX('Master Data Sheet'!$1:$1048576, MATCH(1, ('Master Data Sheet'!$H:$H=M$2) * (INDEX('Master Data Sheet'!$1:$1, , MATCH($F$1, 'Master Data Sheet'!$1:$1, 0)) = $F$1) * ('Master Data Sheet'!$G:$G=$B14) * ('Master Data Sheet'!$F:$F=$E14) * ('Master Data Sheet'!$A:$A=$F14), 0), MATCH($F$1, 'Master Data Sheet'!$1:$1, 0)), "")</f>
        <v>9.3822747901333256E-2</v>
      </c>
      <c r="N14" s="11" cm="1">
        <f t="array" ref="N14">IFERROR(INDEX('Master Data Sheet'!$1:$1048576, MATCH(1, ('Master Data Sheet'!$H:$H=N$2) * (INDEX('Master Data Sheet'!$1:$1, , MATCH($F$1, 'Master Data Sheet'!$1:$1, 0)) = $F$1) * ('Master Data Sheet'!$G:$G=$B14) * ('Master Data Sheet'!$F:$F=$E14) * ('Master Data Sheet'!$A:$A=$F14), 0), MATCH($F$1, 'Master Data Sheet'!$1:$1, 0)), "")</f>
        <v>6.9132551085192936E-2</v>
      </c>
      <c r="O14" s="11">
        <f t="shared" si="8"/>
        <v>7.0543419474686661E-2</v>
      </c>
      <c r="P14" s="11">
        <f t="shared" si="4"/>
        <v>1.5800256239407753E-2</v>
      </c>
      <c r="Q14" s="11"/>
      <c r="Y14" s="1"/>
      <c r="Z14" s="1"/>
      <c r="AA14" s="1"/>
      <c r="AB14" s="1"/>
      <c r="AC14" s="1"/>
      <c r="AD14" s="1"/>
      <c r="AE14" s="1"/>
      <c r="AF14" s="1"/>
      <c r="AG14" s="1"/>
      <c r="AH14" s="1"/>
      <c r="AI14" s="1"/>
      <c r="AJ14" s="1"/>
      <c r="AK14" s="1"/>
      <c r="AL14" s="1"/>
      <c r="AM14" s="1"/>
      <c r="AN14" s="1"/>
      <c r="AO14" s="1"/>
      <c r="AP14" s="1"/>
      <c r="AQ14" s="1"/>
      <c r="AR14" s="1"/>
      <c r="AS14" s="1"/>
    </row>
    <row r="15" spans="1:45" x14ac:dyDescent="0.35">
      <c r="A15" s="41">
        <f>IFERROR(INDEX('Date Key'!$B$2:$B$19, MATCH(F15,'Date Key'!$A$2:$A$19, 0)), "")</f>
        <v>45217</v>
      </c>
      <c r="B15" s="4">
        <f t="shared" si="15"/>
        <v>2</v>
      </c>
      <c r="C15" s="26" t="str">
        <f>IFERROR(INDEX('Date Key'!$G$57:$G$62, MATCH(B15,'Date Key'!$A$57:$A$62, 0)), "")</f>
        <v>Medium HLR, Lower Outlet Height, No Plants</v>
      </c>
      <c r="D15" s="4" t="str">
        <f>IFERROR(INDEX('Date Key'!$G$2:$G$19, MATCH(F15, 'Date Key'!$A$2:$A$19, 0)), "")</f>
        <v>No</v>
      </c>
      <c r="E15" s="4" t="str">
        <f t="shared" si="1"/>
        <v>tank 1</v>
      </c>
      <c r="F15" s="4">
        <f t="shared" si="2"/>
        <v>4</v>
      </c>
      <c r="G15" s="4">
        <f t="shared" si="3"/>
        <v>1</v>
      </c>
      <c r="H15" s="11" cm="1">
        <f t="array" ref="H15">IFERROR(INDEX('Master Data Sheet'!$1:$1048576, MATCH(1, ('Master Data Sheet'!$H:$H=H$2) * (INDEX('Master Data Sheet'!$1:$1, , MATCH($F$1, 'Master Data Sheet'!$1:$1, 0)) = $F$1) * ('Master Data Sheet'!$G:$G=$B15) * ('Master Data Sheet'!$F:$F=$E15) * ('Master Data Sheet'!$A:$A=$F15), 0), MATCH($F$1, 'Master Data Sheet'!$1:$1, 0)), "")</f>
        <v>2.5069837404197402E-2</v>
      </c>
      <c r="I15" s="11" cm="1">
        <f t="array" ref="I15">IFERROR(INDEX('Master Data Sheet'!$1:$1048576, MATCH(1, ('Master Data Sheet'!$H:$H=I$2) * (INDEX('Master Data Sheet'!$1:$1, , MATCH($F$1, 'Master Data Sheet'!$1:$1, 0)) = $F$1) * ('Master Data Sheet'!$G:$G=$B15) * ('Master Data Sheet'!$F:$F=$E15) * ('Master Data Sheet'!$A:$A=$F15), 0), MATCH($F$1, 'Master Data Sheet'!$1:$1, 0)), "")</f>
        <v>8.0223479693431701E-2</v>
      </c>
      <c r="J15" s="11" cm="1">
        <f t="array" ref="J15">IFERROR(INDEX('Master Data Sheet'!$1:$1048576, MATCH(1, ('Master Data Sheet'!$H:$H=J$2) * (INDEX('Master Data Sheet'!$1:$1, , MATCH($F$1, 'Master Data Sheet'!$1:$1, 0)) = $F$1) * ('Master Data Sheet'!$G:$G=$B15) * ('Master Data Sheet'!$F:$F=$E15) * ('Master Data Sheet'!$A:$A=$F15), 0), MATCH($F$1, 'Master Data Sheet'!$1:$1, 0)), "")</f>
        <v>8.0223479693431701E-2</v>
      </c>
      <c r="K15" s="11" cm="1">
        <f t="array" ref="K15">IFERROR(INDEX('Master Data Sheet'!$1:$1048576, MATCH(1, ('Master Data Sheet'!$H:$H=K$2) * (INDEX('Master Data Sheet'!$1:$1, , MATCH($F$1, 'Master Data Sheet'!$1:$1, 0)) = $F$1) * ('Master Data Sheet'!$G:$G=$B15) * ('Master Data Sheet'!$F:$F=$E15) * ('Master Data Sheet'!$A:$A=$F15), 0), MATCH($F$1, 'Master Data Sheet'!$1:$1, 0)), "")</f>
        <v>3.008380488503689E-2</v>
      </c>
      <c r="L15" s="11" cm="1">
        <f t="array" ref="L15">IFERROR(INDEX('Master Data Sheet'!$1:$1048576, MATCH(1, ('Master Data Sheet'!$H:$H=L$2) * (INDEX('Master Data Sheet'!$1:$1, , MATCH($F$1, 'Master Data Sheet'!$1:$1, 0)) = $F$1) * ('Master Data Sheet'!$G:$G=$B15) * ('Master Data Sheet'!$F:$F=$E15) * ('Master Data Sheet'!$A:$A=$F15), 0), MATCH($F$1, 'Master Data Sheet'!$1:$1, 0)), "")</f>
        <v>3.008380488503689E-2</v>
      </c>
      <c r="M15" s="11" cm="1">
        <f t="array" ref="M15">IFERROR(INDEX('Master Data Sheet'!$1:$1048576, MATCH(1, ('Master Data Sheet'!$H:$H=M$2) * (INDEX('Master Data Sheet'!$1:$1, , MATCH($F$1, 'Master Data Sheet'!$1:$1, 0)) = $F$1) * ('Master Data Sheet'!$G:$G=$B15) * ('Master Data Sheet'!$F:$F=$E15) * ('Master Data Sheet'!$A:$A=$F15), 0), MATCH($F$1, 'Master Data Sheet'!$1:$1, 0)), "")</f>
        <v>3.008380488503689E-2</v>
      </c>
      <c r="N15" s="11" cm="1">
        <f t="array" ref="N15">IFERROR(INDEX('Master Data Sheet'!$1:$1048576, MATCH(1, ('Master Data Sheet'!$H:$H=N$2) * (INDEX('Master Data Sheet'!$1:$1, , MATCH($F$1, 'Master Data Sheet'!$1:$1, 0)) = $F$1) * ('Master Data Sheet'!$G:$G=$B15) * ('Master Data Sheet'!$F:$F=$E15) * ('Master Data Sheet'!$A:$A=$F15), 0), MATCH($F$1, 'Master Data Sheet'!$1:$1, 0)), "")</f>
        <v>3.509777236587637E-2</v>
      </c>
      <c r="O15" s="11">
        <f t="shared" si="8"/>
        <v>4.4409426258863974E-2</v>
      </c>
      <c r="P15" s="11">
        <f t="shared" si="4"/>
        <v>2.4636320495551655E-2</v>
      </c>
      <c r="Q15" s="11">
        <f>AVERAGE(O15:O17)</f>
        <v>2.5406348755379966E-2</v>
      </c>
      <c r="R15" s="46">
        <f>(1-(O15/O12))*100</f>
        <v>-19.23076923076923</v>
      </c>
      <c r="S15" s="46">
        <f>AVERAGE(R15:R17)</f>
        <v>38.560758082497209</v>
      </c>
      <c r="T15" s="46">
        <f>STDEV(R15:R17)</f>
        <v>50.463671535748162</v>
      </c>
      <c r="U15" s="47">
        <f>(1-(AVERAGE(H15:N17)/AVERAGE(H12:N14)))*100</f>
        <v>38.663860961733299</v>
      </c>
      <c r="Y15" s="2"/>
      <c r="Z15" s="2"/>
      <c r="AA15" s="2"/>
      <c r="AB15" s="2"/>
      <c r="AC15" s="2"/>
      <c r="AD15" s="2"/>
      <c r="AE15" s="2"/>
      <c r="AF15" s="2"/>
      <c r="AG15" s="2"/>
    </row>
    <row r="16" spans="1:45" x14ac:dyDescent="0.35">
      <c r="A16" s="41">
        <f>IFERROR(INDEX('Date Key'!$B$2:$B$19, MATCH(F16,'Date Key'!$A$2:$A$19, 0)), "")</f>
        <v>45224</v>
      </c>
      <c r="B16" s="4">
        <f t="shared" si="15"/>
        <v>2</v>
      </c>
      <c r="C16" s="26" t="str">
        <f>IFERROR(INDEX('Date Key'!$G$57:$G$62, MATCH(B16,'Date Key'!$A$57:$A$62, 0)), "")</f>
        <v>Medium HLR, Lower Outlet Height, No Plants</v>
      </c>
      <c r="D16" s="4" t="str">
        <f>IFERROR(INDEX('Date Key'!$G$2:$G$19, MATCH(F16, 'Date Key'!$A$2:$A$19, 0)), "")</f>
        <v>No</v>
      </c>
      <c r="E16" s="4" t="str">
        <f t="shared" si="1"/>
        <v>tank 1</v>
      </c>
      <c r="F16" s="4">
        <f t="shared" si="2"/>
        <v>5</v>
      </c>
      <c r="G16" s="4">
        <f>MOD(ROW(G16)-ROW($G$3), 3) + 1</f>
        <v>2</v>
      </c>
      <c r="H16" s="11" cm="1">
        <f t="array" ref="H16">IFERROR(INDEX('Master Data Sheet'!$1:$1048576, MATCH(1, ('Master Data Sheet'!$H:$H=H$2) * (INDEX('Master Data Sheet'!$1:$1, , MATCH($F$1, 'Master Data Sheet'!$1:$1, 0)) = $F$1) * ('Master Data Sheet'!$G:$G=$B16) * ('Master Data Sheet'!$F:$F=$E16) * ('Master Data Sheet'!$A:$A=$F16), 0), MATCH($F$1, 'Master Data Sheet'!$1:$1, 0)), "")</f>
        <v>1.5041902442518445E-2</v>
      </c>
      <c r="I16" s="11" cm="1">
        <f t="array" ref="I16">IFERROR(INDEX('Master Data Sheet'!$1:$1048576, MATCH(1, ('Master Data Sheet'!$H:$H=I$2) * (INDEX('Master Data Sheet'!$1:$1, , MATCH($F$1, 'Master Data Sheet'!$1:$1, 0)) = $F$1) * ('Master Data Sheet'!$G:$G=$B16) * ('Master Data Sheet'!$F:$F=$E16) * ('Master Data Sheet'!$A:$A=$F16), 0), MATCH($F$1, 'Master Data Sheet'!$1:$1, 0)), "")</f>
        <v>0</v>
      </c>
      <c r="J16" s="11" cm="1">
        <f t="array" ref="J16">IFERROR(INDEX('Master Data Sheet'!$1:$1048576, MATCH(1, ('Master Data Sheet'!$H:$H=J$2) * (INDEX('Master Data Sheet'!$1:$1, , MATCH($F$1, 'Master Data Sheet'!$1:$1, 0)) = $F$1) * ('Master Data Sheet'!$G:$G=$B16) * ('Master Data Sheet'!$F:$F=$E16) * ('Master Data Sheet'!$A:$A=$F16), 0), MATCH($F$1, 'Master Data Sheet'!$1:$1, 0)), "")</f>
        <v>0</v>
      </c>
      <c r="K16" s="11" cm="1">
        <f t="array" ref="K16">IFERROR(INDEX('Master Data Sheet'!$1:$1048576, MATCH(1, ('Master Data Sheet'!$H:$H=K$2) * (INDEX('Master Data Sheet'!$1:$1, , MATCH($F$1, 'Master Data Sheet'!$1:$1, 0)) = $F$1) * ('Master Data Sheet'!$G:$G=$B16) * ('Master Data Sheet'!$F:$F=$E16) * ('Master Data Sheet'!$A:$A=$F16), 0), MATCH($F$1, 'Master Data Sheet'!$1:$1, 0)), "")</f>
        <v>1.5041902442518445E-2</v>
      </c>
      <c r="L16" s="11" cm="1">
        <f t="array" ref="L16">IFERROR(INDEX('Master Data Sheet'!$1:$1048576, MATCH(1, ('Master Data Sheet'!$H:$H=L$2) * (INDEX('Master Data Sheet'!$1:$1, , MATCH($F$1, 'Master Data Sheet'!$1:$1, 0)) = $F$1) * ('Master Data Sheet'!$G:$G=$B16) * ('Master Data Sheet'!$F:$F=$E16) * ('Master Data Sheet'!$A:$A=$F16), 0), MATCH($F$1, 'Master Data Sheet'!$1:$1, 0)), "")</f>
        <v>0</v>
      </c>
      <c r="M16" s="11" cm="1">
        <f t="array" ref="M16">IFERROR(INDEX('Master Data Sheet'!$1:$1048576, MATCH(1, ('Master Data Sheet'!$H:$H=M$2) * (INDEX('Master Data Sheet'!$1:$1, , MATCH($F$1, 'Master Data Sheet'!$1:$1, 0)) = $F$1) * ('Master Data Sheet'!$G:$G=$B16) * ('Master Data Sheet'!$F:$F=$E16) * ('Master Data Sheet'!$A:$A=$F16), 0), MATCH($F$1, 'Master Data Sheet'!$1:$1, 0)), "")</f>
        <v>0</v>
      </c>
      <c r="N16" s="11" cm="1">
        <f t="array" ref="N16">IFERROR(INDEX('Master Data Sheet'!$1:$1048576, MATCH(1, ('Master Data Sheet'!$H:$H=N$2) * (INDEX('Master Data Sheet'!$1:$1, , MATCH($F$1, 'Master Data Sheet'!$1:$1, 0)) = $F$1) * ('Master Data Sheet'!$G:$G=$B16) * ('Master Data Sheet'!$F:$F=$E16) * ('Master Data Sheet'!$A:$A=$F16), 0), MATCH($F$1, 'Master Data Sheet'!$1:$1, 0)), "")</f>
        <v>0</v>
      </c>
      <c r="O16" s="11">
        <f t="shared" si="8"/>
        <v>4.2976864121481275E-3</v>
      </c>
      <c r="P16" s="11">
        <f t="shared" si="4"/>
        <v>7.3396968454692351E-3</v>
      </c>
      <c r="Q16" s="11"/>
      <c r="R16" s="46">
        <f>(1-(O16/O13))*100</f>
        <v>73.91304347826086</v>
      </c>
      <c r="X16" t="str">
        <f>IFERROR(INDEX('Date Key'!$G$57:$G$62, MATCH(B15,'Date Key'!$A$57:$A$62, 0)), "")</f>
        <v>Medium HLR, Lower Outlet Height, No Plants</v>
      </c>
      <c r="Y16" s="1">
        <f t="shared" ref="Y16:AE16" si="19">H15</f>
        <v>2.5069837404197402E-2</v>
      </c>
      <c r="Z16" s="1">
        <f t="shared" si="19"/>
        <v>8.0223479693431701E-2</v>
      </c>
      <c r="AA16" s="1">
        <f t="shared" si="19"/>
        <v>8.0223479693431701E-2</v>
      </c>
      <c r="AB16" s="1">
        <f t="shared" si="19"/>
        <v>3.008380488503689E-2</v>
      </c>
      <c r="AC16" s="1">
        <f t="shared" si="19"/>
        <v>3.008380488503689E-2</v>
      </c>
      <c r="AD16" s="1">
        <f t="shared" si="19"/>
        <v>3.008380488503689E-2</v>
      </c>
      <c r="AE16" s="1">
        <f t="shared" si="19"/>
        <v>3.509777236587637E-2</v>
      </c>
      <c r="AF16" s="1">
        <f t="shared" ref="AF16:AL16" si="20">H16</f>
        <v>1.5041902442518445E-2</v>
      </c>
      <c r="AG16" s="1">
        <f t="shared" si="20"/>
        <v>0</v>
      </c>
      <c r="AH16" s="1">
        <f t="shared" si="20"/>
        <v>0</v>
      </c>
      <c r="AI16" s="1">
        <f t="shared" si="20"/>
        <v>1.5041902442518445E-2</v>
      </c>
      <c r="AJ16" s="1">
        <f t="shared" si="20"/>
        <v>0</v>
      </c>
      <c r="AK16" s="1">
        <f t="shared" si="20"/>
        <v>0</v>
      </c>
      <c r="AL16" s="1">
        <f t="shared" si="20"/>
        <v>0</v>
      </c>
      <c r="AM16" s="1">
        <f t="shared" ref="AM16:AS16" si="21">H17</f>
        <v>1.4814118089684202E-2</v>
      </c>
      <c r="AN16" s="1">
        <f t="shared" si="21"/>
        <v>2.9628236179368404E-2</v>
      </c>
      <c r="AO16" s="1">
        <f t="shared" si="21"/>
        <v>3.4566275542596468E-2</v>
      </c>
      <c r="AP16" s="1">
        <f t="shared" si="21"/>
        <v>2.9628236179368404E-2</v>
      </c>
      <c r="AQ16" s="1">
        <f t="shared" si="21"/>
        <v>3.9504314905824532E-2</v>
      </c>
      <c r="AR16" s="1">
        <f t="shared" si="21"/>
        <v>0</v>
      </c>
      <c r="AS16" s="1">
        <f t="shared" si="21"/>
        <v>4.4442354269052589E-2</v>
      </c>
    </row>
    <row r="17" spans="1:45" x14ac:dyDescent="0.35">
      <c r="A17" s="41">
        <f>IFERROR(INDEX('Date Key'!$B$2:$B$19, MATCH(F17,'Date Key'!$A$2:$A$19, 0)), "")</f>
        <v>45230</v>
      </c>
      <c r="B17" s="4">
        <f t="shared" si="15"/>
        <v>2</v>
      </c>
      <c r="C17" s="26" t="str">
        <f>IFERROR(INDEX('Date Key'!$G$57:$G$62, MATCH(B17,'Date Key'!$A$57:$A$62, 0)), "")</f>
        <v>Medium HLR, Lower Outlet Height, No Plants</v>
      </c>
      <c r="D17" s="4" t="str">
        <f>IFERROR(INDEX('Date Key'!$G$2:$G$19, MATCH(F17, 'Date Key'!$A$2:$A$19, 0)), "")</f>
        <v>Yes</v>
      </c>
      <c r="E17" s="4" t="str">
        <f t="shared" si="1"/>
        <v>tank 1</v>
      </c>
      <c r="F17" s="4">
        <f t="shared" si="2"/>
        <v>6</v>
      </c>
      <c r="G17" s="4">
        <f t="shared" ref="G17:G56" si="22">MOD(ROW(G17)-ROW($G$3), 3) + 1</f>
        <v>3</v>
      </c>
      <c r="H17" s="11" cm="1">
        <f t="array" ref="H17">IFERROR(INDEX('Master Data Sheet'!$1:$1048576, MATCH(1, ('Master Data Sheet'!$H:$H=H$2) * (INDEX('Master Data Sheet'!$1:$1, , MATCH($F$1, 'Master Data Sheet'!$1:$1, 0)) = $F$1) * ('Master Data Sheet'!$G:$G=$B17) * ('Master Data Sheet'!$F:$F=$E17) * ('Master Data Sheet'!$A:$A=$F17), 0), MATCH($F$1, 'Master Data Sheet'!$1:$1, 0)), "")</f>
        <v>1.4814118089684202E-2</v>
      </c>
      <c r="I17" s="11" cm="1">
        <f t="array" ref="I17">IFERROR(INDEX('Master Data Sheet'!$1:$1048576, MATCH(1, ('Master Data Sheet'!$H:$H=I$2) * (INDEX('Master Data Sheet'!$1:$1, , MATCH($F$1, 'Master Data Sheet'!$1:$1, 0)) = $F$1) * ('Master Data Sheet'!$G:$G=$B17) * ('Master Data Sheet'!$F:$F=$E17) * ('Master Data Sheet'!$A:$A=$F17), 0), MATCH($F$1, 'Master Data Sheet'!$1:$1, 0)), "")</f>
        <v>2.9628236179368404E-2</v>
      </c>
      <c r="J17" s="11" cm="1">
        <f t="array" ref="J17">IFERROR(INDEX('Master Data Sheet'!$1:$1048576, MATCH(1, ('Master Data Sheet'!$H:$H=J$2) * (INDEX('Master Data Sheet'!$1:$1, , MATCH($F$1, 'Master Data Sheet'!$1:$1, 0)) = $F$1) * ('Master Data Sheet'!$G:$G=$B17) * ('Master Data Sheet'!$F:$F=$E17) * ('Master Data Sheet'!$A:$A=$F17), 0), MATCH($F$1, 'Master Data Sheet'!$1:$1, 0)), "")</f>
        <v>3.4566275542596468E-2</v>
      </c>
      <c r="K17" s="11" cm="1">
        <f t="array" ref="K17">IFERROR(INDEX('Master Data Sheet'!$1:$1048576, MATCH(1, ('Master Data Sheet'!$H:$H=K$2) * (INDEX('Master Data Sheet'!$1:$1, , MATCH($F$1, 'Master Data Sheet'!$1:$1, 0)) = $F$1) * ('Master Data Sheet'!$G:$G=$B17) * ('Master Data Sheet'!$F:$F=$E17) * ('Master Data Sheet'!$A:$A=$F17), 0), MATCH($F$1, 'Master Data Sheet'!$1:$1, 0)), "")</f>
        <v>2.9628236179368404E-2</v>
      </c>
      <c r="L17" s="11" cm="1">
        <f t="array" ref="L17">IFERROR(INDEX('Master Data Sheet'!$1:$1048576, MATCH(1, ('Master Data Sheet'!$H:$H=L$2) * (INDEX('Master Data Sheet'!$1:$1, , MATCH($F$1, 'Master Data Sheet'!$1:$1, 0)) = $F$1) * ('Master Data Sheet'!$G:$G=$B17) * ('Master Data Sheet'!$F:$F=$E17) * ('Master Data Sheet'!$A:$A=$F17), 0), MATCH($F$1, 'Master Data Sheet'!$1:$1, 0)), "")</f>
        <v>3.9504314905824532E-2</v>
      </c>
      <c r="M17" s="11" cm="1">
        <f t="array" ref="M17">IFERROR(INDEX('Master Data Sheet'!$1:$1048576, MATCH(1, ('Master Data Sheet'!$H:$H=M$2) * (INDEX('Master Data Sheet'!$1:$1, , MATCH($F$1, 'Master Data Sheet'!$1:$1, 0)) = $F$1) * ('Master Data Sheet'!$G:$G=$B17) * ('Master Data Sheet'!$F:$F=$E17) * ('Master Data Sheet'!$A:$A=$F17), 0), MATCH($F$1, 'Master Data Sheet'!$1:$1, 0)), "")</f>
        <v>0</v>
      </c>
      <c r="N17" s="11" cm="1">
        <f t="array" ref="N17">IFERROR(INDEX('Master Data Sheet'!$1:$1048576, MATCH(1, ('Master Data Sheet'!$H:$H=N$2) * (INDEX('Master Data Sheet'!$1:$1, , MATCH($F$1, 'Master Data Sheet'!$1:$1, 0)) = $F$1) * ('Master Data Sheet'!$G:$G=$B17) * ('Master Data Sheet'!$F:$F=$E17) * ('Master Data Sheet'!$A:$A=$F17), 0), MATCH($F$1, 'Master Data Sheet'!$1:$1, 0)), "")</f>
        <v>4.4442354269052589E-2</v>
      </c>
      <c r="O17" s="11">
        <f t="shared" si="8"/>
        <v>2.75119335951278E-2</v>
      </c>
      <c r="P17" s="11">
        <f t="shared" si="4"/>
        <v>1.5315126378944E-2</v>
      </c>
      <c r="Q17" s="11"/>
      <c r="R17" s="46">
        <f>(1-(O17/O14))*100</f>
        <v>61</v>
      </c>
      <c r="Y17" s="2"/>
      <c r="Z17" s="2"/>
      <c r="AA17" s="2"/>
      <c r="AB17" s="2"/>
      <c r="AC17" s="2"/>
      <c r="AD17" s="2"/>
      <c r="AE17" s="2"/>
      <c r="AF17" s="2"/>
      <c r="AG17" s="2"/>
    </row>
    <row r="18" spans="1:45" x14ac:dyDescent="0.35">
      <c r="A18" s="41">
        <f>IFERROR(INDEX('Date Key'!$B$2:$B$19, MATCH(F18,'Date Key'!$A$2:$A$19, 0)), "")</f>
        <v>45217</v>
      </c>
      <c r="B18" s="4">
        <f t="shared" si="15"/>
        <v>2</v>
      </c>
      <c r="C18" s="26" t="str">
        <f>IFERROR(INDEX('Date Key'!$G$57:$G$62, MATCH(B18,'Date Key'!$A$57:$A$62, 0)), "")</f>
        <v>Medium HLR, Lower Outlet Height, No Plants</v>
      </c>
      <c r="D18" s="4" t="str">
        <f>IFERROR(INDEX('Date Key'!$G$2:$G$19, MATCH(F18, 'Date Key'!$A$2:$A$19, 0)), "")</f>
        <v>No</v>
      </c>
      <c r="E18" s="4" t="str">
        <f t="shared" si="1"/>
        <v>tank 2</v>
      </c>
      <c r="F18" s="4">
        <f t="shared" si="2"/>
        <v>4</v>
      </c>
      <c r="G18" s="4">
        <f t="shared" si="22"/>
        <v>1</v>
      </c>
      <c r="H18" s="11" cm="1">
        <f t="array" ref="H18">IFERROR(INDEX('Master Data Sheet'!$1:$1048576, MATCH(1, ('Master Data Sheet'!$H:$H=H$2) * (INDEX('Master Data Sheet'!$1:$1, , MATCH($F$1, 'Master Data Sheet'!$1:$1, 0)) = $F$1) * ('Master Data Sheet'!$G:$G=$B18) * ('Master Data Sheet'!$F:$F=$E18) * ('Master Data Sheet'!$A:$A=$F18), 0), MATCH($F$1, 'Master Data Sheet'!$1:$1, 0)), "")</f>
        <v>8.0223479693431701E-2</v>
      </c>
      <c r="I18" s="11" cm="1">
        <f t="array" ref="I18">IFERROR(INDEX('Master Data Sheet'!$1:$1048576, MATCH(1, ('Master Data Sheet'!$H:$H=I$2) * (INDEX('Master Data Sheet'!$1:$1, , MATCH($F$1, 'Master Data Sheet'!$1:$1, 0)) = $F$1) * ('Master Data Sheet'!$G:$G=$B18) * ('Master Data Sheet'!$F:$F=$E18) * ('Master Data Sheet'!$A:$A=$F18), 0), MATCH($F$1, 'Master Data Sheet'!$1:$1, 0)), "")</f>
        <v>3.008380488503689E-2</v>
      </c>
      <c r="J18" s="11" cm="1">
        <f t="array" ref="J18">IFERROR(INDEX('Master Data Sheet'!$1:$1048576, MATCH(1, ('Master Data Sheet'!$H:$H=J$2) * (INDEX('Master Data Sheet'!$1:$1, , MATCH($F$1, 'Master Data Sheet'!$1:$1, 0)) = $F$1) * ('Master Data Sheet'!$G:$G=$B18) * ('Master Data Sheet'!$F:$F=$E18) * ('Master Data Sheet'!$A:$A=$F18), 0), MATCH($F$1, 'Master Data Sheet'!$1:$1, 0)), "")</f>
        <v>0.30083804885036886</v>
      </c>
      <c r="K18" s="11" cm="1">
        <f t="array" ref="K18">IFERROR(INDEX('Master Data Sheet'!$1:$1048576, MATCH(1, ('Master Data Sheet'!$H:$H=K$2) * (INDEX('Master Data Sheet'!$1:$1, , MATCH($F$1, 'Master Data Sheet'!$1:$1, 0)) = $F$1) * ('Master Data Sheet'!$G:$G=$B18) * ('Master Data Sheet'!$F:$F=$E18) * ('Master Data Sheet'!$A:$A=$F18), 0), MATCH($F$1, 'Master Data Sheet'!$1:$1, 0)), "")</f>
        <v>0.28078217892701096</v>
      </c>
      <c r="L18" s="11" cm="1">
        <f t="array" ref="L18">IFERROR(INDEX('Master Data Sheet'!$1:$1048576, MATCH(1, ('Master Data Sheet'!$H:$H=L$2) * (INDEX('Master Data Sheet'!$1:$1, , MATCH($F$1, 'Master Data Sheet'!$1:$1, 0)) = $F$1) * ('Master Data Sheet'!$G:$G=$B18) * ('Master Data Sheet'!$F:$F=$E18) * ('Master Data Sheet'!$A:$A=$F18), 0), MATCH($F$1, 'Master Data Sheet'!$1:$1, 0)), "")</f>
        <v>0.23064250411861614</v>
      </c>
      <c r="M18" s="11" cm="1">
        <f t="array" ref="M18">IFERROR(INDEX('Master Data Sheet'!$1:$1048576, MATCH(1, ('Master Data Sheet'!$H:$H=M$2) * (INDEX('Master Data Sheet'!$1:$1, , MATCH($F$1, 'Master Data Sheet'!$1:$1, 0)) = $F$1) * ('Master Data Sheet'!$G:$G=$B18) * ('Master Data Sheet'!$F:$F=$E18) * ('Master Data Sheet'!$A:$A=$F18), 0), MATCH($F$1, 'Master Data Sheet'!$1:$1, 0)), "")</f>
        <v>0.17548886182938184</v>
      </c>
      <c r="N18" s="11" cm="1">
        <f t="array" ref="N18">IFERROR(INDEX('Master Data Sheet'!$1:$1048576, MATCH(1, ('Master Data Sheet'!$H:$H=N$2) * (INDEX('Master Data Sheet'!$1:$1, , MATCH($F$1, 'Master Data Sheet'!$1:$1, 0)) = $F$1) * ('Master Data Sheet'!$G:$G=$B18) * ('Master Data Sheet'!$F:$F=$E18) * ('Master Data Sheet'!$A:$A=$F18), 0), MATCH($F$1, 'Master Data Sheet'!$1:$1, 0)), "")</f>
        <v>0.13036315450182651</v>
      </c>
      <c r="O18" s="11">
        <f t="shared" si="8"/>
        <v>0.17548886182938186</v>
      </c>
      <c r="P18" s="11">
        <f t="shared" si="4"/>
        <v>0.10173124614257088</v>
      </c>
      <c r="Q18" s="11">
        <f>AVERAGE(N18:N20)</f>
        <v>0.22370502432495418</v>
      </c>
      <c r="R18" s="46">
        <f>(1-(O18/O12))*100</f>
        <v>-371.15384615384625</v>
      </c>
      <c r="S18" s="46">
        <f>AVERAGE(R18:R20)</f>
        <v>-516.2396878483836</v>
      </c>
      <c r="T18" s="46">
        <f>STDEV(R18:R20)</f>
        <v>307.61388044282882</v>
      </c>
      <c r="U18" s="47">
        <f>(1-(AVERAGE(H18:N20)/AVERAGE(H12:N14)))*100</f>
        <v>-401.37947159223756</v>
      </c>
      <c r="V18" s="47"/>
      <c r="Y18" s="2"/>
      <c r="Z18" s="2"/>
      <c r="AA18" s="2"/>
      <c r="AB18" s="2"/>
      <c r="AC18" s="2"/>
      <c r="AD18" s="2"/>
      <c r="AE18" s="2"/>
      <c r="AF18" s="2"/>
      <c r="AG18" s="2"/>
    </row>
    <row r="19" spans="1:45" x14ac:dyDescent="0.35">
      <c r="A19" s="41">
        <f>IFERROR(INDEX('Date Key'!$B$2:$B$19, MATCH(F19,'Date Key'!$A$2:$A$19, 0)), "")</f>
        <v>45224</v>
      </c>
      <c r="B19" s="4">
        <f t="shared" si="15"/>
        <v>2</v>
      </c>
      <c r="C19" s="26" t="str">
        <f>IFERROR(INDEX('Date Key'!$G$57:$G$62, MATCH(B19,'Date Key'!$A$57:$A$62, 0)), "")</f>
        <v>Medium HLR, Lower Outlet Height, No Plants</v>
      </c>
      <c r="D19" s="4" t="str">
        <f>IFERROR(INDEX('Date Key'!$G$2:$G$19, MATCH(F19, 'Date Key'!$A$2:$A$19, 0)), "")</f>
        <v>No</v>
      </c>
      <c r="E19" s="4" t="str">
        <f t="shared" si="1"/>
        <v>tank 2</v>
      </c>
      <c r="F19" s="4">
        <f t="shared" si="2"/>
        <v>5</v>
      </c>
      <c r="G19" s="4">
        <f t="shared" si="22"/>
        <v>2</v>
      </c>
      <c r="H19" s="11" cm="1">
        <f t="array" ref="H19">IFERROR(INDEX('Master Data Sheet'!$1:$1048576, MATCH(1, ('Master Data Sheet'!$H:$H=H$2) * (INDEX('Master Data Sheet'!$1:$1, , MATCH($F$1, 'Master Data Sheet'!$1:$1, 0)) = $F$1) * ('Master Data Sheet'!$G:$G=$B19) * ('Master Data Sheet'!$F:$F=$E19) * ('Master Data Sheet'!$A:$A=$F19), 0), MATCH($F$1, 'Master Data Sheet'!$1:$1, 0)), "")</f>
        <v>1.5041902442518445E-2</v>
      </c>
      <c r="I19" s="11" cm="1">
        <f t="array" ref="I19">IFERROR(INDEX('Master Data Sheet'!$1:$1048576, MATCH(1, ('Master Data Sheet'!$H:$H=I$2) * (INDEX('Master Data Sheet'!$1:$1, , MATCH($F$1, 'Master Data Sheet'!$1:$1, 0)) = $F$1) * ('Master Data Sheet'!$G:$G=$B19) * ('Master Data Sheet'!$F:$F=$E19) * ('Master Data Sheet'!$A:$A=$F19), 0), MATCH($F$1, 'Master Data Sheet'!$1:$1, 0)), "")</f>
        <v>0</v>
      </c>
      <c r="J19" s="11" cm="1">
        <f t="array" ref="J19">IFERROR(INDEX('Master Data Sheet'!$1:$1048576, MATCH(1, ('Master Data Sheet'!$H:$H=J$2) * (INDEX('Master Data Sheet'!$1:$1, , MATCH($F$1, 'Master Data Sheet'!$1:$1, 0)) = $F$1) * ('Master Data Sheet'!$G:$G=$B19) * ('Master Data Sheet'!$F:$F=$E19) * ('Master Data Sheet'!$A:$A=$F19), 0), MATCH($F$1, 'Master Data Sheet'!$1:$1, 0)), "")</f>
        <v>0.21058663419525822</v>
      </c>
      <c r="K19" s="11" cm="1">
        <f t="array" ref="K19">IFERROR(INDEX('Master Data Sheet'!$1:$1048576, MATCH(1, ('Master Data Sheet'!$H:$H=K$2) * (INDEX('Master Data Sheet'!$1:$1, , MATCH($F$1, 'Master Data Sheet'!$1:$1, 0)) = $F$1) * ('Master Data Sheet'!$G:$G=$B19) * ('Master Data Sheet'!$F:$F=$E19) * ('Master Data Sheet'!$A:$A=$F19), 0), MATCH($F$1, 'Master Data Sheet'!$1:$1, 0)), "")</f>
        <v>0.35097772365876367</v>
      </c>
      <c r="L19" s="11" cm="1">
        <f t="array" ref="L19">IFERROR(INDEX('Master Data Sheet'!$1:$1048576, MATCH(1, ('Master Data Sheet'!$H:$H=L$2) * (INDEX('Master Data Sheet'!$1:$1, , MATCH($F$1, 'Master Data Sheet'!$1:$1, 0)) = $F$1) * ('Master Data Sheet'!$G:$G=$B19) * ('Master Data Sheet'!$F:$F=$E19) * ('Master Data Sheet'!$A:$A=$F19), 0), MATCH($F$1, 'Master Data Sheet'!$1:$1, 0)), "")</f>
        <v>0.1805028293102213</v>
      </c>
      <c r="M19" s="11" cm="1">
        <f t="array" ref="M19">IFERROR(INDEX('Master Data Sheet'!$1:$1048576, MATCH(1, ('Master Data Sheet'!$H:$H=M$2) * (INDEX('Master Data Sheet'!$1:$1, , MATCH($F$1, 'Master Data Sheet'!$1:$1, 0)) = $F$1) * ('Master Data Sheet'!$G:$G=$B19) * ('Master Data Sheet'!$F:$F=$E19) * ('Master Data Sheet'!$A:$A=$F19), 0), MATCH($F$1, 'Master Data Sheet'!$1:$1, 0)), "")</f>
        <v>0.19554473175273973</v>
      </c>
      <c r="N19" s="11" cm="1">
        <f t="array" ref="N19">IFERROR(INDEX('Master Data Sheet'!$1:$1048576, MATCH(1, ('Master Data Sheet'!$H:$H=N$2) * (INDEX('Master Data Sheet'!$1:$1, , MATCH($F$1, 'Master Data Sheet'!$1:$1, 0)) = $F$1) * ('Master Data Sheet'!$G:$G=$B19) * ('Master Data Sheet'!$F:$F=$E19) * ('Master Data Sheet'!$A:$A=$F19), 0), MATCH($F$1, 'Master Data Sheet'!$1:$1, 0)), "")</f>
        <v>0.16546092686770289</v>
      </c>
      <c r="O19" s="11">
        <f t="shared" si="8"/>
        <v>0.15973067831817203</v>
      </c>
      <c r="P19" s="11">
        <f t="shared" si="4"/>
        <v>0.12066306842384629</v>
      </c>
      <c r="Q19" s="11"/>
      <c r="R19" s="46">
        <f>(1-(O19/O13))*100</f>
        <v>-869.56521739130426</v>
      </c>
      <c r="X19" t="str">
        <f>IFERROR(INDEX('Date Key'!$G$57:$G$62, MATCH(B18,'Date Key'!$A$57:$A$62, 0)), "")</f>
        <v>Medium HLR, Lower Outlet Height, No Plants</v>
      </c>
      <c r="Y19" s="1">
        <f t="shared" ref="Y19:AE19" si="23">H18</f>
        <v>8.0223479693431701E-2</v>
      </c>
      <c r="Z19" s="1">
        <f t="shared" si="23"/>
        <v>3.008380488503689E-2</v>
      </c>
      <c r="AA19" s="1">
        <f t="shared" si="23"/>
        <v>0.30083804885036886</v>
      </c>
      <c r="AB19" s="1">
        <f t="shared" si="23"/>
        <v>0.28078217892701096</v>
      </c>
      <c r="AC19" s="1">
        <f t="shared" si="23"/>
        <v>0.23064250411861614</v>
      </c>
      <c r="AD19" s="1">
        <f t="shared" si="23"/>
        <v>0.17548886182938184</v>
      </c>
      <c r="AE19" s="1">
        <f t="shared" si="23"/>
        <v>0.13036315450182651</v>
      </c>
      <c r="AF19" s="1">
        <f t="shared" ref="AF19:AL19" si="24">H19</f>
        <v>1.5041902442518445E-2</v>
      </c>
      <c r="AG19" s="1">
        <f t="shared" si="24"/>
        <v>0</v>
      </c>
      <c r="AH19" s="1">
        <f t="shared" si="24"/>
        <v>0.21058663419525822</v>
      </c>
      <c r="AI19" s="1">
        <f t="shared" si="24"/>
        <v>0.35097772365876367</v>
      </c>
      <c r="AJ19" s="1">
        <f t="shared" si="24"/>
        <v>0.1805028293102213</v>
      </c>
      <c r="AK19" s="1">
        <f t="shared" si="24"/>
        <v>0.19554473175273973</v>
      </c>
      <c r="AL19" s="1">
        <f t="shared" si="24"/>
        <v>0.16546092686770289</v>
      </c>
      <c r="AM19" s="1">
        <f t="shared" ref="AM19:AS19" si="25">H20</f>
        <v>0</v>
      </c>
      <c r="AN19" s="1">
        <f t="shared" si="25"/>
        <v>1.4814118089684202E-2</v>
      </c>
      <c r="AO19" s="1">
        <f t="shared" si="25"/>
        <v>0.24690196816140336</v>
      </c>
      <c r="AP19" s="1">
        <f t="shared" si="25"/>
        <v>0.4345474639640699</v>
      </c>
      <c r="AQ19" s="1">
        <f t="shared" si="25"/>
        <v>0.57775060549768387</v>
      </c>
      <c r="AR19" s="1">
        <f t="shared" si="25"/>
        <v>0.3654149128788769</v>
      </c>
      <c r="AS19" s="1">
        <f t="shared" si="25"/>
        <v>0.37529099160533302</v>
      </c>
    </row>
    <row r="20" spans="1:45" x14ac:dyDescent="0.35">
      <c r="A20" s="42">
        <f>IFERROR(INDEX('Date Key'!$B$2:$B$19, MATCH(F20,'Date Key'!$A$2:$A$19, 0)), "")</f>
        <v>45230</v>
      </c>
      <c r="B20" s="27">
        <f t="shared" si="15"/>
        <v>2</v>
      </c>
      <c r="C20" s="51" t="str">
        <f>IFERROR(INDEX('Date Key'!$G$57:$G$62, MATCH(B20,'Date Key'!$A$57:$A$62, 0)), "")</f>
        <v>Medium HLR, Lower Outlet Height, No Plants</v>
      </c>
      <c r="D20" s="27" t="str">
        <f>IFERROR(INDEX('Date Key'!$G$2:$G$19, MATCH(F20, 'Date Key'!$A$2:$A$19, 0)), "")</f>
        <v>Yes</v>
      </c>
      <c r="E20" s="27" t="str">
        <f t="shared" si="1"/>
        <v>tank 2</v>
      </c>
      <c r="F20" s="27">
        <f t="shared" si="2"/>
        <v>6</v>
      </c>
      <c r="G20" s="27">
        <f t="shared" si="22"/>
        <v>3</v>
      </c>
      <c r="H20" s="28" cm="1">
        <f t="array" ref="H20">IFERROR(INDEX('Master Data Sheet'!$1:$1048576, MATCH(1, ('Master Data Sheet'!$H:$H=H$2) * (INDEX('Master Data Sheet'!$1:$1, , MATCH($F$1, 'Master Data Sheet'!$1:$1, 0)) = $F$1) * ('Master Data Sheet'!$G:$G=$B20) * ('Master Data Sheet'!$F:$F=$E20) * ('Master Data Sheet'!$A:$A=$F20), 0), MATCH($F$1, 'Master Data Sheet'!$1:$1, 0)), "")</f>
        <v>0</v>
      </c>
      <c r="I20" s="28" cm="1">
        <f t="array" ref="I20">IFERROR(INDEX('Master Data Sheet'!$1:$1048576, MATCH(1, ('Master Data Sheet'!$H:$H=I$2) * (INDEX('Master Data Sheet'!$1:$1, , MATCH($F$1, 'Master Data Sheet'!$1:$1, 0)) = $F$1) * ('Master Data Sheet'!$G:$G=$B20) * ('Master Data Sheet'!$F:$F=$E20) * ('Master Data Sheet'!$A:$A=$F20), 0), MATCH($F$1, 'Master Data Sheet'!$1:$1, 0)), "")</f>
        <v>1.4814118089684202E-2</v>
      </c>
      <c r="J20" s="28" cm="1">
        <f t="array" ref="J20">IFERROR(INDEX('Master Data Sheet'!$1:$1048576, MATCH(1, ('Master Data Sheet'!$H:$H=J$2) * (INDEX('Master Data Sheet'!$1:$1, , MATCH($F$1, 'Master Data Sheet'!$1:$1, 0)) = $F$1) * ('Master Data Sheet'!$G:$G=$B20) * ('Master Data Sheet'!$F:$F=$E20) * ('Master Data Sheet'!$A:$A=$F20), 0), MATCH($F$1, 'Master Data Sheet'!$1:$1, 0)), "")</f>
        <v>0.24690196816140336</v>
      </c>
      <c r="K20" s="28" cm="1">
        <f t="array" ref="K20">IFERROR(INDEX('Master Data Sheet'!$1:$1048576, MATCH(1, ('Master Data Sheet'!$H:$H=K$2) * (INDEX('Master Data Sheet'!$1:$1, , MATCH($F$1, 'Master Data Sheet'!$1:$1, 0)) = $F$1) * ('Master Data Sheet'!$G:$G=$B20) * ('Master Data Sheet'!$F:$F=$E20) * ('Master Data Sheet'!$A:$A=$F20), 0), MATCH($F$1, 'Master Data Sheet'!$1:$1, 0)), "")</f>
        <v>0.4345474639640699</v>
      </c>
      <c r="L20" s="28" cm="1">
        <f t="array" ref="L20">IFERROR(INDEX('Master Data Sheet'!$1:$1048576, MATCH(1, ('Master Data Sheet'!$H:$H=L$2) * (INDEX('Master Data Sheet'!$1:$1, , MATCH($F$1, 'Master Data Sheet'!$1:$1, 0)) = $F$1) * ('Master Data Sheet'!$G:$G=$B20) * ('Master Data Sheet'!$F:$F=$E20) * ('Master Data Sheet'!$A:$A=$F20), 0), MATCH($F$1, 'Master Data Sheet'!$1:$1, 0)), "")</f>
        <v>0.57775060549768387</v>
      </c>
      <c r="M20" s="28" cm="1">
        <f t="array" ref="M20">IFERROR(INDEX('Master Data Sheet'!$1:$1048576, MATCH(1, ('Master Data Sheet'!$H:$H=M$2) * (INDEX('Master Data Sheet'!$1:$1, , MATCH($F$1, 'Master Data Sheet'!$1:$1, 0)) = $F$1) * ('Master Data Sheet'!$G:$G=$B20) * ('Master Data Sheet'!$F:$F=$E20) * ('Master Data Sheet'!$A:$A=$F20), 0), MATCH($F$1, 'Master Data Sheet'!$1:$1, 0)), "")</f>
        <v>0.3654149128788769</v>
      </c>
      <c r="N20" s="28" cm="1">
        <f t="array" ref="N20">IFERROR(INDEX('Master Data Sheet'!$1:$1048576, MATCH(1, ('Master Data Sheet'!$H:$H=N$2) * (INDEX('Master Data Sheet'!$1:$1, , MATCH($F$1, 'Master Data Sheet'!$1:$1, 0)) = $F$1) * ('Master Data Sheet'!$G:$G=$B20) * ('Master Data Sheet'!$F:$F=$E20) * ('Master Data Sheet'!$A:$A=$F20), 0), MATCH($F$1, 'Master Data Sheet'!$1:$1, 0)), "")</f>
        <v>0.37529099160533302</v>
      </c>
      <c r="O20" s="28">
        <f t="shared" si="8"/>
        <v>0.28781715145672165</v>
      </c>
      <c r="P20" s="28">
        <f t="shared" si="4"/>
        <v>0.21537088119221068</v>
      </c>
      <c r="Q20" s="28"/>
      <c r="R20" s="48">
        <f>(1-(O20/O14))*100</f>
        <v>-308.00000000000011</v>
      </c>
      <c r="S20" s="27"/>
      <c r="T20" s="27"/>
      <c r="U20" s="27"/>
      <c r="V20" s="27"/>
    </row>
    <row r="21" spans="1:45" x14ac:dyDescent="0.35">
      <c r="A21" s="41">
        <f>IFERROR(INDEX('Date Key'!$B$2:$B$19, MATCH(F21,'Date Key'!$A$2:$A$19, 0)), "")</f>
        <v>45233</v>
      </c>
      <c r="B21" s="4">
        <f t="shared" si="15"/>
        <v>3</v>
      </c>
      <c r="C21" s="26" t="str">
        <f>IFERROR(INDEX('Date Key'!$G$57:$G$62, MATCH(B21,'Date Key'!$A$57:$A$62, 0)), "")</f>
        <v>High HLR, Lower Outlet Height, No Plants</v>
      </c>
      <c r="D21" s="4" t="str">
        <f>IFERROR(INDEX('Date Key'!$G$2:$G$19, MATCH(F21, 'Date Key'!$A$2:$A$19, 0)), "")</f>
        <v>No</v>
      </c>
      <c r="E21" s="4" t="str">
        <f t="shared" si="1"/>
        <v>in</v>
      </c>
      <c r="F21" s="4">
        <f t="shared" si="2"/>
        <v>7</v>
      </c>
      <c r="G21" s="4">
        <f t="shared" si="22"/>
        <v>1</v>
      </c>
      <c r="H21" s="11" cm="1">
        <f t="array" ref="H21">IFERROR(INDEX('Master Data Sheet'!$1:$1048576, MATCH(1, ('Master Data Sheet'!$H:$H=H$2) * (INDEX('Master Data Sheet'!$1:$1, , MATCH($F$1, 'Master Data Sheet'!$1:$1, 0)) = $F$1) * ('Master Data Sheet'!$G:$G=$B21) * ('Master Data Sheet'!$F:$F=$E21) * ('Master Data Sheet'!$A:$A=$F21), 0), MATCH($F$1, 'Master Data Sheet'!$1:$1, 0)), "")</f>
        <v>3.4566275542596468E-2</v>
      </c>
      <c r="I21" s="11" cm="1">
        <f t="array" ref="I21">IFERROR(INDEX('Master Data Sheet'!$1:$1048576, MATCH(1, ('Master Data Sheet'!$H:$H=I$2) * (INDEX('Master Data Sheet'!$1:$1, , MATCH($F$1, 'Master Data Sheet'!$1:$1, 0)) = $F$1) * ('Master Data Sheet'!$G:$G=$B21) * ('Master Data Sheet'!$F:$F=$E21) * ('Master Data Sheet'!$A:$A=$F21), 0), MATCH($F$1, 'Master Data Sheet'!$1:$1, 0)), "")</f>
        <v>4.4442354269052589E-2</v>
      </c>
      <c r="J21" s="11" cm="1">
        <f t="array" ref="J21">IFERROR(INDEX('Master Data Sheet'!$1:$1048576, MATCH(1, ('Master Data Sheet'!$H:$H=J$2) * (INDEX('Master Data Sheet'!$1:$1, , MATCH($F$1, 'Master Data Sheet'!$1:$1, 0)) = $F$1) * ('Master Data Sheet'!$G:$G=$B21) * ('Master Data Sheet'!$F:$F=$E21) * ('Master Data Sheet'!$A:$A=$F21), 0), MATCH($F$1, 'Master Data Sheet'!$1:$1, 0)), "")</f>
        <v>3.9504314905824532E-2</v>
      </c>
      <c r="K21" s="11" cm="1">
        <f t="array" ref="K21">IFERROR(INDEX('Master Data Sheet'!$1:$1048576, MATCH(1, ('Master Data Sheet'!$H:$H=K$2) * (INDEX('Master Data Sheet'!$1:$1, , MATCH($F$1, 'Master Data Sheet'!$1:$1, 0)) = $F$1) * ('Master Data Sheet'!$G:$G=$B21) * ('Master Data Sheet'!$F:$F=$E21) * ('Master Data Sheet'!$A:$A=$F21), 0), MATCH($F$1, 'Master Data Sheet'!$1:$1, 0)), "")</f>
        <v>3.4566275542596468E-2</v>
      </c>
      <c r="L21" s="11" cm="1">
        <f t="array" ref="L21">IFERROR(INDEX('Master Data Sheet'!$1:$1048576, MATCH(1, ('Master Data Sheet'!$H:$H=L$2) * (INDEX('Master Data Sheet'!$1:$1, , MATCH($F$1, 'Master Data Sheet'!$1:$1, 0)) = $F$1) * ('Master Data Sheet'!$G:$G=$B21) * ('Master Data Sheet'!$F:$F=$E21) * ('Master Data Sheet'!$A:$A=$F21), 0), MATCH($F$1, 'Master Data Sheet'!$1:$1, 0)), "")</f>
        <v>3.4566275542596468E-2</v>
      </c>
      <c r="M21" s="11" cm="1">
        <f t="array" ref="M21">IFERROR(INDEX('Master Data Sheet'!$1:$1048576, MATCH(1, ('Master Data Sheet'!$H:$H=M$2) * (INDEX('Master Data Sheet'!$1:$1, , MATCH($F$1, 'Master Data Sheet'!$1:$1, 0)) = $F$1) * ('Master Data Sheet'!$G:$G=$B21) * ('Master Data Sheet'!$F:$F=$E21) * ('Master Data Sheet'!$A:$A=$F21), 0), MATCH($F$1, 'Master Data Sheet'!$1:$1, 0)), "")</f>
        <v>3.4566275542596468E-2</v>
      </c>
      <c r="N21" s="11" cm="1">
        <f t="array" ref="N21">IFERROR(INDEX('Master Data Sheet'!$1:$1048576, MATCH(1, ('Master Data Sheet'!$H:$H=N$2) * (INDEX('Master Data Sheet'!$1:$1, , MATCH($F$1, 'Master Data Sheet'!$1:$1, 0)) = $F$1) * ('Master Data Sheet'!$G:$G=$B21) * ('Master Data Sheet'!$F:$F=$E21) * ('Master Data Sheet'!$A:$A=$F21), 0), MATCH($F$1, 'Master Data Sheet'!$1:$1, 0)), "")</f>
        <v>2.9628236179368404E-2</v>
      </c>
      <c r="O21" s="11">
        <f t="shared" si="8"/>
        <v>3.5977143932090207E-2</v>
      </c>
      <c r="P21" s="11">
        <f t="shared" si="4"/>
        <v>4.6970123346199259E-3</v>
      </c>
      <c r="Q21" s="11">
        <f>AVERAGE(O21:O23)</f>
        <v>3.8563735979495382E-2</v>
      </c>
      <c r="S21" s="11">
        <f>AVERAGE(O21:O23)</f>
        <v>3.8563735979495382E-2</v>
      </c>
      <c r="T21" s="11">
        <f>AVERAGE(P21:P23)</f>
        <v>2.1878052600804178E-3</v>
      </c>
      <c r="V21" s="47">
        <f>AVERAGE(U24, U27)</f>
        <v>-104.26829268292681</v>
      </c>
      <c r="X21" t="s">
        <v>343</v>
      </c>
    </row>
    <row r="22" spans="1:45" x14ac:dyDescent="0.35">
      <c r="A22" s="41">
        <f>IFERROR(INDEX('Date Key'!$B$2:$B$19, MATCH(F22,'Date Key'!$A$2:$A$19, 0)), "")</f>
        <v>45238</v>
      </c>
      <c r="B22" s="4">
        <f t="shared" si="15"/>
        <v>3</v>
      </c>
      <c r="C22" s="26" t="str">
        <f>IFERROR(INDEX('Date Key'!$G$57:$G$62, MATCH(B22,'Date Key'!$A$57:$A$62, 0)), "")</f>
        <v>High HLR, Lower Outlet Height, No Plants</v>
      </c>
      <c r="D22" s="4" t="str">
        <f>IFERROR(INDEX('Date Key'!$G$2:$G$19, MATCH(F22, 'Date Key'!$A$2:$A$19, 0)), "")</f>
        <v>No</v>
      </c>
      <c r="E22" s="4" t="str">
        <f t="shared" si="1"/>
        <v>in</v>
      </c>
      <c r="F22" s="4">
        <f t="shared" si="2"/>
        <v>8</v>
      </c>
      <c r="G22" s="4">
        <f t="shared" si="22"/>
        <v>2</v>
      </c>
      <c r="H22" s="11" cm="1">
        <f t="array" ref="H22">IFERROR(INDEX('Master Data Sheet'!$1:$1048576, MATCH(1, ('Master Data Sheet'!$H:$H=H$2) * (INDEX('Master Data Sheet'!$1:$1, , MATCH($F$1, 'Master Data Sheet'!$1:$1, 0)) = $F$1) * ('Master Data Sheet'!$G:$G=$B22) * ('Master Data Sheet'!$F:$F=$E22) * ('Master Data Sheet'!$A:$A=$F22), 0), MATCH($F$1, 'Master Data Sheet'!$1:$1, 0)), "")</f>
        <v>2.469019681614033E-2</v>
      </c>
      <c r="I22" s="11" cm="1">
        <f t="array" ref="I22">IFERROR(INDEX('Master Data Sheet'!$1:$1048576, MATCH(1, ('Master Data Sheet'!$H:$H=I$2) * (INDEX('Master Data Sheet'!$1:$1, , MATCH($F$1, 'Master Data Sheet'!$1:$1, 0)) = $F$1) * ('Master Data Sheet'!$G:$G=$B22) * ('Master Data Sheet'!$F:$F=$E22) * ('Master Data Sheet'!$A:$A=$F22), 0), MATCH($F$1, 'Master Data Sheet'!$1:$1, 0)), "")</f>
        <v>2.469019681614033E-2</v>
      </c>
      <c r="J22" s="11" cm="1">
        <f t="array" ref="J22">IFERROR(INDEX('Master Data Sheet'!$1:$1048576, MATCH(1, ('Master Data Sheet'!$H:$H=J$2) * (INDEX('Master Data Sheet'!$1:$1, , MATCH($F$1, 'Master Data Sheet'!$1:$1, 0)) = $F$1) * ('Master Data Sheet'!$G:$G=$B22) * ('Master Data Sheet'!$F:$F=$E22) * ('Master Data Sheet'!$A:$A=$F22), 0), MATCH($F$1, 'Master Data Sheet'!$1:$1, 0)), "")</f>
        <v>2.469019681614033E-2</v>
      </c>
      <c r="K22" s="11" cm="1">
        <f t="array" ref="K22">IFERROR(INDEX('Master Data Sheet'!$1:$1048576, MATCH(1, ('Master Data Sheet'!$H:$H=K$2) * (INDEX('Master Data Sheet'!$1:$1, , MATCH($F$1, 'Master Data Sheet'!$1:$1, 0)) = $F$1) * ('Master Data Sheet'!$G:$G=$B22) * ('Master Data Sheet'!$F:$F=$E22) * ('Master Data Sheet'!$A:$A=$F22), 0), MATCH($F$1, 'Master Data Sheet'!$1:$1, 0)), "")</f>
        <v>2.469019681614033E-2</v>
      </c>
      <c r="L22" s="11" cm="1">
        <f t="array" ref="L22">IFERROR(INDEX('Master Data Sheet'!$1:$1048576, MATCH(1, ('Master Data Sheet'!$H:$H=L$2) * (INDEX('Master Data Sheet'!$1:$1, , MATCH($F$1, 'Master Data Sheet'!$1:$1, 0)) = $F$1) * ('Master Data Sheet'!$G:$G=$B22) * ('Master Data Sheet'!$F:$F=$E22) * ('Master Data Sheet'!$A:$A=$F22), 0), MATCH($F$1, 'Master Data Sheet'!$1:$1, 0)), "")</f>
        <v>2.9628236179368404E-2</v>
      </c>
      <c r="M22" s="11" cm="1">
        <f t="array" ref="M22">IFERROR(INDEX('Master Data Sheet'!$1:$1048576, MATCH(1, ('Master Data Sheet'!$H:$H=M$2) * (INDEX('Master Data Sheet'!$1:$1, , MATCH($F$1, 'Master Data Sheet'!$1:$1, 0)) = $F$1) * ('Master Data Sheet'!$G:$G=$B22) * ('Master Data Sheet'!$F:$F=$E22) * ('Master Data Sheet'!$A:$A=$F22), 0), MATCH($F$1, 'Master Data Sheet'!$1:$1, 0)), "")</f>
        <v>2.469019681614033E-2</v>
      </c>
      <c r="N22" s="11" cm="1">
        <f t="array" ref="N22">IFERROR(INDEX('Master Data Sheet'!$1:$1048576, MATCH(1, ('Master Data Sheet'!$H:$H=N$2) * (INDEX('Master Data Sheet'!$1:$1, , MATCH($F$1, 'Master Data Sheet'!$1:$1, 0)) = $F$1) * ('Master Data Sheet'!$G:$G=$B22) * ('Master Data Sheet'!$F:$F=$E22) * ('Master Data Sheet'!$A:$A=$F22), 0), MATCH($F$1, 'Master Data Sheet'!$1:$1, 0)), "")</f>
        <v>2.469019681614033E-2</v>
      </c>
      <c r="O22" s="11">
        <f t="shared" si="8"/>
        <v>2.5395631010887192E-2</v>
      </c>
      <c r="P22" s="11">
        <f t="shared" si="4"/>
        <v>1.8664034456213191E-3</v>
      </c>
      <c r="Q22" s="11"/>
      <c r="X22" t="str">
        <f>IFERROR(INDEX('Date Key'!$G$57:$G$62, MATCH(B21,'Date Key'!$A$57:$A$62, 0)), "")</f>
        <v>High HLR, Lower Outlet Height, No Plants</v>
      </c>
      <c r="Y22" s="1">
        <f t="shared" ref="Y22:AE22" si="26">H21</f>
        <v>3.4566275542596468E-2</v>
      </c>
      <c r="Z22" s="1">
        <f t="shared" si="26"/>
        <v>4.4442354269052589E-2</v>
      </c>
      <c r="AA22" s="1">
        <f t="shared" si="26"/>
        <v>3.9504314905824532E-2</v>
      </c>
      <c r="AB22" s="1">
        <f t="shared" si="26"/>
        <v>3.4566275542596468E-2</v>
      </c>
      <c r="AC22" s="1">
        <f t="shared" si="26"/>
        <v>3.4566275542596468E-2</v>
      </c>
      <c r="AD22" s="1">
        <f t="shared" si="26"/>
        <v>3.4566275542596468E-2</v>
      </c>
      <c r="AE22" s="1">
        <f t="shared" si="26"/>
        <v>2.9628236179368404E-2</v>
      </c>
      <c r="AF22" s="1">
        <f t="shared" ref="AF22:AL22" si="27">H22</f>
        <v>2.469019681614033E-2</v>
      </c>
      <c r="AG22" s="1">
        <f t="shared" si="27"/>
        <v>2.469019681614033E-2</v>
      </c>
      <c r="AH22" s="1">
        <f t="shared" si="27"/>
        <v>2.469019681614033E-2</v>
      </c>
      <c r="AI22" s="1">
        <f t="shared" si="27"/>
        <v>2.469019681614033E-2</v>
      </c>
      <c r="AJ22" s="1">
        <f t="shared" si="27"/>
        <v>2.9628236179368404E-2</v>
      </c>
      <c r="AK22" s="1">
        <f t="shared" si="27"/>
        <v>2.469019681614033E-2</v>
      </c>
      <c r="AL22" s="1">
        <f t="shared" si="27"/>
        <v>2.469019681614033E-2</v>
      </c>
      <c r="AM22" s="1">
        <f t="shared" ref="AM22:AS22" si="28">H23</f>
        <v>5.4318432995508738E-2</v>
      </c>
      <c r="AN22" s="1">
        <f t="shared" si="28"/>
        <v>5.4318432995508738E-2</v>
      </c>
      <c r="AO22" s="1">
        <f t="shared" si="28"/>
        <v>5.4318432995508738E-2</v>
      </c>
      <c r="AP22" s="1">
        <f t="shared" si="28"/>
        <v>5.4318432995508738E-2</v>
      </c>
      <c r="AQ22" s="1">
        <f t="shared" si="28"/>
        <v>5.4318432995508738E-2</v>
      </c>
      <c r="AR22" s="1">
        <f t="shared" si="28"/>
        <v>5.4318432995508738E-2</v>
      </c>
      <c r="AS22" s="1">
        <f t="shared" si="28"/>
        <v>5.4318432995508738E-2</v>
      </c>
    </row>
    <row r="23" spans="1:45" x14ac:dyDescent="0.35">
      <c r="A23" s="41">
        <f>IFERROR(INDEX('Date Key'!$B$2:$B$19, MATCH(F23,'Date Key'!$A$2:$A$19, 0)), "")</f>
        <v>45246</v>
      </c>
      <c r="B23" s="4">
        <f t="shared" si="15"/>
        <v>3</v>
      </c>
      <c r="C23" s="26" t="str">
        <f>IFERROR(INDEX('Date Key'!$G$57:$G$62, MATCH(B23,'Date Key'!$A$57:$A$62, 0)), "")</f>
        <v>High HLR, Lower Outlet Height, No Plants</v>
      </c>
      <c r="D23" s="4" t="str">
        <f>IFERROR(INDEX('Date Key'!$G$2:$G$19, MATCH(F23, 'Date Key'!$A$2:$A$19, 0)), "")</f>
        <v>Yes</v>
      </c>
      <c r="E23" s="4" t="str">
        <f t="shared" si="1"/>
        <v>in</v>
      </c>
      <c r="F23" s="4">
        <f t="shared" si="2"/>
        <v>9</v>
      </c>
      <c r="G23" s="4">
        <f t="shared" si="22"/>
        <v>3</v>
      </c>
      <c r="H23" s="11" cm="1">
        <f t="array" ref="H23">IFERROR(INDEX('Master Data Sheet'!$1:$1048576, MATCH(1, ('Master Data Sheet'!$H:$H=H$2) * (INDEX('Master Data Sheet'!$1:$1, , MATCH($F$1, 'Master Data Sheet'!$1:$1, 0)) = $F$1) * ('Master Data Sheet'!$G:$G=$B23) * ('Master Data Sheet'!$F:$F=$E23) * ('Master Data Sheet'!$A:$A=$F23), 0), MATCH($F$1, 'Master Data Sheet'!$1:$1, 0)), "")</f>
        <v>5.4318432995508738E-2</v>
      </c>
      <c r="I23" s="11" cm="1">
        <f t="array" ref="I23">IFERROR(INDEX('Master Data Sheet'!$1:$1048576, MATCH(1, ('Master Data Sheet'!$H:$H=I$2) * (INDEX('Master Data Sheet'!$1:$1, , MATCH($F$1, 'Master Data Sheet'!$1:$1, 0)) = $F$1) * ('Master Data Sheet'!$G:$G=$B23) * ('Master Data Sheet'!$F:$F=$E23) * ('Master Data Sheet'!$A:$A=$F23), 0), MATCH($F$1, 'Master Data Sheet'!$1:$1, 0)), "")</f>
        <v>5.4318432995508738E-2</v>
      </c>
      <c r="J23" s="11" cm="1">
        <f t="array" ref="J23">IFERROR(INDEX('Master Data Sheet'!$1:$1048576, MATCH(1, ('Master Data Sheet'!$H:$H=J$2) * (INDEX('Master Data Sheet'!$1:$1, , MATCH($F$1, 'Master Data Sheet'!$1:$1, 0)) = $F$1) * ('Master Data Sheet'!$G:$G=$B23) * ('Master Data Sheet'!$F:$F=$E23) * ('Master Data Sheet'!$A:$A=$F23), 0), MATCH($F$1, 'Master Data Sheet'!$1:$1, 0)), "")</f>
        <v>5.4318432995508738E-2</v>
      </c>
      <c r="K23" s="11" cm="1">
        <f t="array" ref="K23">IFERROR(INDEX('Master Data Sheet'!$1:$1048576, MATCH(1, ('Master Data Sheet'!$H:$H=K$2) * (INDEX('Master Data Sheet'!$1:$1, , MATCH($F$1, 'Master Data Sheet'!$1:$1, 0)) = $F$1) * ('Master Data Sheet'!$G:$G=$B23) * ('Master Data Sheet'!$F:$F=$E23) * ('Master Data Sheet'!$A:$A=$F23), 0), MATCH($F$1, 'Master Data Sheet'!$1:$1, 0)), "")</f>
        <v>5.4318432995508738E-2</v>
      </c>
      <c r="L23" s="11" cm="1">
        <f t="array" ref="L23">IFERROR(INDEX('Master Data Sheet'!$1:$1048576, MATCH(1, ('Master Data Sheet'!$H:$H=L$2) * (INDEX('Master Data Sheet'!$1:$1, , MATCH($F$1, 'Master Data Sheet'!$1:$1, 0)) = $F$1) * ('Master Data Sheet'!$G:$G=$B23) * ('Master Data Sheet'!$F:$F=$E23) * ('Master Data Sheet'!$A:$A=$F23), 0), MATCH($F$1, 'Master Data Sheet'!$1:$1, 0)), "")</f>
        <v>5.4318432995508738E-2</v>
      </c>
      <c r="M23" s="11" cm="1">
        <f t="array" ref="M23">IFERROR(INDEX('Master Data Sheet'!$1:$1048576, MATCH(1, ('Master Data Sheet'!$H:$H=M$2) * (INDEX('Master Data Sheet'!$1:$1, , MATCH($F$1, 'Master Data Sheet'!$1:$1, 0)) = $F$1) * ('Master Data Sheet'!$G:$G=$B23) * ('Master Data Sheet'!$F:$F=$E23) * ('Master Data Sheet'!$A:$A=$F23), 0), MATCH($F$1, 'Master Data Sheet'!$1:$1, 0)), "")</f>
        <v>5.4318432995508738E-2</v>
      </c>
      <c r="N23" s="11" cm="1">
        <f t="array" ref="N23">IFERROR(INDEX('Master Data Sheet'!$1:$1048576, MATCH(1, ('Master Data Sheet'!$H:$H=N$2) * (INDEX('Master Data Sheet'!$1:$1, , MATCH($F$1, 'Master Data Sheet'!$1:$1, 0)) = $F$1) * ('Master Data Sheet'!$G:$G=$B23) * ('Master Data Sheet'!$F:$F=$E23) * ('Master Data Sheet'!$A:$A=$F23), 0), MATCH($F$1, 'Master Data Sheet'!$1:$1, 0)), "")</f>
        <v>5.4318432995508738E-2</v>
      </c>
      <c r="O23" s="11">
        <f t="shared" si="8"/>
        <v>5.4318432995508745E-2</v>
      </c>
      <c r="P23" s="11">
        <f t="shared" si="4"/>
        <v>7.4948620208309632E-18</v>
      </c>
      <c r="Q23" s="11"/>
      <c r="Y23" s="1"/>
      <c r="Z23" s="1"/>
      <c r="AA23" s="1"/>
      <c r="AB23" s="1"/>
      <c r="AC23" s="1"/>
      <c r="AD23" s="1"/>
      <c r="AE23" s="1"/>
      <c r="AF23" s="1"/>
      <c r="AG23" s="1"/>
      <c r="AH23" s="1"/>
      <c r="AI23" s="1"/>
      <c r="AJ23" s="1"/>
      <c r="AK23" s="1"/>
      <c r="AL23" s="1"/>
      <c r="AM23" s="1"/>
      <c r="AN23" s="1"/>
      <c r="AO23" s="1"/>
      <c r="AP23" s="1"/>
      <c r="AQ23" s="1"/>
      <c r="AR23" s="1"/>
      <c r="AS23" s="1"/>
    </row>
    <row r="24" spans="1:45" x14ac:dyDescent="0.35">
      <c r="A24" s="41">
        <f>IFERROR(INDEX('Date Key'!$B$2:$B$19, MATCH(F24,'Date Key'!$A$2:$A$19, 0)), "")</f>
        <v>45233</v>
      </c>
      <c r="B24" s="4">
        <f t="shared" si="15"/>
        <v>3</v>
      </c>
      <c r="C24" s="26" t="str">
        <f>IFERROR(INDEX('Date Key'!$G$57:$G$62, MATCH(B24,'Date Key'!$A$57:$A$62, 0)), "")</f>
        <v>High HLR, Lower Outlet Height, No Plants</v>
      </c>
      <c r="D24" s="4" t="str">
        <f>IFERROR(INDEX('Date Key'!$G$2:$G$19, MATCH(F24, 'Date Key'!$A$2:$A$19, 0)), "")</f>
        <v>No</v>
      </c>
      <c r="E24" s="4" t="str">
        <f t="shared" si="1"/>
        <v>tank 1</v>
      </c>
      <c r="F24" s="4">
        <f t="shared" si="2"/>
        <v>7</v>
      </c>
      <c r="G24" s="4">
        <f t="shared" si="22"/>
        <v>1</v>
      </c>
      <c r="H24" s="11" cm="1">
        <f t="array" ref="H24">IFERROR(INDEX('Master Data Sheet'!$1:$1048576, MATCH(1, ('Master Data Sheet'!$H:$H=H$2) * (INDEX('Master Data Sheet'!$1:$1, , MATCH($F$1, 'Master Data Sheet'!$1:$1, 0)) = $F$1) * ('Master Data Sheet'!$G:$G=$B24) * ('Master Data Sheet'!$F:$F=$E24) * ('Master Data Sheet'!$A:$A=$F24), 0), MATCH($F$1, 'Master Data Sheet'!$1:$1, 0)), "")</f>
        <v>1.9752157452912266E-2</v>
      </c>
      <c r="I24" s="11" cm="1">
        <f t="array" ref="I24">IFERROR(INDEX('Master Data Sheet'!$1:$1048576, MATCH(1, ('Master Data Sheet'!$H:$H=I$2) * (INDEX('Master Data Sheet'!$1:$1, , MATCH($F$1, 'Master Data Sheet'!$1:$1, 0)) = $F$1) * ('Master Data Sheet'!$G:$G=$B24) * ('Master Data Sheet'!$F:$F=$E24) * ('Master Data Sheet'!$A:$A=$F24), 0), MATCH($F$1, 'Master Data Sheet'!$1:$1, 0)), "")</f>
        <v>1.4814118089684202E-2</v>
      </c>
      <c r="J24" s="11" cm="1">
        <f t="array" ref="J24">IFERROR(INDEX('Master Data Sheet'!$1:$1048576, MATCH(1, ('Master Data Sheet'!$H:$H=J$2) * (INDEX('Master Data Sheet'!$1:$1, , MATCH($F$1, 'Master Data Sheet'!$1:$1, 0)) = $F$1) * ('Master Data Sheet'!$G:$G=$B24) * ('Master Data Sheet'!$F:$F=$E24) * ('Master Data Sheet'!$A:$A=$F24), 0), MATCH($F$1, 'Master Data Sheet'!$1:$1, 0)), "")</f>
        <v>2.469019681614033E-2</v>
      </c>
      <c r="K24" s="11" cm="1">
        <f t="array" ref="K24">IFERROR(INDEX('Master Data Sheet'!$1:$1048576, MATCH(1, ('Master Data Sheet'!$H:$H=K$2) * (INDEX('Master Data Sheet'!$1:$1, , MATCH($F$1, 'Master Data Sheet'!$1:$1, 0)) = $F$1) * ('Master Data Sheet'!$G:$G=$B24) * ('Master Data Sheet'!$F:$F=$E24) * ('Master Data Sheet'!$A:$A=$F24), 0), MATCH($F$1, 'Master Data Sheet'!$1:$1, 0)), "")</f>
        <v>3.9504314905824532E-2</v>
      </c>
      <c r="L24" s="11" cm="1">
        <f t="array" ref="L24">IFERROR(INDEX('Master Data Sheet'!$1:$1048576, MATCH(1, ('Master Data Sheet'!$H:$H=L$2) * (INDEX('Master Data Sheet'!$1:$1, , MATCH($F$1, 'Master Data Sheet'!$1:$1, 0)) = $F$1) * ('Master Data Sheet'!$G:$G=$B24) * ('Master Data Sheet'!$F:$F=$E24) * ('Master Data Sheet'!$A:$A=$F24), 0), MATCH($F$1, 'Master Data Sheet'!$1:$1, 0)), "")</f>
        <v>1.9752157452912266E-2</v>
      </c>
      <c r="M24" s="11" cm="1">
        <f t="array" ref="M24">IFERROR(INDEX('Master Data Sheet'!$1:$1048576, MATCH(1, ('Master Data Sheet'!$H:$H=M$2) * (INDEX('Master Data Sheet'!$1:$1, , MATCH($F$1, 'Master Data Sheet'!$1:$1, 0)) = $F$1) * ('Master Data Sheet'!$G:$G=$B24) * ('Master Data Sheet'!$F:$F=$E24) * ('Master Data Sheet'!$A:$A=$F24), 0), MATCH($F$1, 'Master Data Sheet'!$1:$1, 0)), "")</f>
        <v>0.10863686599101748</v>
      </c>
      <c r="N24" s="11" cm="1">
        <f t="array" ref="N24">IFERROR(INDEX('Master Data Sheet'!$1:$1048576, MATCH(1, ('Master Data Sheet'!$H:$H=N$2) * (INDEX('Master Data Sheet'!$1:$1, , MATCH($F$1, 'Master Data Sheet'!$1:$1, 0)) = $F$1) * ('Master Data Sheet'!$G:$G=$B24) * ('Master Data Sheet'!$F:$F=$E24) * ('Master Data Sheet'!$A:$A=$F24), 0), MATCH($F$1, 'Master Data Sheet'!$1:$1, 0)), "")</f>
        <v>0.11357490535424555</v>
      </c>
      <c r="O24" s="11">
        <f t="shared" si="8"/>
        <v>4.8674959437533805E-2</v>
      </c>
      <c r="P24" s="11">
        <f t="shared" si="4"/>
        <v>4.3371296773172995E-2</v>
      </c>
      <c r="Q24" s="11">
        <f>AVERAGE(O24:O26)</f>
        <v>9.0295576927598931E-2</v>
      </c>
      <c r="R24" s="46">
        <f>(1-(O24/O21))*100</f>
        <v>-35.294117647058812</v>
      </c>
      <c r="S24" s="46">
        <f>AVERAGE(R24:R26)</f>
        <v>-122.38279150043854</v>
      </c>
      <c r="T24" s="46">
        <f>STDEV(R24:R26)</f>
        <v>83.303517348094317</v>
      </c>
      <c r="U24" s="47">
        <f>(1-(AVERAGE(H24:N26)/AVERAGE(H21:N23)))*100</f>
        <v>-134.14634146341461</v>
      </c>
      <c r="V24" s="47"/>
      <c r="Y24" s="2"/>
      <c r="Z24" s="2"/>
      <c r="AA24" s="2"/>
      <c r="AB24" s="2"/>
      <c r="AC24" s="2"/>
      <c r="AD24" s="2"/>
      <c r="AE24" s="2"/>
      <c r="AF24" s="2"/>
      <c r="AG24" s="2"/>
    </row>
    <row r="25" spans="1:45" x14ac:dyDescent="0.35">
      <c r="A25" s="41">
        <f>IFERROR(INDEX('Date Key'!$B$2:$B$19, MATCH(F25,'Date Key'!$A$2:$A$19, 0)), "")</f>
        <v>45238</v>
      </c>
      <c r="B25" s="4">
        <f t="shared" si="15"/>
        <v>3</v>
      </c>
      <c r="C25" s="26" t="str">
        <f>IFERROR(INDEX('Date Key'!$G$57:$G$62, MATCH(B25,'Date Key'!$A$57:$A$62, 0)), "")</f>
        <v>High HLR, Lower Outlet Height, No Plants</v>
      </c>
      <c r="D25" s="4" t="str">
        <f>IFERROR(INDEX('Date Key'!$G$2:$G$19, MATCH(F25, 'Date Key'!$A$2:$A$19, 0)), "")</f>
        <v>No</v>
      </c>
      <c r="E25" s="4" t="str">
        <f t="shared" si="1"/>
        <v>tank 1</v>
      </c>
      <c r="F25" s="4">
        <f t="shared" si="2"/>
        <v>8</v>
      </c>
      <c r="G25" s="4">
        <f t="shared" si="22"/>
        <v>2</v>
      </c>
      <c r="H25" s="11" cm="1">
        <f t="array" ref="H25">IFERROR(INDEX('Master Data Sheet'!$1:$1048576, MATCH(1, ('Master Data Sheet'!$H:$H=H$2) * (INDEX('Master Data Sheet'!$1:$1, , MATCH($F$1, 'Master Data Sheet'!$1:$1, 0)) = $F$1) * ('Master Data Sheet'!$G:$G=$B25) * ('Master Data Sheet'!$F:$F=$E25) * ('Master Data Sheet'!$A:$A=$F25), 0), MATCH($F$1, 'Master Data Sheet'!$1:$1, 0)), "")</f>
        <v>2.9628236179368404E-2</v>
      </c>
      <c r="I25" s="11" cm="1">
        <f t="array" ref="I25">IFERROR(INDEX('Master Data Sheet'!$1:$1048576, MATCH(1, ('Master Data Sheet'!$H:$H=I$2) * (INDEX('Master Data Sheet'!$1:$1, , MATCH($F$1, 'Master Data Sheet'!$1:$1, 0)) = $F$1) * ('Master Data Sheet'!$G:$G=$B25) * ('Master Data Sheet'!$F:$F=$E25) * ('Master Data Sheet'!$A:$A=$F25), 0), MATCH($F$1, 'Master Data Sheet'!$1:$1, 0)), "")</f>
        <v>2.9628236179368404E-2</v>
      </c>
      <c r="J25" s="11" cm="1">
        <f t="array" ref="J25">IFERROR(INDEX('Master Data Sheet'!$1:$1048576, MATCH(1, ('Master Data Sheet'!$H:$H=J$2) * (INDEX('Master Data Sheet'!$1:$1, , MATCH($F$1, 'Master Data Sheet'!$1:$1, 0)) = $F$1) * ('Master Data Sheet'!$G:$G=$B25) * ('Master Data Sheet'!$F:$F=$E25) * ('Master Data Sheet'!$A:$A=$F25), 0), MATCH($F$1, 'Master Data Sheet'!$1:$1, 0)), "")</f>
        <v>5.4318432995508738E-2</v>
      </c>
      <c r="K25" s="11" cm="1">
        <f t="array" ref="K25">IFERROR(INDEX('Master Data Sheet'!$1:$1048576, MATCH(1, ('Master Data Sheet'!$H:$H=K$2) * (INDEX('Master Data Sheet'!$1:$1, , MATCH($F$1, 'Master Data Sheet'!$1:$1, 0)) = $F$1) * ('Master Data Sheet'!$G:$G=$B25) * ('Master Data Sheet'!$F:$F=$E25) * ('Master Data Sheet'!$A:$A=$F25), 0), MATCH($F$1, 'Master Data Sheet'!$1:$1, 0)), "")</f>
        <v>7.4070590448421E-2</v>
      </c>
      <c r="L25" s="11" cm="1">
        <f t="array" ref="L25">IFERROR(INDEX('Master Data Sheet'!$1:$1048576, MATCH(1, ('Master Data Sheet'!$H:$H=L$2) * (INDEX('Master Data Sheet'!$1:$1, , MATCH($F$1, 'Master Data Sheet'!$1:$1, 0)) = $F$1) * ('Master Data Sheet'!$G:$G=$B25) * ('Master Data Sheet'!$F:$F=$E25) * ('Master Data Sheet'!$A:$A=$F25), 0), MATCH($F$1, 'Master Data Sheet'!$1:$1, 0)), "")</f>
        <v>6.9132551085192936E-2</v>
      </c>
      <c r="M25" s="11" cm="1">
        <f t="array" ref="M25">IFERROR(INDEX('Master Data Sheet'!$1:$1048576, MATCH(1, ('Master Data Sheet'!$H:$H=M$2) * (INDEX('Master Data Sheet'!$1:$1, , MATCH($F$1, 'Master Data Sheet'!$1:$1, 0)) = $F$1) * ('Master Data Sheet'!$G:$G=$B25) * ('Master Data Sheet'!$F:$F=$E25) * ('Master Data Sheet'!$A:$A=$F25), 0), MATCH($F$1, 'Master Data Sheet'!$1:$1, 0)), "")</f>
        <v>7.4070590448421E-2</v>
      </c>
      <c r="N25" s="11" cm="1">
        <f t="array" ref="N25">IFERROR(INDEX('Master Data Sheet'!$1:$1048576, MATCH(1, ('Master Data Sheet'!$H:$H=N$2) * (INDEX('Master Data Sheet'!$1:$1, , MATCH($F$1, 'Master Data Sheet'!$1:$1, 0)) = $F$1) * ('Master Data Sheet'!$G:$G=$B25) * ('Master Data Sheet'!$F:$F=$E25) * ('Master Data Sheet'!$A:$A=$F25), 0), MATCH($F$1, 'Master Data Sheet'!$1:$1, 0)), "")</f>
        <v>7.9008629811649064E-2</v>
      </c>
      <c r="O25" s="11">
        <f t="shared" si="8"/>
        <v>5.8551038163989939E-2</v>
      </c>
      <c r="P25" s="11">
        <f t="shared" si="4"/>
        <v>2.1225638481711384E-2</v>
      </c>
      <c r="Q25" s="11"/>
      <c r="R25" s="46">
        <f>(1-(O25/O22))*100</f>
        <v>-130.55555555555566</v>
      </c>
      <c r="X25" t="str">
        <f>IFERROR(INDEX('Date Key'!$G$57:$G$62, MATCH(B24,'Date Key'!$A$57:$A$62, 0)), "")</f>
        <v>High HLR, Lower Outlet Height, No Plants</v>
      </c>
      <c r="Y25" s="1">
        <f t="shared" ref="Y25:AE25" si="29">H24</f>
        <v>1.9752157452912266E-2</v>
      </c>
      <c r="Z25" s="1">
        <f t="shared" si="29"/>
        <v>1.4814118089684202E-2</v>
      </c>
      <c r="AA25" s="1">
        <f t="shared" si="29"/>
        <v>2.469019681614033E-2</v>
      </c>
      <c r="AB25" s="1">
        <f t="shared" si="29"/>
        <v>3.9504314905824532E-2</v>
      </c>
      <c r="AC25" s="1">
        <f t="shared" si="29"/>
        <v>1.9752157452912266E-2</v>
      </c>
      <c r="AD25" s="1">
        <f t="shared" si="29"/>
        <v>0.10863686599101748</v>
      </c>
      <c r="AE25" s="1">
        <f t="shared" si="29"/>
        <v>0.11357490535424555</v>
      </c>
      <c r="AF25" s="1">
        <f t="shared" ref="AF25:AL25" si="30">H25</f>
        <v>2.9628236179368404E-2</v>
      </c>
      <c r="AG25" s="1">
        <f t="shared" si="30"/>
        <v>2.9628236179368404E-2</v>
      </c>
      <c r="AH25" s="1">
        <f t="shared" si="30"/>
        <v>5.4318432995508738E-2</v>
      </c>
      <c r="AI25" s="1">
        <f t="shared" si="30"/>
        <v>7.4070590448421E-2</v>
      </c>
      <c r="AJ25" s="1">
        <f t="shared" si="30"/>
        <v>6.9132551085192936E-2</v>
      </c>
      <c r="AK25" s="1">
        <f t="shared" si="30"/>
        <v>7.4070590448421E-2</v>
      </c>
      <c r="AL25" s="1">
        <f t="shared" si="30"/>
        <v>7.9008629811649064E-2</v>
      </c>
      <c r="AM25" s="1">
        <f t="shared" ref="AM25:AS25" si="31">H26</f>
        <v>1.9752157452912266E-2</v>
      </c>
      <c r="AN25" s="1">
        <f t="shared" si="31"/>
        <v>7.4070590448421E-2</v>
      </c>
      <c r="AO25" s="1">
        <f t="shared" si="31"/>
        <v>0.148141180896842</v>
      </c>
      <c r="AP25" s="1">
        <f t="shared" si="31"/>
        <v>0.18764549580266651</v>
      </c>
      <c r="AQ25" s="1">
        <f t="shared" si="31"/>
        <v>0.19258353516589458</v>
      </c>
      <c r="AR25" s="1">
        <f t="shared" si="31"/>
        <v>0.19258353516589458</v>
      </c>
      <c r="AS25" s="1">
        <f t="shared" si="31"/>
        <v>0.33084863733628045</v>
      </c>
    </row>
    <row r="26" spans="1:45" x14ac:dyDescent="0.35">
      <c r="A26" s="41">
        <f>IFERROR(INDEX('Date Key'!$B$2:$B$19, MATCH(F26,'Date Key'!$A$2:$A$19, 0)), "")</f>
        <v>45246</v>
      </c>
      <c r="B26" s="4">
        <f t="shared" si="15"/>
        <v>3</v>
      </c>
      <c r="C26" s="26" t="str">
        <f>IFERROR(INDEX('Date Key'!$G$57:$G$62, MATCH(B26,'Date Key'!$A$57:$A$62, 0)), "")</f>
        <v>High HLR, Lower Outlet Height, No Plants</v>
      </c>
      <c r="D26" s="4" t="str">
        <f>IFERROR(INDEX('Date Key'!$G$2:$G$19, MATCH(F26, 'Date Key'!$A$2:$A$19, 0)), "")</f>
        <v>Yes</v>
      </c>
      <c r="E26" s="4" t="str">
        <f t="shared" si="1"/>
        <v>tank 1</v>
      </c>
      <c r="F26" s="4">
        <f t="shared" si="2"/>
        <v>9</v>
      </c>
      <c r="G26" s="4">
        <f t="shared" si="22"/>
        <v>3</v>
      </c>
      <c r="H26" s="11" cm="1">
        <f t="array" ref="H26">IFERROR(INDEX('Master Data Sheet'!$1:$1048576, MATCH(1, ('Master Data Sheet'!$H:$H=H$2) * (INDEX('Master Data Sheet'!$1:$1, , MATCH($F$1, 'Master Data Sheet'!$1:$1, 0)) = $F$1) * ('Master Data Sheet'!$G:$G=$B26) * ('Master Data Sheet'!$F:$F=$E26) * ('Master Data Sheet'!$A:$A=$F26), 0), MATCH($F$1, 'Master Data Sheet'!$1:$1, 0)), "")</f>
        <v>1.9752157452912266E-2</v>
      </c>
      <c r="I26" s="11" cm="1">
        <f t="array" ref="I26">IFERROR(INDEX('Master Data Sheet'!$1:$1048576, MATCH(1, ('Master Data Sheet'!$H:$H=I$2) * (INDEX('Master Data Sheet'!$1:$1, , MATCH($F$1, 'Master Data Sheet'!$1:$1, 0)) = $F$1) * ('Master Data Sheet'!$G:$G=$B26) * ('Master Data Sheet'!$F:$F=$E26) * ('Master Data Sheet'!$A:$A=$F26), 0), MATCH($F$1, 'Master Data Sheet'!$1:$1, 0)), "")</f>
        <v>7.4070590448421E-2</v>
      </c>
      <c r="J26" s="11" cm="1">
        <f t="array" ref="J26">IFERROR(INDEX('Master Data Sheet'!$1:$1048576, MATCH(1, ('Master Data Sheet'!$H:$H=J$2) * (INDEX('Master Data Sheet'!$1:$1, , MATCH($F$1, 'Master Data Sheet'!$1:$1, 0)) = $F$1) * ('Master Data Sheet'!$G:$G=$B26) * ('Master Data Sheet'!$F:$F=$E26) * ('Master Data Sheet'!$A:$A=$F26), 0), MATCH($F$1, 'Master Data Sheet'!$1:$1, 0)), "")</f>
        <v>0.148141180896842</v>
      </c>
      <c r="K26" s="11" cm="1">
        <f t="array" ref="K26">IFERROR(INDEX('Master Data Sheet'!$1:$1048576, MATCH(1, ('Master Data Sheet'!$H:$H=K$2) * (INDEX('Master Data Sheet'!$1:$1, , MATCH($F$1, 'Master Data Sheet'!$1:$1, 0)) = $F$1) * ('Master Data Sheet'!$G:$G=$B26) * ('Master Data Sheet'!$F:$F=$E26) * ('Master Data Sheet'!$A:$A=$F26), 0), MATCH($F$1, 'Master Data Sheet'!$1:$1, 0)), "")</f>
        <v>0.18764549580266651</v>
      </c>
      <c r="L26" s="11" cm="1">
        <f t="array" ref="L26">IFERROR(INDEX('Master Data Sheet'!$1:$1048576, MATCH(1, ('Master Data Sheet'!$H:$H=L$2) * (INDEX('Master Data Sheet'!$1:$1, , MATCH($F$1, 'Master Data Sheet'!$1:$1, 0)) = $F$1) * ('Master Data Sheet'!$G:$G=$B26) * ('Master Data Sheet'!$F:$F=$E26) * ('Master Data Sheet'!$A:$A=$F26), 0), MATCH($F$1, 'Master Data Sheet'!$1:$1, 0)), "")</f>
        <v>0.19258353516589458</v>
      </c>
      <c r="M26" s="11" cm="1">
        <f t="array" ref="M26">IFERROR(INDEX('Master Data Sheet'!$1:$1048576, MATCH(1, ('Master Data Sheet'!$H:$H=M$2) * (INDEX('Master Data Sheet'!$1:$1, , MATCH($F$1, 'Master Data Sheet'!$1:$1, 0)) = $F$1) * ('Master Data Sheet'!$G:$G=$B26) * ('Master Data Sheet'!$F:$F=$E26) * ('Master Data Sheet'!$A:$A=$F26), 0), MATCH($F$1, 'Master Data Sheet'!$1:$1, 0)), "")</f>
        <v>0.19258353516589458</v>
      </c>
      <c r="N26" s="11" cm="1">
        <f t="array" ref="N26">IFERROR(INDEX('Master Data Sheet'!$1:$1048576, MATCH(1, ('Master Data Sheet'!$H:$H=N$2) * (INDEX('Master Data Sheet'!$1:$1, , MATCH($F$1, 'Master Data Sheet'!$1:$1, 0)) = $F$1) * ('Master Data Sheet'!$G:$G=$B26) * ('Master Data Sheet'!$F:$F=$E26) * ('Master Data Sheet'!$A:$A=$F26), 0), MATCH($F$1, 'Master Data Sheet'!$1:$1, 0)), "")</f>
        <v>0.33084863733628045</v>
      </c>
      <c r="O26" s="11">
        <f t="shared" si="8"/>
        <v>0.16366073318127303</v>
      </c>
      <c r="P26" s="11">
        <f t="shared" si="4"/>
        <v>9.931184003699256E-2</v>
      </c>
      <c r="Q26" s="11"/>
      <c r="R26" s="46">
        <f>(1-(O26/O23))*100</f>
        <v>-201.29870129870119</v>
      </c>
      <c r="Y26" s="2"/>
      <c r="Z26" s="2"/>
      <c r="AA26" s="2"/>
      <c r="AB26" s="2"/>
      <c r="AC26" s="2"/>
      <c r="AD26" s="2"/>
      <c r="AE26" s="2"/>
      <c r="AF26" s="2"/>
      <c r="AG26" s="2"/>
    </row>
    <row r="27" spans="1:45" x14ac:dyDescent="0.35">
      <c r="A27" s="41">
        <f>IFERROR(INDEX('Date Key'!$B$2:$B$19, MATCH(F27,'Date Key'!$A$2:$A$19, 0)), "")</f>
        <v>45233</v>
      </c>
      <c r="B27" s="4">
        <f t="shared" si="15"/>
        <v>3</v>
      </c>
      <c r="C27" s="26" t="str">
        <f>IFERROR(INDEX('Date Key'!$G$57:$G$62, MATCH(B27,'Date Key'!$A$57:$A$62, 0)), "")</f>
        <v>High HLR, Lower Outlet Height, No Plants</v>
      </c>
      <c r="D27" s="4" t="str">
        <f>IFERROR(INDEX('Date Key'!$G$2:$G$19, MATCH(F27, 'Date Key'!$A$2:$A$19, 0)), "")</f>
        <v>No</v>
      </c>
      <c r="E27" s="4" t="str">
        <f t="shared" si="1"/>
        <v>tank 2</v>
      </c>
      <c r="F27" s="4">
        <f t="shared" si="2"/>
        <v>7</v>
      </c>
      <c r="G27" s="4">
        <f t="shared" si="22"/>
        <v>1</v>
      </c>
      <c r="H27" s="11" cm="1">
        <f t="array" ref="H27">IFERROR(INDEX('Master Data Sheet'!$1:$1048576, MATCH(1, ('Master Data Sheet'!$H:$H=H$2) * (INDEX('Master Data Sheet'!$1:$1, , MATCH($F$1, 'Master Data Sheet'!$1:$1, 0)) = $F$1) * ('Master Data Sheet'!$G:$G=$B27) * ('Master Data Sheet'!$F:$F=$E27) * ('Master Data Sheet'!$A:$A=$F27), 0), MATCH($F$1, 'Master Data Sheet'!$1:$1, 0)), "")</f>
        <v>0</v>
      </c>
      <c r="I27" s="11" cm="1">
        <f t="array" ref="I27">IFERROR(INDEX('Master Data Sheet'!$1:$1048576, MATCH(1, ('Master Data Sheet'!$H:$H=I$2) * (INDEX('Master Data Sheet'!$1:$1, , MATCH($F$1, 'Master Data Sheet'!$1:$1, 0)) = $F$1) * ('Master Data Sheet'!$G:$G=$B27) * ('Master Data Sheet'!$F:$F=$E27) * ('Master Data Sheet'!$A:$A=$F27), 0), MATCH($F$1, 'Master Data Sheet'!$1:$1, 0)), "")</f>
        <v>3.4566275542596468E-2</v>
      </c>
      <c r="J27" s="11" cm="1">
        <f t="array" ref="J27">IFERROR(INDEX('Master Data Sheet'!$1:$1048576, MATCH(1, ('Master Data Sheet'!$H:$H=J$2) * (INDEX('Master Data Sheet'!$1:$1, , MATCH($F$1, 'Master Data Sheet'!$1:$1, 0)) = $F$1) * ('Master Data Sheet'!$G:$G=$B27) * ('Master Data Sheet'!$F:$F=$E27) * ('Master Data Sheet'!$A:$A=$F27), 0), MATCH($F$1, 'Master Data Sheet'!$1:$1, 0)), "")</f>
        <v>6.4194511721964873E-2</v>
      </c>
      <c r="K27" s="11" cm="1">
        <f t="array" ref="K27">IFERROR(INDEX('Master Data Sheet'!$1:$1048576, MATCH(1, ('Master Data Sheet'!$H:$H=K$2) * (INDEX('Master Data Sheet'!$1:$1, , MATCH($F$1, 'Master Data Sheet'!$1:$1, 0)) = $F$1) * ('Master Data Sheet'!$G:$G=$B27) * ('Master Data Sheet'!$F:$F=$E27) * ('Master Data Sheet'!$A:$A=$F27), 0), MATCH($F$1, 'Master Data Sheet'!$1:$1, 0)), "")</f>
        <v>3.9504314905824532E-2</v>
      </c>
      <c r="L27" s="11" cm="1">
        <f t="array" ref="L27">IFERROR(INDEX('Master Data Sheet'!$1:$1048576, MATCH(1, ('Master Data Sheet'!$H:$H=L$2) * (INDEX('Master Data Sheet'!$1:$1, , MATCH($F$1, 'Master Data Sheet'!$1:$1, 0)) = $F$1) * ('Master Data Sheet'!$G:$G=$B27) * ('Master Data Sheet'!$F:$F=$E27) * ('Master Data Sheet'!$A:$A=$F27), 0), MATCH($F$1, 'Master Data Sheet'!$1:$1, 0)), "")</f>
        <v>5.9256472358736809E-2</v>
      </c>
      <c r="M27" s="11" cm="1">
        <f t="array" ref="M27">IFERROR(INDEX('Master Data Sheet'!$1:$1048576, MATCH(1, ('Master Data Sheet'!$H:$H=M$2) * (INDEX('Master Data Sheet'!$1:$1, , MATCH($F$1, 'Master Data Sheet'!$1:$1, 0)) = $F$1) * ('Master Data Sheet'!$G:$G=$B27) * ('Master Data Sheet'!$F:$F=$E27) * ('Master Data Sheet'!$A:$A=$F27), 0), MATCH($F$1, 'Master Data Sheet'!$1:$1, 0)), "")</f>
        <v>2.469019681614033E-2</v>
      </c>
      <c r="N27" s="11" cm="1">
        <f t="array" ref="N27">IFERROR(INDEX('Master Data Sheet'!$1:$1048576, MATCH(1, ('Master Data Sheet'!$H:$H=N$2) * (INDEX('Master Data Sheet'!$1:$1, , MATCH($F$1, 'Master Data Sheet'!$1:$1, 0)) = $F$1) * ('Master Data Sheet'!$G:$G=$B27) * ('Master Data Sheet'!$F:$F=$E27) * ('Master Data Sheet'!$A:$A=$F27), 0), MATCH($F$1, 'Master Data Sheet'!$1:$1, 0)), "")</f>
        <v>4.938039363228066E-2</v>
      </c>
      <c r="O27" s="11">
        <f t="shared" si="8"/>
        <v>3.8798880711077663E-2</v>
      </c>
      <c r="P27" s="11">
        <f t="shared" si="4"/>
        <v>2.1978171882423743E-2</v>
      </c>
      <c r="Q27" s="11">
        <f>AVERAGE(N27:N29)</f>
        <v>0.13332706280715781</v>
      </c>
      <c r="R27" s="46">
        <f>(1-(O27/O21))*100</f>
        <v>-7.8431372549019329</v>
      </c>
      <c r="S27" s="46">
        <f>AVERAGE(R27:R29)</f>
        <v>-63.557140027728245</v>
      </c>
      <c r="T27" s="46">
        <f>STDEV(R27:R29)</f>
        <v>60.115520113407001</v>
      </c>
      <c r="U27" s="47">
        <f>(1-(AVERAGE(H27:N29)/AVERAGE(H21:N23)))*100</f>
        <v>-74.390243902438996</v>
      </c>
      <c r="V27" s="47"/>
      <c r="Y27" s="2"/>
      <c r="Z27" s="2"/>
      <c r="AA27" s="2"/>
      <c r="AB27" s="2"/>
      <c r="AC27" s="2"/>
      <c r="AD27" s="2"/>
      <c r="AE27" s="2"/>
      <c r="AF27" s="2"/>
      <c r="AG27" s="2"/>
    </row>
    <row r="28" spans="1:45" x14ac:dyDescent="0.35">
      <c r="A28" s="41">
        <f>IFERROR(INDEX('Date Key'!$B$2:$B$19, MATCH(F28,'Date Key'!$A$2:$A$19, 0)), "")</f>
        <v>45238</v>
      </c>
      <c r="B28" s="4">
        <f t="shared" si="15"/>
        <v>3</v>
      </c>
      <c r="C28" s="26" t="str">
        <f>IFERROR(INDEX('Date Key'!$G$57:$G$62, MATCH(B28,'Date Key'!$A$57:$A$62, 0)), "")</f>
        <v>High HLR, Lower Outlet Height, No Plants</v>
      </c>
      <c r="D28" s="4" t="str">
        <f>IFERROR(INDEX('Date Key'!$G$2:$G$19, MATCH(F28, 'Date Key'!$A$2:$A$19, 0)), "")</f>
        <v>No</v>
      </c>
      <c r="E28" s="4" t="str">
        <f t="shared" si="1"/>
        <v>tank 2</v>
      </c>
      <c r="F28" s="4">
        <f t="shared" si="2"/>
        <v>8</v>
      </c>
      <c r="G28" s="4">
        <f t="shared" si="22"/>
        <v>2</v>
      </c>
      <c r="H28" s="11" cm="1">
        <f t="array" ref="H28">IFERROR(INDEX('Master Data Sheet'!$1:$1048576, MATCH(1, ('Master Data Sheet'!$H:$H=H$2) * (INDEX('Master Data Sheet'!$1:$1, , MATCH($F$1, 'Master Data Sheet'!$1:$1, 0)) = $F$1) * ('Master Data Sheet'!$G:$G=$B28) * ('Master Data Sheet'!$F:$F=$E28) * ('Master Data Sheet'!$A:$A=$F28), 0), MATCH($F$1, 'Master Data Sheet'!$1:$1, 0)), "")</f>
        <v>2.469019681614033E-2</v>
      </c>
      <c r="I28" s="11" cm="1">
        <f t="array" ref="I28">IFERROR(INDEX('Master Data Sheet'!$1:$1048576, MATCH(1, ('Master Data Sheet'!$H:$H=I$2) * (INDEX('Master Data Sheet'!$1:$1, , MATCH($F$1, 'Master Data Sheet'!$1:$1, 0)) = $F$1) * ('Master Data Sheet'!$G:$G=$B28) * ('Master Data Sheet'!$F:$F=$E28) * ('Master Data Sheet'!$A:$A=$F28), 0), MATCH($F$1, 'Master Data Sheet'!$1:$1, 0)), "")</f>
        <v>3.9504314905824532E-2</v>
      </c>
      <c r="J28" s="11" cm="1">
        <f t="array" ref="J28">IFERROR(INDEX('Master Data Sheet'!$1:$1048576, MATCH(1, ('Master Data Sheet'!$H:$H=J$2) * (INDEX('Master Data Sheet'!$1:$1, , MATCH($F$1, 'Master Data Sheet'!$1:$1, 0)) = $F$1) * ('Master Data Sheet'!$G:$G=$B28) * ('Master Data Sheet'!$F:$F=$E28) * ('Master Data Sheet'!$A:$A=$F28), 0), MATCH($F$1, 'Master Data Sheet'!$1:$1, 0)), "")</f>
        <v>5.4318432995508738E-2</v>
      </c>
      <c r="K28" s="11" cm="1">
        <f t="array" ref="K28">IFERROR(INDEX('Master Data Sheet'!$1:$1048576, MATCH(1, ('Master Data Sheet'!$H:$H=K$2) * (INDEX('Master Data Sheet'!$1:$1, , MATCH($F$1, 'Master Data Sheet'!$1:$1, 0)) = $F$1) * ('Master Data Sheet'!$G:$G=$B28) * ('Master Data Sheet'!$F:$F=$E28) * ('Master Data Sheet'!$A:$A=$F28), 0), MATCH($F$1, 'Master Data Sheet'!$1:$1, 0)), "")</f>
        <v>4.4442354269052589E-2</v>
      </c>
      <c r="L28" s="11" cm="1">
        <f t="array" ref="L28">IFERROR(INDEX('Master Data Sheet'!$1:$1048576, MATCH(1, ('Master Data Sheet'!$H:$H=L$2) * (INDEX('Master Data Sheet'!$1:$1, , MATCH($F$1, 'Master Data Sheet'!$1:$1, 0)) = $F$1) * ('Master Data Sheet'!$G:$G=$B28) * ('Master Data Sheet'!$F:$F=$E28) * ('Master Data Sheet'!$A:$A=$F28), 0), MATCH($F$1, 'Master Data Sheet'!$1:$1, 0)), "")</f>
        <v>4.4442354269052589E-2</v>
      </c>
      <c r="M28" s="11" cm="1">
        <f t="array" ref="M28">IFERROR(INDEX('Master Data Sheet'!$1:$1048576, MATCH(1, ('Master Data Sheet'!$H:$H=M$2) * (INDEX('Master Data Sheet'!$1:$1, , MATCH($F$1, 'Master Data Sheet'!$1:$1, 0)) = $F$1) * ('Master Data Sheet'!$G:$G=$B28) * ('Master Data Sheet'!$F:$F=$E28) * ('Master Data Sheet'!$A:$A=$F28), 0), MATCH($F$1, 'Master Data Sheet'!$1:$1, 0)), "")</f>
        <v>2.9628236179368404E-2</v>
      </c>
      <c r="N28" s="11" cm="1">
        <f t="array" ref="N28">IFERROR(INDEX('Master Data Sheet'!$1:$1048576, MATCH(1, ('Master Data Sheet'!$H:$H=N$2) * (INDEX('Master Data Sheet'!$1:$1, , MATCH($F$1, 'Master Data Sheet'!$1:$1, 0)) = $F$1) * ('Master Data Sheet'!$G:$G=$B28) * ('Master Data Sheet'!$F:$F=$E28) * ('Master Data Sheet'!$A:$A=$F28), 0), MATCH($F$1, 'Master Data Sheet'!$1:$1, 0)), "")</f>
        <v>3.9504314905824532E-2</v>
      </c>
      <c r="O28" s="11">
        <f t="shared" si="8"/>
        <v>3.9504314905824525E-2</v>
      </c>
      <c r="P28" s="11">
        <f t="shared" si="4"/>
        <v>9.8760787264561417E-3</v>
      </c>
      <c r="Q28" s="11"/>
      <c r="R28" s="46">
        <f>(1-(O28/O22))*100</f>
        <v>-55.555555555555578</v>
      </c>
      <c r="X28" t="str">
        <f>IFERROR(INDEX('Date Key'!$G$57:$G$62, MATCH(B27,'Date Key'!$A$57:$A$62, 0)), "")</f>
        <v>High HLR, Lower Outlet Height, No Plants</v>
      </c>
      <c r="Y28" s="1">
        <f t="shared" ref="Y28:AE28" si="32">H27</f>
        <v>0</v>
      </c>
      <c r="Z28" s="1">
        <f t="shared" si="32"/>
        <v>3.4566275542596468E-2</v>
      </c>
      <c r="AA28" s="1">
        <f t="shared" si="32"/>
        <v>6.4194511721964873E-2</v>
      </c>
      <c r="AB28" s="1">
        <f t="shared" si="32"/>
        <v>3.9504314905824532E-2</v>
      </c>
      <c r="AC28" s="1">
        <f t="shared" si="32"/>
        <v>5.9256472358736809E-2</v>
      </c>
      <c r="AD28" s="1">
        <f t="shared" si="32"/>
        <v>2.469019681614033E-2</v>
      </c>
      <c r="AE28" s="1">
        <f t="shared" si="32"/>
        <v>4.938039363228066E-2</v>
      </c>
      <c r="AF28" s="1">
        <f t="shared" ref="AF28:AL28" si="33">H28</f>
        <v>2.469019681614033E-2</v>
      </c>
      <c r="AG28" s="1">
        <f t="shared" si="33"/>
        <v>3.9504314905824532E-2</v>
      </c>
      <c r="AH28" s="1">
        <f t="shared" si="33"/>
        <v>5.4318432995508738E-2</v>
      </c>
      <c r="AI28" s="1">
        <f t="shared" si="33"/>
        <v>4.4442354269052589E-2</v>
      </c>
      <c r="AJ28" s="1">
        <f t="shared" si="33"/>
        <v>4.4442354269052589E-2</v>
      </c>
      <c r="AK28" s="1">
        <f t="shared" si="33"/>
        <v>2.9628236179368404E-2</v>
      </c>
      <c r="AL28" s="1">
        <f t="shared" si="33"/>
        <v>3.9504314905824532E-2</v>
      </c>
      <c r="AM28" s="1">
        <f t="shared" ref="AM28:AS28" si="34">H29</f>
        <v>1.9752157452912266E-2</v>
      </c>
      <c r="AN28" s="1">
        <f t="shared" si="34"/>
        <v>7.9008629811649064E-2</v>
      </c>
      <c r="AO28" s="1">
        <f t="shared" si="34"/>
        <v>0.1036988266277894</v>
      </c>
      <c r="AP28" s="1">
        <f t="shared" si="34"/>
        <v>0.11851294471747362</v>
      </c>
      <c r="AQ28" s="1">
        <f t="shared" si="34"/>
        <v>0.11851294471747362</v>
      </c>
      <c r="AR28" s="1">
        <f t="shared" si="34"/>
        <v>0.11357490535424555</v>
      </c>
      <c r="AS28" s="1">
        <f t="shared" si="34"/>
        <v>0.31109647988336819</v>
      </c>
    </row>
    <row r="29" spans="1:45" x14ac:dyDescent="0.35">
      <c r="A29" s="42">
        <f>IFERROR(INDEX('Date Key'!$B$2:$B$19, MATCH(F29,'Date Key'!$A$2:$A$19, 0)), "")</f>
        <v>45246</v>
      </c>
      <c r="B29" s="27">
        <f t="shared" si="15"/>
        <v>3</v>
      </c>
      <c r="C29" s="51" t="str">
        <f>IFERROR(INDEX('Date Key'!$G$57:$G$62, MATCH(B29,'Date Key'!$A$57:$A$62, 0)), "")</f>
        <v>High HLR, Lower Outlet Height, No Plants</v>
      </c>
      <c r="D29" s="27" t="str">
        <f>IFERROR(INDEX('Date Key'!$G$2:$G$19, MATCH(F29, 'Date Key'!$A$2:$A$19, 0)), "")</f>
        <v>Yes</v>
      </c>
      <c r="E29" s="27" t="str">
        <f t="shared" si="1"/>
        <v>tank 2</v>
      </c>
      <c r="F29" s="27">
        <f t="shared" si="2"/>
        <v>9</v>
      </c>
      <c r="G29" s="27">
        <f t="shared" si="22"/>
        <v>3</v>
      </c>
      <c r="H29" s="28" cm="1">
        <f t="array" ref="H29">IFERROR(INDEX('Master Data Sheet'!$1:$1048576, MATCH(1, ('Master Data Sheet'!$H:$H=H$2) * (INDEX('Master Data Sheet'!$1:$1, , MATCH($F$1, 'Master Data Sheet'!$1:$1, 0)) = $F$1) * ('Master Data Sheet'!$G:$G=$B29) * ('Master Data Sheet'!$F:$F=$E29) * ('Master Data Sheet'!$A:$A=$F29), 0), MATCH($F$1, 'Master Data Sheet'!$1:$1, 0)), "")</f>
        <v>1.9752157452912266E-2</v>
      </c>
      <c r="I29" s="28" cm="1">
        <f t="array" ref="I29">IFERROR(INDEX('Master Data Sheet'!$1:$1048576, MATCH(1, ('Master Data Sheet'!$H:$H=I$2) * (INDEX('Master Data Sheet'!$1:$1, , MATCH($F$1, 'Master Data Sheet'!$1:$1, 0)) = $F$1) * ('Master Data Sheet'!$G:$G=$B29) * ('Master Data Sheet'!$F:$F=$E29) * ('Master Data Sheet'!$A:$A=$F29), 0), MATCH($F$1, 'Master Data Sheet'!$1:$1, 0)), "")</f>
        <v>7.9008629811649064E-2</v>
      </c>
      <c r="J29" s="28" cm="1">
        <f t="array" ref="J29">IFERROR(INDEX('Master Data Sheet'!$1:$1048576, MATCH(1, ('Master Data Sheet'!$H:$H=J$2) * (INDEX('Master Data Sheet'!$1:$1, , MATCH($F$1, 'Master Data Sheet'!$1:$1, 0)) = $F$1) * ('Master Data Sheet'!$G:$G=$B29) * ('Master Data Sheet'!$F:$F=$E29) * ('Master Data Sheet'!$A:$A=$F29), 0), MATCH($F$1, 'Master Data Sheet'!$1:$1, 0)), "")</f>
        <v>0.1036988266277894</v>
      </c>
      <c r="K29" s="28" cm="1">
        <f t="array" ref="K29">IFERROR(INDEX('Master Data Sheet'!$1:$1048576, MATCH(1, ('Master Data Sheet'!$H:$H=K$2) * (INDEX('Master Data Sheet'!$1:$1, , MATCH($F$1, 'Master Data Sheet'!$1:$1, 0)) = $F$1) * ('Master Data Sheet'!$G:$G=$B29) * ('Master Data Sheet'!$F:$F=$E29) * ('Master Data Sheet'!$A:$A=$F29), 0), MATCH($F$1, 'Master Data Sheet'!$1:$1, 0)), "")</f>
        <v>0.11851294471747362</v>
      </c>
      <c r="L29" s="28" cm="1">
        <f t="array" ref="L29">IFERROR(INDEX('Master Data Sheet'!$1:$1048576, MATCH(1, ('Master Data Sheet'!$H:$H=L$2) * (INDEX('Master Data Sheet'!$1:$1, , MATCH($F$1, 'Master Data Sheet'!$1:$1, 0)) = $F$1) * ('Master Data Sheet'!$G:$G=$B29) * ('Master Data Sheet'!$F:$F=$E29) * ('Master Data Sheet'!$A:$A=$F29), 0), MATCH($F$1, 'Master Data Sheet'!$1:$1, 0)), "")</f>
        <v>0.11851294471747362</v>
      </c>
      <c r="M29" s="28" cm="1">
        <f t="array" ref="M29">IFERROR(INDEX('Master Data Sheet'!$1:$1048576, MATCH(1, ('Master Data Sheet'!$H:$H=M$2) * (INDEX('Master Data Sheet'!$1:$1, , MATCH($F$1, 'Master Data Sheet'!$1:$1, 0)) = $F$1) * ('Master Data Sheet'!$G:$G=$B29) * ('Master Data Sheet'!$F:$F=$E29) * ('Master Data Sheet'!$A:$A=$F29), 0), MATCH($F$1, 'Master Data Sheet'!$1:$1, 0)), "")</f>
        <v>0.11357490535424555</v>
      </c>
      <c r="N29" s="28" cm="1">
        <f t="array" ref="N29">IFERROR(INDEX('Master Data Sheet'!$1:$1048576, MATCH(1, ('Master Data Sheet'!$H:$H=N$2) * (INDEX('Master Data Sheet'!$1:$1, , MATCH($F$1, 'Master Data Sheet'!$1:$1, 0)) = $F$1) * ('Master Data Sheet'!$G:$G=$B29) * ('Master Data Sheet'!$F:$F=$E29) * ('Master Data Sheet'!$A:$A=$F29), 0), MATCH($F$1, 'Master Data Sheet'!$1:$1, 0)), "")</f>
        <v>0.31109647988336819</v>
      </c>
      <c r="O29" s="28">
        <f t="shared" si="8"/>
        <v>0.12345098408070167</v>
      </c>
      <c r="P29" s="28">
        <f t="shared" si="4"/>
        <v>8.9884977158353363E-2</v>
      </c>
      <c r="Q29" s="28"/>
      <c r="R29" s="48">
        <f>(1-(O29/O23))*100</f>
        <v>-127.27272727272721</v>
      </c>
      <c r="S29" s="27"/>
      <c r="T29" s="27"/>
      <c r="U29" s="27"/>
      <c r="V29" s="27"/>
    </row>
    <row r="30" spans="1:45" x14ac:dyDescent="0.35">
      <c r="A30" s="41">
        <f>IFERROR(INDEX('Date Key'!$B$2:$B$19, MATCH(F30,'Date Key'!$A$2:$A$19, 0)), "")</f>
        <v>45250</v>
      </c>
      <c r="B30" s="4">
        <f t="shared" si="15"/>
        <v>4</v>
      </c>
      <c r="C30" s="26" t="str">
        <f>IFERROR(INDEX('Date Key'!$G$57:$G$62, MATCH(B30,'Date Key'!$A$57:$A$62, 0)), "")</f>
        <v>High HLR, Upper Outlet Height, No Plants</v>
      </c>
      <c r="D30" s="4" t="str">
        <f>IFERROR(INDEX('Date Key'!$G$2:$G$19, MATCH(F30, 'Date Key'!$A$2:$A$19, 0)), "")</f>
        <v>Yes</v>
      </c>
      <c r="E30" s="4" t="str">
        <f t="shared" si="1"/>
        <v>in</v>
      </c>
      <c r="F30" s="4">
        <f t="shared" si="2"/>
        <v>10</v>
      </c>
      <c r="G30" s="4">
        <f t="shared" si="22"/>
        <v>1</v>
      </c>
      <c r="H30" s="11" cm="1">
        <f t="array" ref="H30">IFERROR(INDEX('Master Data Sheet'!$1:$1048576, MATCH(1, ('Master Data Sheet'!$H:$H=H$2) * (INDEX('Master Data Sheet'!$1:$1, , MATCH($F$1, 'Master Data Sheet'!$1:$1, 0)) = $F$1) * ('Master Data Sheet'!$G:$G=$B30) * ('Master Data Sheet'!$F:$F=$E30) * ('Master Data Sheet'!$A:$A=$F30), 0), MATCH($F$1, 'Master Data Sheet'!$1:$1, 0)), "")</f>
        <v>3.4566275542596468E-2</v>
      </c>
      <c r="I30" s="11" cm="1">
        <f t="array" ref="I30">IFERROR(INDEX('Master Data Sheet'!$1:$1048576, MATCH(1, ('Master Data Sheet'!$H:$H=I$2) * (INDEX('Master Data Sheet'!$1:$1, , MATCH($F$1, 'Master Data Sheet'!$1:$1, 0)) = $F$1) * ('Master Data Sheet'!$G:$G=$B30) * ('Master Data Sheet'!$F:$F=$E30) * ('Master Data Sheet'!$A:$A=$F30), 0), MATCH($F$1, 'Master Data Sheet'!$1:$1, 0)), "")</f>
        <v>4.4442354269052589E-2</v>
      </c>
      <c r="J30" s="11" cm="1">
        <f t="array" ref="J30">IFERROR(INDEX('Master Data Sheet'!$1:$1048576, MATCH(1, ('Master Data Sheet'!$H:$H=J$2) * (INDEX('Master Data Sheet'!$1:$1, , MATCH($F$1, 'Master Data Sheet'!$1:$1, 0)) = $F$1) * ('Master Data Sheet'!$G:$G=$B30) * ('Master Data Sheet'!$F:$F=$E30) * ('Master Data Sheet'!$A:$A=$F30), 0), MATCH($F$1, 'Master Data Sheet'!$1:$1, 0)), "")</f>
        <v>2.9628236179368404E-2</v>
      </c>
      <c r="K30" s="11" cm="1">
        <f t="array" ref="K30">IFERROR(INDEX('Master Data Sheet'!$1:$1048576, MATCH(1, ('Master Data Sheet'!$H:$H=K$2) * (INDEX('Master Data Sheet'!$1:$1, , MATCH($F$1, 'Master Data Sheet'!$1:$1, 0)) = $F$1) * ('Master Data Sheet'!$G:$G=$B30) * ('Master Data Sheet'!$F:$F=$E30) * ('Master Data Sheet'!$A:$A=$F30), 0), MATCH($F$1, 'Master Data Sheet'!$1:$1, 0)), "")</f>
        <v>3.9504314905824532E-2</v>
      </c>
      <c r="L30" s="11" cm="1">
        <f t="array" ref="L30">IFERROR(INDEX('Master Data Sheet'!$1:$1048576, MATCH(1, ('Master Data Sheet'!$H:$H=L$2) * (INDEX('Master Data Sheet'!$1:$1, , MATCH($F$1, 'Master Data Sheet'!$1:$1, 0)) = $F$1) * ('Master Data Sheet'!$G:$G=$B30) * ('Master Data Sheet'!$F:$F=$E30) * ('Master Data Sheet'!$A:$A=$F30), 0), MATCH($F$1, 'Master Data Sheet'!$1:$1, 0)), "")</f>
        <v>3.9504314905824532E-2</v>
      </c>
      <c r="M30" s="11" cm="1">
        <f t="array" ref="M30">IFERROR(INDEX('Master Data Sheet'!$1:$1048576, MATCH(1, ('Master Data Sheet'!$H:$H=M$2) * (INDEX('Master Data Sheet'!$1:$1, , MATCH($F$1, 'Master Data Sheet'!$1:$1, 0)) = $F$1) * ('Master Data Sheet'!$G:$G=$B30) * ('Master Data Sheet'!$F:$F=$E30) * ('Master Data Sheet'!$A:$A=$F30), 0), MATCH($F$1, 'Master Data Sheet'!$1:$1, 0)), "")</f>
        <v>4.938039363228066E-2</v>
      </c>
      <c r="N30" s="11" cm="1">
        <f t="array" ref="N30">IFERROR(INDEX('Master Data Sheet'!$1:$1048576, MATCH(1, ('Master Data Sheet'!$H:$H=N$2) * (INDEX('Master Data Sheet'!$1:$1, , MATCH($F$1, 'Master Data Sheet'!$1:$1, 0)) = $F$1) * ('Master Data Sheet'!$G:$G=$B30) * ('Master Data Sheet'!$F:$F=$E30) * ('Master Data Sheet'!$A:$A=$F30), 0), MATCH($F$1, 'Master Data Sheet'!$1:$1, 0)), "")</f>
        <v>4.938039363228066E-2</v>
      </c>
      <c r="O30" s="11">
        <f t="shared" si="8"/>
        <v>4.0915183295318271E-2</v>
      </c>
      <c r="P30" s="11">
        <f t="shared" si="4"/>
        <v>7.3874376619112135E-3</v>
      </c>
      <c r="Q30" s="11">
        <f>AVERAGE(O30:O32)</f>
        <v>6.9616629785810735E-2</v>
      </c>
      <c r="S30" s="11">
        <f>AVERAGE(O30:O32)</f>
        <v>6.9616629785810735E-2</v>
      </c>
      <c r="T30" s="11">
        <f>AVERAGE(P30:P32)</f>
        <v>7.0676106912218621E-3</v>
      </c>
      <c r="V30" s="47">
        <f>AVERAGE(U33, U36)</f>
        <v>-63.133133622627938</v>
      </c>
      <c r="X30" t="s">
        <v>343</v>
      </c>
    </row>
    <row r="31" spans="1:45" x14ac:dyDescent="0.35">
      <c r="A31" s="41">
        <f>IFERROR(INDEX('Date Key'!$B$2:$B$19, MATCH(F31,'Date Key'!$A$2:$A$19, 0)), "")</f>
        <v>45259</v>
      </c>
      <c r="B31" s="4">
        <f t="shared" si="15"/>
        <v>4</v>
      </c>
      <c r="C31" s="26" t="str">
        <f>IFERROR(INDEX('Date Key'!$G$57:$G$62, MATCH(B31,'Date Key'!$A$57:$A$62, 0)), "")</f>
        <v>High HLR, Upper Outlet Height, No Plants</v>
      </c>
      <c r="D31" s="4" t="str">
        <f>IFERROR(INDEX('Date Key'!$G$2:$G$19, MATCH(F31, 'Date Key'!$A$2:$A$19, 0)), "")</f>
        <v>No</v>
      </c>
      <c r="E31" s="4" t="str">
        <f t="shared" si="1"/>
        <v>in</v>
      </c>
      <c r="F31" s="4">
        <f t="shared" si="2"/>
        <v>11</v>
      </c>
      <c r="G31" s="4">
        <f t="shared" si="22"/>
        <v>2</v>
      </c>
      <c r="H31" s="11" cm="1">
        <f t="array" ref="H31">IFERROR(INDEX('Master Data Sheet'!$1:$1048576, MATCH(1, ('Master Data Sheet'!$H:$H=H$2) * (INDEX('Master Data Sheet'!$1:$1, , MATCH($F$1, 'Master Data Sheet'!$1:$1, 0)) = $F$1) * ('Master Data Sheet'!$G:$G=$B31) * ('Master Data Sheet'!$F:$F=$E31) * ('Master Data Sheet'!$A:$A=$F31), 0), MATCH($F$1, 'Master Data Sheet'!$1:$1, 0)), "")</f>
        <v>9.0350646556875483E-2</v>
      </c>
      <c r="I31" s="11" cm="1">
        <f t="array" ref="I31">IFERROR(INDEX('Master Data Sheet'!$1:$1048576, MATCH(1, ('Master Data Sheet'!$H:$H=I$2) * (INDEX('Master Data Sheet'!$1:$1, , MATCH($F$1, 'Master Data Sheet'!$1:$1, 0)) = $F$1) * ('Master Data Sheet'!$G:$G=$B31) * ('Master Data Sheet'!$F:$F=$E31) * ('Master Data Sheet'!$A:$A=$F31), 0), MATCH($F$1, 'Master Data Sheet'!$1:$1, 0)), "")</f>
        <v>0.10038960728541721</v>
      </c>
      <c r="J31" s="11" cm="1">
        <f t="array" ref="J31">IFERROR(INDEX('Master Data Sheet'!$1:$1048576, MATCH(1, ('Master Data Sheet'!$H:$H=J$2) * (INDEX('Master Data Sheet'!$1:$1, , MATCH($F$1, 'Master Data Sheet'!$1:$1, 0)) = $F$1) * ('Master Data Sheet'!$G:$G=$B31) * ('Master Data Sheet'!$F:$F=$E31) * ('Master Data Sheet'!$A:$A=$F31), 0), MATCH($F$1, 'Master Data Sheet'!$1:$1, 0)), "")</f>
        <v>0.10038960728541721</v>
      </c>
      <c r="K31" s="11" cm="1">
        <f t="array" ref="K31">IFERROR(INDEX('Master Data Sheet'!$1:$1048576, MATCH(1, ('Master Data Sheet'!$H:$H=K$2) * (INDEX('Master Data Sheet'!$1:$1, , MATCH($F$1, 'Master Data Sheet'!$1:$1, 0)) = $F$1) * ('Master Data Sheet'!$G:$G=$B31) * ('Master Data Sheet'!$F:$F=$E31) * ('Master Data Sheet'!$A:$A=$F31), 0), MATCH($F$1, 'Master Data Sheet'!$1:$1, 0)), "")</f>
        <v>0.11042856801395894</v>
      </c>
      <c r="L31" s="11" cm="1">
        <f t="array" ref="L31">IFERROR(INDEX('Master Data Sheet'!$1:$1048576, MATCH(1, ('Master Data Sheet'!$H:$H=L$2) * (INDEX('Master Data Sheet'!$1:$1, , MATCH($F$1, 'Master Data Sheet'!$1:$1, 0)) = $F$1) * ('Master Data Sheet'!$G:$G=$B31) * ('Master Data Sheet'!$F:$F=$E31) * ('Master Data Sheet'!$A:$A=$F31), 0), MATCH($F$1, 'Master Data Sheet'!$1:$1, 0)), "")</f>
        <v>0.11042856801395894</v>
      </c>
      <c r="M31" s="11" cm="1">
        <f t="array" ref="M31">IFERROR(INDEX('Master Data Sheet'!$1:$1048576, MATCH(1, ('Master Data Sheet'!$H:$H=M$2) * (INDEX('Master Data Sheet'!$1:$1, , MATCH($F$1, 'Master Data Sheet'!$1:$1, 0)) = $F$1) * ('Master Data Sheet'!$G:$G=$B31) * ('Master Data Sheet'!$F:$F=$E31) * ('Master Data Sheet'!$A:$A=$F31), 0), MATCH($F$1, 'Master Data Sheet'!$1:$1, 0)), "")</f>
        <v>0.11042856801395894</v>
      </c>
      <c r="N31" s="11" cm="1">
        <f t="array" ref="N31">IFERROR(INDEX('Master Data Sheet'!$1:$1048576, MATCH(1, ('Master Data Sheet'!$H:$H=N$2) * (INDEX('Master Data Sheet'!$1:$1, , MATCH($F$1, 'Master Data Sheet'!$1:$1, 0)) = $F$1) * ('Master Data Sheet'!$G:$G=$B31) * ('Master Data Sheet'!$F:$F=$E31) * ('Master Data Sheet'!$A:$A=$F31), 0), MATCH($F$1, 'Master Data Sheet'!$1:$1, 0)), "")</f>
        <v>0.10540908764968807</v>
      </c>
      <c r="O31" s="11">
        <f t="shared" si="8"/>
        <v>0.10397495040275354</v>
      </c>
      <c r="P31" s="11">
        <f t="shared" si="4"/>
        <v>7.5092755562803336E-3</v>
      </c>
      <c r="Q31" s="11"/>
      <c r="X31" t="str">
        <f>IFERROR(INDEX('Date Key'!$G$57:$G$62, MATCH(B30,'Date Key'!$A$57:$A$62, 0)), "")</f>
        <v>High HLR, Upper Outlet Height, No Plants</v>
      </c>
      <c r="Y31" s="1">
        <f t="shared" ref="Y31:AE31" si="35">H30</f>
        <v>3.4566275542596468E-2</v>
      </c>
      <c r="Z31" s="1">
        <f t="shared" si="35"/>
        <v>4.4442354269052589E-2</v>
      </c>
      <c r="AA31" s="1">
        <f t="shared" si="35"/>
        <v>2.9628236179368404E-2</v>
      </c>
      <c r="AB31" s="1">
        <f t="shared" si="35"/>
        <v>3.9504314905824532E-2</v>
      </c>
      <c r="AC31" s="1">
        <f t="shared" si="35"/>
        <v>3.9504314905824532E-2</v>
      </c>
      <c r="AD31" s="1">
        <f t="shared" si="35"/>
        <v>4.938039363228066E-2</v>
      </c>
      <c r="AE31" s="1">
        <f t="shared" si="35"/>
        <v>4.938039363228066E-2</v>
      </c>
      <c r="AF31" s="1">
        <f t="shared" ref="AF31:AL31" si="36">H31</f>
        <v>9.0350646556875483E-2</v>
      </c>
      <c r="AG31" s="1">
        <f t="shared" si="36"/>
        <v>0.10038960728541721</v>
      </c>
      <c r="AH31" s="1">
        <f t="shared" si="36"/>
        <v>0.10038960728541721</v>
      </c>
      <c r="AI31" s="1">
        <f t="shared" si="36"/>
        <v>0.11042856801395894</v>
      </c>
      <c r="AJ31" s="1">
        <f t="shared" si="36"/>
        <v>0.11042856801395894</v>
      </c>
      <c r="AK31" s="1">
        <f t="shared" si="36"/>
        <v>0.11042856801395894</v>
      </c>
      <c r="AL31" s="1">
        <f t="shared" si="36"/>
        <v>0.10540908764968807</v>
      </c>
      <c r="AM31" s="1">
        <f t="shared" ref="AM31:AS31" si="37">H32</f>
        <v>5.0305425799496949E-2</v>
      </c>
      <c r="AN31" s="1">
        <f t="shared" si="37"/>
        <v>6.5397053539346037E-2</v>
      </c>
      <c r="AO31" s="1">
        <f t="shared" si="37"/>
        <v>6.5397053539346037E-2</v>
      </c>
      <c r="AP31" s="1">
        <f t="shared" si="37"/>
        <v>7.0427596119295735E-2</v>
      </c>
      <c r="AQ31" s="1">
        <f t="shared" si="37"/>
        <v>6.5397053539346037E-2</v>
      </c>
      <c r="AR31" s="1">
        <f t="shared" si="37"/>
        <v>6.5397053539346037E-2</v>
      </c>
      <c r="AS31" s="1">
        <f t="shared" si="37"/>
        <v>6.5397053539346037E-2</v>
      </c>
    </row>
    <row r="32" spans="1:45" x14ac:dyDescent="0.35">
      <c r="A32" s="41">
        <f>IFERROR(INDEX('Date Key'!$B$2:$B$19, MATCH(F32,'Date Key'!$A$2:$A$19, 0)), "")</f>
        <v>45266</v>
      </c>
      <c r="B32" s="4">
        <f t="shared" si="15"/>
        <v>4</v>
      </c>
      <c r="C32" s="26" t="str">
        <f>IFERROR(INDEX('Date Key'!$G$57:$G$62, MATCH(B32,'Date Key'!$A$57:$A$62, 0)), "")</f>
        <v>High HLR, Upper Outlet Height, No Plants</v>
      </c>
      <c r="D32" s="4" t="str">
        <f>IFERROR(INDEX('Date Key'!$G$2:$G$19, MATCH(F32, 'Date Key'!$A$2:$A$19, 0)), "")</f>
        <v>No</v>
      </c>
      <c r="E32" s="4" t="str">
        <f t="shared" si="1"/>
        <v>in</v>
      </c>
      <c r="F32" s="4">
        <f t="shared" si="2"/>
        <v>12</v>
      </c>
      <c r="G32" s="4">
        <f t="shared" si="22"/>
        <v>3</v>
      </c>
      <c r="H32" s="11" cm="1">
        <f t="array" ref="H32">IFERROR(INDEX('Master Data Sheet'!$1:$1048576, MATCH(1, ('Master Data Sheet'!$H:$H=H$2) * (INDEX('Master Data Sheet'!$1:$1, , MATCH($F$1, 'Master Data Sheet'!$1:$1, 0)) = $F$1) * ('Master Data Sheet'!$G:$G=$B32) * ('Master Data Sheet'!$F:$F=$E32) * ('Master Data Sheet'!$A:$A=$F32), 0), MATCH($F$1, 'Master Data Sheet'!$1:$1, 0)), "")</f>
        <v>5.0305425799496949E-2</v>
      </c>
      <c r="I32" s="11" cm="1">
        <f t="array" ref="I32">IFERROR(INDEX('Master Data Sheet'!$1:$1048576, MATCH(1, ('Master Data Sheet'!$H:$H=I$2) * (INDEX('Master Data Sheet'!$1:$1, , MATCH($F$1, 'Master Data Sheet'!$1:$1, 0)) = $F$1) * ('Master Data Sheet'!$G:$G=$B32) * ('Master Data Sheet'!$F:$F=$E32) * ('Master Data Sheet'!$A:$A=$F32), 0), MATCH($F$1, 'Master Data Sheet'!$1:$1, 0)), "")</f>
        <v>6.5397053539346037E-2</v>
      </c>
      <c r="J32" s="11" cm="1">
        <f t="array" ref="J32">IFERROR(INDEX('Master Data Sheet'!$1:$1048576, MATCH(1, ('Master Data Sheet'!$H:$H=J$2) * (INDEX('Master Data Sheet'!$1:$1, , MATCH($F$1, 'Master Data Sheet'!$1:$1, 0)) = $F$1) * ('Master Data Sheet'!$G:$G=$B32) * ('Master Data Sheet'!$F:$F=$E32) * ('Master Data Sheet'!$A:$A=$F32), 0), MATCH($F$1, 'Master Data Sheet'!$1:$1, 0)), "")</f>
        <v>6.5397053539346037E-2</v>
      </c>
      <c r="K32" s="11" cm="1">
        <f t="array" ref="K32">IFERROR(INDEX('Master Data Sheet'!$1:$1048576, MATCH(1, ('Master Data Sheet'!$H:$H=K$2) * (INDEX('Master Data Sheet'!$1:$1, , MATCH($F$1, 'Master Data Sheet'!$1:$1, 0)) = $F$1) * ('Master Data Sheet'!$G:$G=$B32) * ('Master Data Sheet'!$F:$F=$E32) * ('Master Data Sheet'!$A:$A=$F32), 0), MATCH($F$1, 'Master Data Sheet'!$1:$1, 0)), "")</f>
        <v>7.0427596119295735E-2</v>
      </c>
      <c r="L32" s="11" cm="1">
        <f t="array" ref="L32">IFERROR(INDEX('Master Data Sheet'!$1:$1048576, MATCH(1, ('Master Data Sheet'!$H:$H=L$2) * (INDEX('Master Data Sheet'!$1:$1, , MATCH($F$1, 'Master Data Sheet'!$1:$1, 0)) = $F$1) * ('Master Data Sheet'!$G:$G=$B32) * ('Master Data Sheet'!$F:$F=$E32) * ('Master Data Sheet'!$A:$A=$F32), 0), MATCH($F$1, 'Master Data Sheet'!$1:$1, 0)), "")</f>
        <v>6.5397053539346037E-2</v>
      </c>
      <c r="M32" s="11" cm="1">
        <f t="array" ref="M32">IFERROR(INDEX('Master Data Sheet'!$1:$1048576, MATCH(1, ('Master Data Sheet'!$H:$H=M$2) * (INDEX('Master Data Sheet'!$1:$1, , MATCH($F$1, 'Master Data Sheet'!$1:$1, 0)) = $F$1) * ('Master Data Sheet'!$G:$G=$B32) * ('Master Data Sheet'!$F:$F=$E32) * ('Master Data Sheet'!$A:$A=$F32), 0), MATCH($F$1, 'Master Data Sheet'!$1:$1, 0)), "")</f>
        <v>6.5397053539346037E-2</v>
      </c>
      <c r="N32" s="11" cm="1">
        <f t="array" ref="N32">IFERROR(INDEX('Master Data Sheet'!$1:$1048576, MATCH(1, ('Master Data Sheet'!$H:$H=N$2) * (INDEX('Master Data Sheet'!$1:$1, , MATCH($F$1, 'Master Data Sheet'!$1:$1, 0)) = $F$1) * ('Master Data Sheet'!$G:$G=$B32) * ('Master Data Sheet'!$F:$F=$E32) * ('Master Data Sheet'!$A:$A=$F32), 0), MATCH($F$1, 'Master Data Sheet'!$1:$1, 0)), "")</f>
        <v>6.5397053539346037E-2</v>
      </c>
      <c r="O32" s="11">
        <f t="shared" si="8"/>
        <v>6.3959755659360421E-2</v>
      </c>
      <c r="P32" s="11">
        <f t="shared" si="4"/>
        <v>6.3061188554740383E-3</v>
      </c>
      <c r="Q32" s="11"/>
      <c r="Y32" s="1"/>
      <c r="Z32" s="1"/>
      <c r="AA32" s="1"/>
      <c r="AB32" s="1"/>
      <c r="AC32" s="1"/>
      <c r="AD32" s="1"/>
      <c r="AE32" s="1"/>
      <c r="AF32" s="1"/>
      <c r="AG32" s="1"/>
      <c r="AH32" s="1"/>
      <c r="AI32" s="1"/>
      <c r="AJ32" s="1"/>
      <c r="AK32" s="1"/>
      <c r="AL32" s="1"/>
      <c r="AM32" s="1"/>
      <c r="AN32" s="1"/>
      <c r="AO32" s="1"/>
      <c r="AP32" s="1"/>
      <c r="AQ32" s="1"/>
      <c r="AR32" s="1"/>
      <c r="AS32" s="1"/>
    </row>
    <row r="33" spans="1:45" x14ac:dyDescent="0.35">
      <c r="A33" s="41">
        <f>IFERROR(INDEX('Date Key'!$B$2:$B$19, MATCH(F33,'Date Key'!$A$2:$A$19, 0)), "")</f>
        <v>45250</v>
      </c>
      <c r="B33" s="4">
        <f t="shared" si="15"/>
        <v>4</v>
      </c>
      <c r="C33" s="26" t="str">
        <f>IFERROR(INDEX('Date Key'!$G$57:$G$62, MATCH(B33,'Date Key'!$A$57:$A$62, 0)), "")</f>
        <v>High HLR, Upper Outlet Height, No Plants</v>
      </c>
      <c r="D33" s="4" t="str">
        <f>IFERROR(INDEX('Date Key'!$G$2:$G$19, MATCH(F33, 'Date Key'!$A$2:$A$19, 0)), "")</f>
        <v>Yes</v>
      </c>
      <c r="E33" s="4" t="str">
        <f t="shared" si="1"/>
        <v>tank 1</v>
      </c>
      <c r="F33" s="4">
        <f t="shared" si="2"/>
        <v>10</v>
      </c>
      <c r="G33" s="4">
        <f t="shared" si="22"/>
        <v>1</v>
      </c>
      <c r="H33" s="11" cm="1">
        <f t="array" ref="H33">IFERROR(INDEX('Master Data Sheet'!$1:$1048576, MATCH(1, ('Master Data Sheet'!$H:$H=H$2) * (INDEX('Master Data Sheet'!$1:$1, , MATCH($F$1, 'Master Data Sheet'!$1:$1, 0)) = $F$1) * ('Master Data Sheet'!$G:$G=$B33) * ('Master Data Sheet'!$F:$F=$E33) * ('Master Data Sheet'!$A:$A=$F33), 0), MATCH($F$1, 'Master Data Sheet'!$1:$1, 0)), "")</f>
        <v>1.4814118089684202E-2</v>
      </c>
      <c r="I33" s="11" cm="1">
        <f t="array" ref="I33">IFERROR(INDEX('Master Data Sheet'!$1:$1048576, MATCH(1, ('Master Data Sheet'!$H:$H=I$2) * (INDEX('Master Data Sheet'!$1:$1, , MATCH($F$1, 'Master Data Sheet'!$1:$1, 0)) = $F$1) * ('Master Data Sheet'!$G:$G=$B33) * ('Master Data Sheet'!$F:$F=$E33) * ('Master Data Sheet'!$A:$A=$F33), 0), MATCH($F$1, 'Master Data Sheet'!$1:$1, 0)), "")</f>
        <v>2.469019681614033E-2</v>
      </c>
      <c r="J33" s="11" cm="1">
        <f t="array" ref="J33">IFERROR(INDEX('Master Data Sheet'!$1:$1048576, MATCH(1, ('Master Data Sheet'!$H:$H=J$2) * (INDEX('Master Data Sheet'!$1:$1, , MATCH($F$1, 'Master Data Sheet'!$1:$1, 0)) = $F$1) * ('Master Data Sheet'!$G:$G=$B33) * ('Master Data Sheet'!$F:$F=$E33) * ('Master Data Sheet'!$A:$A=$F33), 0), MATCH($F$1, 'Master Data Sheet'!$1:$1, 0)), "")</f>
        <v>0.13826510217038587</v>
      </c>
      <c r="K33" s="11" cm="1">
        <f t="array" ref="K33">IFERROR(INDEX('Master Data Sheet'!$1:$1048576, MATCH(1, ('Master Data Sheet'!$H:$H=K$2) * (INDEX('Master Data Sheet'!$1:$1, , MATCH($F$1, 'Master Data Sheet'!$1:$1, 0)) = $F$1) * ('Master Data Sheet'!$G:$G=$B33) * ('Master Data Sheet'!$F:$F=$E33) * ('Master Data Sheet'!$A:$A=$F33), 0), MATCH($F$1, 'Master Data Sheet'!$1:$1, 0)), "")</f>
        <v>0.2073976532555788</v>
      </c>
      <c r="L33" s="11" cm="1">
        <f t="array" ref="L33">IFERROR(INDEX('Master Data Sheet'!$1:$1048576, MATCH(1, ('Master Data Sheet'!$H:$H=L$2) * (INDEX('Master Data Sheet'!$1:$1, , MATCH($F$1, 'Master Data Sheet'!$1:$1, 0)) = $F$1) * ('Master Data Sheet'!$G:$G=$B33) * ('Master Data Sheet'!$F:$F=$E33) * ('Master Data Sheet'!$A:$A=$F33), 0), MATCH($F$1, 'Master Data Sheet'!$1:$1, 0)), "")</f>
        <v>0.16789333834975431</v>
      </c>
      <c r="M33" s="11" cm="1">
        <f t="array" ref="M33">IFERROR(INDEX('Master Data Sheet'!$1:$1048576, MATCH(1, ('Master Data Sheet'!$H:$H=M$2) * (INDEX('Master Data Sheet'!$1:$1, , MATCH($F$1, 'Master Data Sheet'!$1:$1, 0)) = $F$1) * ('Master Data Sheet'!$G:$G=$B33) * ('Master Data Sheet'!$F:$F=$E33) * ('Master Data Sheet'!$A:$A=$F33), 0), MATCH($F$1, 'Master Data Sheet'!$1:$1, 0)), "")</f>
        <v>0.17776941707621036</v>
      </c>
      <c r="N33" s="11" cm="1">
        <f t="array" ref="N33">IFERROR(INDEX('Master Data Sheet'!$1:$1048576, MATCH(1, ('Master Data Sheet'!$H:$H=N$2) * (INDEX('Master Data Sheet'!$1:$1, , MATCH($F$1, 'Master Data Sheet'!$1:$1, 0)) = $F$1) * ('Master Data Sheet'!$G:$G=$B33) * ('Master Data Sheet'!$F:$F=$E33) * ('Master Data Sheet'!$A:$A=$F33), 0), MATCH($F$1, 'Master Data Sheet'!$1:$1, 0)), "")</f>
        <v>0.18270745643943845</v>
      </c>
      <c r="O33" s="11">
        <f t="shared" si="8"/>
        <v>0.13050532602817033</v>
      </c>
      <c r="P33" s="11">
        <f t="shared" si="4"/>
        <v>7.8433370304652181E-2</v>
      </c>
      <c r="Q33" s="11">
        <f>AVERAGE(O33:O35)</f>
        <v>0.1231764619182177</v>
      </c>
      <c r="R33" s="46">
        <f>(1-(O33/O30))*100</f>
        <v>-218.96551724137927</v>
      </c>
      <c r="S33" s="46">
        <f>AVERAGE(R33:R35)</f>
        <v>-104.85987343406947</v>
      </c>
      <c r="T33" s="46">
        <f>STDEV(R33:R35)</f>
        <v>101.45506043596475</v>
      </c>
      <c r="U33" s="47">
        <f>(1-(AVERAGE(H33:N35)/AVERAGE(H30:N32)))*100</f>
        <v>-76.93539933948874</v>
      </c>
      <c r="V33" s="47"/>
      <c r="Y33" s="2"/>
      <c r="Z33" s="2"/>
      <c r="AA33" s="2"/>
      <c r="AB33" s="2"/>
      <c r="AC33" s="2"/>
      <c r="AD33" s="2"/>
      <c r="AE33" s="2"/>
      <c r="AF33" s="2"/>
      <c r="AG33" s="2"/>
    </row>
    <row r="34" spans="1:45" x14ac:dyDescent="0.35">
      <c r="A34" s="41">
        <f>IFERROR(INDEX('Date Key'!$B$2:$B$19, MATCH(F34,'Date Key'!$A$2:$A$19, 0)), "")</f>
        <v>45259</v>
      </c>
      <c r="B34" s="4">
        <f t="shared" si="15"/>
        <v>4</v>
      </c>
      <c r="C34" s="26" t="str">
        <f>IFERROR(INDEX('Date Key'!$G$57:$G$62, MATCH(B34,'Date Key'!$A$57:$A$62, 0)), "")</f>
        <v>High HLR, Upper Outlet Height, No Plants</v>
      </c>
      <c r="D34" s="4" t="str">
        <f>IFERROR(INDEX('Date Key'!$G$2:$G$19, MATCH(F34, 'Date Key'!$A$2:$A$19, 0)), "")</f>
        <v>No</v>
      </c>
      <c r="E34" s="4" t="str">
        <f t="shared" si="1"/>
        <v>tank 1</v>
      </c>
      <c r="F34" s="4">
        <f t="shared" si="2"/>
        <v>11</v>
      </c>
      <c r="G34" s="4">
        <f t="shared" si="22"/>
        <v>2</v>
      </c>
      <c r="H34" s="11" cm="1">
        <f t="array" ref="H34">IFERROR(INDEX('Master Data Sheet'!$1:$1048576, MATCH(1, ('Master Data Sheet'!$H:$H=H$2) * (INDEX('Master Data Sheet'!$1:$1, , MATCH($F$1, 'Master Data Sheet'!$1:$1, 0)) = $F$1) * ('Master Data Sheet'!$G:$G=$B34) * ('Master Data Sheet'!$F:$F=$E34) * ('Master Data Sheet'!$A:$A=$F34), 0), MATCH($F$1, 'Master Data Sheet'!$1:$1, 0)), "")</f>
        <v>0.10540908764968807</v>
      </c>
      <c r="I34" s="11" cm="1">
        <f t="array" ref="I34">IFERROR(INDEX('Master Data Sheet'!$1:$1048576, MATCH(1, ('Master Data Sheet'!$H:$H=I$2) * (INDEX('Master Data Sheet'!$1:$1, , MATCH($F$1, 'Master Data Sheet'!$1:$1, 0)) = $F$1) * ('Master Data Sheet'!$G:$G=$B34) * ('Master Data Sheet'!$F:$F=$E34) * ('Master Data Sheet'!$A:$A=$F34), 0), MATCH($F$1, 'Master Data Sheet'!$1:$1, 0)), "")</f>
        <v>0.10038960728541721</v>
      </c>
      <c r="J34" s="11" cm="1">
        <f t="array" ref="J34">IFERROR(INDEX('Master Data Sheet'!$1:$1048576, MATCH(1, ('Master Data Sheet'!$H:$H=J$2) * (INDEX('Master Data Sheet'!$1:$1, , MATCH($F$1, 'Master Data Sheet'!$1:$1, 0)) = $F$1) * ('Master Data Sheet'!$G:$G=$B34) * ('Master Data Sheet'!$F:$F=$E34) * ('Master Data Sheet'!$A:$A=$F34), 0), MATCH($F$1, 'Master Data Sheet'!$1:$1, 0)), "")</f>
        <v>9.5370126921146339E-2</v>
      </c>
      <c r="K34" s="11" cm="1">
        <f t="array" ref="K34">IFERROR(INDEX('Master Data Sheet'!$1:$1048576, MATCH(1, ('Master Data Sheet'!$H:$H=K$2) * (INDEX('Master Data Sheet'!$1:$1, , MATCH($F$1, 'Master Data Sheet'!$1:$1, 0)) = $F$1) * ('Master Data Sheet'!$G:$G=$B34) * ('Master Data Sheet'!$F:$F=$E34) * ('Master Data Sheet'!$A:$A=$F34), 0), MATCH($F$1, 'Master Data Sheet'!$1:$1, 0)), "")</f>
        <v>9.0350646556875483E-2</v>
      </c>
      <c r="L34" s="11" cm="1">
        <f t="array" ref="L34">IFERROR(INDEX('Master Data Sheet'!$1:$1048576, MATCH(1, ('Master Data Sheet'!$H:$H=L$2) * (INDEX('Master Data Sheet'!$1:$1, , MATCH($F$1, 'Master Data Sheet'!$1:$1, 0)) = $F$1) * ('Master Data Sheet'!$G:$G=$B34) * ('Master Data Sheet'!$F:$F=$E34) * ('Master Data Sheet'!$A:$A=$F34), 0), MATCH($F$1, 'Master Data Sheet'!$1:$1, 0)), "")</f>
        <v>0.10540908764968807</v>
      </c>
      <c r="M34" s="11" cm="1">
        <f t="array" ref="M34">IFERROR(INDEX('Master Data Sheet'!$1:$1048576, MATCH(1, ('Master Data Sheet'!$H:$H=M$2) * (INDEX('Master Data Sheet'!$1:$1, , MATCH($F$1, 'Master Data Sheet'!$1:$1, 0)) = $F$1) * ('Master Data Sheet'!$G:$G=$B34) * ('Master Data Sheet'!$F:$F=$E34) * ('Master Data Sheet'!$A:$A=$F34), 0), MATCH($F$1, 'Master Data Sheet'!$1:$1, 0)), "")</f>
        <v>0.20077921457083442</v>
      </c>
      <c r="N34" s="11" cm="1">
        <f t="array" ref="N34">IFERROR(INDEX('Master Data Sheet'!$1:$1048576, MATCH(1, ('Master Data Sheet'!$H:$H=N$2) * (INDEX('Master Data Sheet'!$1:$1, , MATCH($F$1, 'Master Data Sheet'!$1:$1, 0)) = $F$1) * ('Master Data Sheet'!$G:$G=$B34) * ('Master Data Sheet'!$F:$F=$E34) * ('Master Data Sheet'!$A:$A=$F34), 0), MATCH($F$1, 'Master Data Sheet'!$1:$1, 0)), "")</f>
        <v>0.21081817529937613</v>
      </c>
      <c r="O34" s="11">
        <f t="shared" si="8"/>
        <v>0.12978942084757511</v>
      </c>
      <c r="P34" s="11">
        <f t="shared" si="4"/>
        <v>5.2278843560273715E-2</v>
      </c>
      <c r="Q34" s="11"/>
      <c r="R34" s="46">
        <f>(1-(O34/O31))*100</f>
        <v>-24.827586206896555</v>
      </c>
      <c r="X34" t="str">
        <f>IFERROR(INDEX('Date Key'!$G$57:$G$62, MATCH(B33,'Date Key'!$A$57:$A$62, 0)), "")</f>
        <v>High HLR, Upper Outlet Height, No Plants</v>
      </c>
      <c r="Y34" s="1">
        <f t="shared" ref="Y34:AE34" si="38">H33</f>
        <v>1.4814118089684202E-2</v>
      </c>
      <c r="Z34" s="1">
        <f t="shared" si="38"/>
        <v>2.469019681614033E-2</v>
      </c>
      <c r="AA34" s="1">
        <f t="shared" si="38"/>
        <v>0.13826510217038587</v>
      </c>
      <c r="AB34" s="1">
        <f t="shared" si="38"/>
        <v>0.2073976532555788</v>
      </c>
      <c r="AC34" s="1">
        <f t="shared" si="38"/>
        <v>0.16789333834975431</v>
      </c>
      <c r="AD34" s="1">
        <f t="shared" si="38"/>
        <v>0.17776941707621036</v>
      </c>
      <c r="AE34" s="1">
        <f t="shared" si="38"/>
        <v>0.18270745643943845</v>
      </c>
      <c r="AF34" s="1">
        <f t="shared" ref="AF34:AL34" si="39">H34</f>
        <v>0.10540908764968807</v>
      </c>
      <c r="AG34" s="1">
        <f t="shared" si="39"/>
        <v>0.10038960728541721</v>
      </c>
      <c r="AH34" s="1">
        <f t="shared" si="39"/>
        <v>9.5370126921146339E-2</v>
      </c>
      <c r="AI34" s="1">
        <f t="shared" si="39"/>
        <v>9.0350646556875483E-2</v>
      </c>
      <c r="AJ34" s="1">
        <f t="shared" si="39"/>
        <v>0.10540908764968807</v>
      </c>
      <c r="AK34" s="1">
        <f t="shared" si="39"/>
        <v>0.20077921457083442</v>
      </c>
      <c r="AL34" s="1">
        <f t="shared" si="39"/>
        <v>0.21081817529937613</v>
      </c>
      <c r="AM34" s="1">
        <f t="shared" ref="AM34:AS34" si="40">H35</f>
        <v>6.0366510959396345E-2</v>
      </c>
      <c r="AN34" s="1">
        <f t="shared" si="40"/>
        <v>6.5397053539346037E-2</v>
      </c>
      <c r="AO34" s="1">
        <f t="shared" si="40"/>
        <v>0.14588573481854117</v>
      </c>
      <c r="AP34" s="1">
        <f t="shared" si="40"/>
        <v>0.12073302191879269</v>
      </c>
      <c r="AQ34" s="1">
        <f t="shared" si="40"/>
        <v>0.11570247933884299</v>
      </c>
      <c r="AR34" s="1">
        <f t="shared" si="40"/>
        <v>0.16600790513833993</v>
      </c>
      <c r="AS34" s="1">
        <f t="shared" si="40"/>
        <v>9.0549766439094487E-2</v>
      </c>
    </row>
    <row r="35" spans="1:45" x14ac:dyDescent="0.35">
      <c r="A35" s="41">
        <f>IFERROR(INDEX('Date Key'!$B$2:$B$19, MATCH(F35,'Date Key'!$A$2:$A$19, 0)), "")</f>
        <v>45266</v>
      </c>
      <c r="B35" s="4">
        <f t="shared" si="15"/>
        <v>4</v>
      </c>
      <c r="C35" s="26" t="str">
        <f>IFERROR(INDEX('Date Key'!$G$57:$G$62, MATCH(B35,'Date Key'!$A$57:$A$62, 0)), "")</f>
        <v>High HLR, Upper Outlet Height, No Plants</v>
      </c>
      <c r="D35" s="4" t="str">
        <f>IFERROR(INDEX('Date Key'!$G$2:$G$19, MATCH(F35, 'Date Key'!$A$2:$A$19, 0)), "")</f>
        <v>No</v>
      </c>
      <c r="E35" s="4" t="str">
        <f t="shared" si="1"/>
        <v>tank 1</v>
      </c>
      <c r="F35" s="4">
        <f t="shared" si="2"/>
        <v>12</v>
      </c>
      <c r="G35" s="4">
        <f t="shared" si="22"/>
        <v>3</v>
      </c>
      <c r="H35" s="11" cm="1">
        <f t="array" ref="H35">IFERROR(INDEX('Master Data Sheet'!$1:$1048576, MATCH(1, ('Master Data Sheet'!$H:$H=H$2) * (INDEX('Master Data Sheet'!$1:$1, , MATCH($F$1, 'Master Data Sheet'!$1:$1, 0)) = $F$1) * ('Master Data Sheet'!$G:$G=$B35) * ('Master Data Sheet'!$F:$F=$E35) * ('Master Data Sheet'!$A:$A=$F35), 0), MATCH($F$1, 'Master Data Sheet'!$1:$1, 0)), "")</f>
        <v>6.0366510959396345E-2</v>
      </c>
      <c r="I35" s="11" cm="1">
        <f t="array" ref="I35">IFERROR(INDEX('Master Data Sheet'!$1:$1048576, MATCH(1, ('Master Data Sheet'!$H:$H=I$2) * (INDEX('Master Data Sheet'!$1:$1, , MATCH($F$1, 'Master Data Sheet'!$1:$1, 0)) = $F$1) * ('Master Data Sheet'!$G:$G=$B35) * ('Master Data Sheet'!$F:$F=$E35) * ('Master Data Sheet'!$A:$A=$F35), 0), MATCH($F$1, 'Master Data Sheet'!$1:$1, 0)), "")</f>
        <v>6.5397053539346037E-2</v>
      </c>
      <c r="J35" s="11" cm="1">
        <f t="array" ref="J35">IFERROR(INDEX('Master Data Sheet'!$1:$1048576, MATCH(1, ('Master Data Sheet'!$H:$H=J$2) * (INDEX('Master Data Sheet'!$1:$1, , MATCH($F$1, 'Master Data Sheet'!$1:$1, 0)) = $F$1) * ('Master Data Sheet'!$G:$G=$B35) * ('Master Data Sheet'!$F:$F=$E35) * ('Master Data Sheet'!$A:$A=$F35), 0), MATCH($F$1, 'Master Data Sheet'!$1:$1, 0)), "")</f>
        <v>0.14588573481854117</v>
      </c>
      <c r="K35" s="11" cm="1">
        <f t="array" ref="K35">IFERROR(INDEX('Master Data Sheet'!$1:$1048576, MATCH(1, ('Master Data Sheet'!$H:$H=K$2) * (INDEX('Master Data Sheet'!$1:$1, , MATCH($F$1, 'Master Data Sheet'!$1:$1, 0)) = $F$1) * ('Master Data Sheet'!$G:$G=$B35) * ('Master Data Sheet'!$F:$F=$E35) * ('Master Data Sheet'!$A:$A=$F35), 0), MATCH($F$1, 'Master Data Sheet'!$1:$1, 0)), "")</f>
        <v>0.12073302191879269</v>
      </c>
      <c r="L35" s="11" cm="1">
        <f t="array" ref="L35">IFERROR(INDEX('Master Data Sheet'!$1:$1048576, MATCH(1, ('Master Data Sheet'!$H:$H=L$2) * (INDEX('Master Data Sheet'!$1:$1, , MATCH($F$1, 'Master Data Sheet'!$1:$1, 0)) = $F$1) * ('Master Data Sheet'!$G:$G=$B35) * ('Master Data Sheet'!$F:$F=$E35) * ('Master Data Sheet'!$A:$A=$F35), 0), MATCH($F$1, 'Master Data Sheet'!$1:$1, 0)), "")</f>
        <v>0.11570247933884299</v>
      </c>
      <c r="M35" s="11" cm="1">
        <f t="array" ref="M35">IFERROR(INDEX('Master Data Sheet'!$1:$1048576, MATCH(1, ('Master Data Sheet'!$H:$H=M$2) * (INDEX('Master Data Sheet'!$1:$1, , MATCH($F$1, 'Master Data Sheet'!$1:$1, 0)) = $F$1) * ('Master Data Sheet'!$G:$G=$B35) * ('Master Data Sheet'!$F:$F=$E35) * ('Master Data Sheet'!$A:$A=$F35), 0), MATCH($F$1, 'Master Data Sheet'!$1:$1, 0)), "")</f>
        <v>0.16600790513833993</v>
      </c>
      <c r="N35" s="11" cm="1">
        <f t="array" ref="N35">IFERROR(INDEX('Master Data Sheet'!$1:$1048576, MATCH(1, ('Master Data Sheet'!$H:$H=N$2) * (INDEX('Master Data Sheet'!$1:$1, , MATCH($F$1, 'Master Data Sheet'!$1:$1, 0)) = $F$1) * ('Master Data Sheet'!$G:$G=$B35) * ('Master Data Sheet'!$F:$F=$E35) * ('Master Data Sheet'!$A:$A=$F35), 0), MATCH($F$1, 'Master Data Sheet'!$1:$1, 0)), "")</f>
        <v>9.0549766439094487E-2</v>
      </c>
      <c r="O35" s="11">
        <f t="shared" si="8"/>
        <v>0.10923463887890768</v>
      </c>
      <c r="P35" s="11">
        <f t="shared" si="4"/>
        <v>3.9580097357427971E-2</v>
      </c>
      <c r="Q35" s="11"/>
      <c r="R35" s="46">
        <f>(1-(O35/O32))*100</f>
        <v>-70.786516853932582</v>
      </c>
      <c r="Y35" s="2"/>
      <c r="Z35" s="2"/>
      <c r="AA35" s="2"/>
      <c r="AB35" s="2"/>
      <c r="AC35" s="2"/>
      <c r="AD35" s="2"/>
      <c r="AE35" s="2"/>
      <c r="AF35" s="2"/>
      <c r="AG35" s="2"/>
    </row>
    <row r="36" spans="1:45" x14ac:dyDescent="0.35">
      <c r="A36" s="41">
        <f>IFERROR(INDEX('Date Key'!$B$2:$B$19, MATCH(F36,'Date Key'!$A$2:$A$19, 0)), "")</f>
        <v>45250</v>
      </c>
      <c r="B36" s="4">
        <f t="shared" si="15"/>
        <v>4</v>
      </c>
      <c r="C36" s="26" t="str">
        <f>IFERROR(INDEX('Date Key'!$G$57:$G$62, MATCH(B36,'Date Key'!$A$57:$A$62, 0)), "")</f>
        <v>High HLR, Upper Outlet Height, No Plants</v>
      </c>
      <c r="D36" s="4" t="str">
        <f>IFERROR(INDEX('Date Key'!$G$2:$G$19, MATCH(F36, 'Date Key'!$A$2:$A$19, 0)), "")</f>
        <v>Yes</v>
      </c>
      <c r="E36" s="4" t="str">
        <f t="shared" si="1"/>
        <v>tank 2</v>
      </c>
      <c r="F36" s="4">
        <f t="shared" si="2"/>
        <v>10</v>
      </c>
      <c r="G36" s="4">
        <f t="shared" si="22"/>
        <v>1</v>
      </c>
      <c r="H36" s="11" cm="1">
        <f t="array" ref="H36">IFERROR(INDEX('Master Data Sheet'!$1:$1048576, MATCH(1, ('Master Data Sheet'!$H:$H=H$2) * (INDEX('Master Data Sheet'!$1:$1, , MATCH($F$1, 'Master Data Sheet'!$1:$1, 0)) = $F$1) * ('Master Data Sheet'!$G:$G=$B36) * ('Master Data Sheet'!$F:$F=$E36) * ('Master Data Sheet'!$A:$A=$F36), 0), MATCH($F$1, 'Master Data Sheet'!$1:$1, 0)), "")</f>
        <v>1.9752157452912266E-2</v>
      </c>
      <c r="I36" s="11" cm="1">
        <f t="array" ref="I36">IFERROR(INDEX('Master Data Sheet'!$1:$1048576, MATCH(1, ('Master Data Sheet'!$H:$H=I$2) * (INDEX('Master Data Sheet'!$1:$1, , MATCH($F$1, 'Master Data Sheet'!$1:$1, 0)) = $F$1) * ('Master Data Sheet'!$G:$G=$B36) * ('Master Data Sheet'!$F:$F=$E36) * ('Master Data Sheet'!$A:$A=$F36), 0), MATCH($F$1, 'Master Data Sheet'!$1:$1, 0)), "")</f>
        <v>0.11357490535424555</v>
      </c>
      <c r="J36" s="11" cm="1">
        <f t="array" ref="J36">IFERROR(INDEX('Master Data Sheet'!$1:$1048576, MATCH(1, ('Master Data Sheet'!$H:$H=J$2) * (INDEX('Master Data Sheet'!$1:$1, , MATCH($F$1, 'Master Data Sheet'!$1:$1, 0)) = $F$1) * ('Master Data Sheet'!$G:$G=$B36) * ('Master Data Sheet'!$F:$F=$E36) * ('Master Data Sheet'!$A:$A=$F36), 0), MATCH($F$1, 'Master Data Sheet'!$1:$1, 0)), "")</f>
        <v>0.27159216497754368</v>
      </c>
      <c r="K36" s="11" cm="1">
        <f t="array" ref="K36">IFERROR(INDEX('Master Data Sheet'!$1:$1048576, MATCH(1, ('Master Data Sheet'!$H:$H=K$2) * (INDEX('Master Data Sheet'!$1:$1, , MATCH($F$1, 'Master Data Sheet'!$1:$1, 0)) = $F$1) * ('Master Data Sheet'!$G:$G=$B36) * ('Master Data Sheet'!$F:$F=$E36) * ('Master Data Sheet'!$A:$A=$F36), 0), MATCH($F$1, 'Master Data Sheet'!$1:$1, 0)), "")</f>
        <v>0.26171608625108755</v>
      </c>
      <c r="L36" s="11" cm="1">
        <f t="array" ref="L36">IFERROR(INDEX('Master Data Sheet'!$1:$1048576, MATCH(1, ('Master Data Sheet'!$H:$H=L$2) * (INDEX('Master Data Sheet'!$1:$1, , MATCH($F$1, 'Master Data Sheet'!$1:$1, 0)) = $F$1) * ('Master Data Sheet'!$G:$G=$B36) * ('Master Data Sheet'!$F:$F=$E36) * ('Master Data Sheet'!$A:$A=$F36), 0), MATCH($F$1, 'Master Data Sheet'!$1:$1, 0)), "")</f>
        <v>0.21233569261880686</v>
      </c>
      <c r="M36" s="11" cm="1">
        <f t="array" ref="M36">IFERROR(INDEX('Master Data Sheet'!$1:$1048576, MATCH(1, ('Master Data Sheet'!$H:$H=M$2) * (INDEX('Master Data Sheet'!$1:$1, , MATCH($F$1, 'Master Data Sheet'!$1:$1, 0)) = $F$1) * ('Master Data Sheet'!$G:$G=$B36) * ('Master Data Sheet'!$F:$F=$E36) * ('Master Data Sheet'!$A:$A=$F36), 0), MATCH($F$1, 'Master Data Sheet'!$1:$1, 0)), "")</f>
        <v>0.19752157452912264</v>
      </c>
      <c r="N36" s="11" cm="1">
        <f t="array" ref="N36">IFERROR(INDEX('Master Data Sheet'!$1:$1048576, MATCH(1, ('Master Data Sheet'!$H:$H=N$2) * (INDEX('Master Data Sheet'!$1:$1, , MATCH($F$1, 'Master Data Sheet'!$1:$1, 0)) = $F$1) * ('Master Data Sheet'!$G:$G=$B36) * ('Master Data Sheet'!$F:$F=$E36) * ('Master Data Sheet'!$A:$A=$F36), 0), MATCH($F$1, 'Master Data Sheet'!$1:$1, 0)), "")</f>
        <v>0.19258353516589458</v>
      </c>
      <c r="O36" s="11">
        <f t="shared" si="8"/>
        <v>0.18129658804994472</v>
      </c>
      <c r="P36" s="11">
        <f t="shared" si="4"/>
        <v>8.818303657880433E-2</v>
      </c>
      <c r="Q36" s="11">
        <f>AVERAGE(N36:N38)</f>
        <v>0.10269194413561324</v>
      </c>
      <c r="R36" s="46">
        <f>(1-(O36/O30))*100</f>
        <v>-343.10344827586204</v>
      </c>
      <c r="S36" s="46">
        <f>AVERAGE(R36:R38)</f>
        <v>-96.33862843858968</v>
      </c>
      <c r="T36" s="46">
        <f>STDEV(R36:R38)</f>
        <v>214.65220264145552</v>
      </c>
      <c r="U36" s="47">
        <f>(1-(AVERAGE(H36:N38)/AVERAGE(H30:N32)))*100</f>
        <v>-49.330867905767128</v>
      </c>
      <c r="V36" s="47"/>
      <c r="Y36" s="2"/>
      <c r="Z36" s="2"/>
      <c r="AA36" s="2"/>
      <c r="AB36" s="2"/>
      <c r="AC36" s="2"/>
      <c r="AD36" s="2"/>
      <c r="AE36" s="2"/>
      <c r="AF36" s="2"/>
      <c r="AG36" s="2"/>
    </row>
    <row r="37" spans="1:45" x14ac:dyDescent="0.35">
      <c r="A37" s="41">
        <f>IFERROR(INDEX('Date Key'!$B$2:$B$19, MATCH(F37,'Date Key'!$A$2:$A$19, 0)), "")</f>
        <v>45259</v>
      </c>
      <c r="B37" s="4">
        <f t="shared" si="15"/>
        <v>4</v>
      </c>
      <c r="C37" s="26" t="str">
        <f>IFERROR(INDEX('Date Key'!$G$57:$G$62, MATCH(B37,'Date Key'!$A$57:$A$62, 0)), "")</f>
        <v>High HLR, Upper Outlet Height, No Plants</v>
      </c>
      <c r="D37" s="4" t="str">
        <f>IFERROR(INDEX('Date Key'!$G$2:$G$19, MATCH(F37, 'Date Key'!$A$2:$A$19, 0)), "")</f>
        <v>No</v>
      </c>
      <c r="E37" s="4" t="str">
        <f t="shared" si="1"/>
        <v>tank 2</v>
      </c>
      <c r="F37" s="4">
        <f t="shared" si="2"/>
        <v>11</v>
      </c>
      <c r="G37" s="4">
        <f t="shared" si="22"/>
        <v>2</v>
      </c>
      <c r="H37" s="11" cm="1">
        <f t="array" ref="H37">IFERROR(INDEX('Master Data Sheet'!$1:$1048576, MATCH(1, ('Master Data Sheet'!$H:$H=H$2) * (INDEX('Master Data Sheet'!$1:$1, , MATCH($F$1, 'Master Data Sheet'!$1:$1, 0)) = $F$1) * ('Master Data Sheet'!$G:$G=$B37) * ('Master Data Sheet'!$F:$F=$E37) * ('Master Data Sheet'!$A:$A=$F37), 0), MATCH($F$1, 'Master Data Sheet'!$1:$1, 0)), "")</f>
        <v>0.11042856801395894</v>
      </c>
      <c r="I37" s="11" cm="1">
        <f t="array" ref="I37">IFERROR(INDEX('Master Data Sheet'!$1:$1048576, MATCH(1, ('Master Data Sheet'!$H:$H=I$2) * (INDEX('Master Data Sheet'!$1:$1, , MATCH($F$1, 'Master Data Sheet'!$1:$1, 0)) = $F$1) * ('Master Data Sheet'!$G:$G=$B37) * ('Master Data Sheet'!$F:$F=$E37) * ('Master Data Sheet'!$A:$A=$F37), 0), MATCH($F$1, 'Master Data Sheet'!$1:$1, 0)), "")</f>
        <v>0.11042856801395894</v>
      </c>
      <c r="J37" s="11" cm="1">
        <f t="array" ref="J37">IFERROR(INDEX('Master Data Sheet'!$1:$1048576, MATCH(1, ('Master Data Sheet'!$H:$H=J$2) * (INDEX('Master Data Sheet'!$1:$1, , MATCH($F$1, 'Master Data Sheet'!$1:$1, 0)) = $F$1) * ('Master Data Sheet'!$G:$G=$B37) * ('Master Data Sheet'!$F:$F=$E37) * ('Master Data Sheet'!$A:$A=$F37), 0), MATCH($F$1, 'Master Data Sheet'!$1:$1, 0)), "")</f>
        <v>8.5331166192604641E-2</v>
      </c>
      <c r="K37" s="11" cm="1">
        <f t="array" ref="K37">IFERROR(INDEX('Master Data Sheet'!$1:$1048576, MATCH(1, ('Master Data Sheet'!$H:$H=K$2) * (INDEX('Master Data Sheet'!$1:$1, , MATCH($F$1, 'Master Data Sheet'!$1:$1, 0)) = $F$1) * ('Master Data Sheet'!$G:$G=$B37) * ('Master Data Sheet'!$F:$F=$E37) * ('Master Data Sheet'!$A:$A=$F37), 0), MATCH($F$1, 'Master Data Sheet'!$1:$1, 0)), "")</f>
        <v>9.0350646556875483E-2</v>
      </c>
      <c r="L37" s="11" cm="1">
        <f t="array" ref="L37">IFERROR(INDEX('Master Data Sheet'!$1:$1048576, MATCH(1, ('Master Data Sheet'!$H:$H=L$2) * (INDEX('Master Data Sheet'!$1:$1, , MATCH($F$1, 'Master Data Sheet'!$1:$1, 0)) = $F$1) * ('Master Data Sheet'!$G:$G=$B37) * ('Master Data Sheet'!$F:$F=$E37) * ('Master Data Sheet'!$A:$A=$F37), 0), MATCH($F$1, 'Master Data Sheet'!$1:$1, 0)), "")</f>
        <v>0.10540908764968807</v>
      </c>
      <c r="M37" s="11" cm="1">
        <f t="array" ref="M37">IFERROR(INDEX('Master Data Sheet'!$1:$1048576, MATCH(1, ('Master Data Sheet'!$H:$H=M$2) * (INDEX('Master Data Sheet'!$1:$1, , MATCH($F$1, 'Master Data Sheet'!$1:$1, 0)) = $F$1) * ('Master Data Sheet'!$G:$G=$B37) * ('Master Data Sheet'!$F:$F=$E37) * ('Master Data Sheet'!$A:$A=$F37), 0), MATCH($F$1, 'Master Data Sheet'!$1:$1, 0)), "")</f>
        <v>8.031168582833377E-2</v>
      </c>
      <c r="N37" s="11" cm="1">
        <f t="array" ref="N37">IFERROR(INDEX('Master Data Sheet'!$1:$1048576, MATCH(1, ('Master Data Sheet'!$H:$H=N$2) * (INDEX('Master Data Sheet'!$1:$1, , MATCH($F$1, 'Master Data Sheet'!$1:$1, 0)) = $F$1) * ('Master Data Sheet'!$G:$G=$B37) * ('Master Data Sheet'!$F:$F=$E37) * ('Master Data Sheet'!$A:$A=$F37), 0), MATCH($F$1, 'Master Data Sheet'!$1:$1, 0)), "")</f>
        <v>9.5370126921146339E-2</v>
      </c>
      <c r="O37" s="11">
        <f t="shared" si="8"/>
        <v>9.6804264168080884E-2</v>
      </c>
      <c r="P37" s="11">
        <f t="shared" si="4"/>
        <v>1.2197194657526084E-2</v>
      </c>
      <c r="Q37" s="11"/>
      <c r="R37" s="46">
        <f>(1-(O37/O31))*100</f>
        <v>6.8965517241379226</v>
      </c>
      <c r="X37" t="str">
        <f>IFERROR(INDEX('Date Key'!$G$57:$G$62, MATCH(B36,'Date Key'!$A$57:$A$62, 0)), "")</f>
        <v>High HLR, Upper Outlet Height, No Plants</v>
      </c>
      <c r="Y37" s="1">
        <f t="shared" ref="Y37:AE37" si="41">H36</f>
        <v>1.9752157452912266E-2</v>
      </c>
      <c r="Z37" s="1">
        <f t="shared" si="41"/>
        <v>0.11357490535424555</v>
      </c>
      <c r="AA37" s="1">
        <f t="shared" si="41"/>
        <v>0.27159216497754368</v>
      </c>
      <c r="AB37" s="1">
        <f t="shared" si="41"/>
        <v>0.26171608625108755</v>
      </c>
      <c r="AC37" s="1">
        <f t="shared" si="41"/>
        <v>0.21233569261880686</v>
      </c>
      <c r="AD37" s="1">
        <f t="shared" si="41"/>
        <v>0.19752157452912264</v>
      </c>
      <c r="AE37" s="1">
        <f t="shared" si="41"/>
        <v>0.19258353516589458</v>
      </c>
      <c r="AF37" s="1">
        <f t="shared" ref="AF37:AL37" si="42">H37</f>
        <v>0.11042856801395894</v>
      </c>
      <c r="AG37" s="1">
        <f t="shared" si="42"/>
        <v>0.11042856801395894</v>
      </c>
      <c r="AH37" s="1">
        <f t="shared" si="42"/>
        <v>8.5331166192604641E-2</v>
      </c>
      <c r="AI37" s="1">
        <f t="shared" si="42"/>
        <v>9.0350646556875483E-2</v>
      </c>
      <c r="AJ37" s="1">
        <f t="shared" si="42"/>
        <v>0.10540908764968807</v>
      </c>
      <c r="AK37" s="1">
        <f t="shared" si="42"/>
        <v>8.031168582833377E-2</v>
      </c>
      <c r="AL37" s="1">
        <f t="shared" si="42"/>
        <v>9.5370126921146339E-2</v>
      </c>
      <c r="AM37" s="1">
        <f t="shared" ref="AM37:AS37" si="43">H38</f>
        <v>3.5213798059647868E-2</v>
      </c>
      <c r="AN37" s="1">
        <f t="shared" si="43"/>
        <v>3.5213798059647868E-2</v>
      </c>
      <c r="AO37" s="1">
        <f t="shared" si="43"/>
        <v>5.0305425799496949E-2</v>
      </c>
      <c r="AP37" s="1">
        <f t="shared" si="43"/>
        <v>2.5152712899748474E-2</v>
      </c>
      <c r="AQ37" s="1">
        <f t="shared" si="43"/>
        <v>3.5213798059647868E-2</v>
      </c>
      <c r="AR37" s="1">
        <f t="shared" si="43"/>
        <v>3.5213798059647868E-2</v>
      </c>
      <c r="AS37" s="1">
        <f t="shared" si="43"/>
        <v>2.0122170319798779E-2</v>
      </c>
    </row>
    <row r="38" spans="1:45" x14ac:dyDescent="0.35">
      <c r="A38" s="42">
        <f>IFERROR(INDEX('Date Key'!$B$2:$B$19, MATCH(F38,'Date Key'!$A$2:$A$19, 0)), "")</f>
        <v>45266</v>
      </c>
      <c r="B38" s="27">
        <f t="shared" si="15"/>
        <v>4</v>
      </c>
      <c r="C38" s="51" t="str">
        <f>IFERROR(INDEX('Date Key'!$G$57:$G$62, MATCH(B38,'Date Key'!$A$57:$A$62, 0)), "")</f>
        <v>High HLR, Upper Outlet Height, No Plants</v>
      </c>
      <c r="D38" s="27" t="str">
        <f>IFERROR(INDEX('Date Key'!$G$2:$G$19, MATCH(F38, 'Date Key'!$A$2:$A$19, 0)), "")</f>
        <v>No</v>
      </c>
      <c r="E38" s="27" t="str">
        <f t="shared" si="1"/>
        <v>tank 2</v>
      </c>
      <c r="F38" s="27">
        <f t="shared" si="2"/>
        <v>12</v>
      </c>
      <c r="G38" s="27">
        <f t="shared" si="22"/>
        <v>3</v>
      </c>
      <c r="H38" s="28" cm="1">
        <f t="array" ref="H38">IFERROR(INDEX('Master Data Sheet'!$1:$1048576, MATCH(1, ('Master Data Sheet'!$H:$H=H$2) * (INDEX('Master Data Sheet'!$1:$1, , MATCH($F$1, 'Master Data Sheet'!$1:$1, 0)) = $F$1) * ('Master Data Sheet'!$G:$G=$B38) * ('Master Data Sheet'!$F:$F=$E38) * ('Master Data Sheet'!$A:$A=$F38), 0), MATCH($F$1, 'Master Data Sheet'!$1:$1, 0)), "")</f>
        <v>3.5213798059647868E-2</v>
      </c>
      <c r="I38" s="28" cm="1">
        <f t="array" ref="I38">IFERROR(INDEX('Master Data Sheet'!$1:$1048576, MATCH(1, ('Master Data Sheet'!$H:$H=I$2) * (INDEX('Master Data Sheet'!$1:$1, , MATCH($F$1, 'Master Data Sheet'!$1:$1, 0)) = $F$1) * ('Master Data Sheet'!$G:$G=$B38) * ('Master Data Sheet'!$F:$F=$E38) * ('Master Data Sheet'!$A:$A=$F38), 0), MATCH($F$1, 'Master Data Sheet'!$1:$1, 0)), "")</f>
        <v>3.5213798059647868E-2</v>
      </c>
      <c r="J38" s="28" cm="1">
        <f t="array" ref="J38">IFERROR(INDEX('Master Data Sheet'!$1:$1048576, MATCH(1, ('Master Data Sheet'!$H:$H=J$2) * (INDEX('Master Data Sheet'!$1:$1, , MATCH($F$1, 'Master Data Sheet'!$1:$1, 0)) = $F$1) * ('Master Data Sheet'!$G:$G=$B38) * ('Master Data Sheet'!$F:$F=$E38) * ('Master Data Sheet'!$A:$A=$F38), 0), MATCH($F$1, 'Master Data Sheet'!$1:$1, 0)), "")</f>
        <v>5.0305425799496949E-2</v>
      </c>
      <c r="K38" s="28" cm="1">
        <f t="array" ref="K38">IFERROR(INDEX('Master Data Sheet'!$1:$1048576, MATCH(1, ('Master Data Sheet'!$H:$H=K$2) * (INDEX('Master Data Sheet'!$1:$1, , MATCH($F$1, 'Master Data Sheet'!$1:$1, 0)) = $F$1) * ('Master Data Sheet'!$G:$G=$B38) * ('Master Data Sheet'!$F:$F=$E38) * ('Master Data Sheet'!$A:$A=$F38), 0), MATCH($F$1, 'Master Data Sheet'!$1:$1, 0)), "")</f>
        <v>2.5152712899748474E-2</v>
      </c>
      <c r="L38" s="28" cm="1">
        <f t="array" ref="L38">IFERROR(INDEX('Master Data Sheet'!$1:$1048576, MATCH(1, ('Master Data Sheet'!$H:$H=L$2) * (INDEX('Master Data Sheet'!$1:$1, , MATCH($F$1, 'Master Data Sheet'!$1:$1, 0)) = $F$1) * ('Master Data Sheet'!$G:$G=$B38) * ('Master Data Sheet'!$F:$F=$E38) * ('Master Data Sheet'!$A:$A=$F38), 0), MATCH($F$1, 'Master Data Sheet'!$1:$1, 0)), "")</f>
        <v>3.5213798059647868E-2</v>
      </c>
      <c r="M38" s="28" cm="1">
        <f t="array" ref="M38">IFERROR(INDEX('Master Data Sheet'!$1:$1048576, MATCH(1, ('Master Data Sheet'!$H:$H=M$2) * (INDEX('Master Data Sheet'!$1:$1, , MATCH($F$1, 'Master Data Sheet'!$1:$1, 0)) = $F$1) * ('Master Data Sheet'!$G:$G=$B38) * ('Master Data Sheet'!$F:$F=$E38) * ('Master Data Sheet'!$A:$A=$F38), 0), MATCH($F$1, 'Master Data Sheet'!$1:$1, 0)), "")</f>
        <v>3.5213798059647868E-2</v>
      </c>
      <c r="N38" s="28" cm="1">
        <f t="array" ref="N38">IFERROR(INDEX('Master Data Sheet'!$1:$1048576, MATCH(1, ('Master Data Sheet'!$H:$H=N$2) * (INDEX('Master Data Sheet'!$1:$1, , MATCH($F$1, 'Master Data Sheet'!$1:$1, 0)) = $F$1) * ('Master Data Sheet'!$G:$G=$B38) * ('Master Data Sheet'!$F:$F=$E38) * ('Master Data Sheet'!$A:$A=$F38), 0), MATCH($F$1, 'Master Data Sheet'!$1:$1, 0)), "")</f>
        <v>2.0122170319798779E-2</v>
      </c>
      <c r="O38" s="28">
        <f t="shared" si="8"/>
        <v>3.3776500179662231E-2</v>
      </c>
      <c r="P38" s="28">
        <f t="shared" si="4"/>
        <v>9.5068318759058516E-3</v>
      </c>
      <c r="Q38" s="28"/>
      <c r="R38" s="48">
        <f>(1-(O38/O32))*100</f>
        <v>47.191011235955081</v>
      </c>
      <c r="S38" s="27"/>
      <c r="T38" s="27"/>
      <c r="U38" s="27"/>
      <c r="V38" s="27"/>
    </row>
    <row r="39" spans="1:45" x14ac:dyDescent="0.35">
      <c r="A39" s="41">
        <f>IFERROR(INDEX('Date Key'!$B$2:$B$19, MATCH(F39,'Date Key'!$A$2:$A$19, 0)), "")</f>
        <v>45313</v>
      </c>
      <c r="B39" s="4">
        <f t="shared" si="15"/>
        <v>5</v>
      </c>
      <c r="C39" s="26" t="str">
        <f>IFERROR(INDEX('Date Key'!$G$57:$G$62, MATCH(B39,'Date Key'!$A$57:$A$62, 0)), "")</f>
        <v>High HLR, Lower Outlet Height, Yes Plants</v>
      </c>
      <c r="D39" s="4" t="str">
        <f>IFERROR(INDEX('Date Key'!$G$2:$G$19, MATCH(F39, 'Date Key'!$A$2:$A$19, 0)), "")</f>
        <v>Yes</v>
      </c>
      <c r="E39" s="4" t="str">
        <f t="shared" si="1"/>
        <v>in</v>
      </c>
      <c r="F39" s="4">
        <f t="shared" si="2"/>
        <v>13</v>
      </c>
      <c r="G39" s="4">
        <f t="shared" si="22"/>
        <v>1</v>
      </c>
      <c r="H39" s="11" cm="1">
        <f t="array" ref="H39">IFERROR(INDEX('Master Data Sheet'!$1:$1048576, MATCH(1, ('Master Data Sheet'!$H:$H=H$2) * (INDEX('Master Data Sheet'!$1:$1, , MATCH($F$1, 'Master Data Sheet'!$1:$1, 0)) = $F$1) * ('Master Data Sheet'!$G:$G=$B39) * ('Master Data Sheet'!$F:$F=$E39) * ('Master Data Sheet'!$A:$A=$F39), 0), MATCH($F$1, 'Master Data Sheet'!$1:$1, 0)), "")</f>
        <v>4.0631305453439848E-2</v>
      </c>
      <c r="I39" s="11" cm="1">
        <f t="array" ref="I39">IFERROR(INDEX('Master Data Sheet'!$1:$1048576, MATCH(1, ('Master Data Sheet'!$H:$H=I$2) * (INDEX('Master Data Sheet'!$1:$1, , MATCH($F$1, 'Master Data Sheet'!$1:$1, 0)) = $F$1) * ('Master Data Sheet'!$G:$G=$B39) * ('Master Data Sheet'!$F:$F=$E39) * ('Master Data Sheet'!$A:$A=$F39), 0), MATCH($F$1, 'Master Data Sheet'!$1:$1, 0)), "")</f>
        <v>4.0631305453439848E-2</v>
      </c>
      <c r="J39" s="11" cm="1">
        <f t="array" ref="J39">IFERROR(INDEX('Master Data Sheet'!$1:$1048576, MATCH(1, ('Master Data Sheet'!$H:$H=J$2) * (INDEX('Master Data Sheet'!$1:$1, , MATCH($F$1, 'Master Data Sheet'!$1:$1, 0)) = $F$1) * ('Master Data Sheet'!$G:$G=$B39) * ('Master Data Sheet'!$F:$F=$E39) * ('Master Data Sheet'!$A:$A=$F39), 0), MATCH($F$1, 'Master Data Sheet'!$1:$1, 0)), "")</f>
        <v>4.643577766107411E-2</v>
      </c>
      <c r="K39" s="11" cm="1">
        <f t="array" ref="K39">IFERROR(INDEX('Master Data Sheet'!$1:$1048576, MATCH(1, ('Master Data Sheet'!$H:$H=K$2) * (INDEX('Master Data Sheet'!$1:$1, , MATCH($F$1, 'Master Data Sheet'!$1:$1, 0)) = $F$1) * ('Master Data Sheet'!$G:$G=$B39) * ('Master Data Sheet'!$F:$F=$E39) * ('Master Data Sheet'!$A:$A=$F39), 0), MATCH($F$1, 'Master Data Sheet'!$1:$1, 0)), "")</f>
        <v>4.0631305453439848E-2</v>
      </c>
      <c r="L39" s="11" cm="1">
        <f t="array" ref="L39">IFERROR(INDEX('Master Data Sheet'!$1:$1048576, MATCH(1, ('Master Data Sheet'!$H:$H=L$2) * (INDEX('Master Data Sheet'!$1:$1, , MATCH($F$1, 'Master Data Sheet'!$1:$1, 0)) = $F$1) * ('Master Data Sheet'!$G:$G=$B39) * ('Master Data Sheet'!$F:$F=$E39) * ('Master Data Sheet'!$A:$A=$F39), 0), MATCH($F$1, 'Master Data Sheet'!$1:$1, 0)), "")</f>
        <v>4.0631305453439848E-2</v>
      </c>
      <c r="M39" s="11" cm="1">
        <f t="array" ref="M39">IFERROR(INDEX('Master Data Sheet'!$1:$1048576, MATCH(1, ('Master Data Sheet'!$H:$H=M$2) * (INDEX('Master Data Sheet'!$1:$1, , MATCH($F$1, 'Master Data Sheet'!$1:$1, 0)) = $F$1) * ('Master Data Sheet'!$G:$G=$B39) * ('Master Data Sheet'!$F:$F=$E39) * ('Master Data Sheet'!$A:$A=$F39), 0), MATCH($F$1, 'Master Data Sheet'!$1:$1, 0)), "")</f>
        <v>4.0631305453439848E-2</v>
      </c>
      <c r="N39" s="11" cm="1">
        <f t="array" ref="N39">IFERROR(INDEX('Master Data Sheet'!$1:$1048576, MATCH(1, ('Master Data Sheet'!$H:$H=N$2) * (INDEX('Master Data Sheet'!$1:$1, , MATCH($F$1, 'Master Data Sheet'!$1:$1, 0)) = $F$1) * ('Master Data Sheet'!$G:$G=$B39) * ('Master Data Sheet'!$F:$F=$E39) * ('Master Data Sheet'!$A:$A=$F39), 0), MATCH($F$1, 'Master Data Sheet'!$1:$1, 0)), "")</f>
        <v>4.0631305453439848E-2</v>
      </c>
      <c r="O39" s="11">
        <f t="shared" si="8"/>
        <v>4.1460515768816167E-2</v>
      </c>
      <c r="P39" s="11">
        <f t="shared" si="4"/>
        <v>2.1938842790551897E-3</v>
      </c>
      <c r="Q39" s="11">
        <f>AVERAGE(O39:O41)</f>
        <v>3.0404378230465195E-2</v>
      </c>
      <c r="S39" s="11">
        <f>AVERAGE(O39:O41)</f>
        <v>3.0404378230465195E-2</v>
      </c>
      <c r="T39" s="11">
        <f>AVERAGE(P39:P41)</f>
        <v>4.5017561664087427E-3</v>
      </c>
      <c r="V39" s="47">
        <f>AVERAGE(U42, U45)</f>
        <v>-276.36363636363632</v>
      </c>
      <c r="X39" t="s">
        <v>343</v>
      </c>
    </row>
    <row r="40" spans="1:45" x14ac:dyDescent="0.35">
      <c r="A40" s="41">
        <f>IFERROR(INDEX('Date Key'!$B$2:$B$19, MATCH(F40,'Date Key'!$A$2:$A$19, 0)), "")</f>
        <v>45322</v>
      </c>
      <c r="B40" s="4">
        <f t="shared" si="15"/>
        <v>5</v>
      </c>
      <c r="C40" s="26" t="str">
        <f>IFERROR(INDEX('Date Key'!$G$57:$G$62, MATCH(B40,'Date Key'!$A$57:$A$62, 0)), "")</f>
        <v>High HLR, Lower Outlet Height, Yes Plants</v>
      </c>
      <c r="D40" s="4" t="str">
        <f>IFERROR(INDEX('Date Key'!$G$2:$G$19, MATCH(F40, 'Date Key'!$A$2:$A$19, 0)), "")</f>
        <v>No</v>
      </c>
      <c r="E40" s="4" t="str">
        <f t="shared" si="1"/>
        <v>in</v>
      </c>
      <c r="F40" s="4">
        <f t="shared" si="2"/>
        <v>14</v>
      </c>
      <c r="G40" s="4">
        <f t="shared" si="22"/>
        <v>2</v>
      </c>
      <c r="H40" s="11" cm="1">
        <f t="array" ref="H40">IFERROR(INDEX('Master Data Sheet'!$1:$1048576, MATCH(1, ('Master Data Sheet'!$H:$H=H$2) * (INDEX('Master Data Sheet'!$1:$1, , MATCH($F$1, 'Master Data Sheet'!$1:$1, 0)) = $F$1) * ('Master Data Sheet'!$G:$G=$B40) * ('Master Data Sheet'!$F:$F=$E40) * ('Master Data Sheet'!$A:$A=$F40), 0), MATCH($F$1, 'Master Data Sheet'!$1:$1, 0)), "")</f>
        <v>2.3217888830537055E-2</v>
      </c>
      <c r="I40" s="11" cm="1">
        <f t="array" ref="I40">IFERROR(INDEX('Master Data Sheet'!$1:$1048576, MATCH(1, ('Master Data Sheet'!$H:$H=I$2) * (INDEX('Master Data Sheet'!$1:$1, , MATCH($F$1, 'Master Data Sheet'!$1:$1, 0)) = $F$1) * ('Master Data Sheet'!$G:$G=$B40) * ('Master Data Sheet'!$F:$F=$E40) * ('Master Data Sheet'!$A:$A=$F40), 0), MATCH($F$1, 'Master Data Sheet'!$1:$1, 0)), "")</f>
        <v>2.3217888830537055E-2</v>
      </c>
      <c r="J40" s="11" cm="1">
        <f t="array" ref="J40">IFERROR(INDEX('Master Data Sheet'!$1:$1048576, MATCH(1, ('Master Data Sheet'!$H:$H=J$2) * (INDEX('Master Data Sheet'!$1:$1, , MATCH($F$1, 'Master Data Sheet'!$1:$1, 0)) = $F$1) * ('Master Data Sheet'!$G:$G=$B40) * ('Master Data Sheet'!$F:$F=$E40) * ('Master Data Sheet'!$A:$A=$F40), 0), MATCH($F$1, 'Master Data Sheet'!$1:$1, 0)), "")</f>
        <v>2.3217888830537055E-2</v>
      </c>
      <c r="K40" s="11" cm="1">
        <f t="array" ref="K40">IFERROR(INDEX('Master Data Sheet'!$1:$1048576, MATCH(1, ('Master Data Sheet'!$H:$H=K$2) * (INDEX('Master Data Sheet'!$1:$1, , MATCH($F$1, 'Master Data Sheet'!$1:$1, 0)) = $F$1) * ('Master Data Sheet'!$G:$G=$B40) * ('Master Data Sheet'!$F:$F=$E40) * ('Master Data Sheet'!$A:$A=$F40), 0), MATCH($F$1, 'Master Data Sheet'!$1:$1, 0)), "")</f>
        <v>1.7413416622902793E-2</v>
      </c>
      <c r="L40" s="11" cm="1">
        <f t="array" ref="L40">IFERROR(INDEX('Master Data Sheet'!$1:$1048576, MATCH(1, ('Master Data Sheet'!$H:$H=L$2) * (INDEX('Master Data Sheet'!$1:$1, , MATCH($F$1, 'Master Data Sheet'!$1:$1, 0)) = $F$1) * ('Master Data Sheet'!$G:$G=$B40) * ('Master Data Sheet'!$F:$F=$E40) * ('Master Data Sheet'!$A:$A=$F40), 0), MATCH($F$1, 'Master Data Sheet'!$1:$1, 0)), "")</f>
        <v>2.3217888830537055E-2</v>
      </c>
      <c r="M40" s="11" cm="1">
        <f t="array" ref="M40">IFERROR(INDEX('Master Data Sheet'!$1:$1048576, MATCH(1, ('Master Data Sheet'!$H:$H=M$2) * (INDEX('Master Data Sheet'!$1:$1, , MATCH($F$1, 'Master Data Sheet'!$1:$1, 0)) = $F$1) * ('Master Data Sheet'!$G:$G=$B40) * ('Master Data Sheet'!$F:$F=$E40) * ('Master Data Sheet'!$A:$A=$F40), 0), MATCH($F$1, 'Master Data Sheet'!$1:$1, 0)), "")</f>
        <v>1.7413416622902793E-2</v>
      </c>
      <c r="N40" s="11" cm="1">
        <f t="array" ref="N40">IFERROR(INDEX('Master Data Sheet'!$1:$1048576, MATCH(1, ('Master Data Sheet'!$H:$H=N$2) * (INDEX('Master Data Sheet'!$1:$1, , MATCH($F$1, 'Master Data Sheet'!$1:$1, 0)) = $F$1) * ('Master Data Sheet'!$G:$G=$B40) * ('Master Data Sheet'!$F:$F=$E40) * ('Master Data Sheet'!$A:$A=$F40), 0), MATCH($F$1, 'Master Data Sheet'!$1:$1, 0)), "")</f>
        <v>1.7413416622902793E-2</v>
      </c>
      <c r="O40" s="11">
        <f t="shared" si="8"/>
        <v>2.0730257884408087E-2</v>
      </c>
      <c r="P40" s="11">
        <f t="shared" si="4"/>
        <v>3.1026209017169693E-3</v>
      </c>
      <c r="Q40" s="11"/>
      <c r="X40" t="str">
        <f>IFERROR(INDEX('Date Key'!$G$57:$G$62, MATCH(B39,'Date Key'!$A$57:$A$62, 0)), "")</f>
        <v>High HLR, Lower Outlet Height, Yes Plants</v>
      </c>
      <c r="Y40" s="1">
        <f t="shared" ref="Y40:AE40" si="44">H39</f>
        <v>4.0631305453439848E-2</v>
      </c>
      <c r="Z40" s="1">
        <f t="shared" si="44"/>
        <v>4.0631305453439848E-2</v>
      </c>
      <c r="AA40" s="1">
        <f t="shared" si="44"/>
        <v>4.643577766107411E-2</v>
      </c>
      <c r="AB40" s="1">
        <f t="shared" si="44"/>
        <v>4.0631305453439848E-2</v>
      </c>
      <c r="AC40" s="1">
        <f t="shared" si="44"/>
        <v>4.0631305453439848E-2</v>
      </c>
      <c r="AD40" s="1">
        <f t="shared" si="44"/>
        <v>4.0631305453439848E-2</v>
      </c>
      <c r="AE40" s="1">
        <f t="shared" si="44"/>
        <v>4.0631305453439848E-2</v>
      </c>
      <c r="AF40" s="1">
        <f t="shared" ref="AF40:AL40" si="45">H40</f>
        <v>2.3217888830537055E-2</v>
      </c>
      <c r="AG40" s="1">
        <f t="shared" si="45"/>
        <v>2.3217888830537055E-2</v>
      </c>
      <c r="AH40" s="1">
        <f t="shared" si="45"/>
        <v>2.3217888830537055E-2</v>
      </c>
      <c r="AI40" s="1">
        <f t="shared" si="45"/>
        <v>1.7413416622902793E-2</v>
      </c>
      <c r="AJ40" s="1">
        <f t="shared" si="45"/>
        <v>2.3217888830537055E-2</v>
      </c>
      <c r="AK40" s="1">
        <f t="shared" si="45"/>
        <v>1.7413416622902793E-2</v>
      </c>
      <c r="AL40" s="1">
        <f t="shared" si="45"/>
        <v>1.7413416622902793E-2</v>
      </c>
      <c r="AM40" s="1">
        <f t="shared" ref="AM40:AS40" si="46">H41</f>
        <v>2.3217888830537055E-2</v>
      </c>
      <c r="AN40" s="1">
        <f t="shared" si="46"/>
        <v>1.7413416622902793E-2</v>
      </c>
      <c r="AO40" s="1">
        <f t="shared" si="46"/>
        <v>2.3217888830537055E-2</v>
      </c>
      <c r="AP40" s="1">
        <f t="shared" si="46"/>
        <v>2.9022361038171313E-2</v>
      </c>
      <c r="AQ40" s="1">
        <f t="shared" si="46"/>
        <v>3.4826833245805586E-2</v>
      </c>
      <c r="AR40" s="1">
        <f t="shared" si="46"/>
        <v>3.4826833245805586E-2</v>
      </c>
      <c r="AS40" s="1">
        <f t="shared" si="46"/>
        <v>4.0631305453439848E-2</v>
      </c>
    </row>
    <row r="41" spans="1:45" x14ac:dyDescent="0.35">
      <c r="A41" s="41">
        <f>IFERROR(INDEX('Date Key'!$B$2:$B$19, MATCH(F41,'Date Key'!$A$2:$A$19, 0)), "")</f>
        <v>45330</v>
      </c>
      <c r="B41" s="4">
        <f t="shared" si="15"/>
        <v>5</v>
      </c>
      <c r="C41" s="26" t="str">
        <f>IFERROR(INDEX('Date Key'!$G$57:$G$62, MATCH(B41,'Date Key'!$A$57:$A$62, 0)), "")</f>
        <v>High HLR, Lower Outlet Height, Yes Plants</v>
      </c>
      <c r="D41" s="4" t="str">
        <f>IFERROR(INDEX('Date Key'!$G$2:$G$19, MATCH(F41, 'Date Key'!$A$2:$A$19, 0)), "")</f>
        <v>No</v>
      </c>
      <c r="E41" s="4" t="str">
        <f t="shared" si="1"/>
        <v>in</v>
      </c>
      <c r="F41" s="4">
        <f t="shared" si="2"/>
        <v>15</v>
      </c>
      <c r="G41" s="4">
        <f t="shared" si="22"/>
        <v>3</v>
      </c>
      <c r="H41" s="11" cm="1">
        <f t="array" ref="H41">IFERROR(INDEX('Master Data Sheet'!$1:$1048576, MATCH(1, ('Master Data Sheet'!$H:$H=H$2) * (INDEX('Master Data Sheet'!$1:$1, , MATCH($F$1, 'Master Data Sheet'!$1:$1, 0)) = $F$1) * ('Master Data Sheet'!$G:$G=$B41) * ('Master Data Sheet'!$F:$F=$E41) * ('Master Data Sheet'!$A:$A=$F41), 0), MATCH($F$1, 'Master Data Sheet'!$1:$1, 0)), "")</f>
        <v>2.3217888830537055E-2</v>
      </c>
      <c r="I41" s="11" cm="1">
        <f t="array" ref="I41">IFERROR(INDEX('Master Data Sheet'!$1:$1048576, MATCH(1, ('Master Data Sheet'!$H:$H=I$2) * (INDEX('Master Data Sheet'!$1:$1, , MATCH($F$1, 'Master Data Sheet'!$1:$1, 0)) = $F$1) * ('Master Data Sheet'!$G:$G=$B41) * ('Master Data Sheet'!$F:$F=$E41) * ('Master Data Sheet'!$A:$A=$F41), 0), MATCH($F$1, 'Master Data Sheet'!$1:$1, 0)), "")</f>
        <v>1.7413416622902793E-2</v>
      </c>
      <c r="J41" s="11" cm="1">
        <f t="array" ref="J41">IFERROR(INDEX('Master Data Sheet'!$1:$1048576, MATCH(1, ('Master Data Sheet'!$H:$H=J$2) * (INDEX('Master Data Sheet'!$1:$1, , MATCH($F$1, 'Master Data Sheet'!$1:$1, 0)) = $F$1) * ('Master Data Sheet'!$G:$G=$B41) * ('Master Data Sheet'!$F:$F=$E41) * ('Master Data Sheet'!$A:$A=$F41), 0), MATCH($F$1, 'Master Data Sheet'!$1:$1, 0)), "")</f>
        <v>2.3217888830537055E-2</v>
      </c>
      <c r="K41" s="11" cm="1">
        <f t="array" ref="K41">IFERROR(INDEX('Master Data Sheet'!$1:$1048576, MATCH(1, ('Master Data Sheet'!$H:$H=K$2) * (INDEX('Master Data Sheet'!$1:$1, , MATCH($F$1, 'Master Data Sheet'!$1:$1, 0)) = $F$1) * ('Master Data Sheet'!$G:$G=$B41) * ('Master Data Sheet'!$F:$F=$E41) * ('Master Data Sheet'!$A:$A=$F41), 0), MATCH($F$1, 'Master Data Sheet'!$1:$1, 0)), "")</f>
        <v>2.9022361038171313E-2</v>
      </c>
      <c r="L41" s="11" cm="1">
        <f t="array" ref="L41">IFERROR(INDEX('Master Data Sheet'!$1:$1048576, MATCH(1, ('Master Data Sheet'!$H:$H=L$2) * (INDEX('Master Data Sheet'!$1:$1, , MATCH($F$1, 'Master Data Sheet'!$1:$1, 0)) = $F$1) * ('Master Data Sheet'!$G:$G=$B41) * ('Master Data Sheet'!$F:$F=$E41) * ('Master Data Sheet'!$A:$A=$F41), 0), MATCH($F$1, 'Master Data Sheet'!$1:$1, 0)), "")</f>
        <v>3.4826833245805586E-2</v>
      </c>
      <c r="M41" s="11" cm="1">
        <f t="array" ref="M41">IFERROR(INDEX('Master Data Sheet'!$1:$1048576, MATCH(1, ('Master Data Sheet'!$H:$H=M$2) * (INDEX('Master Data Sheet'!$1:$1, , MATCH($F$1, 'Master Data Sheet'!$1:$1, 0)) = $F$1) * ('Master Data Sheet'!$G:$G=$B41) * ('Master Data Sheet'!$F:$F=$E41) * ('Master Data Sheet'!$A:$A=$F41), 0), MATCH($F$1, 'Master Data Sheet'!$1:$1, 0)), "")</f>
        <v>3.4826833245805586E-2</v>
      </c>
      <c r="N41" s="11" cm="1">
        <f t="array" ref="N41">IFERROR(INDEX('Master Data Sheet'!$1:$1048576, MATCH(1, ('Master Data Sheet'!$H:$H=N$2) * (INDEX('Master Data Sheet'!$1:$1, , MATCH($F$1, 'Master Data Sheet'!$1:$1, 0)) = $F$1) * ('Master Data Sheet'!$G:$G=$B41) * ('Master Data Sheet'!$F:$F=$E41) * ('Master Data Sheet'!$A:$A=$F41), 0), MATCH($F$1, 'Master Data Sheet'!$1:$1, 0)), "")</f>
        <v>4.0631305453439848E-2</v>
      </c>
      <c r="O41" s="11">
        <f t="shared" si="8"/>
        <v>2.902236103817132E-2</v>
      </c>
      <c r="P41" s="11">
        <f t="shared" si="4"/>
        <v>8.2087633184540695E-3</v>
      </c>
      <c r="Q41" s="11"/>
      <c r="Y41" s="1"/>
      <c r="Z41" s="1"/>
      <c r="AA41" s="1"/>
      <c r="AB41" s="1"/>
      <c r="AC41" s="1"/>
      <c r="AD41" s="1"/>
      <c r="AE41" s="1"/>
      <c r="AF41" s="1"/>
      <c r="AG41" s="1"/>
      <c r="AH41" s="1"/>
      <c r="AI41" s="1"/>
      <c r="AJ41" s="1"/>
      <c r="AK41" s="1"/>
      <c r="AL41" s="1"/>
      <c r="AM41" s="1"/>
      <c r="AN41" s="1"/>
      <c r="AO41" s="1"/>
      <c r="AP41" s="1"/>
      <c r="AQ41" s="1"/>
      <c r="AR41" s="1"/>
      <c r="AS41" s="1"/>
    </row>
    <row r="42" spans="1:45" x14ac:dyDescent="0.35">
      <c r="A42" s="41">
        <f>IFERROR(INDEX('Date Key'!$B$2:$B$19, MATCH(F42,'Date Key'!$A$2:$A$19, 0)), "")</f>
        <v>45313</v>
      </c>
      <c r="B42" s="4">
        <f t="shared" si="15"/>
        <v>5</v>
      </c>
      <c r="C42" s="26" t="str">
        <f>IFERROR(INDEX('Date Key'!$G$57:$G$62, MATCH(B42,'Date Key'!$A$57:$A$62, 0)), "")</f>
        <v>High HLR, Lower Outlet Height, Yes Plants</v>
      </c>
      <c r="D42" s="4" t="str">
        <f>IFERROR(INDEX('Date Key'!$G$2:$G$19, MATCH(F42, 'Date Key'!$A$2:$A$19, 0)), "")</f>
        <v>Yes</v>
      </c>
      <c r="E42" s="4" t="str">
        <f t="shared" si="1"/>
        <v>tank 1</v>
      </c>
      <c r="F42" s="4">
        <f t="shared" si="2"/>
        <v>13</v>
      </c>
      <c r="G42" s="4">
        <f t="shared" si="22"/>
        <v>1</v>
      </c>
      <c r="H42" s="11" cm="1">
        <f t="array" ref="H42">IFERROR(INDEX('Master Data Sheet'!$1:$1048576, MATCH(1, ('Master Data Sheet'!$H:$H=H$2) * (INDEX('Master Data Sheet'!$1:$1, , MATCH($F$1, 'Master Data Sheet'!$1:$1, 0)) = $F$1) * ('Master Data Sheet'!$G:$G=$B42) * ('Master Data Sheet'!$F:$F=$E42) * ('Master Data Sheet'!$A:$A=$F42), 0), MATCH($F$1, 'Master Data Sheet'!$1:$1, 0)), "")</f>
        <v>3.4826833245805586E-2</v>
      </c>
      <c r="I42" s="11" cm="1">
        <f t="array" ref="I42">IFERROR(INDEX('Master Data Sheet'!$1:$1048576, MATCH(1, ('Master Data Sheet'!$H:$H=I$2) * (INDEX('Master Data Sheet'!$1:$1, , MATCH($F$1, 'Master Data Sheet'!$1:$1, 0)) = $F$1) * ('Master Data Sheet'!$G:$G=$B42) * ('Master Data Sheet'!$F:$F=$E42) * ('Master Data Sheet'!$A:$A=$F42), 0), MATCH($F$1, 'Master Data Sheet'!$1:$1, 0)), "")</f>
        <v>6.9653666491611171E-2</v>
      </c>
      <c r="J42" s="11" cm="1">
        <f t="array" ref="J42">IFERROR(INDEX('Master Data Sheet'!$1:$1048576, MATCH(1, ('Master Data Sheet'!$H:$H=J$2) * (INDEX('Master Data Sheet'!$1:$1, , MATCH($F$1, 'Master Data Sheet'!$1:$1, 0)) = $F$1) * ('Master Data Sheet'!$G:$G=$B42) * ('Master Data Sheet'!$F:$F=$E42) * ('Master Data Sheet'!$A:$A=$F42), 0), MATCH($F$1, 'Master Data Sheet'!$1:$1, 0)), "")</f>
        <v>0.19735205505956493</v>
      </c>
      <c r="K42" s="11" cm="1">
        <f t="array" ref="K42">IFERROR(INDEX('Master Data Sheet'!$1:$1048576, MATCH(1, ('Master Data Sheet'!$H:$H=K$2) * (INDEX('Master Data Sheet'!$1:$1, , MATCH($F$1, 'Master Data Sheet'!$1:$1, 0)) = $F$1) * ('Master Data Sheet'!$G:$G=$B42) * ('Master Data Sheet'!$F:$F=$E42) * ('Master Data Sheet'!$A:$A=$F42), 0), MATCH($F$1, 'Master Data Sheet'!$1:$1, 0)), "")</f>
        <v>0.24959230492827333</v>
      </c>
      <c r="L42" s="11" cm="1">
        <f t="array" ref="L42">IFERROR(INDEX('Master Data Sheet'!$1:$1048576, MATCH(1, ('Master Data Sheet'!$H:$H=L$2) * (INDEX('Master Data Sheet'!$1:$1, , MATCH($F$1, 'Master Data Sheet'!$1:$1, 0)) = $F$1) * ('Master Data Sheet'!$G:$G=$B42) * ('Master Data Sheet'!$F:$F=$E42) * ('Master Data Sheet'!$A:$A=$F42), 0), MATCH($F$1, 'Master Data Sheet'!$1:$1, 0)), "")</f>
        <v>0.26700572155117613</v>
      </c>
      <c r="M42" s="11" cm="1">
        <f t="array" ref="M42">IFERROR(INDEX('Master Data Sheet'!$1:$1048576, MATCH(1, ('Master Data Sheet'!$H:$H=M$2) * (INDEX('Master Data Sheet'!$1:$1, , MATCH($F$1, 'Master Data Sheet'!$1:$1, 0)) = $F$1) * ('Master Data Sheet'!$G:$G=$B42) * ('Master Data Sheet'!$F:$F=$E42) * ('Master Data Sheet'!$A:$A=$F42), 0), MATCH($F$1, 'Master Data Sheet'!$1:$1, 0)), "")</f>
        <v>0.24959230492827333</v>
      </c>
      <c r="N42" s="11" cm="1">
        <f t="array" ref="N42">IFERROR(INDEX('Master Data Sheet'!$1:$1048576, MATCH(1, ('Master Data Sheet'!$H:$H=N$2) * (INDEX('Master Data Sheet'!$1:$1, , MATCH($F$1, 'Master Data Sheet'!$1:$1, 0)) = $F$1) * ('Master Data Sheet'!$G:$G=$B42) * ('Master Data Sheet'!$F:$F=$E42) * ('Master Data Sheet'!$A:$A=$F42), 0), MATCH($F$1, 'Master Data Sheet'!$1:$1, 0)), "")</f>
        <v>0.24959230492827333</v>
      </c>
      <c r="O42" s="11">
        <f t="shared" si="8"/>
        <v>0.18823074159042541</v>
      </c>
      <c r="P42" s="11">
        <f t="shared" si="4"/>
        <v>9.5897255806590115E-2</v>
      </c>
      <c r="Q42" s="11">
        <f>AVERAGE(O42:O44)</f>
        <v>0.16556565963680589</v>
      </c>
      <c r="R42" s="46">
        <f>(1-(O42/O39))*100</f>
        <v>-354</v>
      </c>
      <c r="S42" s="46">
        <f>AVERAGE(R42:R44)</f>
        <v>-488.66666666666669</v>
      </c>
      <c r="T42" s="46">
        <f>STDEV(R42:R44)</f>
        <v>245.47369173362182</v>
      </c>
      <c r="U42" s="47">
        <f>(1-(AVERAGE(H42:N44)/AVERAGE(H39:N41)))*100</f>
        <v>-444.54545454545445</v>
      </c>
      <c r="V42" s="47"/>
      <c r="Y42" s="2"/>
      <c r="Z42" s="2"/>
      <c r="AA42" s="2"/>
      <c r="AB42" s="2"/>
      <c r="AC42" s="2"/>
      <c r="AD42" s="2"/>
      <c r="AE42" s="2"/>
      <c r="AF42" s="2"/>
      <c r="AG42" s="2"/>
    </row>
    <row r="43" spans="1:45" x14ac:dyDescent="0.35">
      <c r="A43" s="41">
        <f>IFERROR(INDEX('Date Key'!$B$2:$B$19, MATCH(F43,'Date Key'!$A$2:$A$19, 0)), "")</f>
        <v>45322</v>
      </c>
      <c r="B43" s="4">
        <f t="shared" si="15"/>
        <v>5</v>
      </c>
      <c r="C43" s="26" t="str">
        <f>IFERROR(INDEX('Date Key'!$G$57:$G$62, MATCH(B43,'Date Key'!$A$57:$A$62, 0)), "")</f>
        <v>High HLR, Lower Outlet Height, Yes Plants</v>
      </c>
      <c r="D43" s="4" t="str">
        <f>IFERROR(INDEX('Date Key'!$G$2:$G$19, MATCH(F43, 'Date Key'!$A$2:$A$19, 0)), "")</f>
        <v>No</v>
      </c>
      <c r="E43" s="4" t="str">
        <f t="shared" si="1"/>
        <v>tank 1</v>
      </c>
      <c r="F43" s="4">
        <f t="shared" si="2"/>
        <v>14</v>
      </c>
      <c r="G43" s="4">
        <f t="shared" si="22"/>
        <v>2</v>
      </c>
      <c r="H43" s="11" cm="1">
        <f t="array" ref="H43">IFERROR(INDEX('Master Data Sheet'!$1:$1048576, MATCH(1, ('Master Data Sheet'!$H:$H=H$2) * (INDEX('Master Data Sheet'!$1:$1, , MATCH($F$1, 'Master Data Sheet'!$1:$1, 0)) = $F$1) * ('Master Data Sheet'!$G:$G=$B43) * ('Master Data Sheet'!$F:$F=$E43) * ('Master Data Sheet'!$A:$A=$F43), 0), MATCH($F$1, 'Master Data Sheet'!$1:$1, 0)), "")</f>
        <v>2.9022361038171313E-2</v>
      </c>
      <c r="I43" s="11" cm="1">
        <f t="array" ref="I43">IFERROR(INDEX('Master Data Sheet'!$1:$1048576, MATCH(1, ('Master Data Sheet'!$H:$H=I$2) * (INDEX('Master Data Sheet'!$1:$1, , MATCH($F$1, 'Master Data Sheet'!$1:$1, 0)) = $F$1) * ('Master Data Sheet'!$G:$G=$B43) * ('Master Data Sheet'!$F:$F=$E43) * ('Master Data Sheet'!$A:$A=$F43), 0), MATCH($F$1, 'Master Data Sheet'!$1:$1, 0)), "")</f>
        <v>5.8044722076342627E-2</v>
      </c>
      <c r="J43" s="11" cm="1">
        <f t="array" ref="J43">IFERROR(INDEX('Master Data Sheet'!$1:$1048576, MATCH(1, ('Master Data Sheet'!$H:$H=J$2) * (INDEX('Master Data Sheet'!$1:$1, , MATCH($F$1, 'Master Data Sheet'!$1:$1, 0)) = $F$1) * ('Master Data Sheet'!$G:$G=$B43) * ('Master Data Sheet'!$F:$F=$E43) * ('Master Data Sheet'!$A:$A=$F43), 0), MATCH($F$1, 'Master Data Sheet'!$1:$1, 0)), "")</f>
        <v>0.15091627739849084</v>
      </c>
      <c r="K43" s="11" cm="1">
        <f t="array" ref="K43">IFERROR(INDEX('Master Data Sheet'!$1:$1048576, MATCH(1, ('Master Data Sheet'!$H:$H=K$2) * (INDEX('Master Data Sheet'!$1:$1, , MATCH($F$1, 'Master Data Sheet'!$1:$1, 0)) = $F$1) * ('Master Data Sheet'!$G:$G=$B43) * ('Master Data Sheet'!$F:$F=$E43) * ('Master Data Sheet'!$A:$A=$F43), 0), MATCH($F$1, 'Master Data Sheet'!$1:$1, 0)), "")</f>
        <v>0.22056994389010195</v>
      </c>
      <c r="L43" s="11" cm="1">
        <f t="array" ref="L43">IFERROR(INDEX('Master Data Sheet'!$1:$1048576, MATCH(1, ('Master Data Sheet'!$H:$H=L$2) * (INDEX('Master Data Sheet'!$1:$1, , MATCH($F$1, 'Master Data Sheet'!$1:$1, 0)) = $F$1) * ('Master Data Sheet'!$G:$G=$B43) * ('Master Data Sheet'!$F:$F=$E43) * ('Master Data Sheet'!$A:$A=$F43), 0), MATCH($F$1, 'Master Data Sheet'!$1:$1, 0)), "")</f>
        <v>0.26120124934354189</v>
      </c>
      <c r="M43" s="11" cm="1">
        <f t="array" ref="M43">IFERROR(INDEX('Master Data Sheet'!$1:$1048576, MATCH(1, ('Master Data Sheet'!$H:$H=M$2) * (INDEX('Master Data Sheet'!$1:$1, , MATCH($F$1, 'Master Data Sheet'!$1:$1, 0)) = $F$1) * ('Master Data Sheet'!$G:$G=$B43) * ('Master Data Sheet'!$F:$F=$E43) * ('Master Data Sheet'!$A:$A=$F43), 0), MATCH($F$1, 'Master Data Sheet'!$1:$1, 0)), "")</f>
        <v>0.29602808258934743</v>
      </c>
      <c r="N43" s="11" cm="1">
        <f t="array" ref="N43">IFERROR(INDEX('Master Data Sheet'!$1:$1048576, MATCH(1, ('Master Data Sheet'!$H:$H=N$2) * (INDEX('Master Data Sheet'!$1:$1, , MATCH($F$1, 'Master Data Sheet'!$1:$1, 0)) = $F$1) * ('Master Data Sheet'!$G:$G=$B43) * ('Master Data Sheet'!$F:$F=$E43) * ('Master Data Sheet'!$A:$A=$F43), 0), MATCH($F$1, 'Master Data Sheet'!$1:$1, 0)), "")</f>
        <v>0.24959230492827333</v>
      </c>
      <c r="O43" s="11">
        <f t="shared" si="8"/>
        <v>0.1807678487520385</v>
      </c>
      <c r="P43" s="11">
        <f t="shared" si="4"/>
        <v>0.10412671859736781</v>
      </c>
      <c r="Q43" s="11"/>
      <c r="R43" s="46">
        <f>(1-(O43/O40))*100</f>
        <v>-771.99999999999989</v>
      </c>
      <c r="X43" t="str">
        <f>IFERROR(INDEX('Date Key'!$G$57:$G$62, MATCH(B42,'Date Key'!$A$57:$A$62, 0)), "")</f>
        <v>High HLR, Lower Outlet Height, Yes Plants</v>
      </c>
      <c r="Y43" s="1">
        <f t="shared" ref="Y43:AE43" si="47">H42</f>
        <v>3.4826833245805586E-2</v>
      </c>
      <c r="Z43" s="1">
        <f t="shared" si="47"/>
        <v>6.9653666491611171E-2</v>
      </c>
      <c r="AA43" s="1">
        <f t="shared" si="47"/>
        <v>0.19735205505956493</v>
      </c>
      <c r="AB43" s="1">
        <f t="shared" si="47"/>
        <v>0.24959230492827333</v>
      </c>
      <c r="AC43" s="1">
        <f t="shared" si="47"/>
        <v>0.26700572155117613</v>
      </c>
      <c r="AD43" s="1">
        <f t="shared" si="47"/>
        <v>0.24959230492827333</v>
      </c>
      <c r="AE43" s="1">
        <f t="shared" si="47"/>
        <v>0.24959230492827333</v>
      </c>
      <c r="AF43" s="1">
        <f t="shared" ref="AF43:AL43" si="48">H43</f>
        <v>2.9022361038171313E-2</v>
      </c>
      <c r="AG43" s="1">
        <f t="shared" si="48"/>
        <v>5.8044722076342627E-2</v>
      </c>
      <c r="AH43" s="1">
        <f t="shared" si="48"/>
        <v>0.15091627739849084</v>
      </c>
      <c r="AI43" s="1">
        <f t="shared" si="48"/>
        <v>0.22056994389010195</v>
      </c>
      <c r="AJ43" s="1">
        <f t="shared" si="48"/>
        <v>0.26120124934354189</v>
      </c>
      <c r="AK43" s="1">
        <f t="shared" si="48"/>
        <v>0.29602808258934743</v>
      </c>
      <c r="AL43" s="1">
        <f t="shared" si="48"/>
        <v>0.24959230492827333</v>
      </c>
      <c r="AM43" s="1">
        <f t="shared" ref="AM43:AS43" si="49">H44</f>
        <v>2.3217888830537055E-2</v>
      </c>
      <c r="AN43" s="1">
        <f t="shared" si="49"/>
        <v>7.545813869924542E-2</v>
      </c>
      <c r="AO43" s="1">
        <f t="shared" si="49"/>
        <v>0.10448049973741672</v>
      </c>
      <c r="AP43" s="1">
        <f t="shared" si="49"/>
        <v>0.20896099947483343</v>
      </c>
      <c r="AQ43" s="1">
        <f t="shared" si="49"/>
        <v>0.16252522181375939</v>
      </c>
      <c r="AR43" s="1">
        <f t="shared" si="49"/>
        <v>0.15672074960612511</v>
      </c>
      <c r="AS43" s="1">
        <f t="shared" si="49"/>
        <v>0.16252522181375939</v>
      </c>
    </row>
    <row r="44" spans="1:45" x14ac:dyDescent="0.35">
      <c r="A44" s="41">
        <f>IFERROR(INDEX('Date Key'!$B$2:$B$19, MATCH(F44,'Date Key'!$A$2:$A$19, 0)), "")</f>
        <v>45330</v>
      </c>
      <c r="B44" s="4">
        <f t="shared" si="15"/>
        <v>5</v>
      </c>
      <c r="C44" s="26" t="str">
        <f>IFERROR(INDEX('Date Key'!$G$57:$G$62, MATCH(B44,'Date Key'!$A$57:$A$62, 0)), "")</f>
        <v>High HLR, Lower Outlet Height, Yes Plants</v>
      </c>
      <c r="D44" s="4" t="str">
        <f>IFERROR(INDEX('Date Key'!$G$2:$G$19, MATCH(F44, 'Date Key'!$A$2:$A$19, 0)), "")</f>
        <v>No</v>
      </c>
      <c r="E44" s="4" t="str">
        <f t="shared" si="1"/>
        <v>tank 1</v>
      </c>
      <c r="F44" s="4">
        <f t="shared" si="2"/>
        <v>15</v>
      </c>
      <c r="G44" s="4">
        <f t="shared" si="22"/>
        <v>3</v>
      </c>
      <c r="H44" s="11" cm="1">
        <f t="array" ref="H44">IFERROR(INDEX('Master Data Sheet'!$1:$1048576, MATCH(1, ('Master Data Sheet'!$H:$H=H$2) * (INDEX('Master Data Sheet'!$1:$1, , MATCH($F$1, 'Master Data Sheet'!$1:$1, 0)) = $F$1) * ('Master Data Sheet'!$G:$G=$B44) * ('Master Data Sheet'!$F:$F=$E44) * ('Master Data Sheet'!$A:$A=$F44), 0), MATCH($F$1, 'Master Data Sheet'!$1:$1, 0)), "")</f>
        <v>2.3217888830537055E-2</v>
      </c>
      <c r="I44" s="11" cm="1">
        <f t="array" ref="I44">IFERROR(INDEX('Master Data Sheet'!$1:$1048576, MATCH(1, ('Master Data Sheet'!$H:$H=I$2) * (INDEX('Master Data Sheet'!$1:$1, , MATCH($F$1, 'Master Data Sheet'!$1:$1, 0)) = $F$1) * ('Master Data Sheet'!$G:$G=$B44) * ('Master Data Sheet'!$F:$F=$E44) * ('Master Data Sheet'!$A:$A=$F44), 0), MATCH($F$1, 'Master Data Sheet'!$1:$1, 0)), "")</f>
        <v>7.545813869924542E-2</v>
      </c>
      <c r="J44" s="11" cm="1">
        <f t="array" ref="J44">IFERROR(INDEX('Master Data Sheet'!$1:$1048576, MATCH(1, ('Master Data Sheet'!$H:$H=J$2) * (INDEX('Master Data Sheet'!$1:$1, , MATCH($F$1, 'Master Data Sheet'!$1:$1, 0)) = $F$1) * ('Master Data Sheet'!$G:$G=$B44) * ('Master Data Sheet'!$F:$F=$E44) * ('Master Data Sheet'!$A:$A=$F44), 0), MATCH($F$1, 'Master Data Sheet'!$1:$1, 0)), "")</f>
        <v>0.10448049973741672</v>
      </c>
      <c r="K44" s="11" cm="1">
        <f t="array" ref="K44">IFERROR(INDEX('Master Data Sheet'!$1:$1048576, MATCH(1, ('Master Data Sheet'!$H:$H=K$2) * (INDEX('Master Data Sheet'!$1:$1, , MATCH($F$1, 'Master Data Sheet'!$1:$1, 0)) = $F$1) * ('Master Data Sheet'!$G:$G=$B44) * ('Master Data Sheet'!$F:$F=$E44) * ('Master Data Sheet'!$A:$A=$F44), 0), MATCH($F$1, 'Master Data Sheet'!$1:$1, 0)), "")</f>
        <v>0.20896099947483343</v>
      </c>
      <c r="L44" s="11" cm="1">
        <f t="array" ref="L44">IFERROR(INDEX('Master Data Sheet'!$1:$1048576, MATCH(1, ('Master Data Sheet'!$H:$H=L$2) * (INDEX('Master Data Sheet'!$1:$1, , MATCH($F$1, 'Master Data Sheet'!$1:$1, 0)) = $F$1) * ('Master Data Sheet'!$G:$G=$B44) * ('Master Data Sheet'!$F:$F=$E44) * ('Master Data Sheet'!$A:$A=$F44), 0), MATCH($F$1, 'Master Data Sheet'!$1:$1, 0)), "")</f>
        <v>0.16252522181375939</v>
      </c>
      <c r="M44" s="11" cm="1">
        <f t="array" ref="M44">IFERROR(INDEX('Master Data Sheet'!$1:$1048576, MATCH(1, ('Master Data Sheet'!$H:$H=M$2) * (INDEX('Master Data Sheet'!$1:$1, , MATCH($F$1, 'Master Data Sheet'!$1:$1, 0)) = $F$1) * ('Master Data Sheet'!$G:$G=$B44) * ('Master Data Sheet'!$F:$F=$E44) * ('Master Data Sheet'!$A:$A=$F44), 0), MATCH($F$1, 'Master Data Sheet'!$1:$1, 0)), "")</f>
        <v>0.15672074960612511</v>
      </c>
      <c r="N44" s="11" cm="1">
        <f t="array" ref="N44">IFERROR(INDEX('Master Data Sheet'!$1:$1048576, MATCH(1, ('Master Data Sheet'!$H:$H=N$2) * (INDEX('Master Data Sheet'!$1:$1, , MATCH($F$1, 'Master Data Sheet'!$1:$1, 0)) = $F$1) * ('Master Data Sheet'!$G:$G=$B44) * ('Master Data Sheet'!$F:$F=$E44) * ('Master Data Sheet'!$A:$A=$F44), 0), MATCH($F$1, 'Master Data Sheet'!$1:$1, 0)), "")</f>
        <v>0.16252522181375939</v>
      </c>
      <c r="O44" s="11">
        <f t="shared" si="8"/>
        <v>0.12769838856795379</v>
      </c>
      <c r="P44" s="11">
        <f t="shared" si="4"/>
        <v>6.3319316290486191E-2</v>
      </c>
      <c r="Q44" s="11"/>
      <c r="R44" s="46">
        <f>(1-(O44/O41))*100</f>
        <v>-339.99999999999994</v>
      </c>
      <c r="Y44" s="2"/>
      <c r="Z44" s="2"/>
      <c r="AA44" s="2"/>
      <c r="AB44" s="2"/>
      <c r="AC44" s="2"/>
      <c r="AD44" s="2"/>
      <c r="AE44" s="2"/>
      <c r="AF44" s="2"/>
      <c r="AG44" s="2"/>
    </row>
    <row r="45" spans="1:45" x14ac:dyDescent="0.35">
      <c r="A45" s="41">
        <f>IFERROR(INDEX('Date Key'!$B$2:$B$19, MATCH(F45,'Date Key'!$A$2:$A$19, 0)), "")</f>
        <v>45313</v>
      </c>
      <c r="B45" s="4">
        <f t="shared" si="15"/>
        <v>5</v>
      </c>
      <c r="C45" s="26" t="str">
        <f>IFERROR(INDEX('Date Key'!$G$57:$G$62, MATCH(B45,'Date Key'!$A$57:$A$62, 0)), "")</f>
        <v>High HLR, Lower Outlet Height, Yes Plants</v>
      </c>
      <c r="D45" s="4" t="str">
        <f>IFERROR(INDEX('Date Key'!$G$2:$G$19, MATCH(F45, 'Date Key'!$A$2:$A$19, 0)), "")</f>
        <v>Yes</v>
      </c>
      <c r="E45" s="4" t="str">
        <f t="shared" si="1"/>
        <v>tank 2</v>
      </c>
      <c r="F45" s="4">
        <f t="shared" si="2"/>
        <v>13</v>
      </c>
      <c r="G45" s="4">
        <f t="shared" si="22"/>
        <v>1</v>
      </c>
      <c r="H45" s="11" cm="1">
        <f t="array" ref="H45">IFERROR(INDEX('Master Data Sheet'!$1:$1048576, MATCH(1, ('Master Data Sheet'!$H:$H=H$2) * (INDEX('Master Data Sheet'!$1:$1, , MATCH($F$1, 'Master Data Sheet'!$1:$1, 0)) = $F$1) * ('Master Data Sheet'!$G:$G=$B45) * ('Master Data Sheet'!$F:$F=$E45) * ('Master Data Sheet'!$A:$A=$F45), 0), MATCH($F$1, 'Master Data Sheet'!$1:$1, 0)), "")</f>
        <v>2.3217888830537055E-2</v>
      </c>
      <c r="I45" s="11" cm="1">
        <f t="array" ref="I45">IFERROR(INDEX('Master Data Sheet'!$1:$1048576, MATCH(1, ('Master Data Sheet'!$H:$H=I$2) * (INDEX('Master Data Sheet'!$1:$1, , MATCH($F$1, 'Master Data Sheet'!$1:$1, 0)) = $F$1) * ('Master Data Sheet'!$G:$G=$B45) * ('Master Data Sheet'!$F:$F=$E45) * ('Master Data Sheet'!$A:$A=$F45), 0), MATCH($F$1, 'Master Data Sheet'!$1:$1, 0)), "")</f>
        <v>3.4826833245805586E-2</v>
      </c>
      <c r="J45" s="11" cm="1">
        <f t="array" ref="J45">IFERROR(INDEX('Master Data Sheet'!$1:$1048576, MATCH(1, ('Master Data Sheet'!$H:$H=J$2) * (INDEX('Master Data Sheet'!$1:$1, , MATCH($F$1, 'Master Data Sheet'!$1:$1, 0)) = $F$1) * ('Master Data Sheet'!$G:$G=$B45) * ('Master Data Sheet'!$F:$F=$E45) * ('Master Data Sheet'!$A:$A=$F45), 0), MATCH($F$1, 'Master Data Sheet'!$1:$1, 0)), "")</f>
        <v>7.545813869924542E-2</v>
      </c>
      <c r="K45" s="11" cm="1">
        <f t="array" ref="K45">IFERROR(INDEX('Master Data Sheet'!$1:$1048576, MATCH(1, ('Master Data Sheet'!$H:$H=K$2) * (INDEX('Master Data Sheet'!$1:$1, , MATCH($F$1, 'Master Data Sheet'!$1:$1, 0)) = $F$1) * ('Master Data Sheet'!$G:$G=$B45) * ('Master Data Sheet'!$F:$F=$E45) * ('Master Data Sheet'!$A:$A=$F45), 0), MATCH($F$1, 'Master Data Sheet'!$1:$1, 0)), "")</f>
        <v>8.1262610906879695E-2</v>
      </c>
      <c r="L45" s="11" cm="1">
        <f t="array" ref="L45">IFERROR(INDEX('Master Data Sheet'!$1:$1048576, MATCH(1, ('Master Data Sheet'!$H:$H=L$2) * (INDEX('Master Data Sheet'!$1:$1, , MATCH($F$1, 'Master Data Sheet'!$1:$1, 0)) = $F$1) * ('Master Data Sheet'!$G:$G=$B45) * ('Master Data Sheet'!$F:$F=$E45) * ('Master Data Sheet'!$A:$A=$F45), 0), MATCH($F$1, 'Master Data Sheet'!$1:$1, 0)), "")</f>
        <v>8.1262610906879695E-2</v>
      </c>
      <c r="M45" s="11" cm="1">
        <f t="array" ref="M45">IFERROR(INDEX('Master Data Sheet'!$1:$1048576, MATCH(1, ('Master Data Sheet'!$H:$H=M$2) * (INDEX('Master Data Sheet'!$1:$1, , MATCH($F$1, 'Master Data Sheet'!$1:$1, 0)) = $F$1) * ('Master Data Sheet'!$G:$G=$B45) * ('Master Data Sheet'!$F:$F=$E45) * ('Master Data Sheet'!$A:$A=$F45), 0), MATCH($F$1, 'Master Data Sheet'!$1:$1, 0)), "")</f>
        <v>8.1262610906879695E-2</v>
      </c>
      <c r="N45" s="11" cm="1">
        <f t="array" ref="N45">IFERROR(INDEX('Master Data Sheet'!$1:$1048576, MATCH(1, ('Master Data Sheet'!$H:$H=N$2) * (INDEX('Master Data Sheet'!$1:$1, , MATCH($F$1, 'Master Data Sheet'!$1:$1, 0)) = $F$1) * ('Master Data Sheet'!$G:$G=$B45) * ('Master Data Sheet'!$F:$F=$E45) * ('Master Data Sheet'!$A:$A=$F45), 0), MATCH($F$1, 'Master Data Sheet'!$1:$1, 0)), "")</f>
        <v>9.2871555322148219E-2</v>
      </c>
      <c r="O45" s="11">
        <f t="shared" si="8"/>
        <v>6.7166035545482186E-2</v>
      </c>
      <c r="P45" s="11">
        <f t="shared" si="4"/>
        <v>2.6779770466771047E-2</v>
      </c>
      <c r="Q45" s="11">
        <f>AVERAGE(N45:N47)</f>
        <v>8.1262610906879681E-2</v>
      </c>
      <c r="R45" s="46">
        <f>(1-(O45/O39))*100</f>
        <v>-61.999999999999986</v>
      </c>
      <c r="S45" s="46">
        <f>AVERAGE(R45:R47)</f>
        <v>-120.09523809523803</v>
      </c>
      <c r="T45" s="46">
        <f>STDEV(R45:R47)</f>
        <v>52.459767545084958</v>
      </c>
      <c r="U45" s="47">
        <f>(1-(AVERAGE(H45:N47)/AVERAGE(H39:N41)))*100</f>
        <v>-108.18181818181816</v>
      </c>
      <c r="V45" s="47"/>
      <c r="Y45" s="2"/>
      <c r="Z45" s="2"/>
      <c r="AA45" s="2"/>
      <c r="AB45" s="2"/>
      <c r="AC45" s="2"/>
      <c r="AD45" s="2"/>
      <c r="AE45" s="2"/>
      <c r="AF45" s="2"/>
      <c r="AG45" s="2"/>
    </row>
    <row r="46" spans="1:45" x14ac:dyDescent="0.35">
      <c r="A46" s="41">
        <f>IFERROR(INDEX('Date Key'!$B$2:$B$19, MATCH(F46,'Date Key'!$A$2:$A$19, 0)), "")</f>
        <v>45322</v>
      </c>
      <c r="B46" s="4">
        <f t="shared" si="15"/>
        <v>5</v>
      </c>
      <c r="C46" s="26" t="str">
        <f>IFERROR(INDEX('Date Key'!$G$57:$G$62, MATCH(B46,'Date Key'!$A$57:$A$62, 0)), "")</f>
        <v>High HLR, Lower Outlet Height, Yes Plants</v>
      </c>
      <c r="D46" s="4" t="str">
        <f>IFERROR(INDEX('Date Key'!$G$2:$G$19, MATCH(F46, 'Date Key'!$A$2:$A$19, 0)), "")</f>
        <v>No</v>
      </c>
      <c r="E46" s="4" t="str">
        <f t="shared" si="1"/>
        <v>tank 2</v>
      </c>
      <c r="F46" s="4">
        <f t="shared" si="2"/>
        <v>14</v>
      </c>
      <c r="G46" s="4">
        <f t="shared" si="22"/>
        <v>2</v>
      </c>
      <c r="H46" s="11" cm="1">
        <f t="array" ref="H46">IFERROR(INDEX('Master Data Sheet'!$1:$1048576, MATCH(1, ('Master Data Sheet'!$H:$H=H$2) * (INDEX('Master Data Sheet'!$1:$1, , MATCH($F$1, 'Master Data Sheet'!$1:$1, 0)) = $F$1) * ('Master Data Sheet'!$G:$G=$B46) * ('Master Data Sheet'!$F:$F=$E46) * ('Master Data Sheet'!$A:$A=$F46), 0), MATCH($F$1, 'Master Data Sheet'!$1:$1, 0)), "")</f>
        <v>1.7413416622902793E-2</v>
      </c>
      <c r="I46" s="11" cm="1">
        <f t="array" ref="I46">IFERROR(INDEX('Master Data Sheet'!$1:$1048576, MATCH(1, ('Master Data Sheet'!$H:$H=I$2) * (INDEX('Master Data Sheet'!$1:$1, , MATCH($F$1, 'Master Data Sheet'!$1:$1, 0)) = $F$1) * ('Master Data Sheet'!$G:$G=$B46) * ('Master Data Sheet'!$F:$F=$E46) * ('Master Data Sheet'!$A:$A=$F46), 0), MATCH($F$1, 'Master Data Sheet'!$1:$1, 0)), "")</f>
        <v>3.4826833245805586E-2</v>
      </c>
      <c r="J46" s="11" cm="1">
        <f t="array" ref="J46">IFERROR(INDEX('Master Data Sheet'!$1:$1048576, MATCH(1, ('Master Data Sheet'!$H:$H=J$2) * (INDEX('Master Data Sheet'!$1:$1, , MATCH($F$1, 'Master Data Sheet'!$1:$1, 0)) = $F$1) * ('Master Data Sheet'!$G:$G=$B46) * ('Master Data Sheet'!$F:$F=$E46) * ('Master Data Sheet'!$A:$A=$F46), 0), MATCH($F$1, 'Master Data Sheet'!$1:$1, 0)), "")</f>
        <v>9.8676027529782467E-2</v>
      </c>
      <c r="K46" s="11" cm="1">
        <f t="array" ref="K46">IFERROR(INDEX('Master Data Sheet'!$1:$1048576, MATCH(1, ('Master Data Sheet'!$H:$H=K$2) * (INDEX('Master Data Sheet'!$1:$1, , MATCH($F$1, 'Master Data Sheet'!$1:$1, 0)) = $F$1) * ('Master Data Sheet'!$G:$G=$B46) * ('Master Data Sheet'!$F:$F=$E46) * ('Master Data Sheet'!$A:$A=$F46), 0), MATCH($F$1, 'Master Data Sheet'!$1:$1, 0)), "")</f>
        <v>6.3849194283976909E-2</v>
      </c>
      <c r="L46" s="11" cm="1">
        <f t="array" ref="L46">IFERROR(INDEX('Master Data Sheet'!$1:$1048576, MATCH(1, ('Master Data Sheet'!$H:$H=L$2) * (INDEX('Master Data Sheet'!$1:$1, , MATCH($F$1, 'Master Data Sheet'!$1:$1, 0)) = $F$1) * ('Master Data Sheet'!$G:$G=$B46) * ('Master Data Sheet'!$F:$F=$E46) * ('Master Data Sheet'!$A:$A=$F46), 0), MATCH($F$1, 'Master Data Sheet'!$1:$1, 0)), "")</f>
        <v>5.8044722076342627E-2</v>
      </c>
      <c r="M46" s="11" cm="1">
        <f t="array" ref="M46">IFERROR(INDEX('Master Data Sheet'!$1:$1048576, MATCH(1, ('Master Data Sheet'!$H:$H=M$2) * (INDEX('Master Data Sheet'!$1:$1, , MATCH($F$1, 'Master Data Sheet'!$1:$1, 0)) = $F$1) * ('Master Data Sheet'!$G:$G=$B46) * ('Master Data Sheet'!$F:$F=$E46) * ('Master Data Sheet'!$A:$A=$F46), 0), MATCH($F$1, 'Master Data Sheet'!$1:$1, 0)), "")</f>
        <v>5.2240249868708358E-2</v>
      </c>
      <c r="N46" s="11" cm="1">
        <f t="array" ref="N46">IFERROR(INDEX('Master Data Sheet'!$1:$1048576, MATCH(1, ('Master Data Sheet'!$H:$H=N$2) * (INDEX('Master Data Sheet'!$1:$1, , MATCH($F$1, 'Master Data Sheet'!$1:$1, 0)) = $F$1) * ('Master Data Sheet'!$G:$G=$B46) * ('Master Data Sheet'!$F:$F=$E46) * ('Master Data Sheet'!$A:$A=$F46), 0), MATCH($F$1, 'Master Data Sheet'!$1:$1, 0)), "")</f>
        <v>5.8044722076342627E-2</v>
      </c>
      <c r="O46" s="11">
        <f t="shared" si="8"/>
        <v>5.4727880814837336E-2</v>
      </c>
      <c r="P46" s="11">
        <f t="shared" si="4"/>
        <v>2.5269382234200815E-2</v>
      </c>
      <c r="Q46" s="11"/>
      <c r="R46" s="46">
        <f>(1-(O46/O40))*100</f>
        <v>-163.99999999999991</v>
      </c>
      <c r="X46" t="str">
        <f>IFERROR(INDEX('Date Key'!$G$57:$G$62, MATCH(B45,'Date Key'!$A$57:$A$62, 0)), "")</f>
        <v>High HLR, Lower Outlet Height, Yes Plants</v>
      </c>
      <c r="Y46" s="1">
        <f t="shared" ref="Y46:AE46" si="50">H45</f>
        <v>2.3217888830537055E-2</v>
      </c>
      <c r="Z46" s="1">
        <f t="shared" si="50"/>
        <v>3.4826833245805586E-2</v>
      </c>
      <c r="AA46" s="1">
        <f t="shared" si="50"/>
        <v>7.545813869924542E-2</v>
      </c>
      <c r="AB46" s="1">
        <f t="shared" si="50"/>
        <v>8.1262610906879695E-2</v>
      </c>
      <c r="AC46" s="1">
        <f t="shared" si="50"/>
        <v>8.1262610906879695E-2</v>
      </c>
      <c r="AD46" s="1">
        <f t="shared" si="50"/>
        <v>8.1262610906879695E-2</v>
      </c>
      <c r="AE46" s="1">
        <f t="shared" si="50"/>
        <v>9.2871555322148219E-2</v>
      </c>
      <c r="AF46" s="1">
        <f t="shared" ref="AF46:AL46" si="51">H46</f>
        <v>1.7413416622902793E-2</v>
      </c>
      <c r="AG46" s="1">
        <f t="shared" si="51"/>
        <v>3.4826833245805586E-2</v>
      </c>
      <c r="AH46" s="1">
        <f t="shared" si="51"/>
        <v>9.8676027529782467E-2</v>
      </c>
      <c r="AI46" s="1">
        <f t="shared" si="51"/>
        <v>6.3849194283976909E-2</v>
      </c>
      <c r="AJ46" s="1">
        <f t="shared" si="51"/>
        <v>5.8044722076342627E-2</v>
      </c>
      <c r="AK46" s="1">
        <f t="shared" si="51"/>
        <v>5.2240249868708358E-2</v>
      </c>
      <c r="AL46" s="1">
        <f t="shared" si="51"/>
        <v>5.8044722076342627E-2</v>
      </c>
      <c r="AM46" s="1">
        <f t="shared" ref="AM46:AS46" si="52">H47</f>
        <v>4.0631305453439848E-2</v>
      </c>
      <c r="AN46" s="1">
        <f t="shared" si="52"/>
        <v>6.3849194283976909E-2</v>
      </c>
      <c r="AO46" s="1">
        <f t="shared" si="52"/>
        <v>8.1262610906879695E-2</v>
      </c>
      <c r="AP46" s="1">
        <f t="shared" si="52"/>
        <v>5.8044722076342627E-2</v>
      </c>
      <c r="AQ46" s="1">
        <f t="shared" si="52"/>
        <v>6.9653666491611171E-2</v>
      </c>
      <c r="AR46" s="1">
        <f t="shared" si="52"/>
        <v>6.9653666491611171E-2</v>
      </c>
      <c r="AS46" s="1">
        <f t="shared" si="52"/>
        <v>9.2871555322148219E-2</v>
      </c>
    </row>
    <row r="47" spans="1:45" x14ac:dyDescent="0.35">
      <c r="A47" s="42">
        <f>IFERROR(INDEX('Date Key'!$B$2:$B$19, MATCH(F47,'Date Key'!$A$2:$A$19, 0)), "")</f>
        <v>45330</v>
      </c>
      <c r="B47" s="27">
        <f t="shared" si="15"/>
        <v>5</v>
      </c>
      <c r="C47" s="51" t="str">
        <f>IFERROR(INDEX('Date Key'!$G$57:$G$62, MATCH(B47,'Date Key'!$A$57:$A$62, 0)), "")</f>
        <v>High HLR, Lower Outlet Height, Yes Plants</v>
      </c>
      <c r="D47" s="27" t="str">
        <f>IFERROR(INDEX('Date Key'!$G$2:$G$19, MATCH(F47, 'Date Key'!$A$2:$A$19, 0)), "")</f>
        <v>No</v>
      </c>
      <c r="E47" s="27" t="str">
        <f t="shared" si="1"/>
        <v>tank 2</v>
      </c>
      <c r="F47" s="27">
        <f t="shared" si="2"/>
        <v>15</v>
      </c>
      <c r="G47" s="27">
        <f t="shared" si="22"/>
        <v>3</v>
      </c>
      <c r="H47" s="28" cm="1">
        <f t="array" ref="H47">IFERROR(INDEX('Master Data Sheet'!$1:$1048576, MATCH(1, ('Master Data Sheet'!$H:$H=H$2) * (INDEX('Master Data Sheet'!$1:$1, , MATCH($F$1, 'Master Data Sheet'!$1:$1, 0)) = $F$1) * ('Master Data Sheet'!$G:$G=$B47) * ('Master Data Sheet'!$F:$F=$E47) * ('Master Data Sheet'!$A:$A=$F47), 0), MATCH($F$1, 'Master Data Sheet'!$1:$1, 0)), "")</f>
        <v>4.0631305453439848E-2</v>
      </c>
      <c r="I47" s="28" cm="1">
        <f t="array" ref="I47">IFERROR(INDEX('Master Data Sheet'!$1:$1048576, MATCH(1, ('Master Data Sheet'!$H:$H=I$2) * (INDEX('Master Data Sheet'!$1:$1, , MATCH($F$1, 'Master Data Sheet'!$1:$1, 0)) = $F$1) * ('Master Data Sheet'!$G:$G=$B47) * ('Master Data Sheet'!$F:$F=$E47) * ('Master Data Sheet'!$A:$A=$F47), 0), MATCH($F$1, 'Master Data Sheet'!$1:$1, 0)), "")</f>
        <v>6.3849194283976909E-2</v>
      </c>
      <c r="J47" s="28" cm="1">
        <f t="array" ref="J47">IFERROR(INDEX('Master Data Sheet'!$1:$1048576, MATCH(1, ('Master Data Sheet'!$H:$H=J$2) * (INDEX('Master Data Sheet'!$1:$1, , MATCH($F$1, 'Master Data Sheet'!$1:$1, 0)) = $F$1) * ('Master Data Sheet'!$G:$G=$B47) * ('Master Data Sheet'!$F:$F=$E47) * ('Master Data Sheet'!$A:$A=$F47), 0), MATCH($F$1, 'Master Data Sheet'!$1:$1, 0)), "")</f>
        <v>8.1262610906879695E-2</v>
      </c>
      <c r="K47" s="28" cm="1">
        <f t="array" ref="K47">IFERROR(INDEX('Master Data Sheet'!$1:$1048576, MATCH(1, ('Master Data Sheet'!$H:$H=K$2) * (INDEX('Master Data Sheet'!$1:$1, , MATCH($F$1, 'Master Data Sheet'!$1:$1, 0)) = $F$1) * ('Master Data Sheet'!$G:$G=$B47) * ('Master Data Sheet'!$F:$F=$E47) * ('Master Data Sheet'!$A:$A=$F47), 0), MATCH($F$1, 'Master Data Sheet'!$1:$1, 0)), "")</f>
        <v>5.8044722076342627E-2</v>
      </c>
      <c r="L47" s="28" cm="1">
        <f t="array" ref="L47">IFERROR(INDEX('Master Data Sheet'!$1:$1048576, MATCH(1, ('Master Data Sheet'!$H:$H=L$2) * (INDEX('Master Data Sheet'!$1:$1, , MATCH($F$1, 'Master Data Sheet'!$1:$1, 0)) = $F$1) * ('Master Data Sheet'!$G:$G=$B47) * ('Master Data Sheet'!$F:$F=$E47) * ('Master Data Sheet'!$A:$A=$F47), 0), MATCH($F$1, 'Master Data Sheet'!$1:$1, 0)), "")</f>
        <v>6.9653666491611171E-2</v>
      </c>
      <c r="M47" s="28" cm="1">
        <f t="array" ref="M47">IFERROR(INDEX('Master Data Sheet'!$1:$1048576, MATCH(1, ('Master Data Sheet'!$H:$H=M$2) * (INDEX('Master Data Sheet'!$1:$1, , MATCH($F$1, 'Master Data Sheet'!$1:$1, 0)) = $F$1) * ('Master Data Sheet'!$G:$G=$B47) * ('Master Data Sheet'!$F:$F=$E47) * ('Master Data Sheet'!$A:$A=$F47), 0), MATCH($F$1, 'Master Data Sheet'!$1:$1, 0)), "")</f>
        <v>6.9653666491611171E-2</v>
      </c>
      <c r="N47" s="28" cm="1">
        <f t="array" ref="N47">IFERROR(INDEX('Master Data Sheet'!$1:$1048576, MATCH(1, ('Master Data Sheet'!$H:$H=N$2) * (INDEX('Master Data Sheet'!$1:$1, , MATCH($F$1, 'Master Data Sheet'!$1:$1, 0)) = $F$1) * ('Master Data Sheet'!$G:$G=$B47) * ('Master Data Sheet'!$F:$F=$E47) * ('Master Data Sheet'!$A:$A=$F47), 0), MATCH($F$1, 'Master Data Sheet'!$1:$1, 0)), "")</f>
        <v>9.2871555322148219E-2</v>
      </c>
      <c r="O47" s="28">
        <f t="shared" si="8"/>
        <v>6.7995245860858505E-2</v>
      </c>
      <c r="P47" s="28">
        <f t="shared" si="4"/>
        <v>1.6660043855186348E-2</v>
      </c>
      <c r="Q47" s="28"/>
      <c r="R47" s="48">
        <f>(1-(O47/O41))*100</f>
        <v>-134.28571428571422</v>
      </c>
      <c r="S47" s="27"/>
      <c r="T47" s="27"/>
      <c r="U47" s="27"/>
      <c r="V47" s="27"/>
    </row>
    <row r="48" spans="1:45" x14ac:dyDescent="0.35">
      <c r="A48" s="41">
        <f>IFERROR(INDEX('Date Key'!$B$2:$B$19, MATCH(F48,'Date Key'!$A$2:$A$19, 0)), "")</f>
        <v>45371</v>
      </c>
      <c r="B48" s="4">
        <f t="shared" si="15"/>
        <v>6</v>
      </c>
      <c r="C48" s="26" t="str">
        <f>IFERROR(INDEX('Date Key'!$G$57:$G$62, MATCH(B48,'Date Key'!$A$57:$A$62, 0)), "")</f>
        <v>Medium HLR, Upper Outlet Height, Yes Plants</v>
      </c>
      <c r="D48" s="4" t="str">
        <f>IFERROR(INDEX('Date Key'!$G$2:$G$19, MATCH(F48, 'Date Key'!$A$2:$A$19, 0)), "")</f>
        <v>No</v>
      </c>
      <c r="E48" s="4" t="str">
        <f t="shared" si="1"/>
        <v>in</v>
      </c>
      <c r="F48" s="4">
        <f t="shared" si="2"/>
        <v>16</v>
      </c>
      <c r="G48" s="4">
        <f t="shared" si="22"/>
        <v>1</v>
      </c>
      <c r="H48" s="11" cm="1">
        <f t="array" ref="H48">IFERROR(INDEX('Master Data Sheet'!$1:$1048576, MATCH(1, ('Master Data Sheet'!$H:$H=H$2) * (INDEX('Master Data Sheet'!$1:$1, , MATCH($F$1, 'Master Data Sheet'!$1:$1, 0)) = $F$1) * ('Master Data Sheet'!$G:$G=$B48) * ('Master Data Sheet'!$F:$F=$E48) * ('Master Data Sheet'!$A:$A=$F48), 0), MATCH($F$1, 'Master Data Sheet'!$1:$1, 0)), "")</f>
        <v>4.643577766107411E-2</v>
      </c>
      <c r="I48" s="11" cm="1">
        <f t="array" ref="I48">IFERROR(INDEX('Master Data Sheet'!$1:$1048576, MATCH(1, ('Master Data Sheet'!$H:$H=I$2) * (INDEX('Master Data Sheet'!$1:$1, , MATCH($F$1, 'Master Data Sheet'!$1:$1, 0)) = $F$1) * ('Master Data Sheet'!$G:$G=$B48) * ('Master Data Sheet'!$F:$F=$E48) * ('Master Data Sheet'!$A:$A=$F48), 0), MATCH($F$1, 'Master Data Sheet'!$1:$1, 0)), "")</f>
        <v>7.545813869924542E-2</v>
      </c>
      <c r="J48" s="11" cm="1">
        <f t="array" ref="J48">IFERROR(INDEX('Master Data Sheet'!$1:$1048576, MATCH(1, ('Master Data Sheet'!$H:$H=J$2) * (INDEX('Master Data Sheet'!$1:$1, , MATCH($F$1, 'Master Data Sheet'!$1:$1, 0)) = $F$1) * ('Master Data Sheet'!$G:$G=$B48) * ('Master Data Sheet'!$F:$F=$E48) * ('Master Data Sheet'!$A:$A=$F48), 0), MATCH($F$1, 'Master Data Sheet'!$1:$1, 0)), "")</f>
        <v>5.8044722076342627E-2</v>
      </c>
      <c r="K48" s="11" cm="1">
        <f t="array" ref="K48">IFERROR(INDEX('Master Data Sheet'!$1:$1048576, MATCH(1, ('Master Data Sheet'!$H:$H=K$2) * (INDEX('Master Data Sheet'!$1:$1, , MATCH($F$1, 'Master Data Sheet'!$1:$1, 0)) = $F$1) * ('Master Data Sheet'!$G:$G=$B48) * ('Master Data Sheet'!$F:$F=$E48) * ('Master Data Sheet'!$A:$A=$F48), 0), MATCH($F$1, 'Master Data Sheet'!$1:$1, 0)), "")</f>
        <v>5.2240249868708358E-2</v>
      </c>
      <c r="L48" s="11" cm="1">
        <f t="array" ref="L48">IFERROR(INDEX('Master Data Sheet'!$1:$1048576, MATCH(1, ('Master Data Sheet'!$H:$H=L$2) * (INDEX('Master Data Sheet'!$1:$1, , MATCH($F$1, 'Master Data Sheet'!$1:$1, 0)) = $F$1) * ('Master Data Sheet'!$G:$G=$B48) * ('Master Data Sheet'!$F:$F=$E48) * ('Master Data Sheet'!$A:$A=$F48), 0), MATCH($F$1, 'Master Data Sheet'!$1:$1, 0)), "")</f>
        <v>5.2240249868708358E-2</v>
      </c>
      <c r="M48" s="11" cm="1">
        <f t="array" ref="M48">IFERROR(INDEX('Master Data Sheet'!$1:$1048576, MATCH(1, ('Master Data Sheet'!$H:$H=M$2) * (INDEX('Master Data Sheet'!$1:$1, , MATCH($F$1, 'Master Data Sheet'!$1:$1, 0)) = $F$1) * ('Master Data Sheet'!$G:$G=$B48) * ('Master Data Sheet'!$F:$F=$E48) * ('Master Data Sheet'!$A:$A=$F48), 0), MATCH($F$1, 'Master Data Sheet'!$1:$1, 0)), "")</f>
        <v>5.8044722076342627E-2</v>
      </c>
      <c r="N48" s="11" cm="1">
        <f t="array" ref="N48">IFERROR(INDEX('Master Data Sheet'!$1:$1048576, MATCH(1, ('Master Data Sheet'!$H:$H=N$2) * (INDEX('Master Data Sheet'!$1:$1, , MATCH($F$1, 'Master Data Sheet'!$1:$1, 0)) = $F$1) * ('Master Data Sheet'!$G:$G=$B48) * ('Master Data Sheet'!$F:$F=$E48) * ('Master Data Sheet'!$A:$A=$F48), 0), MATCH($F$1, 'Master Data Sheet'!$1:$1, 0)), "")</f>
        <v>5.8044722076342627E-2</v>
      </c>
      <c r="O48" s="11">
        <f t="shared" si="8"/>
        <v>5.7215511760966307E-2</v>
      </c>
      <c r="P48" s="11">
        <f t="shared" si="4"/>
        <v>9.1338686209448648E-3</v>
      </c>
      <c r="Q48" s="11">
        <f>AVERAGE(O48:O50)</f>
        <v>0.14602837526221413</v>
      </c>
      <c r="S48" s="11">
        <f>AVERAGE(O48:O50)</f>
        <v>0.14602837526221413</v>
      </c>
      <c r="T48" s="11">
        <f>AVERAGE(P48:P50)</f>
        <v>1.0701449829223714E-2</v>
      </c>
      <c r="V48" s="47">
        <f>AVERAGE(U51, U54)</f>
        <v>-64.788896989190491</v>
      </c>
      <c r="X48" t="s">
        <v>343</v>
      </c>
    </row>
    <row r="49" spans="1:46" x14ac:dyDescent="0.35">
      <c r="A49" s="41">
        <f>IFERROR(INDEX('Date Key'!$B$2:$B$19, MATCH(F49,'Date Key'!$A$2:$A$19, 0)), "")</f>
        <v>45392</v>
      </c>
      <c r="B49" s="4">
        <f t="shared" si="15"/>
        <v>6</v>
      </c>
      <c r="C49" s="26" t="str">
        <f>IFERROR(INDEX('Date Key'!$G$57:$G$62, MATCH(B49,'Date Key'!$A$57:$A$62, 0)), "")</f>
        <v>Medium HLR, Upper Outlet Height, Yes Plants</v>
      </c>
      <c r="D49" s="4" t="str">
        <f>IFERROR(INDEX('Date Key'!$G$2:$G$19, MATCH(F49, 'Date Key'!$A$2:$A$19, 0)), "")</f>
        <v>No</v>
      </c>
      <c r="E49" s="4" t="str">
        <f t="shared" si="1"/>
        <v>in</v>
      </c>
      <c r="F49" s="4">
        <f t="shared" si="2"/>
        <v>17</v>
      </c>
      <c r="G49" s="4">
        <f t="shared" si="22"/>
        <v>2</v>
      </c>
      <c r="H49" s="11" cm="1">
        <f t="array" ref="H49">IFERROR(INDEX('Master Data Sheet'!$1:$1048576, MATCH(1, ('Master Data Sheet'!$H:$H=H$2) * (INDEX('Master Data Sheet'!$1:$1, , MATCH($F$1, 'Master Data Sheet'!$1:$1, 0)) = $F$1) * ('Master Data Sheet'!$G:$G=$B49) * ('Master Data Sheet'!$F:$F=$E49) * ('Master Data Sheet'!$A:$A=$F49), 0), MATCH($F$1, 'Master Data Sheet'!$1:$1, 0)), "")</f>
        <v>8.7067083114513957E-2</v>
      </c>
      <c r="I49" s="11" cm="1">
        <f t="array" ref="I49">IFERROR(INDEX('Master Data Sheet'!$1:$1048576, MATCH(1, ('Master Data Sheet'!$H:$H=I$2) * (INDEX('Master Data Sheet'!$1:$1, , MATCH($F$1, 'Master Data Sheet'!$1:$1, 0)) = $F$1) * ('Master Data Sheet'!$G:$G=$B49) * ('Master Data Sheet'!$F:$F=$E49) * ('Master Data Sheet'!$A:$A=$F49), 0), MATCH($F$1, 'Master Data Sheet'!$1:$1, 0)), "")</f>
        <v>8.1262610906879695E-2</v>
      </c>
      <c r="J49" s="11" cm="1">
        <f t="array" ref="J49">IFERROR(INDEX('Master Data Sheet'!$1:$1048576, MATCH(1, ('Master Data Sheet'!$H:$H=J$2) * (INDEX('Master Data Sheet'!$1:$1, , MATCH($F$1, 'Master Data Sheet'!$1:$1, 0)) = $F$1) * ('Master Data Sheet'!$G:$G=$B49) * ('Master Data Sheet'!$F:$F=$E49) * ('Master Data Sheet'!$A:$A=$F49), 0), MATCH($F$1, 'Master Data Sheet'!$1:$1, 0)), "")</f>
        <v>8.1262610906879695E-2</v>
      </c>
      <c r="K49" s="11" cm="1">
        <f t="array" ref="K49">IFERROR(INDEX('Master Data Sheet'!$1:$1048576, MATCH(1, ('Master Data Sheet'!$H:$H=K$2) * (INDEX('Master Data Sheet'!$1:$1, , MATCH($F$1, 'Master Data Sheet'!$1:$1, 0)) = $F$1) * ('Master Data Sheet'!$G:$G=$B49) * ('Master Data Sheet'!$F:$F=$E49) * ('Master Data Sheet'!$A:$A=$F49), 0), MATCH($F$1, 'Master Data Sheet'!$1:$1, 0)), "")</f>
        <v>8.1262610906879695E-2</v>
      </c>
      <c r="L49" s="11" cm="1">
        <f t="array" ref="L49">IFERROR(INDEX('Master Data Sheet'!$1:$1048576, MATCH(1, ('Master Data Sheet'!$H:$H=L$2) * (INDEX('Master Data Sheet'!$1:$1, , MATCH($F$1, 'Master Data Sheet'!$1:$1, 0)) = $F$1) * ('Master Data Sheet'!$G:$G=$B49) * ('Master Data Sheet'!$F:$F=$E49) * ('Master Data Sheet'!$A:$A=$F49), 0), MATCH($F$1, 'Master Data Sheet'!$1:$1, 0)), "")</f>
        <v>6.9653666491611171E-2</v>
      </c>
      <c r="M49" s="11" cm="1">
        <f t="array" ref="M49">IFERROR(INDEX('Master Data Sheet'!$1:$1048576, MATCH(1, ('Master Data Sheet'!$H:$H=M$2) * (INDEX('Master Data Sheet'!$1:$1, , MATCH($F$1, 'Master Data Sheet'!$1:$1, 0)) = $F$1) * ('Master Data Sheet'!$G:$G=$B49) * ('Master Data Sheet'!$F:$F=$E49) * ('Master Data Sheet'!$A:$A=$F49), 0), MATCH($F$1, 'Master Data Sheet'!$1:$1, 0)), "")</f>
        <v>6.3849194283976909E-2</v>
      </c>
      <c r="N49" s="11" cm="1">
        <f t="array" ref="N49">IFERROR(INDEX('Master Data Sheet'!$1:$1048576, MATCH(1, ('Master Data Sheet'!$H:$H=N$2) * (INDEX('Master Data Sheet'!$1:$1, , MATCH($F$1, 'Master Data Sheet'!$1:$1, 0)) = $F$1) * ('Master Data Sheet'!$G:$G=$B49) * ('Master Data Sheet'!$F:$F=$E49) * ('Master Data Sheet'!$A:$A=$F49), 0), MATCH($F$1, 'Master Data Sheet'!$1:$1, 0)), "")</f>
        <v>8.7067083114513957E-2</v>
      </c>
      <c r="O49" s="11">
        <f t="shared" si="8"/>
        <v>7.8774979960750738E-2</v>
      </c>
      <c r="P49" s="11">
        <f t="shared" si="4"/>
        <v>8.7755371162207586E-3</v>
      </c>
      <c r="Q49" s="11"/>
      <c r="X49" t="str">
        <f>IFERROR(INDEX('Date Key'!$G$57:$G$62, MATCH(B48,'Date Key'!$A$57:$A$62, 0)), "")</f>
        <v>Medium HLR, Upper Outlet Height, Yes Plants</v>
      </c>
      <c r="Y49" s="1">
        <f t="shared" ref="Y49:AE49" si="53">H48</f>
        <v>4.643577766107411E-2</v>
      </c>
      <c r="Z49" s="1">
        <f t="shared" si="53"/>
        <v>7.545813869924542E-2</v>
      </c>
      <c r="AA49" s="1">
        <f t="shared" si="53"/>
        <v>5.8044722076342627E-2</v>
      </c>
      <c r="AB49" s="1">
        <f t="shared" si="53"/>
        <v>5.2240249868708358E-2</v>
      </c>
      <c r="AC49" s="1">
        <f t="shared" si="53"/>
        <v>5.2240249868708358E-2</v>
      </c>
      <c r="AD49" s="1">
        <f t="shared" si="53"/>
        <v>5.8044722076342627E-2</v>
      </c>
      <c r="AE49" s="1">
        <f t="shared" si="53"/>
        <v>5.8044722076342627E-2</v>
      </c>
      <c r="AF49" s="1">
        <f t="shared" ref="AF49:AL49" si="54">H49</f>
        <v>8.7067083114513957E-2</v>
      </c>
      <c r="AG49" s="1">
        <f t="shared" si="54"/>
        <v>8.1262610906879695E-2</v>
      </c>
      <c r="AH49" s="1">
        <f t="shared" si="54"/>
        <v>8.1262610906879695E-2</v>
      </c>
      <c r="AI49" s="1">
        <f t="shared" si="54"/>
        <v>8.1262610906879695E-2</v>
      </c>
      <c r="AJ49" s="1">
        <f t="shared" si="54"/>
        <v>6.9653666491611171E-2</v>
      </c>
      <c r="AK49" s="1">
        <f t="shared" si="54"/>
        <v>6.3849194283976909E-2</v>
      </c>
      <c r="AL49" s="1">
        <f t="shared" si="54"/>
        <v>8.7067083114513957E-2</v>
      </c>
      <c r="AM49" s="1">
        <f t="shared" ref="AM49:AS49" si="55">H50</f>
        <v>0.31544688308436958</v>
      </c>
      <c r="AN49" s="1">
        <f t="shared" si="55"/>
        <v>0.3096052741383627</v>
      </c>
      <c r="AO49" s="1">
        <f t="shared" si="55"/>
        <v>0.3212884920303764</v>
      </c>
      <c r="AP49" s="1">
        <f t="shared" si="55"/>
        <v>0.29792205624634899</v>
      </c>
      <c r="AQ49" s="1">
        <f t="shared" si="55"/>
        <v>0.29792205624634899</v>
      </c>
      <c r="AR49" s="1">
        <f t="shared" si="55"/>
        <v>0.29208044730034222</v>
      </c>
      <c r="AS49" s="1">
        <f t="shared" si="55"/>
        <v>0.28039722940832851</v>
      </c>
    </row>
    <row r="50" spans="1:46" x14ac:dyDescent="0.35">
      <c r="A50" s="41">
        <f>IFERROR(INDEX('Date Key'!$B$2:$B$19, MATCH(F50,'Date Key'!$A$2:$A$19, 0)), "")</f>
        <v>45400</v>
      </c>
      <c r="B50" s="4">
        <f t="shared" si="15"/>
        <v>6</v>
      </c>
      <c r="C50" s="26" t="str">
        <f>IFERROR(INDEX('Date Key'!$G$57:$G$62, MATCH(B50,'Date Key'!$A$57:$A$62, 0)), "")</f>
        <v>Medium HLR, Upper Outlet Height, Yes Plants</v>
      </c>
      <c r="D50" s="4" t="str">
        <f>IFERROR(INDEX('Date Key'!$G$2:$G$19, MATCH(F50, 'Date Key'!$A$2:$A$19, 0)), "")</f>
        <v>Yes</v>
      </c>
      <c r="E50" s="4" t="str">
        <f t="shared" si="1"/>
        <v>in</v>
      </c>
      <c r="F50" s="4">
        <f t="shared" si="2"/>
        <v>18</v>
      </c>
      <c r="G50" s="4">
        <f t="shared" si="22"/>
        <v>3</v>
      </c>
      <c r="H50" s="11" cm="1">
        <f t="array" ref="H50">IFERROR(INDEX('Master Data Sheet'!$1:$1048576, MATCH(1, ('Master Data Sheet'!$H:$H=H$2) * (INDEX('Master Data Sheet'!$1:$1, , MATCH($F$1, 'Master Data Sheet'!$1:$1, 0)) = $F$1) * ('Master Data Sheet'!$G:$G=$B50) * ('Master Data Sheet'!$F:$F=$E50) * ('Master Data Sheet'!$A:$A=$F50), 0), MATCH($F$1, 'Master Data Sheet'!$1:$1, 0)), "")</f>
        <v>0.31544688308436958</v>
      </c>
      <c r="I50" s="11" cm="1">
        <f t="array" ref="I50">IFERROR(INDEX('Master Data Sheet'!$1:$1048576, MATCH(1, ('Master Data Sheet'!$H:$H=I$2) * (INDEX('Master Data Sheet'!$1:$1, , MATCH($F$1, 'Master Data Sheet'!$1:$1, 0)) = $F$1) * ('Master Data Sheet'!$G:$G=$B50) * ('Master Data Sheet'!$F:$F=$E50) * ('Master Data Sheet'!$A:$A=$F50), 0), MATCH($F$1, 'Master Data Sheet'!$1:$1, 0)), "")</f>
        <v>0.3096052741383627</v>
      </c>
      <c r="J50" s="11" cm="1">
        <f t="array" ref="J50">IFERROR(INDEX('Master Data Sheet'!$1:$1048576, MATCH(1, ('Master Data Sheet'!$H:$H=J$2) * (INDEX('Master Data Sheet'!$1:$1, , MATCH($F$1, 'Master Data Sheet'!$1:$1, 0)) = $F$1) * ('Master Data Sheet'!$G:$G=$B50) * ('Master Data Sheet'!$F:$F=$E50) * ('Master Data Sheet'!$A:$A=$F50), 0), MATCH($F$1, 'Master Data Sheet'!$1:$1, 0)), "")</f>
        <v>0.3212884920303764</v>
      </c>
      <c r="K50" s="11" cm="1">
        <f t="array" ref="K50">IFERROR(INDEX('Master Data Sheet'!$1:$1048576, MATCH(1, ('Master Data Sheet'!$H:$H=K$2) * (INDEX('Master Data Sheet'!$1:$1, , MATCH($F$1, 'Master Data Sheet'!$1:$1, 0)) = $F$1) * ('Master Data Sheet'!$G:$G=$B50) * ('Master Data Sheet'!$F:$F=$E50) * ('Master Data Sheet'!$A:$A=$F50), 0), MATCH($F$1, 'Master Data Sheet'!$1:$1, 0)), "")</f>
        <v>0.29792205624634899</v>
      </c>
      <c r="L50" s="11" cm="1">
        <f t="array" ref="L50">IFERROR(INDEX('Master Data Sheet'!$1:$1048576, MATCH(1, ('Master Data Sheet'!$H:$H=L$2) * (INDEX('Master Data Sheet'!$1:$1, , MATCH($F$1, 'Master Data Sheet'!$1:$1, 0)) = $F$1) * ('Master Data Sheet'!$G:$G=$B50) * ('Master Data Sheet'!$F:$F=$E50) * ('Master Data Sheet'!$A:$A=$F50), 0), MATCH($F$1, 'Master Data Sheet'!$1:$1, 0)), "")</f>
        <v>0.29792205624634899</v>
      </c>
      <c r="M50" s="11" cm="1">
        <f t="array" ref="M50">IFERROR(INDEX('Master Data Sheet'!$1:$1048576, MATCH(1, ('Master Data Sheet'!$H:$H=M$2) * (INDEX('Master Data Sheet'!$1:$1, , MATCH($F$1, 'Master Data Sheet'!$1:$1, 0)) = $F$1) * ('Master Data Sheet'!$G:$G=$B50) * ('Master Data Sheet'!$F:$F=$E50) * ('Master Data Sheet'!$A:$A=$F50), 0), MATCH($F$1, 'Master Data Sheet'!$1:$1, 0)), "")</f>
        <v>0.29208044730034222</v>
      </c>
      <c r="N50" s="11" cm="1">
        <f t="array" ref="N50">IFERROR(INDEX('Master Data Sheet'!$1:$1048576, MATCH(1, ('Master Data Sheet'!$H:$H=N$2) * (INDEX('Master Data Sheet'!$1:$1, , MATCH($F$1, 'Master Data Sheet'!$1:$1, 0)) = $F$1) * ('Master Data Sheet'!$G:$G=$B50) * ('Master Data Sheet'!$F:$F=$E50) * ('Master Data Sheet'!$A:$A=$F50), 0), MATCH($F$1, 'Master Data Sheet'!$1:$1, 0)), "")</f>
        <v>0.28039722940832851</v>
      </c>
      <c r="O50" s="11">
        <f t="shared" si="8"/>
        <v>0.30209463406492532</v>
      </c>
      <c r="P50" s="11">
        <f t="shared" si="4"/>
        <v>1.4194943750505522E-2</v>
      </c>
      <c r="Q50" s="11"/>
      <c r="Y50" s="1"/>
      <c r="Z50" s="1"/>
      <c r="AA50" s="1"/>
      <c r="AB50" s="1"/>
      <c r="AC50" s="1"/>
      <c r="AD50" s="1"/>
      <c r="AE50" s="1"/>
      <c r="AF50" s="1"/>
      <c r="AG50" s="1"/>
      <c r="AH50" s="1"/>
      <c r="AI50" s="1"/>
      <c r="AJ50" s="1"/>
      <c r="AK50" s="1"/>
      <c r="AL50" s="1"/>
      <c r="AM50" s="1"/>
      <c r="AN50" s="1"/>
      <c r="AO50" s="1"/>
      <c r="AP50" s="1"/>
      <c r="AQ50" s="1"/>
      <c r="AR50" s="1"/>
      <c r="AS50" s="1"/>
    </row>
    <row r="51" spans="1:46" x14ac:dyDescent="0.35">
      <c r="A51" s="41">
        <f>IFERROR(INDEX('Date Key'!$B$2:$B$19, MATCH(F51,'Date Key'!$A$2:$A$19, 0)), "")</f>
        <v>45371</v>
      </c>
      <c r="B51" s="4">
        <f t="shared" si="15"/>
        <v>6</v>
      </c>
      <c r="C51" s="26" t="str">
        <f>IFERROR(INDEX('Date Key'!$G$57:$G$62, MATCH(B51,'Date Key'!$A$57:$A$62, 0)), "")</f>
        <v>Medium HLR, Upper Outlet Height, Yes Plants</v>
      </c>
      <c r="D51" s="4" t="str">
        <f>IFERROR(INDEX('Date Key'!$G$2:$G$19, MATCH(F51, 'Date Key'!$A$2:$A$19, 0)), "")</f>
        <v>No</v>
      </c>
      <c r="E51" s="4" t="str">
        <f t="shared" si="1"/>
        <v>tank 1</v>
      </c>
      <c r="F51" s="4">
        <f t="shared" si="2"/>
        <v>16</v>
      </c>
      <c r="G51" s="4">
        <f t="shared" si="22"/>
        <v>1</v>
      </c>
      <c r="H51" s="11" cm="1">
        <f t="array" ref="H51">IFERROR(INDEX('Master Data Sheet'!$1:$1048576, MATCH(1, ('Master Data Sheet'!$H:$H=H$2) * (INDEX('Master Data Sheet'!$1:$1, , MATCH($F$1, 'Master Data Sheet'!$1:$1, 0)) = $F$1) * ('Master Data Sheet'!$G:$G=$B51) * ('Master Data Sheet'!$F:$F=$E51) * ('Master Data Sheet'!$A:$A=$F51), 0), MATCH($F$1, 'Master Data Sheet'!$1:$1, 0)), "")</f>
        <v>0</v>
      </c>
      <c r="I51" s="11" cm="1">
        <f t="array" ref="I51">IFERROR(INDEX('Master Data Sheet'!$1:$1048576, MATCH(1, ('Master Data Sheet'!$H:$H=I$2) * (INDEX('Master Data Sheet'!$1:$1, , MATCH($F$1, 'Master Data Sheet'!$1:$1, 0)) = $F$1) * ('Master Data Sheet'!$G:$G=$B51) * ('Master Data Sheet'!$F:$F=$E51) * ('Master Data Sheet'!$A:$A=$F51), 0), MATCH($F$1, 'Master Data Sheet'!$1:$1, 0)), "")</f>
        <v>0</v>
      </c>
      <c r="J51" s="11" cm="1">
        <f t="array" ref="J51">IFERROR(INDEX('Master Data Sheet'!$1:$1048576, MATCH(1, ('Master Data Sheet'!$H:$H=J$2) * (INDEX('Master Data Sheet'!$1:$1, , MATCH($F$1, 'Master Data Sheet'!$1:$1, 0)) = $F$1) * ('Master Data Sheet'!$G:$G=$B51) * ('Master Data Sheet'!$F:$F=$E51) * ('Master Data Sheet'!$A:$A=$F51), 0), MATCH($F$1, 'Master Data Sheet'!$1:$1, 0)), "")</f>
        <v>0</v>
      </c>
      <c r="K51" s="11" cm="1">
        <f t="array" ref="K51">IFERROR(INDEX('Master Data Sheet'!$1:$1048576, MATCH(1, ('Master Data Sheet'!$H:$H=K$2) * (INDEX('Master Data Sheet'!$1:$1, , MATCH($F$1, 'Master Data Sheet'!$1:$1, 0)) = $F$1) * ('Master Data Sheet'!$G:$G=$B51) * ('Master Data Sheet'!$F:$F=$E51) * ('Master Data Sheet'!$A:$A=$F51), 0), MATCH($F$1, 'Master Data Sheet'!$1:$1, 0)), "")</f>
        <v>0</v>
      </c>
      <c r="L51" s="11" cm="1">
        <f t="array" ref="L51">IFERROR(INDEX('Master Data Sheet'!$1:$1048576, MATCH(1, ('Master Data Sheet'!$H:$H=L$2) * (INDEX('Master Data Sheet'!$1:$1, , MATCH($F$1, 'Master Data Sheet'!$1:$1, 0)) = $F$1) * ('Master Data Sheet'!$G:$G=$B51) * ('Master Data Sheet'!$F:$F=$E51) * ('Master Data Sheet'!$A:$A=$F51), 0), MATCH($F$1, 'Master Data Sheet'!$1:$1, 0)), "")</f>
        <v>0</v>
      </c>
      <c r="M51" s="11" cm="1">
        <f t="array" ref="M51">IFERROR(INDEX('Master Data Sheet'!$1:$1048576, MATCH(1, ('Master Data Sheet'!$H:$H=M$2) * (INDEX('Master Data Sheet'!$1:$1, , MATCH($F$1, 'Master Data Sheet'!$1:$1, 0)) = $F$1) * ('Master Data Sheet'!$G:$G=$B51) * ('Master Data Sheet'!$F:$F=$E51) * ('Master Data Sheet'!$A:$A=$F51), 0), MATCH($F$1, 'Master Data Sheet'!$1:$1, 0)), "")</f>
        <v>3.4826833245805586E-2</v>
      </c>
      <c r="N51" s="11" cm="1">
        <f t="array" ref="N51">IFERROR(INDEX('Master Data Sheet'!$1:$1048576, MATCH(1, ('Master Data Sheet'!$H:$H=N$2) * (INDEX('Master Data Sheet'!$1:$1, , MATCH($F$1, 'Master Data Sheet'!$1:$1, 0)) = $F$1) * ('Master Data Sheet'!$G:$G=$B51) * ('Master Data Sheet'!$F:$F=$E51) * ('Master Data Sheet'!$A:$A=$F51), 0), MATCH($F$1, 'Master Data Sheet'!$1:$1, 0)), "")</f>
        <v>0.23217888830537051</v>
      </c>
      <c r="O51" s="11">
        <f t="shared" si="8"/>
        <v>3.8143674507310869E-2</v>
      </c>
      <c r="P51" s="11">
        <f t="shared" si="4"/>
        <v>8.6540323119929791E-2</v>
      </c>
      <c r="Q51" s="11">
        <f>AVERAGE(O51:O53)</f>
        <v>0.19137091808224396</v>
      </c>
      <c r="R51" s="46">
        <f>(1-(O51/O48))*100</f>
        <v>33.333333333333336</v>
      </c>
      <c r="S51" s="46">
        <f>AVERAGE(R51:R53)</f>
        <v>-52.691350844883829</v>
      </c>
      <c r="T51" s="46">
        <f>STDEV(R51:R53)</f>
        <v>119.76224772428387</v>
      </c>
      <c r="U51" s="47">
        <f>(1-(AVERAGE(H51:N53)/AVERAGE(H48:N50)))*100</f>
        <v>-31.05050147864139</v>
      </c>
      <c r="V51" s="47"/>
      <c r="Y51" s="2"/>
      <c r="Z51" s="2"/>
      <c r="AA51" s="2"/>
      <c r="AB51" s="2"/>
      <c r="AC51" s="2"/>
      <c r="AD51" s="2"/>
      <c r="AE51" s="2"/>
      <c r="AF51" s="2"/>
      <c r="AG51" s="2"/>
    </row>
    <row r="52" spans="1:46" x14ac:dyDescent="0.35">
      <c r="A52" s="41">
        <f>IFERROR(INDEX('Date Key'!$B$2:$B$19, MATCH(F52,'Date Key'!$A$2:$A$19, 0)), "")</f>
        <v>45392</v>
      </c>
      <c r="B52" s="4">
        <f t="shared" si="15"/>
        <v>6</v>
      </c>
      <c r="C52" s="26" t="str">
        <f>IFERROR(INDEX('Date Key'!$G$57:$G$62, MATCH(B52,'Date Key'!$A$57:$A$62, 0)), "")</f>
        <v>Medium HLR, Upper Outlet Height, Yes Plants</v>
      </c>
      <c r="D52" s="4" t="str">
        <f>IFERROR(INDEX('Date Key'!$G$2:$G$19, MATCH(F52, 'Date Key'!$A$2:$A$19, 0)), "")</f>
        <v>No</v>
      </c>
      <c r="E52" s="4" t="str">
        <f t="shared" si="1"/>
        <v>tank 1</v>
      </c>
      <c r="F52" s="4">
        <f t="shared" si="2"/>
        <v>17</v>
      </c>
      <c r="G52" s="4">
        <f t="shared" si="22"/>
        <v>2</v>
      </c>
      <c r="H52" s="11" cm="1">
        <f t="array" ref="H52">IFERROR(INDEX('Master Data Sheet'!$1:$1048576, MATCH(1, ('Master Data Sheet'!$H:$H=H$2) * (INDEX('Master Data Sheet'!$1:$1, , MATCH($F$1, 'Master Data Sheet'!$1:$1, 0)) = $F$1) * ('Master Data Sheet'!$G:$G=$B52) * ('Master Data Sheet'!$F:$F=$E52) * ('Master Data Sheet'!$A:$A=$F52), 0), MATCH($F$1, 'Master Data Sheet'!$1:$1, 0)), "")</f>
        <v>1.1608944415268527E-2</v>
      </c>
      <c r="I52" s="11" cm="1">
        <f t="array" ref="I52">IFERROR(INDEX('Master Data Sheet'!$1:$1048576, MATCH(1, ('Master Data Sheet'!$H:$H=I$2) * (INDEX('Master Data Sheet'!$1:$1, , MATCH($F$1, 'Master Data Sheet'!$1:$1, 0)) = $F$1) * ('Master Data Sheet'!$G:$G=$B52) * ('Master Data Sheet'!$F:$F=$E52) * ('Master Data Sheet'!$A:$A=$F52), 0), MATCH($F$1, 'Master Data Sheet'!$1:$1, 0)), "")</f>
        <v>0</v>
      </c>
      <c r="J52" s="11" cm="1">
        <f t="array" ref="J52">IFERROR(INDEX('Master Data Sheet'!$1:$1048576, MATCH(1, ('Master Data Sheet'!$H:$H=J$2) * (INDEX('Master Data Sheet'!$1:$1, , MATCH($F$1, 'Master Data Sheet'!$1:$1, 0)) = $F$1) * ('Master Data Sheet'!$G:$G=$B52) * ('Master Data Sheet'!$F:$F=$E52) * ('Master Data Sheet'!$A:$A=$F52), 0), MATCH($F$1, 'Master Data Sheet'!$1:$1, 0)), "")</f>
        <v>2.3217888830537055E-2</v>
      </c>
      <c r="K52" s="11" cm="1">
        <f t="array" ref="K52">IFERROR(INDEX('Master Data Sheet'!$1:$1048576, MATCH(1, ('Master Data Sheet'!$H:$H=K$2) * (INDEX('Master Data Sheet'!$1:$1, , MATCH($F$1, 'Master Data Sheet'!$1:$1, 0)) = $F$1) * ('Master Data Sheet'!$G:$G=$B52) * ('Master Data Sheet'!$F:$F=$E52) * ('Master Data Sheet'!$A:$A=$F52), 0), MATCH($F$1, 'Master Data Sheet'!$1:$1, 0)), "")</f>
        <v>1.7413416622902793E-2</v>
      </c>
      <c r="L52" s="11" cm="1">
        <f t="array" ref="L52">IFERROR(INDEX('Master Data Sheet'!$1:$1048576, MATCH(1, ('Master Data Sheet'!$H:$H=L$2) * (INDEX('Master Data Sheet'!$1:$1, , MATCH($F$1, 'Master Data Sheet'!$1:$1, 0)) = $F$1) * ('Master Data Sheet'!$G:$G=$B52) * ('Master Data Sheet'!$F:$F=$E52) * ('Master Data Sheet'!$A:$A=$F52), 0), MATCH($F$1, 'Master Data Sheet'!$1:$1, 0)), "")</f>
        <v>0.31924597141988448</v>
      </c>
      <c r="M52" s="11" cm="1">
        <f t="array" ref="M52">IFERROR(INDEX('Master Data Sheet'!$1:$1048576, MATCH(1, ('Master Data Sheet'!$H:$H=M$2) * (INDEX('Master Data Sheet'!$1:$1, , MATCH($F$1, 'Master Data Sheet'!$1:$1, 0)) = $F$1) * ('Master Data Sheet'!$G:$G=$B52) * ('Master Data Sheet'!$F:$F=$E52) * ('Master Data Sheet'!$A:$A=$F52), 0), MATCH($F$1, 'Master Data Sheet'!$1:$1, 0)), "")</f>
        <v>0.52820697089471802</v>
      </c>
      <c r="N52" s="11" cm="1">
        <f t="array" ref="N52">IFERROR(INDEX('Master Data Sheet'!$1:$1048576, MATCH(1, ('Master Data Sheet'!$H:$H=N$2) * (INDEX('Master Data Sheet'!$1:$1, , MATCH($F$1, 'Master Data Sheet'!$1:$1, 0)) = $F$1) * ('Master Data Sheet'!$G:$G=$B52) * ('Master Data Sheet'!$F:$F=$E52) * ('Master Data Sheet'!$A:$A=$F52), 0), MATCH($F$1, 'Master Data Sheet'!$1:$1, 0)), "")</f>
        <v>0.69653666491611166</v>
      </c>
      <c r="O52" s="11">
        <f t="shared" si="8"/>
        <v>0.22803283672848895</v>
      </c>
      <c r="P52" s="11">
        <f t="shared" si="4"/>
        <v>0.28955948225641931</v>
      </c>
      <c r="Q52" s="11"/>
      <c r="R52" s="46">
        <f>(1-(O52/O49))*100</f>
        <v>-189.47368421052627</v>
      </c>
      <c r="X52" t="str">
        <f>IFERROR(INDEX('Date Key'!$G$57:$G$62, MATCH(B51,'Date Key'!$A$57:$A$62, 0)), "")</f>
        <v>Medium HLR, Upper Outlet Height, Yes Plants</v>
      </c>
      <c r="Y52" s="1">
        <f t="shared" ref="Y52:AE52" si="56">H51</f>
        <v>0</v>
      </c>
      <c r="Z52" s="1">
        <f t="shared" si="56"/>
        <v>0</v>
      </c>
      <c r="AA52" s="1">
        <f t="shared" si="56"/>
        <v>0</v>
      </c>
      <c r="AB52" s="1">
        <f t="shared" si="56"/>
        <v>0</v>
      </c>
      <c r="AC52" s="1">
        <f t="shared" si="56"/>
        <v>0</v>
      </c>
      <c r="AD52" s="1">
        <f t="shared" si="56"/>
        <v>3.4826833245805586E-2</v>
      </c>
      <c r="AE52" s="1">
        <f t="shared" si="56"/>
        <v>0.23217888830537051</v>
      </c>
      <c r="AF52" s="1">
        <f t="shared" ref="AF52:AL52" si="57">H52</f>
        <v>1.1608944415268527E-2</v>
      </c>
      <c r="AG52" s="1">
        <f t="shared" si="57"/>
        <v>0</v>
      </c>
      <c r="AH52" s="1">
        <f t="shared" si="57"/>
        <v>2.3217888830537055E-2</v>
      </c>
      <c r="AI52" s="1">
        <f t="shared" si="57"/>
        <v>1.7413416622902793E-2</v>
      </c>
      <c r="AJ52" s="1">
        <f t="shared" si="57"/>
        <v>0.31924597141988448</v>
      </c>
      <c r="AK52" s="1">
        <f t="shared" si="57"/>
        <v>0.52820697089471802</v>
      </c>
      <c r="AL52" s="1">
        <f t="shared" si="57"/>
        <v>0.69653666491611166</v>
      </c>
      <c r="AM52" s="1">
        <f t="shared" ref="AM52:AS52" si="58">H53</f>
        <v>2.3366435784027372E-2</v>
      </c>
      <c r="AN52" s="1">
        <f t="shared" si="58"/>
        <v>4.0891262622047904E-2</v>
      </c>
      <c r="AO52" s="1">
        <f t="shared" si="58"/>
        <v>5.2574480514061592E-2</v>
      </c>
      <c r="AP52" s="1">
        <f t="shared" si="58"/>
        <v>0.22198113994826002</v>
      </c>
      <c r="AQ52" s="1">
        <f t="shared" si="58"/>
        <v>0.39138779938245849</v>
      </c>
      <c r="AR52" s="1">
        <f t="shared" si="58"/>
        <v>0.62505215722273222</v>
      </c>
      <c r="AS52" s="1">
        <f t="shared" si="58"/>
        <v>0.80030042560293746</v>
      </c>
    </row>
    <row r="53" spans="1:46" x14ac:dyDescent="0.35">
      <c r="A53" s="41">
        <f>IFERROR(INDEX('Date Key'!$B$2:$B$19, MATCH(F53,'Date Key'!$A$2:$A$19, 0)), "")</f>
        <v>45400</v>
      </c>
      <c r="B53" s="4">
        <f t="shared" si="15"/>
        <v>6</v>
      </c>
      <c r="C53" s="26" t="str">
        <f>IFERROR(INDEX('Date Key'!$G$57:$G$62, MATCH(B53,'Date Key'!$A$57:$A$62, 0)), "")</f>
        <v>Medium HLR, Upper Outlet Height, Yes Plants</v>
      </c>
      <c r="D53" s="4" t="str">
        <f>IFERROR(INDEX('Date Key'!$G$2:$G$19, MATCH(F53, 'Date Key'!$A$2:$A$19, 0)), "")</f>
        <v>Yes</v>
      </c>
      <c r="E53" s="4" t="str">
        <f t="shared" si="1"/>
        <v>tank 1</v>
      </c>
      <c r="F53" s="4">
        <f t="shared" si="2"/>
        <v>18</v>
      </c>
      <c r="G53" s="4">
        <f t="shared" si="22"/>
        <v>3</v>
      </c>
      <c r="H53" s="11" cm="1">
        <f t="array" ref="H53">IFERROR(INDEX('Master Data Sheet'!$1:$1048576, MATCH(1, ('Master Data Sheet'!$H:$H=H$2) * (INDEX('Master Data Sheet'!$1:$1, , MATCH($F$1, 'Master Data Sheet'!$1:$1, 0)) = $F$1) * ('Master Data Sheet'!$G:$G=$B53) * ('Master Data Sheet'!$F:$F=$E53) * ('Master Data Sheet'!$A:$A=$F53), 0), MATCH($F$1, 'Master Data Sheet'!$1:$1, 0)), "")</f>
        <v>2.3366435784027372E-2</v>
      </c>
      <c r="I53" s="11" cm="1">
        <f t="array" ref="I53">IFERROR(INDEX('Master Data Sheet'!$1:$1048576, MATCH(1, ('Master Data Sheet'!$H:$H=I$2) * (INDEX('Master Data Sheet'!$1:$1, , MATCH($F$1, 'Master Data Sheet'!$1:$1, 0)) = $F$1) * ('Master Data Sheet'!$G:$G=$B53) * ('Master Data Sheet'!$F:$F=$E53) * ('Master Data Sheet'!$A:$A=$F53), 0), MATCH($F$1, 'Master Data Sheet'!$1:$1, 0)), "")</f>
        <v>4.0891262622047904E-2</v>
      </c>
      <c r="J53" s="11" cm="1">
        <f t="array" ref="J53">IFERROR(INDEX('Master Data Sheet'!$1:$1048576, MATCH(1, ('Master Data Sheet'!$H:$H=J$2) * (INDEX('Master Data Sheet'!$1:$1, , MATCH($F$1, 'Master Data Sheet'!$1:$1, 0)) = $F$1) * ('Master Data Sheet'!$G:$G=$B53) * ('Master Data Sheet'!$F:$F=$E53) * ('Master Data Sheet'!$A:$A=$F53), 0), MATCH($F$1, 'Master Data Sheet'!$1:$1, 0)), "")</f>
        <v>5.2574480514061592E-2</v>
      </c>
      <c r="K53" s="11" cm="1">
        <f t="array" ref="K53">IFERROR(INDEX('Master Data Sheet'!$1:$1048576, MATCH(1, ('Master Data Sheet'!$H:$H=K$2) * (INDEX('Master Data Sheet'!$1:$1, , MATCH($F$1, 'Master Data Sheet'!$1:$1, 0)) = $F$1) * ('Master Data Sheet'!$G:$G=$B53) * ('Master Data Sheet'!$F:$F=$E53) * ('Master Data Sheet'!$A:$A=$F53), 0), MATCH($F$1, 'Master Data Sheet'!$1:$1, 0)), "")</f>
        <v>0.22198113994826002</v>
      </c>
      <c r="L53" s="11" cm="1">
        <f t="array" ref="L53">IFERROR(INDEX('Master Data Sheet'!$1:$1048576, MATCH(1, ('Master Data Sheet'!$H:$H=L$2) * (INDEX('Master Data Sheet'!$1:$1, , MATCH($F$1, 'Master Data Sheet'!$1:$1, 0)) = $F$1) * ('Master Data Sheet'!$G:$G=$B53) * ('Master Data Sheet'!$F:$F=$E53) * ('Master Data Sheet'!$A:$A=$F53), 0), MATCH($F$1, 'Master Data Sheet'!$1:$1, 0)), "")</f>
        <v>0.39138779938245849</v>
      </c>
      <c r="M53" s="11" cm="1">
        <f t="array" ref="M53">IFERROR(INDEX('Master Data Sheet'!$1:$1048576, MATCH(1, ('Master Data Sheet'!$H:$H=M$2) * (INDEX('Master Data Sheet'!$1:$1, , MATCH($F$1, 'Master Data Sheet'!$1:$1, 0)) = $F$1) * ('Master Data Sheet'!$G:$G=$B53) * ('Master Data Sheet'!$F:$F=$E53) * ('Master Data Sheet'!$A:$A=$F53), 0), MATCH($F$1, 'Master Data Sheet'!$1:$1, 0)), "")</f>
        <v>0.62505215722273222</v>
      </c>
      <c r="N53" s="11" cm="1">
        <f t="array" ref="N53">IFERROR(INDEX('Master Data Sheet'!$1:$1048576, MATCH(1, ('Master Data Sheet'!$H:$H=N$2) * (INDEX('Master Data Sheet'!$1:$1, , MATCH($F$1, 'Master Data Sheet'!$1:$1, 0)) = $F$1) * ('Master Data Sheet'!$G:$G=$B53) * ('Master Data Sheet'!$F:$F=$E53) * ('Master Data Sheet'!$A:$A=$F53), 0), MATCH($F$1, 'Master Data Sheet'!$1:$1, 0)), "")</f>
        <v>0.80030042560293746</v>
      </c>
      <c r="O53" s="11">
        <f t="shared" si="8"/>
        <v>0.30793624301093214</v>
      </c>
      <c r="P53" s="11">
        <f t="shared" si="4"/>
        <v>0.30952653624279919</v>
      </c>
      <c r="Q53" s="11"/>
      <c r="R53" s="46">
        <f>(1-(O53/O50))*100</f>
        <v>-1.9337016574585641</v>
      </c>
      <c r="Y53" s="2"/>
      <c r="Z53" s="2"/>
      <c r="AA53" s="2"/>
      <c r="AB53" s="2"/>
      <c r="AC53" s="2"/>
      <c r="AD53" s="2"/>
      <c r="AE53" s="2"/>
      <c r="AF53" s="2"/>
      <c r="AG53" s="2"/>
    </row>
    <row r="54" spans="1:46" x14ac:dyDescent="0.35">
      <c r="A54" s="41">
        <f>IFERROR(INDEX('Date Key'!$B$2:$B$19, MATCH(F54,'Date Key'!$A$2:$A$19, 0)), "")</f>
        <v>45371</v>
      </c>
      <c r="B54" s="4">
        <f t="shared" si="15"/>
        <v>6</v>
      </c>
      <c r="C54" s="26" t="str">
        <f>IFERROR(INDEX('Date Key'!$G$57:$G$62, MATCH(B54,'Date Key'!$A$57:$A$62, 0)), "")</f>
        <v>Medium HLR, Upper Outlet Height, Yes Plants</v>
      </c>
      <c r="D54" s="4" t="str">
        <f>IFERROR(INDEX('Date Key'!$G$2:$G$19, MATCH(F54, 'Date Key'!$A$2:$A$19, 0)), "")</f>
        <v>No</v>
      </c>
      <c r="E54" s="4" t="str">
        <f t="shared" si="1"/>
        <v>tank 2</v>
      </c>
      <c r="F54" s="4">
        <f t="shared" si="2"/>
        <v>16</v>
      </c>
      <c r="G54" s="4">
        <f t="shared" si="22"/>
        <v>1</v>
      </c>
      <c r="H54" s="11" cm="1">
        <f t="array" ref="H54">IFERROR(INDEX('Master Data Sheet'!$1:$1048576, MATCH(1, ('Master Data Sheet'!$H:$H=H$2) * (INDEX('Master Data Sheet'!$1:$1, , MATCH($F$1, 'Master Data Sheet'!$1:$1, 0)) = $F$1) * ('Master Data Sheet'!$G:$G=$B54) * ('Master Data Sheet'!$F:$F=$E54) * ('Master Data Sheet'!$A:$A=$F54), 0), MATCH($F$1, 'Master Data Sheet'!$1:$1, 0)), "")</f>
        <v>0</v>
      </c>
      <c r="I54" s="11" cm="1">
        <f t="array" ref="I54">IFERROR(INDEX('Master Data Sheet'!$1:$1048576, MATCH(1, ('Master Data Sheet'!$H:$H=I$2) * (INDEX('Master Data Sheet'!$1:$1, , MATCH($F$1, 'Master Data Sheet'!$1:$1, 0)) = $F$1) * ('Master Data Sheet'!$G:$G=$B54) * ('Master Data Sheet'!$F:$F=$E54) * ('Master Data Sheet'!$A:$A=$F54), 0), MATCH($F$1, 'Master Data Sheet'!$1:$1, 0)), "")</f>
        <v>2.9022361038171313E-2</v>
      </c>
      <c r="J54" s="11" cm="1">
        <f t="array" ref="J54">IFERROR(INDEX('Master Data Sheet'!$1:$1048576, MATCH(1, ('Master Data Sheet'!$H:$H=J$2) * (INDEX('Master Data Sheet'!$1:$1, , MATCH($F$1, 'Master Data Sheet'!$1:$1, 0)) = $F$1) * ('Master Data Sheet'!$G:$G=$B54) * ('Master Data Sheet'!$F:$F=$E54) * ('Master Data Sheet'!$A:$A=$F54), 0), MATCH($F$1, 'Master Data Sheet'!$1:$1, 0)), "")</f>
        <v>0</v>
      </c>
      <c r="K54" s="11" cm="1">
        <f t="array" ref="K54">IFERROR(INDEX('Master Data Sheet'!$1:$1048576, MATCH(1, ('Master Data Sheet'!$H:$H=K$2) * (INDEX('Master Data Sheet'!$1:$1, , MATCH($F$1, 'Master Data Sheet'!$1:$1, 0)) = $F$1) * ('Master Data Sheet'!$G:$G=$B54) * ('Master Data Sheet'!$F:$F=$E54) * ('Master Data Sheet'!$A:$A=$F54), 0), MATCH($F$1, 'Master Data Sheet'!$1:$1, 0)), "")</f>
        <v>2.3217888830537055E-2</v>
      </c>
      <c r="L54" s="11" cm="1">
        <f t="array" ref="L54">IFERROR(INDEX('Master Data Sheet'!$1:$1048576, MATCH(1, ('Master Data Sheet'!$H:$H=L$2) * (INDEX('Master Data Sheet'!$1:$1, , MATCH($F$1, 'Master Data Sheet'!$1:$1, 0)) = $F$1) * ('Master Data Sheet'!$G:$G=$B54) * ('Master Data Sheet'!$F:$F=$E54) * ('Master Data Sheet'!$A:$A=$F54), 0), MATCH($F$1, 'Master Data Sheet'!$1:$1, 0)), "")</f>
        <v>0.12189391636031954</v>
      </c>
      <c r="M54" s="11" cm="1">
        <f t="array" ref="M54">IFERROR(INDEX('Master Data Sheet'!$1:$1048576, MATCH(1, ('Master Data Sheet'!$H:$H=M$2) * (INDEX('Master Data Sheet'!$1:$1, , MATCH($F$1, 'Master Data Sheet'!$1:$1, 0)) = $F$1) * ('Master Data Sheet'!$G:$G=$B54) * ('Master Data Sheet'!$F:$F=$E54) * ('Master Data Sheet'!$A:$A=$F54), 0), MATCH($F$1, 'Master Data Sheet'!$1:$1, 0)), "")</f>
        <v>0.33665938804278733</v>
      </c>
      <c r="N54" s="11" cm="1">
        <f t="array" ref="N54">IFERROR(INDEX('Master Data Sheet'!$1:$1048576, MATCH(1, ('Master Data Sheet'!$H:$H=N$2) * (INDEX('Master Data Sheet'!$1:$1, , MATCH($F$1, 'Master Data Sheet'!$1:$1, 0)) = $F$1) * ('Master Data Sheet'!$G:$G=$B54) * ('Master Data Sheet'!$F:$F=$E54) * ('Master Data Sheet'!$A:$A=$F54), 0), MATCH($F$1, 'Master Data Sheet'!$1:$1, 0)), "")</f>
        <v>0.44694435998783827</v>
      </c>
      <c r="O54" s="11">
        <f t="shared" si="8"/>
        <v>0.13681970203709337</v>
      </c>
      <c r="P54" s="11">
        <f t="shared" si="4"/>
        <v>0.1817969944156041</v>
      </c>
      <c r="Q54" s="11">
        <f>AVERAGE(N54:N56)</f>
        <v>0.67526226539373957</v>
      </c>
      <c r="R54" s="46">
        <f>(1-(O54/O48))*100</f>
        <v>-139.13043478260875</v>
      </c>
      <c r="S54" s="46">
        <f>AVERAGE(R54:R56)</f>
        <v>-132.68678542380451</v>
      </c>
      <c r="T54" s="46">
        <f>STDEV(R54:R56)</f>
        <v>63.412633741185111</v>
      </c>
      <c r="U54" s="47">
        <f>(1-(AVERAGE(H54:N56)/AVERAGE(H48:N50)))*100</f>
        <v>-98.527292499739588</v>
      </c>
      <c r="Y54" s="2"/>
      <c r="Z54" s="2"/>
      <c r="AA54" s="2"/>
      <c r="AB54" s="2"/>
      <c r="AC54" s="2"/>
      <c r="AD54" s="2"/>
      <c r="AE54" s="2"/>
      <c r="AF54" s="2"/>
      <c r="AG54" s="2"/>
    </row>
    <row r="55" spans="1:46" x14ac:dyDescent="0.35">
      <c r="A55" s="41">
        <f>IFERROR(INDEX('Date Key'!$B$2:$B$19, MATCH(F55,'Date Key'!$A$2:$A$19, 0)), "")</f>
        <v>45392</v>
      </c>
      <c r="B55" s="4">
        <f t="shared" si="15"/>
        <v>6</v>
      </c>
      <c r="C55" s="26" t="str">
        <f>IFERROR(INDEX('Date Key'!$G$57:$G$62, MATCH(B55,'Date Key'!$A$57:$A$62, 0)), "")</f>
        <v>Medium HLR, Upper Outlet Height, Yes Plants</v>
      </c>
      <c r="D55" s="4" t="str">
        <f>IFERROR(INDEX('Date Key'!$G$2:$G$19, MATCH(F55, 'Date Key'!$A$2:$A$19, 0)), "")</f>
        <v>No</v>
      </c>
      <c r="E55" s="4" t="str">
        <f t="shared" si="1"/>
        <v>tank 2</v>
      </c>
      <c r="F55" s="4">
        <f t="shared" si="2"/>
        <v>17</v>
      </c>
      <c r="G55" s="4">
        <f t="shared" si="22"/>
        <v>2</v>
      </c>
      <c r="H55" s="11" cm="1">
        <f t="array" ref="H55">IFERROR(INDEX('Master Data Sheet'!$1:$1048576, MATCH(1, ('Master Data Sheet'!$H:$H=H$2) * (INDEX('Master Data Sheet'!$1:$1, , MATCH($F$1, 'Master Data Sheet'!$1:$1, 0)) = $F$1) * ('Master Data Sheet'!$G:$G=$B55) * ('Master Data Sheet'!$F:$F=$E55) * ('Master Data Sheet'!$A:$A=$F55), 0), MATCH($F$1, 'Master Data Sheet'!$1:$1, 0)), "")</f>
        <v>3.4826833245805586E-2</v>
      </c>
      <c r="I55" s="11" cm="1">
        <f t="array" ref="I55">IFERROR(INDEX('Master Data Sheet'!$1:$1048576, MATCH(1, ('Master Data Sheet'!$H:$H=I$2) * (INDEX('Master Data Sheet'!$1:$1, , MATCH($F$1, 'Master Data Sheet'!$1:$1, 0)) = $F$1) * ('Master Data Sheet'!$G:$G=$B55) * ('Master Data Sheet'!$F:$F=$E55) * ('Master Data Sheet'!$A:$A=$F55), 0), MATCH($F$1, 'Master Data Sheet'!$1:$1, 0)), "")</f>
        <v>1.7413416622902793E-2</v>
      </c>
      <c r="J55" s="11" cm="1">
        <f t="array" ref="J55">IFERROR(INDEX('Master Data Sheet'!$1:$1048576, MATCH(1, ('Master Data Sheet'!$H:$H=J$2) * (INDEX('Master Data Sheet'!$1:$1, , MATCH($F$1, 'Master Data Sheet'!$1:$1, 0)) = $F$1) * ('Master Data Sheet'!$G:$G=$B55) * ('Master Data Sheet'!$F:$F=$E55) * ('Master Data Sheet'!$A:$A=$F55), 0), MATCH($F$1, 'Master Data Sheet'!$1:$1, 0)), "")</f>
        <v>1.1608944415268527E-2</v>
      </c>
      <c r="K55" s="11" cm="1">
        <f t="array" ref="K55">IFERROR(INDEX('Master Data Sheet'!$1:$1048576, MATCH(1, ('Master Data Sheet'!$H:$H=K$2) * (INDEX('Master Data Sheet'!$1:$1, , MATCH($F$1, 'Master Data Sheet'!$1:$1, 0)) = $F$1) * ('Master Data Sheet'!$G:$G=$B55) * ('Master Data Sheet'!$F:$F=$E55) * ('Master Data Sheet'!$A:$A=$F55), 0), MATCH($F$1, 'Master Data Sheet'!$1:$1, 0)), "")</f>
        <v>2.3217888830537055E-2</v>
      </c>
      <c r="L55" s="11" cm="1">
        <f t="array" ref="L55">IFERROR(INDEX('Master Data Sheet'!$1:$1048576, MATCH(1, ('Master Data Sheet'!$H:$H=L$2) * (INDEX('Master Data Sheet'!$1:$1, , MATCH($F$1, 'Master Data Sheet'!$1:$1, 0)) = $F$1) * ('Master Data Sheet'!$G:$G=$B55) * ('Master Data Sheet'!$F:$F=$E55) * ('Master Data Sheet'!$A:$A=$F55), 0), MATCH($F$1, 'Master Data Sheet'!$1:$1, 0)), "")</f>
        <v>0.32505044362751878</v>
      </c>
      <c r="M55" s="11" cm="1">
        <f t="array" ref="M55">IFERROR(INDEX('Master Data Sheet'!$1:$1048576, MATCH(1, ('Master Data Sheet'!$H:$H=M$2) * (INDEX('Master Data Sheet'!$1:$1, , MATCH($F$1, 'Master Data Sheet'!$1:$1, 0)) = $F$1) * ('Master Data Sheet'!$G:$G=$B55) * ('Master Data Sheet'!$F:$F=$E55) * ('Master Data Sheet'!$A:$A=$F55), 0), MATCH($F$1, 'Master Data Sheet'!$1:$1, 0)), "")</f>
        <v>0.53981591530998652</v>
      </c>
      <c r="N55" s="11" cm="1">
        <f t="array" ref="N55">IFERROR(INDEX('Master Data Sheet'!$1:$1048576, MATCH(1, ('Master Data Sheet'!$H:$H=N$2) * (INDEX('Master Data Sheet'!$1:$1, , MATCH($F$1, 'Master Data Sheet'!$1:$1, 0)) = $F$1) * ('Master Data Sheet'!$G:$G=$B55) * ('Master Data Sheet'!$F:$F=$E55) * ('Master Data Sheet'!$A:$A=$F55), 0), MATCH($F$1, 'Master Data Sheet'!$1:$1, 0)), "")</f>
        <v>0.66170983167030595</v>
      </c>
      <c r="O55" s="11">
        <f t="shared" si="8"/>
        <v>0.2305204676746179</v>
      </c>
      <c r="P55" s="11">
        <f t="shared" si="4"/>
        <v>0.27842745490811904</v>
      </c>
      <c r="Q55" s="11"/>
      <c r="R55" s="46">
        <f>(1-(O55/O49))*100</f>
        <v>-192.63157894736835</v>
      </c>
      <c r="X55" t="str">
        <f>IFERROR(INDEX('Date Key'!$G$57:$G$62, MATCH(B54,'Date Key'!$A$57:$A$62, 0)), "")</f>
        <v>Medium HLR, Upper Outlet Height, Yes Plants</v>
      </c>
      <c r="Y55" s="1">
        <f t="shared" ref="Y55:AE55" si="59">H54</f>
        <v>0</v>
      </c>
      <c r="Z55" s="1">
        <f t="shared" si="59"/>
        <v>2.9022361038171313E-2</v>
      </c>
      <c r="AA55" s="1">
        <f t="shared" si="59"/>
        <v>0</v>
      </c>
      <c r="AB55" s="1">
        <f t="shared" si="59"/>
        <v>2.3217888830537055E-2</v>
      </c>
      <c r="AC55" s="1">
        <f t="shared" si="59"/>
        <v>0.12189391636031954</v>
      </c>
      <c r="AD55" s="1">
        <f t="shared" si="59"/>
        <v>0.33665938804278733</v>
      </c>
      <c r="AE55" s="1">
        <f t="shared" si="59"/>
        <v>0.44694435998783827</v>
      </c>
      <c r="AF55" s="1">
        <f t="shared" ref="AF55:AL55" si="60">H55</f>
        <v>3.4826833245805586E-2</v>
      </c>
      <c r="AG55" s="1">
        <f t="shared" si="60"/>
        <v>1.7413416622902793E-2</v>
      </c>
      <c r="AH55" s="1">
        <f t="shared" si="60"/>
        <v>1.1608944415268527E-2</v>
      </c>
      <c r="AI55" s="1">
        <f t="shared" si="60"/>
        <v>2.3217888830537055E-2</v>
      </c>
      <c r="AJ55" s="1">
        <f t="shared" si="60"/>
        <v>0.32505044362751878</v>
      </c>
      <c r="AK55" s="1">
        <f t="shared" si="60"/>
        <v>0.53981591530998652</v>
      </c>
      <c r="AL55" s="1">
        <f t="shared" si="60"/>
        <v>0.66170983167030595</v>
      </c>
      <c r="AM55" s="1">
        <f t="shared" ref="AM55:AS55" si="61">H56</f>
        <v>0.19277309521822583</v>
      </c>
      <c r="AN55" s="1">
        <f t="shared" si="61"/>
        <v>7.5940916298088967E-2</v>
      </c>
      <c r="AO55" s="1">
        <f t="shared" si="61"/>
        <v>0.12851539681215055</v>
      </c>
      <c r="AP55" s="1">
        <f t="shared" si="61"/>
        <v>0.50821997830259535</v>
      </c>
      <c r="AQ55" s="1">
        <f t="shared" si="61"/>
        <v>0.73604272719686226</v>
      </c>
      <c r="AR55" s="1">
        <f t="shared" si="61"/>
        <v>0.95802386714512222</v>
      </c>
      <c r="AS55" s="1">
        <f t="shared" si="61"/>
        <v>0.91713260452307444</v>
      </c>
    </row>
    <row r="56" spans="1:46" x14ac:dyDescent="0.35">
      <c r="A56" s="42">
        <f>IFERROR(INDEX('Date Key'!$B$2:$B$19, MATCH(F56,'Date Key'!$A$2:$A$19, 0)), "")</f>
        <v>45400</v>
      </c>
      <c r="B56" s="27">
        <f t="shared" si="15"/>
        <v>6</v>
      </c>
      <c r="C56" s="51" t="str">
        <f>IFERROR(INDEX('Date Key'!$G$57:$G$62, MATCH(B56,'Date Key'!$A$57:$A$62, 0)), "")</f>
        <v>Medium HLR, Upper Outlet Height, Yes Plants</v>
      </c>
      <c r="D56" s="27" t="str">
        <f>IFERROR(INDEX('Date Key'!$G$2:$G$19, MATCH(F56, 'Date Key'!$A$2:$A$19, 0)), "")</f>
        <v>Yes</v>
      </c>
      <c r="E56" s="27" t="str">
        <f t="shared" si="1"/>
        <v>tank 2</v>
      </c>
      <c r="F56" s="27">
        <f t="shared" si="2"/>
        <v>18</v>
      </c>
      <c r="G56" s="27">
        <f t="shared" si="22"/>
        <v>3</v>
      </c>
      <c r="H56" s="28" cm="1">
        <f t="array" ref="H56">IFERROR(INDEX('Master Data Sheet'!$1:$1048576, MATCH(1, ('Master Data Sheet'!$H:$H=H$2) * (INDEX('Master Data Sheet'!$1:$1, , MATCH($F$1, 'Master Data Sheet'!$1:$1, 0)) = $F$1) * ('Master Data Sheet'!$G:$G=$B56) * ('Master Data Sheet'!$F:$F=$E56) * ('Master Data Sheet'!$A:$A=$F56), 0), MATCH($F$1, 'Master Data Sheet'!$1:$1, 0)), "")</f>
        <v>0.19277309521822583</v>
      </c>
      <c r="I56" s="28" cm="1">
        <f t="array" ref="I56">IFERROR(INDEX('Master Data Sheet'!$1:$1048576, MATCH(1, ('Master Data Sheet'!$H:$H=I$2) * (INDEX('Master Data Sheet'!$1:$1, , MATCH($F$1, 'Master Data Sheet'!$1:$1, 0)) = $F$1) * ('Master Data Sheet'!$G:$G=$B56) * ('Master Data Sheet'!$F:$F=$E56) * ('Master Data Sheet'!$A:$A=$F56), 0), MATCH($F$1, 'Master Data Sheet'!$1:$1, 0)), "")</f>
        <v>7.5940916298088967E-2</v>
      </c>
      <c r="J56" s="28" cm="1">
        <f t="array" ref="J56">IFERROR(INDEX('Master Data Sheet'!$1:$1048576, MATCH(1, ('Master Data Sheet'!$H:$H=J$2) * (INDEX('Master Data Sheet'!$1:$1, , MATCH($F$1, 'Master Data Sheet'!$1:$1, 0)) = $F$1) * ('Master Data Sheet'!$G:$G=$B56) * ('Master Data Sheet'!$F:$F=$E56) * ('Master Data Sheet'!$A:$A=$F56), 0), MATCH($F$1, 'Master Data Sheet'!$1:$1, 0)), "")</f>
        <v>0.12851539681215055</v>
      </c>
      <c r="K56" s="28" cm="1">
        <f t="array" ref="K56">IFERROR(INDEX('Master Data Sheet'!$1:$1048576, MATCH(1, ('Master Data Sheet'!$H:$H=K$2) * (INDEX('Master Data Sheet'!$1:$1, , MATCH($F$1, 'Master Data Sheet'!$1:$1, 0)) = $F$1) * ('Master Data Sheet'!$G:$G=$B56) * ('Master Data Sheet'!$F:$F=$E56) * ('Master Data Sheet'!$A:$A=$F56), 0), MATCH($F$1, 'Master Data Sheet'!$1:$1, 0)), "")</f>
        <v>0.50821997830259535</v>
      </c>
      <c r="L56" s="28" cm="1">
        <f t="array" ref="L56">IFERROR(INDEX('Master Data Sheet'!$1:$1048576, MATCH(1, ('Master Data Sheet'!$H:$H=L$2) * (INDEX('Master Data Sheet'!$1:$1, , MATCH($F$1, 'Master Data Sheet'!$1:$1, 0)) = $F$1) * ('Master Data Sheet'!$G:$G=$B56) * ('Master Data Sheet'!$F:$F=$E56) * ('Master Data Sheet'!$A:$A=$F56), 0), MATCH($F$1, 'Master Data Sheet'!$1:$1, 0)), "")</f>
        <v>0.73604272719686226</v>
      </c>
      <c r="M56" s="28" cm="1">
        <f t="array" ref="M56">IFERROR(INDEX('Master Data Sheet'!$1:$1048576, MATCH(1, ('Master Data Sheet'!$H:$H=M$2) * (INDEX('Master Data Sheet'!$1:$1, , MATCH($F$1, 'Master Data Sheet'!$1:$1, 0)) = $F$1) * ('Master Data Sheet'!$G:$G=$B56) * ('Master Data Sheet'!$F:$F=$E56) * ('Master Data Sheet'!$A:$A=$F56), 0), MATCH($F$1, 'Master Data Sheet'!$1:$1, 0)), "")</f>
        <v>0.95802386714512222</v>
      </c>
      <c r="N56" s="28" cm="1">
        <f t="array" ref="N56">IFERROR(INDEX('Master Data Sheet'!$1:$1048576, MATCH(1, ('Master Data Sheet'!$H:$H=N$2) * (INDEX('Master Data Sheet'!$1:$1, , MATCH($F$1, 'Master Data Sheet'!$1:$1, 0)) = $F$1) * ('Master Data Sheet'!$G:$G=$B56) * ('Master Data Sheet'!$F:$F=$E56) * ('Master Data Sheet'!$A:$A=$F56), 0), MATCH($F$1, 'Master Data Sheet'!$1:$1, 0)), "")</f>
        <v>0.91713260452307444</v>
      </c>
      <c r="O56" s="28">
        <f t="shared" si="8"/>
        <v>0.50237836935658853</v>
      </c>
      <c r="P56" s="28">
        <f t="shared" si="4"/>
        <v>0.37677245589979036</v>
      </c>
      <c r="Q56" s="28"/>
      <c r="R56" s="48">
        <f>(1-(O56/O50))*100</f>
        <v>-66.298342541436469</v>
      </c>
      <c r="S56" s="27"/>
      <c r="T56" s="27"/>
      <c r="U56" s="27"/>
      <c r="V56" s="27"/>
    </row>
    <row r="58" spans="1:46" x14ac:dyDescent="0.35">
      <c r="X58" t="s">
        <v>456</v>
      </c>
      <c r="Y58" t="s">
        <v>465</v>
      </c>
    </row>
    <row r="59" spans="1:46" x14ac:dyDescent="0.35">
      <c r="X59" t="s">
        <v>344</v>
      </c>
      <c r="Y59" s="30" t="s">
        <v>457</v>
      </c>
      <c r="Z59" s="1">
        <f t="shared" ref="Z59:AT59" si="62">Y4</f>
        <v>4.5328399629972239E-2</v>
      </c>
      <c r="AA59" s="1">
        <f t="shared" si="62"/>
        <v>6.475485661424607E-2</v>
      </c>
      <c r="AB59" s="1">
        <f t="shared" si="62"/>
        <v>9.7132284921369091E-2</v>
      </c>
      <c r="AC59" s="1">
        <f t="shared" si="62"/>
        <v>6.475485661424607E-2</v>
      </c>
      <c r="AD59" s="1">
        <f t="shared" si="62"/>
        <v>5.8279370952821465E-2</v>
      </c>
      <c r="AE59" s="1">
        <f t="shared" si="62"/>
        <v>7.7705827937095281E-2</v>
      </c>
      <c r="AF59" s="1">
        <f t="shared" si="62"/>
        <v>9.0656799259944479E-2</v>
      </c>
      <c r="AG59" s="1">
        <f t="shared" si="62"/>
        <v>7.7705827937095281E-2</v>
      </c>
      <c r="AH59" s="1">
        <f t="shared" si="62"/>
        <v>5.1803885291396852E-2</v>
      </c>
      <c r="AI59" s="1">
        <f t="shared" si="62"/>
        <v>7.1230342275670669E-2</v>
      </c>
      <c r="AJ59" s="1">
        <f t="shared" si="62"/>
        <v>6.475485661424607E-2</v>
      </c>
      <c r="AK59" s="1">
        <f t="shared" si="62"/>
        <v>5.1803885291396852E-2</v>
      </c>
      <c r="AL59" s="1">
        <f t="shared" si="62"/>
        <v>5.1803885291396852E-2</v>
      </c>
      <c r="AM59" s="1">
        <f t="shared" si="62"/>
        <v>4.5328399629972239E-2</v>
      </c>
      <c r="AN59" s="1">
        <f t="shared" si="62"/>
        <v>5.1803885291396852E-2</v>
      </c>
      <c r="AO59" s="1">
        <f t="shared" si="62"/>
        <v>6.4754856614246065E-3</v>
      </c>
      <c r="AP59" s="1">
        <f t="shared" si="62"/>
        <v>0</v>
      </c>
      <c r="AQ59" s="1">
        <f t="shared" si="62"/>
        <v>2.5901942645698426E-2</v>
      </c>
      <c r="AR59" s="1">
        <f t="shared" si="62"/>
        <v>1.942645698427382E-2</v>
      </c>
      <c r="AS59" s="1">
        <f t="shared" si="62"/>
        <v>0</v>
      </c>
      <c r="AT59" s="1">
        <f t="shared" si="62"/>
        <v>1.942645698427382E-2</v>
      </c>
    </row>
    <row r="60" spans="1:46" x14ac:dyDescent="0.35">
      <c r="X60" t="s">
        <v>345</v>
      </c>
      <c r="Y60" s="30" t="s">
        <v>457</v>
      </c>
      <c r="Z60" s="1">
        <f t="shared" ref="Z60:AT60" si="63">Y7</f>
        <v>5.8279370952821465E-2</v>
      </c>
      <c r="AA60" s="1">
        <f t="shared" si="63"/>
        <v>5.8279370952821465E-2</v>
      </c>
      <c r="AB60" s="1">
        <f t="shared" si="63"/>
        <v>2.5901942645698426E-2</v>
      </c>
      <c r="AC60" s="1">
        <f t="shared" si="63"/>
        <v>0.47918593894542089</v>
      </c>
      <c r="AD60" s="1">
        <f t="shared" si="63"/>
        <v>5.1803885291396852E-2</v>
      </c>
      <c r="AE60" s="1">
        <f t="shared" si="63"/>
        <v>3.2377428307123035E-2</v>
      </c>
      <c r="AF60" s="1">
        <f t="shared" si="63"/>
        <v>9.0656799259944479E-2</v>
      </c>
      <c r="AG60" s="1">
        <f t="shared" si="63"/>
        <v>8.4181313598519894E-2</v>
      </c>
      <c r="AH60" s="1">
        <f t="shared" si="63"/>
        <v>0.16188714153561518</v>
      </c>
      <c r="AI60" s="1">
        <f t="shared" si="63"/>
        <v>0.11655874190564293</v>
      </c>
      <c r="AJ60" s="1">
        <f t="shared" si="63"/>
        <v>4.5328399629972239E-2</v>
      </c>
      <c r="AK60" s="1">
        <f t="shared" si="63"/>
        <v>4.5328399629972239E-2</v>
      </c>
      <c r="AL60" s="1">
        <f t="shared" si="63"/>
        <v>0</v>
      </c>
      <c r="AM60" s="1">
        <f t="shared" si="63"/>
        <v>0</v>
      </c>
      <c r="AN60" s="1">
        <f t="shared" si="63"/>
        <v>0</v>
      </c>
      <c r="AO60" s="1">
        <f t="shared" si="63"/>
        <v>0</v>
      </c>
      <c r="AP60" s="1">
        <f t="shared" si="63"/>
        <v>0</v>
      </c>
      <c r="AQ60" s="1">
        <f t="shared" si="63"/>
        <v>0</v>
      </c>
      <c r="AR60" s="1">
        <f t="shared" si="63"/>
        <v>0</v>
      </c>
      <c r="AS60" s="1">
        <f t="shared" si="63"/>
        <v>2.5901942645698426E-2</v>
      </c>
      <c r="AT60" s="1">
        <f t="shared" si="63"/>
        <v>0</v>
      </c>
    </row>
    <row r="61" spans="1:46" x14ac:dyDescent="0.35">
      <c r="X61" t="s">
        <v>346</v>
      </c>
      <c r="Y61" s="30" t="s">
        <v>457</v>
      </c>
      <c r="Z61" s="1">
        <f t="shared" ref="Z61:AT61" si="64">Y10</f>
        <v>1.942645698427382E-2</v>
      </c>
      <c r="AA61" s="1">
        <f t="shared" si="64"/>
        <v>4.5328399629972239E-2</v>
      </c>
      <c r="AB61" s="1">
        <f t="shared" si="64"/>
        <v>4.5328399629972239E-2</v>
      </c>
      <c r="AC61" s="1">
        <f t="shared" si="64"/>
        <v>0.12950971322849214</v>
      </c>
      <c r="AD61" s="1">
        <f t="shared" si="64"/>
        <v>0.20721554116558741</v>
      </c>
      <c r="AE61" s="1">
        <f t="shared" si="64"/>
        <v>0.28492136910268268</v>
      </c>
      <c r="AF61" s="1">
        <f t="shared" si="64"/>
        <v>0.27844588344125809</v>
      </c>
      <c r="AG61" s="1">
        <f t="shared" si="64"/>
        <v>0.1036077705827937</v>
      </c>
      <c r="AH61" s="1">
        <f t="shared" si="64"/>
        <v>0.31082331174838113</v>
      </c>
      <c r="AI61" s="1">
        <f t="shared" si="64"/>
        <v>0.40795559666975023</v>
      </c>
      <c r="AJ61" s="1">
        <f t="shared" si="64"/>
        <v>0.45328399629972255</v>
      </c>
      <c r="AK61" s="1">
        <f t="shared" si="64"/>
        <v>0.4273820536540241</v>
      </c>
      <c r="AL61" s="1">
        <f t="shared" si="64"/>
        <v>0.40148011100832565</v>
      </c>
      <c r="AM61" s="1">
        <f t="shared" si="64"/>
        <v>0.33672525439407958</v>
      </c>
      <c r="AN61" s="1">
        <f t="shared" si="64"/>
        <v>2.5901942645698426E-2</v>
      </c>
      <c r="AO61" s="1">
        <f t="shared" si="64"/>
        <v>1.2950971322849213E-2</v>
      </c>
      <c r="AP61" s="1">
        <f t="shared" si="64"/>
        <v>0</v>
      </c>
      <c r="AQ61" s="1">
        <f t="shared" si="64"/>
        <v>3.2377428307123035E-2</v>
      </c>
      <c r="AR61" s="1">
        <f t="shared" si="64"/>
        <v>5.1803885291396852E-2</v>
      </c>
      <c r="AS61" s="1">
        <f t="shared" si="64"/>
        <v>3.8852913968547641E-2</v>
      </c>
      <c r="AT61" s="1">
        <f t="shared" si="64"/>
        <v>5.1803885291396852E-2</v>
      </c>
    </row>
    <row r="62" spans="1:46" x14ac:dyDescent="0.35">
      <c r="X62" t="s">
        <v>344</v>
      </c>
      <c r="Y62" s="30" t="s">
        <v>458</v>
      </c>
      <c r="Z62" s="1">
        <f t="shared" ref="Z62:AT62" si="65">Y13</f>
        <v>5.0139674808394805E-2</v>
      </c>
      <c r="AA62" s="1">
        <f t="shared" si="65"/>
        <v>4.0111739846715851E-2</v>
      </c>
      <c r="AB62" s="1">
        <f t="shared" si="65"/>
        <v>0</v>
      </c>
      <c r="AC62" s="1">
        <f t="shared" si="65"/>
        <v>3.509777236587637E-2</v>
      </c>
      <c r="AD62" s="1">
        <f t="shared" si="65"/>
        <v>2.5069837404197402E-2</v>
      </c>
      <c r="AE62" s="1">
        <f t="shared" si="65"/>
        <v>8.0223479693431701E-2</v>
      </c>
      <c r="AF62" s="1">
        <f t="shared" si="65"/>
        <v>3.008380488503689E-2</v>
      </c>
      <c r="AG62" s="1">
        <f t="shared" si="65"/>
        <v>3.008380488503689E-2</v>
      </c>
      <c r="AH62" s="1">
        <f t="shared" si="65"/>
        <v>2.5069837404197402E-2</v>
      </c>
      <c r="AI62" s="1">
        <f t="shared" si="65"/>
        <v>0</v>
      </c>
      <c r="AJ62" s="1">
        <f t="shared" si="65"/>
        <v>2.5069837404197402E-2</v>
      </c>
      <c r="AK62" s="1">
        <f t="shared" si="65"/>
        <v>2.0055869923357925E-2</v>
      </c>
      <c r="AL62" s="1">
        <f t="shared" si="65"/>
        <v>0</v>
      </c>
      <c r="AM62" s="1">
        <f t="shared" si="65"/>
        <v>1.5041902442518445E-2</v>
      </c>
      <c r="AN62" s="1">
        <f t="shared" si="65"/>
        <v>4.938039363228066E-2</v>
      </c>
      <c r="AO62" s="1">
        <f t="shared" si="65"/>
        <v>5.9256472358736809E-2</v>
      </c>
      <c r="AP62" s="1">
        <f t="shared" si="65"/>
        <v>6.4194511721964873E-2</v>
      </c>
      <c r="AQ62" s="1">
        <f t="shared" si="65"/>
        <v>6.9132551085192936E-2</v>
      </c>
      <c r="AR62" s="1">
        <f t="shared" si="65"/>
        <v>8.8884708538105178E-2</v>
      </c>
      <c r="AS62" s="1">
        <f t="shared" si="65"/>
        <v>9.3822747901333256E-2</v>
      </c>
      <c r="AT62" s="1">
        <f t="shared" si="65"/>
        <v>6.9132551085192936E-2</v>
      </c>
    </row>
    <row r="63" spans="1:46" x14ac:dyDescent="0.35">
      <c r="X63" t="s">
        <v>345</v>
      </c>
      <c r="Y63" s="30" t="s">
        <v>458</v>
      </c>
      <c r="Z63" s="1">
        <f t="shared" ref="Z63:AT63" si="66">Y16</f>
        <v>2.5069837404197402E-2</v>
      </c>
      <c r="AA63" s="1">
        <f t="shared" si="66"/>
        <v>8.0223479693431701E-2</v>
      </c>
      <c r="AB63" s="1">
        <f t="shared" si="66"/>
        <v>8.0223479693431701E-2</v>
      </c>
      <c r="AC63" s="1">
        <f t="shared" si="66"/>
        <v>3.008380488503689E-2</v>
      </c>
      <c r="AD63" s="1">
        <f t="shared" si="66"/>
        <v>3.008380488503689E-2</v>
      </c>
      <c r="AE63" s="1">
        <f t="shared" si="66"/>
        <v>3.008380488503689E-2</v>
      </c>
      <c r="AF63" s="1">
        <f t="shared" si="66"/>
        <v>3.509777236587637E-2</v>
      </c>
      <c r="AG63" s="1">
        <f t="shared" si="66"/>
        <v>1.5041902442518445E-2</v>
      </c>
      <c r="AH63" s="1">
        <f t="shared" si="66"/>
        <v>0</v>
      </c>
      <c r="AI63" s="1">
        <f t="shared" si="66"/>
        <v>0</v>
      </c>
      <c r="AJ63" s="1">
        <f t="shared" si="66"/>
        <v>1.5041902442518445E-2</v>
      </c>
      <c r="AK63" s="1">
        <f t="shared" si="66"/>
        <v>0</v>
      </c>
      <c r="AL63" s="1">
        <f t="shared" si="66"/>
        <v>0</v>
      </c>
      <c r="AM63" s="1">
        <f t="shared" si="66"/>
        <v>0</v>
      </c>
      <c r="AN63" s="1">
        <f t="shared" si="66"/>
        <v>1.4814118089684202E-2</v>
      </c>
      <c r="AO63" s="1">
        <f t="shared" si="66"/>
        <v>2.9628236179368404E-2</v>
      </c>
      <c r="AP63" s="1">
        <f t="shared" si="66"/>
        <v>3.4566275542596468E-2</v>
      </c>
      <c r="AQ63" s="1">
        <f t="shared" si="66"/>
        <v>2.9628236179368404E-2</v>
      </c>
      <c r="AR63" s="1">
        <f t="shared" si="66"/>
        <v>3.9504314905824532E-2</v>
      </c>
      <c r="AS63" s="1">
        <f t="shared" si="66"/>
        <v>0</v>
      </c>
      <c r="AT63" s="1">
        <f t="shared" si="66"/>
        <v>4.4442354269052589E-2</v>
      </c>
    </row>
    <row r="64" spans="1:46" x14ac:dyDescent="0.35">
      <c r="X64" t="s">
        <v>346</v>
      </c>
      <c r="Y64" s="30" t="s">
        <v>458</v>
      </c>
      <c r="Z64" s="1">
        <f t="shared" ref="Z64:AT64" si="67">Y19</f>
        <v>8.0223479693431701E-2</v>
      </c>
      <c r="AA64" s="1">
        <f t="shared" si="67"/>
        <v>3.008380488503689E-2</v>
      </c>
      <c r="AB64" s="1">
        <f t="shared" si="67"/>
        <v>0.30083804885036886</v>
      </c>
      <c r="AC64" s="1">
        <f t="shared" si="67"/>
        <v>0.28078217892701096</v>
      </c>
      <c r="AD64" s="1">
        <f t="shared" si="67"/>
        <v>0.23064250411861614</v>
      </c>
      <c r="AE64" s="1">
        <f t="shared" si="67"/>
        <v>0.17548886182938184</v>
      </c>
      <c r="AF64" s="1">
        <f t="shared" si="67"/>
        <v>0.13036315450182651</v>
      </c>
      <c r="AG64" s="1">
        <f t="shared" si="67"/>
        <v>1.5041902442518445E-2</v>
      </c>
      <c r="AH64" s="1">
        <f t="shared" si="67"/>
        <v>0</v>
      </c>
      <c r="AI64" s="1">
        <f t="shared" si="67"/>
        <v>0.21058663419525822</v>
      </c>
      <c r="AJ64" s="1">
        <f t="shared" si="67"/>
        <v>0.35097772365876367</v>
      </c>
      <c r="AK64" s="1">
        <f t="shared" si="67"/>
        <v>0.1805028293102213</v>
      </c>
      <c r="AL64" s="1">
        <f t="shared" si="67"/>
        <v>0.19554473175273973</v>
      </c>
      <c r="AM64" s="1">
        <f t="shared" si="67"/>
        <v>0.16546092686770289</v>
      </c>
      <c r="AN64" s="1">
        <f t="shared" si="67"/>
        <v>0</v>
      </c>
      <c r="AO64" s="1">
        <f t="shared" si="67"/>
        <v>1.4814118089684202E-2</v>
      </c>
      <c r="AP64" s="1">
        <f t="shared" si="67"/>
        <v>0.24690196816140336</v>
      </c>
      <c r="AQ64" s="1">
        <f t="shared" si="67"/>
        <v>0.4345474639640699</v>
      </c>
      <c r="AR64" s="1">
        <f t="shared" si="67"/>
        <v>0.57775060549768387</v>
      </c>
      <c r="AS64" s="1">
        <f t="shared" si="67"/>
        <v>0.3654149128788769</v>
      </c>
      <c r="AT64" s="1">
        <f t="shared" si="67"/>
        <v>0.37529099160533302</v>
      </c>
    </row>
    <row r="65" spans="24:46" x14ac:dyDescent="0.35">
      <c r="X65" t="s">
        <v>344</v>
      </c>
      <c r="Y65" s="30" t="s">
        <v>459</v>
      </c>
      <c r="Z65" s="1">
        <f t="shared" ref="Z65:AT65" si="68">Y22</f>
        <v>3.4566275542596468E-2</v>
      </c>
      <c r="AA65" s="1">
        <f t="shared" si="68"/>
        <v>4.4442354269052589E-2</v>
      </c>
      <c r="AB65" s="1">
        <f t="shared" si="68"/>
        <v>3.9504314905824532E-2</v>
      </c>
      <c r="AC65" s="1">
        <f t="shared" si="68"/>
        <v>3.4566275542596468E-2</v>
      </c>
      <c r="AD65" s="1">
        <f t="shared" si="68"/>
        <v>3.4566275542596468E-2</v>
      </c>
      <c r="AE65" s="1">
        <f t="shared" si="68"/>
        <v>3.4566275542596468E-2</v>
      </c>
      <c r="AF65" s="1">
        <f t="shared" si="68"/>
        <v>2.9628236179368404E-2</v>
      </c>
      <c r="AG65" s="1">
        <f t="shared" si="68"/>
        <v>2.469019681614033E-2</v>
      </c>
      <c r="AH65" s="1">
        <f t="shared" si="68"/>
        <v>2.469019681614033E-2</v>
      </c>
      <c r="AI65" s="1">
        <f t="shared" si="68"/>
        <v>2.469019681614033E-2</v>
      </c>
      <c r="AJ65" s="1">
        <f t="shared" si="68"/>
        <v>2.469019681614033E-2</v>
      </c>
      <c r="AK65" s="1">
        <f t="shared" si="68"/>
        <v>2.9628236179368404E-2</v>
      </c>
      <c r="AL65" s="1">
        <f t="shared" si="68"/>
        <v>2.469019681614033E-2</v>
      </c>
      <c r="AM65" s="1">
        <f t="shared" si="68"/>
        <v>2.469019681614033E-2</v>
      </c>
      <c r="AN65" s="1">
        <f t="shared" si="68"/>
        <v>5.4318432995508738E-2</v>
      </c>
      <c r="AO65" s="1">
        <f t="shared" si="68"/>
        <v>5.4318432995508738E-2</v>
      </c>
      <c r="AP65" s="1">
        <f t="shared" si="68"/>
        <v>5.4318432995508738E-2</v>
      </c>
      <c r="AQ65" s="1">
        <f t="shared" si="68"/>
        <v>5.4318432995508738E-2</v>
      </c>
      <c r="AR65" s="1">
        <f t="shared" si="68"/>
        <v>5.4318432995508738E-2</v>
      </c>
      <c r="AS65" s="1">
        <f t="shared" si="68"/>
        <v>5.4318432995508738E-2</v>
      </c>
      <c r="AT65" s="1">
        <f t="shared" si="68"/>
        <v>5.4318432995508738E-2</v>
      </c>
    </row>
    <row r="66" spans="24:46" x14ac:dyDescent="0.35">
      <c r="X66" t="s">
        <v>345</v>
      </c>
      <c r="Y66" s="30" t="s">
        <v>459</v>
      </c>
      <c r="Z66" s="1">
        <f t="shared" ref="Z66:AT66" si="69">Y25</f>
        <v>1.9752157452912266E-2</v>
      </c>
      <c r="AA66" s="1">
        <f t="shared" si="69"/>
        <v>1.4814118089684202E-2</v>
      </c>
      <c r="AB66" s="1">
        <f t="shared" si="69"/>
        <v>2.469019681614033E-2</v>
      </c>
      <c r="AC66" s="1">
        <f t="shared" si="69"/>
        <v>3.9504314905824532E-2</v>
      </c>
      <c r="AD66" s="1">
        <f t="shared" si="69"/>
        <v>1.9752157452912266E-2</v>
      </c>
      <c r="AE66" s="1">
        <f t="shared" si="69"/>
        <v>0.10863686599101748</v>
      </c>
      <c r="AF66" s="1">
        <f t="shared" si="69"/>
        <v>0.11357490535424555</v>
      </c>
      <c r="AG66" s="1">
        <f t="shared" si="69"/>
        <v>2.9628236179368404E-2</v>
      </c>
      <c r="AH66" s="1">
        <f t="shared" si="69"/>
        <v>2.9628236179368404E-2</v>
      </c>
      <c r="AI66" s="1">
        <f t="shared" si="69"/>
        <v>5.4318432995508738E-2</v>
      </c>
      <c r="AJ66" s="1">
        <f t="shared" si="69"/>
        <v>7.4070590448421E-2</v>
      </c>
      <c r="AK66" s="1">
        <f t="shared" si="69"/>
        <v>6.9132551085192936E-2</v>
      </c>
      <c r="AL66" s="1">
        <f t="shared" si="69"/>
        <v>7.4070590448421E-2</v>
      </c>
      <c r="AM66" s="1">
        <f t="shared" si="69"/>
        <v>7.9008629811649064E-2</v>
      </c>
      <c r="AN66" s="1">
        <f t="shared" si="69"/>
        <v>1.9752157452912266E-2</v>
      </c>
      <c r="AO66" s="1">
        <f t="shared" si="69"/>
        <v>7.4070590448421E-2</v>
      </c>
      <c r="AP66" s="1">
        <f t="shared" si="69"/>
        <v>0.148141180896842</v>
      </c>
      <c r="AQ66" s="1">
        <f t="shared" si="69"/>
        <v>0.18764549580266651</v>
      </c>
      <c r="AR66" s="1">
        <f t="shared" si="69"/>
        <v>0.19258353516589458</v>
      </c>
      <c r="AS66" s="1">
        <f t="shared" si="69"/>
        <v>0.19258353516589458</v>
      </c>
      <c r="AT66" s="1">
        <f t="shared" si="69"/>
        <v>0.33084863733628045</v>
      </c>
    </row>
    <row r="67" spans="24:46" x14ac:dyDescent="0.35">
      <c r="X67" t="s">
        <v>346</v>
      </c>
      <c r="Y67" s="30" t="s">
        <v>459</v>
      </c>
      <c r="Z67" s="1">
        <f t="shared" ref="Z67:AT67" si="70">Y28</f>
        <v>0</v>
      </c>
      <c r="AA67" s="1">
        <f t="shared" si="70"/>
        <v>3.4566275542596468E-2</v>
      </c>
      <c r="AB67" s="1">
        <f t="shared" si="70"/>
        <v>6.4194511721964873E-2</v>
      </c>
      <c r="AC67" s="1">
        <f t="shared" si="70"/>
        <v>3.9504314905824532E-2</v>
      </c>
      <c r="AD67" s="1">
        <f t="shared" si="70"/>
        <v>5.9256472358736809E-2</v>
      </c>
      <c r="AE67" s="1">
        <f t="shared" si="70"/>
        <v>2.469019681614033E-2</v>
      </c>
      <c r="AF67" s="1">
        <f t="shared" si="70"/>
        <v>4.938039363228066E-2</v>
      </c>
      <c r="AG67" s="1">
        <f t="shared" si="70"/>
        <v>2.469019681614033E-2</v>
      </c>
      <c r="AH67" s="1">
        <f t="shared" si="70"/>
        <v>3.9504314905824532E-2</v>
      </c>
      <c r="AI67" s="1">
        <f t="shared" si="70"/>
        <v>5.4318432995508738E-2</v>
      </c>
      <c r="AJ67" s="1">
        <f t="shared" si="70"/>
        <v>4.4442354269052589E-2</v>
      </c>
      <c r="AK67" s="1">
        <f t="shared" si="70"/>
        <v>4.4442354269052589E-2</v>
      </c>
      <c r="AL67" s="1">
        <f t="shared" si="70"/>
        <v>2.9628236179368404E-2</v>
      </c>
      <c r="AM67" s="1">
        <f t="shared" si="70"/>
        <v>3.9504314905824532E-2</v>
      </c>
      <c r="AN67" s="1">
        <f t="shared" si="70"/>
        <v>1.9752157452912266E-2</v>
      </c>
      <c r="AO67" s="1">
        <f t="shared" si="70"/>
        <v>7.9008629811649064E-2</v>
      </c>
      <c r="AP67" s="1">
        <f t="shared" si="70"/>
        <v>0.1036988266277894</v>
      </c>
      <c r="AQ67" s="1">
        <f t="shared" si="70"/>
        <v>0.11851294471747362</v>
      </c>
      <c r="AR67" s="1">
        <f t="shared" si="70"/>
        <v>0.11851294471747362</v>
      </c>
      <c r="AS67" s="1">
        <f t="shared" si="70"/>
        <v>0.11357490535424555</v>
      </c>
      <c r="AT67" s="1">
        <f t="shared" si="70"/>
        <v>0.31109647988336819</v>
      </c>
    </row>
    <row r="68" spans="24:46" x14ac:dyDescent="0.35">
      <c r="X68" t="s">
        <v>344</v>
      </c>
      <c r="Y68" s="30" t="s">
        <v>460</v>
      </c>
      <c r="Z68" s="1">
        <f t="shared" ref="Z68:AT68" si="71">Y31</f>
        <v>3.4566275542596468E-2</v>
      </c>
      <c r="AA68" s="1">
        <f t="shared" si="71"/>
        <v>4.4442354269052589E-2</v>
      </c>
      <c r="AB68" s="1">
        <f t="shared" si="71"/>
        <v>2.9628236179368404E-2</v>
      </c>
      <c r="AC68" s="1">
        <f t="shared" si="71"/>
        <v>3.9504314905824532E-2</v>
      </c>
      <c r="AD68" s="1">
        <f t="shared" si="71"/>
        <v>3.9504314905824532E-2</v>
      </c>
      <c r="AE68" s="1">
        <f t="shared" si="71"/>
        <v>4.938039363228066E-2</v>
      </c>
      <c r="AF68" s="1">
        <f t="shared" si="71"/>
        <v>4.938039363228066E-2</v>
      </c>
      <c r="AG68" s="1">
        <f t="shared" si="71"/>
        <v>9.0350646556875483E-2</v>
      </c>
      <c r="AH68" s="1">
        <f t="shared" si="71"/>
        <v>0.10038960728541721</v>
      </c>
      <c r="AI68" s="1">
        <f t="shared" si="71"/>
        <v>0.10038960728541721</v>
      </c>
      <c r="AJ68" s="1">
        <f t="shared" si="71"/>
        <v>0.11042856801395894</v>
      </c>
      <c r="AK68" s="1">
        <f t="shared" si="71"/>
        <v>0.11042856801395894</v>
      </c>
      <c r="AL68" s="1">
        <f t="shared" si="71"/>
        <v>0.11042856801395894</v>
      </c>
      <c r="AM68" s="1">
        <f t="shared" si="71"/>
        <v>0.10540908764968807</v>
      </c>
      <c r="AN68" s="1">
        <f t="shared" si="71"/>
        <v>5.0305425799496949E-2</v>
      </c>
      <c r="AO68" s="1">
        <f t="shared" si="71"/>
        <v>6.5397053539346037E-2</v>
      </c>
      <c r="AP68" s="1">
        <f t="shared" si="71"/>
        <v>6.5397053539346037E-2</v>
      </c>
      <c r="AQ68" s="1">
        <f t="shared" si="71"/>
        <v>7.0427596119295735E-2</v>
      </c>
      <c r="AR68" s="1">
        <f t="shared" si="71"/>
        <v>6.5397053539346037E-2</v>
      </c>
      <c r="AS68" s="1">
        <f t="shared" si="71"/>
        <v>6.5397053539346037E-2</v>
      </c>
      <c r="AT68" s="1">
        <f t="shared" si="71"/>
        <v>6.5397053539346037E-2</v>
      </c>
    </row>
    <row r="69" spans="24:46" x14ac:dyDescent="0.35">
      <c r="X69" t="s">
        <v>345</v>
      </c>
      <c r="Y69" s="30" t="s">
        <v>460</v>
      </c>
      <c r="Z69" s="1">
        <f t="shared" ref="Z69:AT69" si="72">Y34</f>
        <v>1.4814118089684202E-2</v>
      </c>
      <c r="AA69" s="1">
        <f t="shared" si="72"/>
        <v>2.469019681614033E-2</v>
      </c>
      <c r="AB69" s="1">
        <f t="shared" si="72"/>
        <v>0.13826510217038587</v>
      </c>
      <c r="AC69" s="1">
        <f t="shared" si="72"/>
        <v>0.2073976532555788</v>
      </c>
      <c r="AD69" s="1">
        <f t="shared" si="72"/>
        <v>0.16789333834975431</v>
      </c>
      <c r="AE69" s="1">
        <f t="shared" si="72"/>
        <v>0.17776941707621036</v>
      </c>
      <c r="AF69" s="1">
        <f t="shared" si="72"/>
        <v>0.18270745643943845</v>
      </c>
      <c r="AG69" s="1">
        <f t="shared" si="72"/>
        <v>0.10540908764968807</v>
      </c>
      <c r="AH69" s="1">
        <f t="shared" si="72"/>
        <v>0.10038960728541721</v>
      </c>
      <c r="AI69" s="1">
        <f t="shared" si="72"/>
        <v>9.5370126921146339E-2</v>
      </c>
      <c r="AJ69" s="1">
        <f t="shared" si="72"/>
        <v>9.0350646556875483E-2</v>
      </c>
      <c r="AK69" s="1">
        <f t="shared" si="72"/>
        <v>0.10540908764968807</v>
      </c>
      <c r="AL69" s="1">
        <f t="shared" si="72"/>
        <v>0.20077921457083442</v>
      </c>
      <c r="AM69" s="1">
        <f t="shared" si="72"/>
        <v>0.21081817529937613</v>
      </c>
      <c r="AN69" s="1">
        <f t="shared" si="72"/>
        <v>6.0366510959396345E-2</v>
      </c>
      <c r="AO69" s="1">
        <f t="shared" si="72"/>
        <v>6.5397053539346037E-2</v>
      </c>
      <c r="AP69" s="1">
        <f t="shared" si="72"/>
        <v>0.14588573481854117</v>
      </c>
      <c r="AQ69" s="1">
        <f t="shared" si="72"/>
        <v>0.12073302191879269</v>
      </c>
      <c r="AR69" s="1">
        <f t="shared" si="72"/>
        <v>0.11570247933884299</v>
      </c>
      <c r="AS69" s="1">
        <f t="shared" si="72"/>
        <v>0.16600790513833993</v>
      </c>
      <c r="AT69" s="1">
        <f t="shared" si="72"/>
        <v>9.0549766439094487E-2</v>
      </c>
    </row>
    <row r="70" spans="24:46" x14ac:dyDescent="0.35">
      <c r="X70" t="s">
        <v>346</v>
      </c>
      <c r="Y70" s="30" t="s">
        <v>460</v>
      </c>
      <c r="Z70" s="1">
        <f t="shared" ref="Z70:AT70" si="73">Y37</f>
        <v>1.9752157452912266E-2</v>
      </c>
      <c r="AA70" s="1">
        <f t="shared" si="73"/>
        <v>0.11357490535424555</v>
      </c>
      <c r="AB70" s="1">
        <f t="shared" si="73"/>
        <v>0.27159216497754368</v>
      </c>
      <c r="AC70" s="1">
        <f t="shared" si="73"/>
        <v>0.26171608625108755</v>
      </c>
      <c r="AD70" s="1">
        <f t="shared" si="73"/>
        <v>0.21233569261880686</v>
      </c>
      <c r="AE70" s="1">
        <f t="shared" si="73"/>
        <v>0.19752157452912264</v>
      </c>
      <c r="AF70" s="1">
        <f t="shared" si="73"/>
        <v>0.19258353516589458</v>
      </c>
      <c r="AG70" s="1">
        <f t="shared" si="73"/>
        <v>0.11042856801395894</v>
      </c>
      <c r="AH70" s="1">
        <f t="shared" si="73"/>
        <v>0.11042856801395894</v>
      </c>
      <c r="AI70" s="1">
        <f t="shared" si="73"/>
        <v>8.5331166192604641E-2</v>
      </c>
      <c r="AJ70" s="1">
        <f t="shared" si="73"/>
        <v>9.0350646556875483E-2</v>
      </c>
      <c r="AK70" s="1">
        <f t="shared" si="73"/>
        <v>0.10540908764968807</v>
      </c>
      <c r="AL70" s="1">
        <f t="shared" si="73"/>
        <v>8.031168582833377E-2</v>
      </c>
      <c r="AM70" s="1">
        <f t="shared" si="73"/>
        <v>9.5370126921146339E-2</v>
      </c>
      <c r="AN70" s="1">
        <f t="shared" si="73"/>
        <v>3.5213798059647868E-2</v>
      </c>
      <c r="AO70" s="1">
        <f t="shared" si="73"/>
        <v>3.5213798059647868E-2</v>
      </c>
      <c r="AP70" s="1">
        <f t="shared" si="73"/>
        <v>5.0305425799496949E-2</v>
      </c>
      <c r="AQ70" s="1">
        <f t="shared" si="73"/>
        <v>2.5152712899748474E-2</v>
      </c>
      <c r="AR70" s="1">
        <f t="shared" si="73"/>
        <v>3.5213798059647868E-2</v>
      </c>
      <c r="AS70" s="1">
        <f t="shared" si="73"/>
        <v>3.5213798059647868E-2</v>
      </c>
      <c r="AT70" s="1">
        <f t="shared" si="73"/>
        <v>2.0122170319798779E-2</v>
      </c>
    </row>
    <row r="71" spans="24:46" x14ac:dyDescent="0.35">
      <c r="X71" t="s">
        <v>344</v>
      </c>
      <c r="Y71" s="30" t="s">
        <v>461</v>
      </c>
      <c r="Z71" s="1">
        <f t="shared" ref="Z71:AT71" si="74">Y40</f>
        <v>4.0631305453439848E-2</v>
      </c>
      <c r="AA71" s="1">
        <f t="shared" si="74"/>
        <v>4.0631305453439848E-2</v>
      </c>
      <c r="AB71" s="1">
        <f t="shared" si="74"/>
        <v>4.643577766107411E-2</v>
      </c>
      <c r="AC71" s="1">
        <f t="shared" si="74"/>
        <v>4.0631305453439848E-2</v>
      </c>
      <c r="AD71" s="1">
        <f t="shared" si="74"/>
        <v>4.0631305453439848E-2</v>
      </c>
      <c r="AE71" s="1">
        <f t="shared" si="74"/>
        <v>4.0631305453439848E-2</v>
      </c>
      <c r="AF71" s="1">
        <f t="shared" si="74"/>
        <v>4.0631305453439848E-2</v>
      </c>
      <c r="AG71" s="1">
        <f t="shared" si="74"/>
        <v>2.3217888830537055E-2</v>
      </c>
      <c r="AH71" s="1">
        <f t="shared" si="74"/>
        <v>2.3217888830537055E-2</v>
      </c>
      <c r="AI71" s="1">
        <f t="shared" si="74"/>
        <v>2.3217888830537055E-2</v>
      </c>
      <c r="AJ71" s="1">
        <f t="shared" si="74"/>
        <v>1.7413416622902793E-2</v>
      </c>
      <c r="AK71" s="1">
        <f t="shared" si="74"/>
        <v>2.3217888830537055E-2</v>
      </c>
      <c r="AL71" s="1">
        <f t="shared" si="74"/>
        <v>1.7413416622902793E-2</v>
      </c>
      <c r="AM71" s="1">
        <f t="shared" si="74"/>
        <v>1.7413416622902793E-2</v>
      </c>
      <c r="AN71" s="1">
        <f t="shared" si="74"/>
        <v>2.3217888830537055E-2</v>
      </c>
      <c r="AO71" s="1">
        <f t="shared" si="74"/>
        <v>1.7413416622902793E-2</v>
      </c>
      <c r="AP71" s="1">
        <f t="shared" si="74"/>
        <v>2.3217888830537055E-2</v>
      </c>
      <c r="AQ71" s="1">
        <f t="shared" si="74"/>
        <v>2.9022361038171313E-2</v>
      </c>
      <c r="AR71" s="1">
        <f t="shared" si="74"/>
        <v>3.4826833245805586E-2</v>
      </c>
      <c r="AS71" s="1">
        <f t="shared" si="74"/>
        <v>3.4826833245805586E-2</v>
      </c>
      <c r="AT71" s="1">
        <f t="shared" si="74"/>
        <v>4.0631305453439848E-2</v>
      </c>
    </row>
    <row r="72" spans="24:46" x14ac:dyDescent="0.35">
      <c r="X72" t="s">
        <v>345</v>
      </c>
      <c r="Y72" s="30" t="s">
        <v>461</v>
      </c>
      <c r="Z72" s="1">
        <f t="shared" ref="Z72:AT72" si="75">Y43</f>
        <v>3.4826833245805586E-2</v>
      </c>
      <c r="AA72" s="1">
        <f t="shared" si="75"/>
        <v>6.9653666491611171E-2</v>
      </c>
      <c r="AB72" s="1">
        <f t="shared" si="75"/>
        <v>0.19735205505956493</v>
      </c>
      <c r="AC72" s="1">
        <f t="shared" si="75"/>
        <v>0.24959230492827333</v>
      </c>
      <c r="AD72" s="1">
        <f t="shared" si="75"/>
        <v>0.26700572155117613</v>
      </c>
      <c r="AE72" s="1">
        <f t="shared" si="75"/>
        <v>0.24959230492827333</v>
      </c>
      <c r="AF72" s="1">
        <f t="shared" si="75"/>
        <v>0.24959230492827333</v>
      </c>
      <c r="AG72" s="1">
        <f t="shared" si="75"/>
        <v>2.9022361038171313E-2</v>
      </c>
      <c r="AH72" s="1">
        <f t="shared" si="75"/>
        <v>5.8044722076342627E-2</v>
      </c>
      <c r="AI72" s="1">
        <f t="shared" si="75"/>
        <v>0.15091627739849084</v>
      </c>
      <c r="AJ72" s="1">
        <f t="shared" si="75"/>
        <v>0.22056994389010195</v>
      </c>
      <c r="AK72" s="1">
        <f t="shared" si="75"/>
        <v>0.26120124934354189</v>
      </c>
      <c r="AL72" s="1">
        <f t="shared" si="75"/>
        <v>0.29602808258934743</v>
      </c>
      <c r="AM72" s="1">
        <f t="shared" si="75"/>
        <v>0.24959230492827333</v>
      </c>
      <c r="AN72" s="1">
        <f t="shared" si="75"/>
        <v>2.3217888830537055E-2</v>
      </c>
      <c r="AO72" s="1">
        <f t="shared" si="75"/>
        <v>7.545813869924542E-2</v>
      </c>
      <c r="AP72" s="1">
        <f t="shared" si="75"/>
        <v>0.10448049973741672</v>
      </c>
      <c r="AQ72" s="1">
        <f t="shared" si="75"/>
        <v>0.20896099947483343</v>
      </c>
      <c r="AR72" s="1">
        <f t="shared" si="75"/>
        <v>0.16252522181375939</v>
      </c>
      <c r="AS72" s="1">
        <f t="shared" si="75"/>
        <v>0.15672074960612511</v>
      </c>
      <c r="AT72" s="1">
        <f t="shared" si="75"/>
        <v>0.16252522181375939</v>
      </c>
    </row>
    <row r="73" spans="24:46" x14ac:dyDescent="0.35">
      <c r="X73" t="s">
        <v>346</v>
      </c>
      <c r="Y73" s="30" t="s">
        <v>461</v>
      </c>
      <c r="Z73" s="1">
        <f t="shared" ref="Z73:AT73" si="76">Y46</f>
        <v>2.3217888830537055E-2</v>
      </c>
      <c r="AA73" s="1">
        <f t="shared" si="76"/>
        <v>3.4826833245805586E-2</v>
      </c>
      <c r="AB73" s="1">
        <f t="shared" si="76"/>
        <v>7.545813869924542E-2</v>
      </c>
      <c r="AC73" s="1">
        <f t="shared" si="76"/>
        <v>8.1262610906879695E-2</v>
      </c>
      <c r="AD73" s="1">
        <f t="shared" si="76"/>
        <v>8.1262610906879695E-2</v>
      </c>
      <c r="AE73" s="1">
        <f t="shared" si="76"/>
        <v>8.1262610906879695E-2</v>
      </c>
      <c r="AF73" s="1">
        <f t="shared" si="76"/>
        <v>9.2871555322148219E-2</v>
      </c>
      <c r="AG73" s="1">
        <f t="shared" si="76"/>
        <v>1.7413416622902793E-2</v>
      </c>
      <c r="AH73" s="1">
        <f t="shared" si="76"/>
        <v>3.4826833245805586E-2</v>
      </c>
      <c r="AI73" s="1">
        <f t="shared" si="76"/>
        <v>9.8676027529782467E-2</v>
      </c>
      <c r="AJ73" s="1">
        <f t="shared" si="76"/>
        <v>6.3849194283976909E-2</v>
      </c>
      <c r="AK73" s="1">
        <f t="shared" si="76"/>
        <v>5.8044722076342627E-2</v>
      </c>
      <c r="AL73" s="1">
        <f t="shared" si="76"/>
        <v>5.2240249868708358E-2</v>
      </c>
      <c r="AM73" s="1">
        <f t="shared" si="76"/>
        <v>5.8044722076342627E-2</v>
      </c>
      <c r="AN73" s="1">
        <f t="shared" si="76"/>
        <v>4.0631305453439848E-2</v>
      </c>
      <c r="AO73" s="1">
        <f t="shared" si="76"/>
        <v>6.3849194283976909E-2</v>
      </c>
      <c r="AP73" s="1">
        <f t="shared" si="76"/>
        <v>8.1262610906879695E-2</v>
      </c>
      <c r="AQ73" s="1">
        <f t="shared" si="76"/>
        <v>5.8044722076342627E-2</v>
      </c>
      <c r="AR73" s="1">
        <f t="shared" si="76"/>
        <v>6.9653666491611171E-2</v>
      </c>
      <c r="AS73" s="1">
        <f t="shared" si="76"/>
        <v>6.9653666491611171E-2</v>
      </c>
      <c r="AT73" s="1">
        <f t="shared" si="76"/>
        <v>9.2871555322148219E-2</v>
      </c>
    </row>
    <row r="74" spans="24:46" x14ac:dyDescent="0.35">
      <c r="X74" t="s">
        <v>344</v>
      </c>
      <c r="Y74" s="30" t="s">
        <v>462</v>
      </c>
      <c r="Z74" s="1">
        <f t="shared" ref="Z74:AT74" si="77">Y49</f>
        <v>4.643577766107411E-2</v>
      </c>
      <c r="AA74" s="1">
        <f t="shared" si="77"/>
        <v>7.545813869924542E-2</v>
      </c>
      <c r="AB74" s="1">
        <f t="shared" si="77"/>
        <v>5.8044722076342627E-2</v>
      </c>
      <c r="AC74" s="1">
        <f t="shared" si="77"/>
        <v>5.2240249868708358E-2</v>
      </c>
      <c r="AD74" s="1">
        <f t="shared" si="77"/>
        <v>5.2240249868708358E-2</v>
      </c>
      <c r="AE74" s="1">
        <f t="shared" si="77"/>
        <v>5.8044722076342627E-2</v>
      </c>
      <c r="AF74" s="1">
        <f t="shared" si="77"/>
        <v>5.8044722076342627E-2</v>
      </c>
      <c r="AG74" s="1">
        <f t="shared" si="77"/>
        <v>8.7067083114513957E-2</v>
      </c>
      <c r="AH74" s="1">
        <f t="shared" si="77"/>
        <v>8.1262610906879695E-2</v>
      </c>
      <c r="AI74" s="1">
        <f t="shared" si="77"/>
        <v>8.1262610906879695E-2</v>
      </c>
      <c r="AJ74" s="1">
        <f t="shared" si="77"/>
        <v>8.1262610906879695E-2</v>
      </c>
      <c r="AK74" s="1">
        <f t="shared" si="77"/>
        <v>6.9653666491611171E-2</v>
      </c>
      <c r="AL74" s="1">
        <f t="shared" si="77"/>
        <v>6.3849194283976909E-2</v>
      </c>
      <c r="AM74" s="1">
        <f t="shared" si="77"/>
        <v>8.7067083114513957E-2</v>
      </c>
      <c r="AN74" s="1">
        <f t="shared" si="77"/>
        <v>0.31544688308436958</v>
      </c>
      <c r="AO74" s="1">
        <f t="shared" si="77"/>
        <v>0.3096052741383627</v>
      </c>
      <c r="AP74" s="1">
        <f t="shared" si="77"/>
        <v>0.3212884920303764</v>
      </c>
      <c r="AQ74" s="1">
        <f t="shared" si="77"/>
        <v>0.29792205624634899</v>
      </c>
      <c r="AR74" s="1">
        <f t="shared" si="77"/>
        <v>0.29792205624634899</v>
      </c>
      <c r="AS74" s="1">
        <f t="shared" si="77"/>
        <v>0.29208044730034222</v>
      </c>
      <c r="AT74" s="1">
        <f t="shared" si="77"/>
        <v>0.28039722940832851</v>
      </c>
    </row>
    <row r="75" spans="24:46" x14ac:dyDescent="0.35">
      <c r="X75" t="s">
        <v>345</v>
      </c>
      <c r="Y75" s="30" t="s">
        <v>462</v>
      </c>
      <c r="Z75" s="1">
        <f t="shared" ref="Z75:AT75" si="78">Y52</f>
        <v>0</v>
      </c>
      <c r="AA75" s="1">
        <f t="shared" si="78"/>
        <v>0</v>
      </c>
      <c r="AB75" s="1">
        <f t="shared" si="78"/>
        <v>0</v>
      </c>
      <c r="AC75" s="1">
        <f t="shared" si="78"/>
        <v>0</v>
      </c>
      <c r="AD75" s="1">
        <f t="shared" si="78"/>
        <v>0</v>
      </c>
      <c r="AE75" s="1">
        <f t="shared" si="78"/>
        <v>3.4826833245805586E-2</v>
      </c>
      <c r="AF75" s="1">
        <f t="shared" si="78"/>
        <v>0.23217888830537051</v>
      </c>
      <c r="AG75" s="1">
        <f t="shared" si="78"/>
        <v>1.1608944415268527E-2</v>
      </c>
      <c r="AH75" s="1">
        <f t="shared" si="78"/>
        <v>0</v>
      </c>
      <c r="AI75" s="1">
        <f t="shared" si="78"/>
        <v>2.3217888830537055E-2</v>
      </c>
      <c r="AJ75" s="1">
        <f t="shared" si="78"/>
        <v>1.7413416622902793E-2</v>
      </c>
      <c r="AK75" s="1">
        <f t="shared" si="78"/>
        <v>0.31924597141988448</v>
      </c>
      <c r="AL75" s="1">
        <f t="shared" si="78"/>
        <v>0.52820697089471802</v>
      </c>
      <c r="AM75" s="1">
        <f t="shared" si="78"/>
        <v>0.69653666491611166</v>
      </c>
      <c r="AN75" s="1">
        <f t="shared" si="78"/>
        <v>2.3366435784027372E-2</v>
      </c>
      <c r="AO75" s="1">
        <f t="shared" si="78"/>
        <v>4.0891262622047904E-2</v>
      </c>
      <c r="AP75" s="1">
        <f t="shared" si="78"/>
        <v>5.2574480514061592E-2</v>
      </c>
      <c r="AQ75" s="1">
        <f t="shared" si="78"/>
        <v>0.22198113994826002</v>
      </c>
      <c r="AR75" s="1">
        <f t="shared" si="78"/>
        <v>0.39138779938245849</v>
      </c>
      <c r="AS75" s="1">
        <f t="shared" si="78"/>
        <v>0.62505215722273222</v>
      </c>
      <c r="AT75" s="1">
        <f t="shared" si="78"/>
        <v>0.80030042560293746</v>
      </c>
    </row>
    <row r="76" spans="24:46" x14ac:dyDescent="0.35">
      <c r="X76" t="s">
        <v>346</v>
      </c>
      <c r="Y76" s="30" t="s">
        <v>462</v>
      </c>
      <c r="Z76" s="1">
        <f t="shared" ref="Z76:AT76" si="79">Y55</f>
        <v>0</v>
      </c>
      <c r="AA76" s="1">
        <f t="shared" si="79"/>
        <v>2.9022361038171313E-2</v>
      </c>
      <c r="AB76" s="1">
        <f t="shared" si="79"/>
        <v>0</v>
      </c>
      <c r="AC76" s="1">
        <f t="shared" si="79"/>
        <v>2.3217888830537055E-2</v>
      </c>
      <c r="AD76" s="1">
        <f t="shared" si="79"/>
        <v>0.12189391636031954</v>
      </c>
      <c r="AE76" s="1">
        <f t="shared" si="79"/>
        <v>0.33665938804278733</v>
      </c>
      <c r="AF76" s="1">
        <f t="shared" si="79"/>
        <v>0.44694435998783827</v>
      </c>
      <c r="AG76" s="1">
        <f t="shared" si="79"/>
        <v>3.4826833245805586E-2</v>
      </c>
      <c r="AH76" s="1">
        <f t="shared" si="79"/>
        <v>1.7413416622902793E-2</v>
      </c>
      <c r="AI76" s="1">
        <f t="shared" si="79"/>
        <v>1.1608944415268527E-2</v>
      </c>
      <c r="AJ76" s="1">
        <f t="shared" si="79"/>
        <v>2.3217888830537055E-2</v>
      </c>
      <c r="AK76" s="1">
        <f t="shared" si="79"/>
        <v>0.32505044362751878</v>
      </c>
      <c r="AL76" s="1">
        <f t="shared" si="79"/>
        <v>0.53981591530998652</v>
      </c>
      <c r="AM76" s="1">
        <f t="shared" si="79"/>
        <v>0.66170983167030595</v>
      </c>
      <c r="AN76" s="1">
        <f t="shared" si="79"/>
        <v>0.19277309521822583</v>
      </c>
      <c r="AO76" s="1">
        <f t="shared" si="79"/>
        <v>7.5940916298088967E-2</v>
      </c>
      <c r="AP76" s="1">
        <f t="shared" si="79"/>
        <v>0.12851539681215055</v>
      </c>
      <c r="AQ76" s="1">
        <f t="shared" si="79"/>
        <v>0.50821997830259535</v>
      </c>
      <c r="AR76" s="1">
        <f t="shared" si="79"/>
        <v>0.73604272719686226</v>
      </c>
      <c r="AS76" s="1">
        <f t="shared" si="79"/>
        <v>0.95802386714512222</v>
      </c>
      <c r="AT76" s="1">
        <f t="shared" si="79"/>
        <v>0.91713260452307444</v>
      </c>
    </row>
    <row r="79" spans="24:46" x14ac:dyDescent="0.35">
      <c r="X79" t="s">
        <v>530</v>
      </c>
    </row>
    <row r="80" spans="24:46" x14ac:dyDescent="0.35">
      <c r="X80" t="s">
        <v>529</v>
      </c>
      <c r="Y80" t="s">
        <v>528</v>
      </c>
    </row>
    <row r="81" spans="24:25" x14ac:dyDescent="0.35">
      <c r="X81">
        <v>0</v>
      </c>
      <c r="Y81" s="1">
        <f>AVERAGE(H52:H53)</f>
        <v>1.748769009964795E-2</v>
      </c>
    </row>
    <row r="82" spans="24:25" x14ac:dyDescent="0.35">
      <c r="X82">
        <f t="shared" ref="X82:X87" si="80">X81+30</f>
        <v>30</v>
      </c>
      <c r="Y82" s="1">
        <f>AVERAGE(I51:I53)</f>
        <v>1.3630420874015968E-2</v>
      </c>
    </row>
    <row r="83" spans="24:25" x14ac:dyDescent="0.35">
      <c r="X83">
        <f t="shared" si="80"/>
        <v>60</v>
      </c>
      <c r="Y83" s="1">
        <f>AVERAGE(J51:J53)</f>
        <v>2.5264123114866217E-2</v>
      </c>
    </row>
    <row r="84" spans="24:25" x14ac:dyDescent="0.35">
      <c r="X84">
        <f t="shared" si="80"/>
        <v>90</v>
      </c>
      <c r="Y84" s="1">
        <f>AVERAGE(K51:K53)</f>
        <v>7.9798185523720935E-2</v>
      </c>
    </row>
    <row r="85" spans="24:25" x14ac:dyDescent="0.35">
      <c r="X85">
        <f t="shared" si="80"/>
        <v>120</v>
      </c>
      <c r="Y85" s="1">
        <f>AVERAGE(L51:L53)</f>
        <v>0.23687792360078097</v>
      </c>
    </row>
    <row r="86" spans="24:25" x14ac:dyDescent="0.35">
      <c r="X86">
        <f t="shared" si="80"/>
        <v>150</v>
      </c>
      <c r="Y86" s="1">
        <f>AVERAGE(M51:M53)</f>
        <v>0.39602865378775193</v>
      </c>
    </row>
    <row r="87" spans="24:25" x14ac:dyDescent="0.35">
      <c r="X87">
        <f t="shared" si="80"/>
        <v>180</v>
      </c>
      <c r="Y87" s="1">
        <f>AVERAGE(N51:N53)</f>
        <v>0.5763386596081399</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1B913-B341-4AE2-9949-4CC8B196C499}">
  <sheetPr codeName="Sheet15">
    <tabColor theme="8" tint="0.39997558519241921"/>
  </sheetPr>
  <dimension ref="A1:AT87"/>
  <sheetViews>
    <sheetView topLeftCell="P1" zoomScale="75" zoomScaleNormal="75" workbookViewId="0">
      <selection activeCell="Q1" sqref="Q1:Q1048576"/>
    </sheetView>
  </sheetViews>
  <sheetFormatPr defaultColWidth="11" defaultRowHeight="15.5" x14ac:dyDescent="0.35"/>
  <cols>
    <col min="1" max="1" width="14.6640625" style="65" customWidth="1"/>
    <col min="2" max="2" width="12.08203125" style="4" customWidth="1"/>
    <col min="3" max="3" width="41.33203125" style="4" customWidth="1"/>
    <col min="4" max="4" width="8.5" style="4" customWidth="1"/>
    <col min="5" max="22" width="11" style="4"/>
    <col min="24" max="24" width="17" customWidth="1"/>
  </cols>
  <sheetData>
    <row r="1" spans="1:45" ht="23.5" x14ac:dyDescent="0.35">
      <c r="A1" s="50" t="s">
        <v>467</v>
      </c>
      <c r="C1" s="26" t="s">
        <v>468</v>
      </c>
      <c r="F1" s="70" t="s">
        <v>19</v>
      </c>
      <c r="G1" s="26" t="s">
        <v>527</v>
      </c>
    </row>
    <row r="2" spans="1:45" ht="49.5" customHeight="1" x14ac:dyDescent="0.35">
      <c r="A2" s="18"/>
      <c r="B2" s="18" t="s">
        <v>433</v>
      </c>
      <c r="C2" s="18" t="s">
        <v>466</v>
      </c>
      <c r="D2" s="18" t="s">
        <v>497</v>
      </c>
      <c r="E2" s="18" t="s">
        <v>387</v>
      </c>
      <c r="F2" s="18" t="s">
        <v>404</v>
      </c>
      <c r="G2" s="18" t="s">
        <v>454</v>
      </c>
      <c r="H2" s="18">
        <v>0</v>
      </c>
      <c r="I2" s="18">
        <v>30</v>
      </c>
      <c r="J2" s="18">
        <v>60</v>
      </c>
      <c r="K2" s="18">
        <v>90</v>
      </c>
      <c r="L2" s="18">
        <v>120</v>
      </c>
      <c r="M2" s="18">
        <v>150</v>
      </c>
      <c r="N2" s="18">
        <v>180</v>
      </c>
      <c r="O2" s="19" t="s">
        <v>340</v>
      </c>
      <c r="P2" s="19" t="s">
        <v>547</v>
      </c>
      <c r="Q2" s="19" t="s">
        <v>340</v>
      </c>
      <c r="R2" s="19" t="s">
        <v>341</v>
      </c>
      <c r="S2" s="19" t="s">
        <v>342</v>
      </c>
      <c r="T2" s="19" t="s">
        <v>547</v>
      </c>
      <c r="U2" s="19" t="s">
        <v>475</v>
      </c>
      <c r="V2" s="19" t="s">
        <v>533</v>
      </c>
    </row>
    <row r="3" spans="1:45" x14ac:dyDescent="0.35">
      <c r="A3" s="41">
        <f>IFERROR(INDEX('Date Key'!$B$2:$B$19, MATCH(F3,'Date Key'!$A$2:$A$19, 0)), "")</f>
        <v>45175</v>
      </c>
      <c r="B3" s="4">
        <f>INT((ROW(A1)-1)/9)+1</f>
        <v>1</v>
      </c>
      <c r="C3" s="26" t="str">
        <f>IFERROR(INDEX('Date Key'!$G$57:$G$62, MATCH(B3,'Date Key'!$A$57:$A$62, 0)), "")</f>
        <v>Low HLR, Lower Outlet Height, No Plants</v>
      </c>
      <c r="D3" s="4" t="str">
        <f>IFERROR(INDEX('Date Key'!$G$2:$G$19, MATCH(F3, 'Date Key'!$A$2:$A$19, 0)), "")</f>
        <v>No</v>
      </c>
      <c r="E3" s="4" t="str">
        <f>CHOOSE(MOD(ROW(G3)-ROW($G$3), 9) + 1, "in", "in", "in", "tank 1", "tank 1", "tank 1", "tank 2", "tank 2", "tank 2")</f>
        <v>in</v>
      </c>
      <c r="F3" s="4">
        <f>MOD(ROW(G3)-ROW($G$3), 3) + 1 + 3 * INT((ROW(G3)-ROW($G$3))/9)</f>
        <v>1</v>
      </c>
      <c r="G3" s="4">
        <f>MOD(ROW(G3)-ROW($G$3), 3) + 1</f>
        <v>1</v>
      </c>
      <c r="H3" s="11" cm="1">
        <f t="array" ref="H3">IFERROR(INDEX('Master Data Sheet'!$1:$1048576, MATCH(1, ('Master Data Sheet'!$H:$H=H$2) * (INDEX('Master Data Sheet'!$1:$1, , MATCH($F$1, 'Master Data Sheet'!$1:$1, 0)) = $F$1) * ('Master Data Sheet'!$G:$G=$B3) * ('Master Data Sheet'!$F:$F=$E3) * ('Master Data Sheet'!$A:$A=$F3), 0), MATCH($F$1, 'Master Data Sheet'!$1:$1, 0)), "")</f>
        <v>6.459433040078201</v>
      </c>
      <c r="I3" s="11" cm="1">
        <f t="array" ref="I3">IFERROR(INDEX('Master Data Sheet'!$1:$1048576, MATCH(1, ('Master Data Sheet'!$H:$H=I$2) * (INDEX('Master Data Sheet'!$1:$1, , MATCH($F$1, 'Master Data Sheet'!$1:$1, 0)) = $F$1) * ('Master Data Sheet'!$G:$G=$B3) * ('Master Data Sheet'!$F:$F=$E3) * ('Master Data Sheet'!$A:$A=$F3), 0), MATCH($F$1, 'Master Data Sheet'!$1:$1, 0)), "")</f>
        <v>2.9669599217986318</v>
      </c>
      <c r="J3" s="11" cm="1">
        <f t="array" ref="J3">IFERROR(INDEX('Master Data Sheet'!$1:$1048576, MATCH(1, ('Master Data Sheet'!$H:$H=J$2) * (INDEX('Master Data Sheet'!$1:$1, , MATCH($F$1, 'Master Data Sheet'!$1:$1, 0)) = $F$1) * ('Master Data Sheet'!$G:$G=$B3) * ('Master Data Sheet'!$F:$F=$E3) * ('Master Data Sheet'!$A:$A=$F3), 0), MATCH($F$1, 'Master Data Sheet'!$1:$1, 0)), "")</f>
        <v>3.4377321603128053</v>
      </c>
      <c r="K3" s="11" cm="1">
        <f t="array" ref="K3">IFERROR(INDEX('Master Data Sheet'!$1:$1048576, MATCH(1, ('Master Data Sheet'!$H:$H=K$2) * (INDEX('Master Data Sheet'!$1:$1, , MATCH($F$1, 'Master Data Sheet'!$1:$1, 0)) = $F$1) * ('Master Data Sheet'!$G:$G=$B3) * ('Master Data Sheet'!$F:$F=$E3) * ('Master Data Sheet'!$A:$A=$F3), 0), MATCH($F$1, 'Master Data Sheet'!$1:$1, 0)), "")</f>
        <v>2.6713587487781036</v>
      </c>
      <c r="L3" s="11" cm="1">
        <f t="array" ref="L3">IFERROR(INDEX('Master Data Sheet'!$1:$1048576, MATCH(1, ('Master Data Sheet'!$H:$H=L$2) * (INDEX('Master Data Sheet'!$1:$1, , MATCH($F$1, 'Master Data Sheet'!$1:$1, 0)) = $F$1) * ('Master Data Sheet'!$G:$G=$B3) * ('Master Data Sheet'!$F:$F=$E3) * ('Master Data Sheet'!$A:$A=$F3), 0), MATCH($F$1, 'Master Data Sheet'!$1:$1, 0)), "")</f>
        <v>2.6658846529814269</v>
      </c>
      <c r="M3" s="11" cm="1">
        <f t="array" ref="M3">IFERROR(INDEX('Master Data Sheet'!$1:$1048576, MATCH(1, ('Master Data Sheet'!$H:$H=M$2) * (INDEX('Master Data Sheet'!$1:$1, , MATCH($F$1, 'Master Data Sheet'!$1:$1, 0)) = $F$1) * ('Master Data Sheet'!$G:$G=$B3) * ('Master Data Sheet'!$F:$F=$E3) * ('Master Data Sheet'!$A:$A=$F3), 0), MATCH($F$1, 'Master Data Sheet'!$1:$1, 0)), "")</f>
        <v>2.8629521016617789</v>
      </c>
      <c r="N3" s="11" cm="1">
        <f t="array" ref="N3">IFERROR(INDEX('Master Data Sheet'!$1:$1048576, MATCH(1, ('Master Data Sheet'!$H:$H=N$2) * (INDEX('Master Data Sheet'!$1:$1, , MATCH($F$1, 'Master Data Sheet'!$1:$1, 0)) = $F$1) * ('Master Data Sheet'!$G:$G=$B3) * ('Master Data Sheet'!$F:$F=$E3) * ('Master Data Sheet'!$A:$A=$F3), 0), MATCH($F$1, 'Master Data Sheet'!$1:$1, 0)), "")</f>
        <v>3.4760508308895401</v>
      </c>
      <c r="O3" s="11">
        <f>AVERAGE(H3:N3)</f>
        <v>3.5057673509286409</v>
      </c>
      <c r="P3" s="11">
        <f>STDEV(H3:N3)</f>
        <v>1.3438017223543004</v>
      </c>
      <c r="Q3" s="11">
        <f>AVERAGE(O3,O5)</f>
        <v>2.3972629521016615</v>
      </c>
      <c r="S3" s="46">
        <f>AVERAGE(O3:O5)</f>
        <v>2.4518735744542197</v>
      </c>
      <c r="T3" s="46">
        <f>AVERAGE(P3:P5)</f>
        <v>1.3768906155779757</v>
      </c>
      <c r="V3" s="47">
        <f>AVERAGE(U6, U9)</f>
        <v>86.519328005219378</v>
      </c>
      <c r="X3" t="s">
        <v>343</v>
      </c>
    </row>
    <row r="4" spans="1:45" x14ac:dyDescent="0.35">
      <c r="A4" s="41">
        <f>IFERROR(INDEX('Date Key'!$B$2:$B$19, MATCH(F4,'Date Key'!$A$2:$A$19, 0)), "")</f>
        <v>45181</v>
      </c>
      <c r="B4" s="4">
        <f t="shared" ref="B4:B11" si="0">INT((ROW(B2)-1)/9)+1</f>
        <v>1</v>
      </c>
      <c r="C4" s="26" t="str">
        <f>IFERROR(INDEX('Date Key'!$G$57:$G$62, MATCH(B4,'Date Key'!$A$57:$A$62, 0)), "")</f>
        <v>Low HLR, Lower Outlet Height, No Plants</v>
      </c>
      <c r="D4" s="4" t="str">
        <f>IFERROR(INDEX('Date Key'!$G$2:$G$19, MATCH(F4, 'Date Key'!$A$2:$A$19, 0)), "")</f>
        <v>No</v>
      </c>
      <c r="E4" s="4" t="str">
        <f t="shared" ref="E4:E56" si="1">CHOOSE(MOD(ROW(G4)-ROW($G$3), 9) + 1, "in", "in", "in", "tank 1", "tank 1", "tank 1", "tank 2", "tank 2", "tank 2")</f>
        <v>in</v>
      </c>
      <c r="F4" s="4">
        <f t="shared" ref="F4:F56" si="2">MOD(ROW(G4)-ROW($G$3), 3) + 1 + 3 * INT((ROW(G4)-ROW($G$3))/9)</f>
        <v>2</v>
      </c>
      <c r="G4" s="4">
        <f t="shared" ref="G4:G15" si="3">MOD(ROW(G4)-ROW($G$3), 3) + 1</f>
        <v>2</v>
      </c>
      <c r="H4" s="11" cm="1">
        <f t="array" ref="H4">IFERROR(INDEX('Master Data Sheet'!$1:$1048576, MATCH(1, ('Master Data Sheet'!$H:$H=H$2) * (INDEX('Master Data Sheet'!$1:$1, , MATCH($F$1, 'Master Data Sheet'!$1:$1, 0)) = $F$1) * ('Master Data Sheet'!$G:$G=$B4) * ('Master Data Sheet'!$F:$F=$E4) * ('Master Data Sheet'!$A:$A=$F4), 0), MATCH($F$1, 'Master Data Sheet'!$1:$1, 0)), "")</f>
        <v>5.5178885630498531</v>
      </c>
      <c r="I4" s="11" cm="1">
        <f t="array" ref="I4">IFERROR(INDEX('Master Data Sheet'!$1:$1048576, MATCH(1, ('Master Data Sheet'!$H:$H=I$2) * (INDEX('Master Data Sheet'!$1:$1, , MATCH($F$1, 'Master Data Sheet'!$1:$1, 0)) = $F$1) * ('Master Data Sheet'!$G:$G=$B4) * ('Master Data Sheet'!$F:$F=$E4) * ('Master Data Sheet'!$A:$A=$F4), 0), MATCH($F$1, 'Master Data Sheet'!$1:$1, 0)), "")</f>
        <v>2.2717497556207227</v>
      </c>
      <c r="J4" s="11" cm="1">
        <f t="array" ref="J4">IFERROR(INDEX('Master Data Sheet'!$1:$1048576, MATCH(1, ('Master Data Sheet'!$H:$H=J$2) * (INDEX('Master Data Sheet'!$1:$1, , MATCH($F$1, 'Master Data Sheet'!$1:$1, 0)) = $F$1) * ('Master Data Sheet'!$G:$G=$B4) * ('Master Data Sheet'!$F:$F=$E4) * ('Master Data Sheet'!$A:$A=$F4), 0), MATCH($F$1, 'Master Data Sheet'!$1:$1, 0)), "")</f>
        <v>1.7024437927663734</v>
      </c>
      <c r="K4" s="11" cm="1">
        <f t="array" ref="K4">IFERROR(INDEX('Master Data Sheet'!$1:$1048576, MATCH(1, ('Master Data Sheet'!$H:$H=K$2) * (INDEX('Master Data Sheet'!$1:$1, , MATCH($F$1, 'Master Data Sheet'!$1:$1, 0)) = $F$1) * ('Master Data Sheet'!$G:$G=$B4) * ('Master Data Sheet'!$F:$F=$E4) * ('Master Data Sheet'!$A:$A=$F4), 0), MATCH($F$1, 'Master Data Sheet'!$1:$1, 0)), "")</f>
        <v>1.7681329423264907</v>
      </c>
      <c r="L4" s="11" cm="1">
        <f t="array" ref="L4">IFERROR(INDEX('Master Data Sheet'!$1:$1048576, MATCH(1, ('Master Data Sheet'!$H:$H=L$2) * (INDEX('Master Data Sheet'!$1:$1, , MATCH($F$1, 'Master Data Sheet'!$1:$1, 0)) = $F$1) * ('Master Data Sheet'!$G:$G=$B4) * ('Master Data Sheet'!$F:$F=$E4) * ('Master Data Sheet'!$A:$A=$F4), 0), MATCH($F$1, 'Master Data Sheet'!$1:$1, 0)), "")</f>
        <v>1.9049853372434016</v>
      </c>
      <c r="M4" s="11" cm="1">
        <f t="array" ref="M4">IFERROR(INDEX('Master Data Sheet'!$1:$1048576, MATCH(1, ('Master Data Sheet'!$H:$H=M$2) * (INDEX('Master Data Sheet'!$1:$1, , MATCH($F$1, 'Master Data Sheet'!$1:$1, 0)) = $F$1) * ('Master Data Sheet'!$G:$G=$B4) * ('Master Data Sheet'!$F:$F=$E4) * ('Master Data Sheet'!$A:$A=$F4), 0), MATCH($F$1, 'Master Data Sheet'!$1:$1, 0)), "")</f>
        <v>2.2662756598240468</v>
      </c>
      <c r="N4" s="11" cm="1">
        <f t="array" ref="N4">IFERROR(INDEX('Master Data Sheet'!$1:$1048576, MATCH(1, ('Master Data Sheet'!$H:$H=N$2) * (INDEX('Master Data Sheet'!$1:$1, , MATCH($F$1, 'Master Data Sheet'!$1:$1, 0)) = $F$1) * ('Master Data Sheet'!$G:$G=$B4) * ('Master Data Sheet'!$F:$F=$E4) * ('Master Data Sheet'!$A:$A=$F4), 0), MATCH($F$1, 'Master Data Sheet'!$1:$1, 0)), "")</f>
        <v>2.4961876832844574</v>
      </c>
      <c r="O4" s="11">
        <f>AVERAGE(H4:N4)</f>
        <v>2.5610948191593352</v>
      </c>
      <c r="P4" s="11">
        <f t="shared" ref="P4:P56" si="4">STDEV(H4:N4)</f>
        <v>1.3362903163982784</v>
      </c>
      <c r="Q4" s="11"/>
      <c r="X4" t="str">
        <f>IFERROR(INDEX('Date Key'!$G$57:$G$62, MATCH(B3,'Date Key'!$A$57:$A$62, 0)), "")</f>
        <v>Low HLR, Lower Outlet Height, No Plants</v>
      </c>
      <c r="Y4" s="1">
        <f t="shared" ref="Y4:AE4" si="5">H3</f>
        <v>6.459433040078201</v>
      </c>
      <c r="Z4" s="1">
        <f t="shared" si="5"/>
        <v>2.9669599217986318</v>
      </c>
      <c r="AA4" s="1">
        <f t="shared" si="5"/>
        <v>3.4377321603128053</v>
      </c>
      <c r="AB4" s="1">
        <f t="shared" si="5"/>
        <v>2.6713587487781036</v>
      </c>
      <c r="AC4" s="1">
        <f t="shared" si="5"/>
        <v>2.6658846529814269</v>
      </c>
      <c r="AD4" s="1">
        <f t="shared" si="5"/>
        <v>2.8629521016617789</v>
      </c>
      <c r="AE4" s="1">
        <f t="shared" si="5"/>
        <v>3.4760508308895401</v>
      </c>
      <c r="AF4" s="1">
        <f t="shared" ref="AF4:AL4" si="6">H4</f>
        <v>5.5178885630498531</v>
      </c>
      <c r="AG4" s="1">
        <f t="shared" si="6"/>
        <v>2.2717497556207227</v>
      </c>
      <c r="AH4" s="1">
        <f t="shared" si="6"/>
        <v>1.7024437927663734</v>
      </c>
      <c r="AI4" s="1">
        <f t="shared" si="6"/>
        <v>1.7681329423264907</v>
      </c>
      <c r="AJ4" s="1">
        <f t="shared" si="6"/>
        <v>1.9049853372434016</v>
      </c>
      <c r="AK4" s="1">
        <f t="shared" si="6"/>
        <v>2.2662756598240468</v>
      </c>
      <c r="AL4" s="1">
        <f t="shared" si="6"/>
        <v>2.4961876832844574</v>
      </c>
      <c r="AM4" s="1">
        <f t="shared" ref="AM4:AS4" si="7">H5</f>
        <v>4.5599217986314757</v>
      </c>
      <c r="AN4" s="1">
        <f t="shared" si="7"/>
        <v>0.97986314760508297</v>
      </c>
      <c r="AO4" s="1">
        <f t="shared" si="7"/>
        <v>0.61309872922776143</v>
      </c>
      <c r="AP4" s="1">
        <f t="shared" si="7"/>
        <v>0.93607038123167163</v>
      </c>
      <c r="AQ4" s="1">
        <f t="shared" si="7"/>
        <v>0.65141739980449664</v>
      </c>
      <c r="AR4" s="1">
        <f t="shared" si="7"/>
        <v>0.61309872922776143</v>
      </c>
      <c r="AS4" s="1">
        <f t="shared" si="7"/>
        <v>0.66783968719452591</v>
      </c>
    </row>
    <row r="5" spans="1:45" x14ac:dyDescent="0.35">
      <c r="A5" s="41">
        <f>IFERROR(INDEX('Date Key'!$B$2:$B$19, MATCH(F5,'Date Key'!$A$2:$A$19, 0)), "")</f>
        <v>45195</v>
      </c>
      <c r="B5" s="4">
        <f t="shared" si="0"/>
        <v>1</v>
      </c>
      <c r="C5" s="26" t="str">
        <f>IFERROR(INDEX('Date Key'!$G$57:$G$62, MATCH(B5,'Date Key'!$A$57:$A$62, 0)), "")</f>
        <v>Low HLR, Lower Outlet Height, No Plants</v>
      </c>
      <c r="D5" s="4" t="str">
        <f>IFERROR(INDEX('Date Key'!$G$2:$G$19, MATCH(F5, 'Date Key'!$A$2:$A$19, 0)), "")</f>
        <v>No</v>
      </c>
      <c r="E5" s="4" t="str">
        <f t="shared" si="1"/>
        <v>in</v>
      </c>
      <c r="F5" s="4">
        <f t="shared" si="2"/>
        <v>3</v>
      </c>
      <c r="G5" s="4">
        <f t="shared" si="3"/>
        <v>3</v>
      </c>
      <c r="H5" s="11" cm="1">
        <f t="array" ref="H5">IFERROR(INDEX('Master Data Sheet'!$1:$1048576, MATCH(1, ('Master Data Sheet'!$H:$H=H$2) * (INDEX('Master Data Sheet'!$1:$1, , MATCH($F$1, 'Master Data Sheet'!$1:$1, 0)) = $F$1) * ('Master Data Sheet'!$G:$G=$B5) * ('Master Data Sheet'!$F:$F=$E5) * ('Master Data Sheet'!$A:$A=$F5), 0), MATCH($F$1, 'Master Data Sheet'!$1:$1, 0)), "")</f>
        <v>4.5599217986314757</v>
      </c>
      <c r="I5" s="11" cm="1">
        <f t="array" ref="I5">IFERROR(INDEX('Master Data Sheet'!$1:$1048576, MATCH(1, ('Master Data Sheet'!$H:$H=I$2) * (INDEX('Master Data Sheet'!$1:$1, , MATCH($F$1, 'Master Data Sheet'!$1:$1, 0)) = $F$1) * ('Master Data Sheet'!$G:$G=$B5) * ('Master Data Sheet'!$F:$F=$E5) * ('Master Data Sheet'!$A:$A=$F5), 0), MATCH($F$1, 'Master Data Sheet'!$1:$1, 0)), "")</f>
        <v>0.97986314760508297</v>
      </c>
      <c r="J5" s="11" cm="1">
        <f t="array" ref="J5">IFERROR(INDEX('Master Data Sheet'!$1:$1048576, MATCH(1, ('Master Data Sheet'!$H:$H=J$2) * (INDEX('Master Data Sheet'!$1:$1, , MATCH($F$1, 'Master Data Sheet'!$1:$1, 0)) = $F$1) * ('Master Data Sheet'!$G:$G=$B5) * ('Master Data Sheet'!$F:$F=$E5) * ('Master Data Sheet'!$A:$A=$F5), 0), MATCH($F$1, 'Master Data Sheet'!$1:$1, 0)), "")</f>
        <v>0.61309872922776143</v>
      </c>
      <c r="K5" s="11" cm="1">
        <f t="array" ref="K5">IFERROR(INDEX('Master Data Sheet'!$1:$1048576, MATCH(1, ('Master Data Sheet'!$H:$H=K$2) * (INDEX('Master Data Sheet'!$1:$1, , MATCH($F$1, 'Master Data Sheet'!$1:$1, 0)) = $F$1) * ('Master Data Sheet'!$G:$G=$B5) * ('Master Data Sheet'!$F:$F=$E5) * ('Master Data Sheet'!$A:$A=$F5), 0), MATCH($F$1, 'Master Data Sheet'!$1:$1, 0)), "")</f>
        <v>0.93607038123167163</v>
      </c>
      <c r="L5" s="11" cm="1">
        <f t="array" ref="L5">IFERROR(INDEX('Master Data Sheet'!$1:$1048576, MATCH(1, ('Master Data Sheet'!$H:$H=L$2) * (INDEX('Master Data Sheet'!$1:$1, , MATCH($F$1, 'Master Data Sheet'!$1:$1, 0)) = $F$1) * ('Master Data Sheet'!$G:$G=$B5) * ('Master Data Sheet'!$F:$F=$E5) * ('Master Data Sheet'!$A:$A=$F5), 0), MATCH($F$1, 'Master Data Sheet'!$1:$1, 0)), "")</f>
        <v>0.65141739980449664</v>
      </c>
      <c r="M5" s="11" cm="1">
        <f t="array" ref="M5">IFERROR(INDEX('Master Data Sheet'!$1:$1048576, MATCH(1, ('Master Data Sheet'!$H:$H=M$2) * (INDEX('Master Data Sheet'!$1:$1, , MATCH($F$1, 'Master Data Sheet'!$1:$1, 0)) = $F$1) * ('Master Data Sheet'!$G:$G=$B5) * ('Master Data Sheet'!$F:$F=$E5) * ('Master Data Sheet'!$A:$A=$F5), 0), MATCH($F$1, 'Master Data Sheet'!$1:$1, 0)), "")</f>
        <v>0.61309872922776143</v>
      </c>
      <c r="N5" s="11" cm="1">
        <f t="array" ref="N5">IFERROR(INDEX('Master Data Sheet'!$1:$1048576, MATCH(1, ('Master Data Sheet'!$H:$H=N$2) * (INDEX('Master Data Sheet'!$1:$1, , MATCH($F$1, 'Master Data Sheet'!$1:$1, 0)) = $F$1) * ('Master Data Sheet'!$G:$G=$B5) * ('Master Data Sheet'!$F:$F=$E5) * ('Master Data Sheet'!$A:$A=$F5), 0), MATCH($F$1, 'Master Data Sheet'!$1:$1, 0)), "")</f>
        <v>0.66783968719452591</v>
      </c>
      <c r="O5" s="11">
        <f>AVERAGE(H5:N5)</f>
        <v>1.2887585532746824</v>
      </c>
      <c r="P5" s="11">
        <f t="shared" si="4"/>
        <v>1.4505798079813479</v>
      </c>
      <c r="Q5" s="11"/>
      <c r="Y5" s="1"/>
      <c r="Z5" s="1"/>
      <c r="AA5" s="1"/>
      <c r="AB5" s="1"/>
      <c r="AC5" s="1"/>
      <c r="AD5" s="1"/>
      <c r="AE5" s="1"/>
      <c r="AF5" s="1"/>
      <c r="AG5" s="1"/>
      <c r="AH5" s="1"/>
      <c r="AI5" s="1"/>
      <c r="AJ5" s="1"/>
      <c r="AK5" s="1"/>
      <c r="AL5" s="1"/>
      <c r="AM5" s="1"/>
      <c r="AN5" s="1"/>
      <c r="AO5" s="1"/>
      <c r="AP5" s="1"/>
      <c r="AQ5" s="1"/>
      <c r="AR5" s="1"/>
      <c r="AS5" s="1"/>
    </row>
    <row r="6" spans="1:45" x14ac:dyDescent="0.35">
      <c r="A6" s="41">
        <f>IFERROR(INDEX('Date Key'!$B$2:$B$19, MATCH(F6,'Date Key'!$A$2:$A$19, 0)), "")</f>
        <v>45175</v>
      </c>
      <c r="B6" s="4">
        <f t="shared" si="0"/>
        <v>1</v>
      </c>
      <c r="C6" s="26" t="str">
        <f>IFERROR(INDEX('Date Key'!$G$57:$G$62, MATCH(B6,'Date Key'!$A$57:$A$62, 0)), "")</f>
        <v>Low HLR, Lower Outlet Height, No Plants</v>
      </c>
      <c r="D6" s="4" t="str">
        <f>IFERROR(INDEX('Date Key'!$G$2:$G$19, MATCH(F6, 'Date Key'!$A$2:$A$19, 0)), "")</f>
        <v>No</v>
      </c>
      <c r="E6" s="4" t="str">
        <f t="shared" si="1"/>
        <v>tank 1</v>
      </c>
      <c r="F6" s="4">
        <f t="shared" si="2"/>
        <v>1</v>
      </c>
      <c r="G6" s="4">
        <f t="shared" si="3"/>
        <v>1</v>
      </c>
      <c r="H6" s="11" cm="1">
        <f t="array" ref="H6">IFERROR(INDEX('Master Data Sheet'!$1:$1048576, MATCH(1, ('Master Data Sheet'!$H:$H=H$2) * (INDEX('Master Data Sheet'!$1:$1, , MATCH($F$1, 'Master Data Sheet'!$1:$1, 0)) = $F$1) * ('Master Data Sheet'!$G:$G=$B6) * ('Master Data Sheet'!$F:$F=$E6) * ('Master Data Sheet'!$A:$A=$F6), 0), MATCH($F$1, 'Master Data Sheet'!$1:$1, 0)), "")</f>
        <v>9.3059628543499515E-2</v>
      </c>
      <c r="I6" s="11" cm="1">
        <f t="array" ref="I6">IFERROR(INDEX('Master Data Sheet'!$1:$1048576, MATCH(1, ('Master Data Sheet'!$H:$H=I$2) * (INDEX('Master Data Sheet'!$1:$1, , MATCH($F$1, 'Master Data Sheet'!$1:$1, 0)) = $F$1) * ('Master Data Sheet'!$G:$G=$B6) * ('Master Data Sheet'!$F:$F=$E6) * ('Master Data Sheet'!$A:$A=$F6), 0), MATCH($F$1, 'Master Data Sheet'!$1:$1, 0)), "")</f>
        <v>0.19159335288367546</v>
      </c>
      <c r="J6" s="11" cm="1">
        <f t="array" ref="J6">IFERROR(INDEX('Master Data Sheet'!$1:$1048576, MATCH(1, ('Master Data Sheet'!$H:$H=J$2) * (INDEX('Master Data Sheet'!$1:$1, , MATCH($F$1, 'Master Data Sheet'!$1:$1, 0)) = $F$1) * ('Master Data Sheet'!$G:$G=$B6) * ('Master Data Sheet'!$F:$F=$E6) * ('Master Data Sheet'!$A:$A=$F6), 0), MATCH($F$1, 'Master Data Sheet'!$1:$1, 0)), "")</f>
        <v>0.32297165200391004</v>
      </c>
      <c r="K6" s="11" cm="1">
        <f t="array" ref="K6">IFERROR(INDEX('Master Data Sheet'!$1:$1048576, MATCH(1, ('Master Data Sheet'!$H:$H=K$2) * (INDEX('Master Data Sheet'!$1:$1, , MATCH($F$1, 'Master Data Sheet'!$1:$1, 0)) = $F$1) * ('Master Data Sheet'!$G:$G=$B6) * ('Master Data Sheet'!$F:$F=$E6) * ('Master Data Sheet'!$A:$A=$F6), 0), MATCH($F$1, 'Master Data Sheet'!$1:$1, 0)), "")</f>
        <v>0.1806451612903226</v>
      </c>
      <c r="L6" s="11" cm="1">
        <f t="array" ref="L6">IFERROR(INDEX('Master Data Sheet'!$1:$1048576, MATCH(1, ('Master Data Sheet'!$H:$H=L$2) * (INDEX('Master Data Sheet'!$1:$1, , MATCH($F$1, 'Master Data Sheet'!$1:$1, 0)) = $F$1) * ('Master Data Sheet'!$G:$G=$B6) * ('Master Data Sheet'!$F:$F=$E6) * ('Master Data Sheet'!$A:$A=$F6), 0), MATCH($F$1, 'Master Data Sheet'!$1:$1, 0)), "")</f>
        <v>0</v>
      </c>
      <c r="M6" s="11" cm="1">
        <f t="array" ref="M6">IFERROR(INDEX('Master Data Sheet'!$1:$1048576, MATCH(1, ('Master Data Sheet'!$H:$H=M$2) * (INDEX('Master Data Sheet'!$1:$1, , MATCH($F$1, 'Master Data Sheet'!$1:$1, 0)) = $F$1) * ('Master Data Sheet'!$G:$G=$B6) * ('Master Data Sheet'!$F:$F=$E6) * ('Master Data Sheet'!$A:$A=$F6), 0), MATCH($F$1, 'Master Data Sheet'!$1:$1, 0)), "")</f>
        <v>0.1806451612903226</v>
      </c>
      <c r="N6" s="11" cm="1">
        <f t="array" ref="N6">IFERROR(INDEX('Master Data Sheet'!$1:$1048576, MATCH(1, ('Master Data Sheet'!$H:$H=N$2) * (INDEX('Master Data Sheet'!$1:$1, , MATCH($F$1, 'Master Data Sheet'!$1:$1, 0)) = $F$1) * ('Master Data Sheet'!$G:$G=$B6) * ('Master Data Sheet'!$F:$F=$E6) * ('Master Data Sheet'!$A:$A=$F6), 0), MATCH($F$1, 'Master Data Sheet'!$1:$1, 0)), "")</f>
        <v>0.13685239491691104</v>
      </c>
      <c r="O6" s="11">
        <f>AVERAGE(H6:N6)</f>
        <v>0.15796676441837734</v>
      </c>
      <c r="P6" s="11">
        <f t="shared" si="4"/>
        <v>9.9161678834809197E-2</v>
      </c>
      <c r="Q6" s="11">
        <f>AVERAGE(O6,O8)</f>
        <v>8.6412512218963844E-2</v>
      </c>
      <c r="R6" s="46">
        <f>(1-(O6/O3))*100</f>
        <v>95.494088779834925</v>
      </c>
      <c r="S6" s="46">
        <f>AVERAGE(R6:R8)</f>
        <v>96.067923859441009</v>
      </c>
      <c r="T6" s="46">
        <f>STDEV(R6:R8)</f>
        <v>2.5413097107119875</v>
      </c>
      <c r="U6" s="47">
        <f>(1-(AVERAGE(H6:N6,H8:N8)/AVERAGE(H3:N3,H5:N5)))*100</f>
        <v>96.395367802968522</v>
      </c>
      <c r="V6" s="47"/>
      <c r="W6" s="14"/>
      <c r="Y6" s="2"/>
      <c r="Z6" s="2"/>
      <c r="AA6" s="2"/>
      <c r="AB6" s="2"/>
      <c r="AC6" s="2"/>
      <c r="AD6" s="2"/>
      <c r="AE6" s="2"/>
      <c r="AF6" s="2"/>
      <c r="AG6" s="2"/>
    </row>
    <row r="7" spans="1:45" x14ac:dyDescent="0.35">
      <c r="A7" s="41">
        <f>IFERROR(INDEX('Date Key'!$B$2:$B$19, MATCH(F7,'Date Key'!$A$2:$A$19, 0)), "")</f>
        <v>45181</v>
      </c>
      <c r="B7" s="4">
        <f t="shared" si="0"/>
        <v>1</v>
      </c>
      <c r="C7" s="26" t="str">
        <f>IFERROR(INDEX('Date Key'!$G$57:$G$62, MATCH(B7,'Date Key'!$A$57:$A$62, 0)), "")</f>
        <v>Low HLR, Lower Outlet Height, No Plants</v>
      </c>
      <c r="D7" s="4" t="str">
        <f>IFERROR(INDEX('Date Key'!$G$2:$G$19, MATCH(F7, 'Date Key'!$A$2:$A$19, 0)), "")</f>
        <v>No</v>
      </c>
      <c r="E7" s="4" t="str">
        <f t="shared" si="1"/>
        <v>tank 1</v>
      </c>
      <c r="F7" s="4">
        <f t="shared" si="2"/>
        <v>2</v>
      </c>
      <c r="G7" s="4">
        <f t="shared" si="3"/>
        <v>2</v>
      </c>
      <c r="H7" s="11" cm="1">
        <f t="array" ref="H7">IFERROR(INDEX('Master Data Sheet'!$1:$1048576, MATCH(1, ('Master Data Sheet'!$H:$H=H$2) * (INDEX('Master Data Sheet'!$1:$1, , MATCH($F$1, 'Master Data Sheet'!$1:$1, 0)) = $F$1) * ('Master Data Sheet'!$G:$G=$B7) * ('Master Data Sheet'!$F:$F=$E7) * ('Master Data Sheet'!$A:$A=$F7), 0), MATCH($F$1, 'Master Data Sheet'!$1:$1, 0)), "")</f>
        <v>0.33939393939393936</v>
      </c>
      <c r="I7" s="11" cm="1">
        <f t="array" ref="I7">IFERROR(INDEX('Master Data Sheet'!$1:$1048576, MATCH(1, ('Master Data Sheet'!$H:$H=I$2) * (INDEX('Master Data Sheet'!$1:$1, , MATCH($F$1, 'Master Data Sheet'!$1:$1, 0)) = $F$1) * ('Master Data Sheet'!$G:$G=$B7) * ('Master Data Sheet'!$F:$F=$E7) * ('Master Data Sheet'!$A:$A=$F7), 0), MATCH($F$1, 'Master Data Sheet'!$1:$1, 0)), "")</f>
        <v>0.30654936461388071</v>
      </c>
      <c r="J7" s="11" cm="1">
        <f t="array" ref="J7">IFERROR(INDEX('Master Data Sheet'!$1:$1048576, MATCH(1, ('Master Data Sheet'!$H:$H=J$2) * (INDEX('Master Data Sheet'!$1:$1, , MATCH($F$1, 'Master Data Sheet'!$1:$1, 0)) = $F$1) * ('Master Data Sheet'!$G:$G=$B7) * ('Master Data Sheet'!$F:$F=$E7) * ('Master Data Sheet'!$A:$A=$F7), 0), MATCH($F$1, 'Master Data Sheet'!$1:$1, 0)), "")</f>
        <v>0.39960899315738024</v>
      </c>
      <c r="K7" s="11" cm="1">
        <f t="array" ref="K7">IFERROR(INDEX('Master Data Sheet'!$1:$1048576, MATCH(1, ('Master Data Sheet'!$H:$H=K$2) * (INDEX('Master Data Sheet'!$1:$1, , MATCH($F$1, 'Master Data Sheet'!$1:$1, 0)) = $F$1) * ('Master Data Sheet'!$G:$G=$B7) * ('Master Data Sheet'!$F:$F=$E7) * ('Master Data Sheet'!$A:$A=$F7), 0), MATCH($F$1, 'Master Data Sheet'!$1:$1, 0)), "")</f>
        <v>5.4740957966764418E-2</v>
      </c>
      <c r="L7" s="11" cm="1">
        <f t="array" ref="L7">IFERROR(INDEX('Master Data Sheet'!$1:$1048576, MATCH(1, ('Master Data Sheet'!$H:$H=L$2) * (INDEX('Master Data Sheet'!$1:$1, , MATCH($F$1, 'Master Data Sheet'!$1:$1, 0)) = $F$1) * ('Master Data Sheet'!$G:$G=$B7) * ('Master Data Sheet'!$F:$F=$E7) * ('Master Data Sheet'!$A:$A=$F7), 0), MATCH($F$1, 'Master Data Sheet'!$1:$1, 0)), "")</f>
        <v>0</v>
      </c>
      <c r="M7" s="11" cm="1">
        <f t="array" ref="M7">IFERROR(INDEX('Master Data Sheet'!$1:$1048576, MATCH(1, ('Master Data Sheet'!$H:$H=M$2) * (INDEX('Master Data Sheet'!$1:$1, , MATCH($F$1, 'Master Data Sheet'!$1:$1, 0)) = $F$1) * ('Master Data Sheet'!$G:$G=$B7) * ('Master Data Sheet'!$F:$F=$E7) * ('Master Data Sheet'!$A:$A=$F7), 0), MATCH($F$1, 'Master Data Sheet'!$1:$1, 0)), "")</f>
        <v>0</v>
      </c>
      <c r="N7" s="11" cm="1">
        <f t="array" ref="N7">IFERROR(INDEX('Master Data Sheet'!$1:$1048576, MATCH(1, ('Master Data Sheet'!$H:$H=N$2) * (INDEX('Master Data Sheet'!$1:$1, , MATCH($F$1, 'Master Data Sheet'!$1:$1, 0)) = $F$1) * ('Master Data Sheet'!$G:$G=$B7) * ('Master Data Sheet'!$F:$F=$E7) * ('Master Data Sheet'!$A:$A=$F7), 0), MATCH($F$1, 'Master Data Sheet'!$1:$1, 0)), "")</f>
        <v>0</v>
      </c>
      <c r="O7" s="11">
        <f t="shared" ref="O7:O56" si="8">AVERAGE(H7:N7)</f>
        <v>0.15718475073313781</v>
      </c>
      <c r="P7" s="11">
        <f t="shared" si="4"/>
        <v>0.18206928987458526</v>
      </c>
      <c r="Q7" s="11"/>
      <c r="R7" s="46">
        <f>(1-(O7/O4))*100</f>
        <v>93.862595419847324</v>
      </c>
      <c r="X7" t="str">
        <f>IFERROR(INDEX('Date Key'!$G$57:$G$62, MATCH(B6,'Date Key'!$A$57:$A$62, 0)), "")</f>
        <v>Low HLR, Lower Outlet Height, No Plants</v>
      </c>
      <c r="Y7" s="1">
        <f t="shared" ref="Y7:AE7" si="9">H6</f>
        <v>9.3059628543499515E-2</v>
      </c>
      <c r="Z7" s="1">
        <f t="shared" si="9"/>
        <v>0.19159335288367546</v>
      </c>
      <c r="AA7" s="1">
        <f t="shared" si="9"/>
        <v>0.32297165200391004</v>
      </c>
      <c r="AB7" s="1">
        <f t="shared" si="9"/>
        <v>0.1806451612903226</v>
      </c>
      <c r="AC7" s="1">
        <f t="shared" si="9"/>
        <v>0</v>
      </c>
      <c r="AD7" s="1">
        <f t="shared" si="9"/>
        <v>0.1806451612903226</v>
      </c>
      <c r="AE7" s="1">
        <f t="shared" si="9"/>
        <v>0.13685239491691104</v>
      </c>
      <c r="AF7" s="1">
        <f t="shared" ref="AF7:AL7" si="10">H7</f>
        <v>0.33939393939393936</v>
      </c>
      <c r="AG7" s="1">
        <f t="shared" si="10"/>
        <v>0.30654936461388071</v>
      </c>
      <c r="AH7" s="1">
        <f t="shared" si="10"/>
        <v>0.39960899315738024</v>
      </c>
      <c r="AI7" s="1">
        <f t="shared" si="10"/>
        <v>5.4740957966764418E-2</v>
      </c>
      <c r="AJ7" s="1">
        <f t="shared" si="10"/>
        <v>0</v>
      </c>
      <c r="AK7" s="1">
        <f t="shared" si="10"/>
        <v>0</v>
      </c>
      <c r="AL7" s="1">
        <f t="shared" si="10"/>
        <v>0</v>
      </c>
      <c r="AM7" s="1">
        <f t="shared" ref="AM7:AS7" si="11">H8</f>
        <v>0</v>
      </c>
      <c r="AN7" s="1">
        <f t="shared" si="11"/>
        <v>0</v>
      </c>
      <c r="AO7" s="1">
        <f t="shared" si="11"/>
        <v>4.9266862170087966E-2</v>
      </c>
      <c r="AP7" s="1">
        <f t="shared" si="11"/>
        <v>2.1896383186705767E-2</v>
      </c>
      <c r="AQ7" s="1">
        <f t="shared" si="11"/>
        <v>0</v>
      </c>
      <c r="AR7" s="1">
        <f t="shared" si="11"/>
        <v>0</v>
      </c>
      <c r="AS7" s="1">
        <f t="shared" si="11"/>
        <v>3.2844574780058651E-2</v>
      </c>
    </row>
    <row r="8" spans="1:45" x14ac:dyDescent="0.35">
      <c r="A8" s="41">
        <f>IFERROR(INDEX('Date Key'!$B$2:$B$19, MATCH(F8,'Date Key'!$A$2:$A$19, 0)), "")</f>
        <v>45195</v>
      </c>
      <c r="B8" s="4">
        <f t="shared" si="0"/>
        <v>1</v>
      </c>
      <c r="C8" s="26" t="str">
        <f>IFERROR(INDEX('Date Key'!$G$57:$G$62, MATCH(B8,'Date Key'!$A$57:$A$62, 0)), "")</f>
        <v>Low HLR, Lower Outlet Height, No Plants</v>
      </c>
      <c r="D8" s="4" t="str">
        <f>IFERROR(INDEX('Date Key'!$G$2:$G$19, MATCH(F8, 'Date Key'!$A$2:$A$19, 0)), "")</f>
        <v>No</v>
      </c>
      <c r="E8" s="4" t="str">
        <f t="shared" si="1"/>
        <v>tank 1</v>
      </c>
      <c r="F8" s="4">
        <f t="shared" si="2"/>
        <v>3</v>
      </c>
      <c r="G8" s="4">
        <f t="shared" si="3"/>
        <v>3</v>
      </c>
      <c r="H8" s="11" cm="1">
        <f t="array" ref="H8">IFERROR(INDEX('Master Data Sheet'!$1:$1048576, MATCH(1, ('Master Data Sheet'!$H:$H=H$2) * (INDEX('Master Data Sheet'!$1:$1, , MATCH($F$1, 'Master Data Sheet'!$1:$1, 0)) = $F$1) * ('Master Data Sheet'!$G:$G=$B8) * ('Master Data Sheet'!$F:$F=$E8) * ('Master Data Sheet'!$A:$A=$F8), 0), MATCH($F$1, 'Master Data Sheet'!$1:$1, 0)), "")</f>
        <v>0</v>
      </c>
      <c r="I8" s="11" cm="1">
        <f t="array" ref="I8">IFERROR(INDEX('Master Data Sheet'!$1:$1048576, MATCH(1, ('Master Data Sheet'!$H:$H=I$2) * (INDEX('Master Data Sheet'!$1:$1, , MATCH($F$1, 'Master Data Sheet'!$1:$1, 0)) = $F$1) * ('Master Data Sheet'!$G:$G=$B8) * ('Master Data Sheet'!$F:$F=$E8) * ('Master Data Sheet'!$A:$A=$F8), 0), MATCH($F$1, 'Master Data Sheet'!$1:$1, 0)), "")</f>
        <v>0</v>
      </c>
      <c r="J8" s="11" cm="1">
        <f t="array" ref="J8">IFERROR(INDEX('Master Data Sheet'!$1:$1048576, MATCH(1, ('Master Data Sheet'!$H:$H=J$2) * (INDEX('Master Data Sheet'!$1:$1, , MATCH($F$1, 'Master Data Sheet'!$1:$1, 0)) = $F$1) * ('Master Data Sheet'!$G:$G=$B8) * ('Master Data Sheet'!$F:$F=$E8) * ('Master Data Sheet'!$A:$A=$F8), 0), MATCH($F$1, 'Master Data Sheet'!$1:$1, 0)), "")</f>
        <v>4.9266862170087966E-2</v>
      </c>
      <c r="K8" s="11" cm="1">
        <f t="array" ref="K8">IFERROR(INDEX('Master Data Sheet'!$1:$1048576, MATCH(1, ('Master Data Sheet'!$H:$H=K$2) * (INDEX('Master Data Sheet'!$1:$1, , MATCH($F$1, 'Master Data Sheet'!$1:$1, 0)) = $F$1) * ('Master Data Sheet'!$G:$G=$B8) * ('Master Data Sheet'!$F:$F=$E8) * ('Master Data Sheet'!$A:$A=$F8), 0), MATCH($F$1, 'Master Data Sheet'!$1:$1, 0)), "")</f>
        <v>2.1896383186705767E-2</v>
      </c>
      <c r="L8" s="11" cm="1">
        <f t="array" ref="L8">IFERROR(INDEX('Master Data Sheet'!$1:$1048576, MATCH(1, ('Master Data Sheet'!$H:$H=L$2) * (INDEX('Master Data Sheet'!$1:$1, , MATCH($F$1, 'Master Data Sheet'!$1:$1, 0)) = $F$1) * ('Master Data Sheet'!$G:$G=$B8) * ('Master Data Sheet'!$F:$F=$E8) * ('Master Data Sheet'!$A:$A=$F8), 0), MATCH($F$1, 'Master Data Sheet'!$1:$1, 0)), "")</f>
        <v>0</v>
      </c>
      <c r="M8" s="11" cm="1">
        <f t="array" ref="M8">IFERROR(INDEX('Master Data Sheet'!$1:$1048576, MATCH(1, ('Master Data Sheet'!$H:$H=M$2) * (INDEX('Master Data Sheet'!$1:$1, , MATCH($F$1, 'Master Data Sheet'!$1:$1, 0)) = $F$1) * ('Master Data Sheet'!$G:$G=$B8) * ('Master Data Sheet'!$F:$F=$E8) * ('Master Data Sheet'!$A:$A=$F8), 0), MATCH($F$1, 'Master Data Sheet'!$1:$1, 0)), "")</f>
        <v>0</v>
      </c>
      <c r="N8" s="11" cm="1">
        <f t="array" ref="N8">IFERROR(INDEX('Master Data Sheet'!$1:$1048576, MATCH(1, ('Master Data Sheet'!$H:$H=N$2) * (INDEX('Master Data Sheet'!$1:$1, , MATCH($F$1, 'Master Data Sheet'!$1:$1, 0)) = $F$1) * ('Master Data Sheet'!$G:$G=$B8) * ('Master Data Sheet'!$F:$F=$E8) * ('Master Data Sheet'!$A:$A=$F8), 0), MATCH($F$1, 'Master Data Sheet'!$1:$1, 0)), "")</f>
        <v>3.2844574780058651E-2</v>
      </c>
      <c r="O8" s="11">
        <f t="shared" si="8"/>
        <v>1.4858260019550342E-2</v>
      </c>
      <c r="P8" s="11">
        <f t="shared" si="4"/>
        <v>2.0166251352066667E-2</v>
      </c>
      <c r="Q8" s="11"/>
      <c r="R8" s="46">
        <f>(1-(O8/O5))*100</f>
        <v>98.847087378640779</v>
      </c>
      <c r="Y8" s="2"/>
      <c r="Z8" s="2"/>
      <c r="AA8" s="2"/>
      <c r="AB8" s="2"/>
      <c r="AC8" s="2"/>
      <c r="AD8" s="2"/>
      <c r="AE8" s="2"/>
      <c r="AF8" s="2"/>
      <c r="AG8" s="2"/>
    </row>
    <row r="9" spans="1:45" x14ac:dyDescent="0.35">
      <c r="A9" s="41">
        <f>IFERROR(INDEX('Date Key'!$B$2:$B$19, MATCH(F9,'Date Key'!$A$2:$A$19, 0)), "")</f>
        <v>45175</v>
      </c>
      <c r="B9" s="4">
        <f t="shared" si="0"/>
        <v>1</v>
      </c>
      <c r="C9" s="26" t="str">
        <f>IFERROR(INDEX('Date Key'!$G$57:$G$62, MATCH(B9,'Date Key'!$A$57:$A$62, 0)), "")</f>
        <v>Low HLR, Lower Outlet Height, No Plants</v>
      </c>
      <c r="D9" s="4" t="str">
        <f>IFERROR(INDEX('Date Key'!$G$2:$G$19, MATCH(F9, 'Date Key'!$A$2:$A$19, 0)), "")</f>
        <v>No</v>
      </c>
      <c r="E9" s="4" t="str">
        <f t="shared" si="1"/>
        <v>tank 2</v>
      </c>
      <c r="F9" s="4">
        <f t="shared" si="2"/>
        <v>1</v>
      </c>
      <c r="G9" s="4">
        <f t="shared" si="3"/>
        <v>1</v>
      </c>
      <c r="H9" s="11" cm="1">
        <f t="array" ref="H9">IFERROR(INDEX('Master Data Sheet'!$1:$1048576, MATCH(1, ('Master Data Sheet'!$H:$H=H$2) * (INDEX('Master Data Sheet'!$1:$1, , MATCH($F$1, 'Master Data Sheet'!$1:$1, 0)) = $F$1) * ('Master Data Sheet'!$G:$G=$B9) * ('Master Data Sheet'!$F:$F=$E9) * ('Master Data Sheet'!$A:$A=$F9), 0), MATCH($F$1, 'Master Data Sheet'!$1:$1, 0)), "")</f>
        <v>0</v>
      </c>
      <c r="I9" s="11" cm="1">
        <f t="array" ref="I9">IFERROR(INDEX('Master Data Sheet'!$1:$1048576, MATCH(1, ('Master Data Sheet'!$H:$H=I$2) * (INDEX('Master Data Sheet'!$1:$1, , MATCH($F$1, 'Master Data Sheet'!$1:$1, 0)) = $F$1) * ('Master Data Sheet'!$G:$G=$B9) * ('Master Data Sheet'!$F:$F=$E9) * ('Master Data Sheet'!$A:$A=$F9), 0), MATCH($F$1, 'Master Data Sheet'!$1:$1, 0)), "")</f>
        <v>0</v>
      </c>
      <c r="J9" s="11" cm="1">
        <f t="array" ref="J9">IFERROR(INDEX('Master Data Sheet'!$1:$1048576, MATCH(1, ('Master Data Sheet'!$H:$H=J$2) * (INDEX('Master Data Sheet'!$1:$1, , MATCH($F$1, 'Master Data Sheet'!$1:$1, 0)) = $F$1) * ('Master Data Sheet'!$G:$G=$B9) * ('Master Data Sheet'!$F:$F=$E9) * ('Master Data Sheet'!$A:$A=$F9), 0), MATCH($F$1, 'Master Data Sheet'!$1:$1, 0)), "")</f>
        <v>0.53646138807429133</v>
      </c>
      <c r="K9" s="11" cm="1">
        <f t="array" ref="K9">IFERROR(INDEX('Master Data Sheet'!$1:$1048576, MATCH(1, ('Master Data Sheet'!$H:$H=K$2) * (INDEX('Master Data Sheet'!$1:$1, , MATCH($F$1, 'Master Data Sheet'!$1:$1, 0)) = $F$1) * ('Master Data Sheet'!$G:$G=$B9) * ('Master Data Sheet'!$F:$F=$E9) * ('Master Data Sheet'!$A:$A=$F9), 0), MATCH($F$1, 'Master Data Sheet'!$1:$1, 0)), "")</f>
        <v>1.4451612903225808</v>
      </c>
      <c r="L9" s="11" cm="1">
        <f t="array" ref="L9">IFERROR(INDEX('Master Data Sheet'!$1:$1048576, MATCH(1, ('Master Data Sheet'!$H:$H=L$2) * (INDEX('Master Data Sheet'!$1:$1, , MATCH($F$1, 'Master Data Sheet'!$1:$1, 0)) = $F$1) * ('Master Data Sheet'!$G:$G=$B9) * ('Master Data Sheet'!$F:$F=$E9) * ('Master Data Sheet'!$A:$A=$F9), 0), MATCH($F$1, 'Master Data Sheet'!$1:$1, 0)), "")</f>
        <v>1.855718475073314</v>
      </c>
      <c r="M9" s="11" cm="1">
        <f t="array" ref="M9">IFERROR(INDEX('Master Data Sheet'!$1:$1048576, MATCH(1, ('Master Data Sheet'!$H:$H=M$2) * (INDEX('Master Data Sheet'!$1:$1, , MATCH($F$1, 'Master Data Sheet'!$1:$1, 0)) = $F$1) * ('Master Data Sheet'!$G:$G=$B9) * ('Master Data Sheet'!$F:$F=$E9) * ('Master Data Sheet'!$A:$A=$F9), 0), MATCH($F$1, 'Master Data Sheet'!$1:$1, 0)), "")</f>
        <v>1.9323558162267838</v>
      </c>
      <c r="N9" s="11" cm="1">
        <f t="array" ref="N9">IFERROR(INDEX('Master Data Sheet'!$1:$1048576, MATCH(1, ('Master Data Sheet'!$H:$H=N$2) * (INDEX('Master Data Sheet'!$1:$1, , MATCH($F$1, 'Master Data Sheet'!$1:$1, 0)) = $F$1) * ('Master Data Sheet'!$G:$G=$B9) * ('Master Data Sheet'!$F:$F=$E9) * ('Master Data Sheet'!$A:$A=$F9), 0), MATCH($F$1, 'Master Data Sheet'!$1:$1, 0)), "")</f>
        <v>1.9268817204301076</v>
      </c>
      <c r="O9" s="11">
        <f t="shared" si="8"/>
        <v>1.0995112414467252</v>
      </c>
      <c r="P9" s="11">
        <f t="shared" si="4"/>
        <v>0.89483428719409508</v>
      </c>
      <c r="Q9" s="11">
        <f>AVERAGE(N9,N11)</f>
        <v>0.96344086021505382</v>
      </c>
      <c r="R9" s="46">
        <f>(1-(O9/O3))*100</f>
        <v>68.637073388356001</v>
      </c>
      <c r="S9" s="46">
        <f>AVERAGE(R9:R11)</f>
        <v>69.264075970974758</v>
      </c>
      <c r="T9" s="46">
        <f>STDEV(R9:R11)</f>
        <v>28.849863349413742</v>
      </c>
      <c r="U9" s="47">
        <f>(1-(AVERAGE(H9:N9,H11:N11)/AVERAGE(H3:N3,H5:N5)))*100</f>
        <v>76.643288207470235</v>
      </c>
      <c r="V9" s="47"/>
      <c r="Y9" s="2"/>
      <c r="Z9" s="2"/>
      <c r="AA9" s="2"/>
      <c r="AB9" s="2"/>
      <c r="AC9" s="2"/>
      <c r="AD9" s="2"/>
      <c r="AE9" s="2"/>
      <c r="AF9" s="2"/>
      <c r="AG9" s="2"/>
    </row>
    <row r="10" spans="1:45" x14ac:dyDescent="0.35">
      <c r="A10" s="41">
        <f>IFERROR(INDEX('Date Key'!$B$2:$B$19, MATCH(F10,'Date Key'!$A$2:$A$19, 0)), "")</f>
        <v>45181</v>
      </c>
      <c r="B10" s="4">
        <f t="shared" si="0"/>
        <v>1</v>
      </c>
      <c r="C10" s="26" t="str">
        <f>IFERROR(INDEX('Date Key'!$G$57:$G$62, MATCH(B10,'Date Key'!$A$57:$A$62, 0)), "")</f>
        <v>Low HLR, Lower Outlet Height, No Plants</v>
      </c>
      <c r="D10" s="4" t="str">
        <f>IFERROR(INDEX('Date Key'!$G$2:$G$19, MATCH(F10, 'Date Key'!$A$2:$A$19, 0)), "")</f>
        <v>No</v>
      </c>
      <c r="E10" s="4" t="str">
        <f t="shared" si="1"/>
        <v>tank 2</v>
      </c>
      <c r="F10" s="4">
        <f t="shared" si="2"/>
        <v>2</v>
      </c>
      <c r="G10" s="4">
        <f t="shared" si="3"/>
        <v>2</v>
      </c>
      <c r="H10" s="11" cm="1">
        <f t="array" ref="H10">IFERROR(INDEX('Master Data Sheet'!$1:$1048576, MATCH(1, ('Master Data Sheet'!$H:$H=H$2) * (INDEX('Master Data Sheet'!$1:$1, , MATCH($F$1, 'Master Data Sheet'!$1:$1, 0)) = $F$1) * ('Master Data Sheet'!$G:$G=$B10) * ('Master Data Sheet'!$F:$F=$E10) * ('Master Data Sheet'!$A:$A=$F10), 0), MATCH($F$1, 'Master Data Sheet'!$1:$1, 0)), "")</f>
        <v>1.7955034213098728</v>
      </c>
      <c r="I10" s="11" cm="1">
        <f t="array" ref="I10">IFERROR(INDEX('Master Data Sheet'!$1:$1048576, MATCH(1, ('Master Data Sheet'!$H:$H=I$2) * (INDEX('Master Data Sheet'!$1:$1, , MATCH($F$1, 'Master Data Sheet'!$1:$1, 0)) = $F$1) * ('Master Data Sheet'!$G:$G=$B10) * ('Master Data Sheet'!$F:$F=$E10) * ('Master Data Sheet'!$A:$A=$F10), 0), MATCH($F$1, 'Master Data Sheet'!$1:$1, 0)), "")</f>
        <v>3.0819159335288364</v>
      </c>
      <c r="J10" s="11" cm="1">
        <f t="array" ref="J10">IFERROR(INDEX('Master Data Sheet'!$1:$1048576, MATCH(1, ('Master Data Sheet'!$H:$H=J$2) * (INDEX('Master Data Sheet'!$1:$1, , MATCH($F$1, 'Master Data Sheet'!$1:$1, 0)) = $F$1) * ('Master Data Sheet'!$G:$G=$B10) * ('Master Data Sheet'!$F:$F=$E10) * ('Master Data Sheet'!$A:$A=$F10), 0), MATCH($F$1, 'Master Data Sheet'!$1:$1, 0)), "")</f>
        <v>2.6604105571847505</v>
      </c>
      <c r="K10" s="11" cm="1">
        <f t="array" ref="K10">IFERROR(INDEX('Master Data Sheet'!$1:$1048576, MATCH(1, ('Master Data Sheet'!$H:$H=K$2) * (INDEX('Master Data Sheet'!$1:$1, , MATCH($F$1, 'Master Data Sheet'!$1:$1, 0)) = $F$1) * ('Master Data Sheet'!$G:$G=$B10) * ('Master Data Sheet'!$F:$F=$E10) * ('Master Data Sheet'!$A:$A=$F10), 0), MATCH($F$1, 'Master Data Sheet'!$1:$1, 0)), "")</f>
        <v>1.4506353861192571</v>
      </c>
      <c r="L10" s="11" cm="1">
        <f t="array" ref="L10">IFERROR(INDEX('Master Data Sheet'!$1:$1048576, MATCH(1, ('Master Data Sheet'!$H:$H=L$2) * (INDEX('Master Data Sheet'!$1:$1, , MATCH($F$1, 'Master Data Sheet'!$1:$1, 0)) = $F$1) * ('Master Data Sheet'!$G:$G=$B10) * ('Master Data Sheet'!$F:$F=$E10) * ('Master Data Sheet'!$A:$A=$F10), 0), MATCH($F$1, 'Master Data Sheet'!$1:$1, 0)), "")</f>
        <v>0.67878787878787872</v>
      </c>
      <c r="M10" s="11" cm="1">
        <f t="array" ref="M10">IFERROR(INDEX('Master Data Sheet'!$1:$1048576, MATCH(1, ('Master Data Sheet'!$H:$H=M$2) * (INDEX('Master Data Sheet'!$1:$1, , MATCH($F$1, 'Master Data Sheet'!$1:$1, 0)) = $F$1) * ('Master Data Sheet'!$G:$G=$B10) * ('Master Data Sheet'!$F:$F=$E10) * ('Master Data Sheet'!$A:$A=$F10), 0), MATCH($F$1, 'Master Data Sheet'!$1:$1, 0)), "")</f>
        <v>0.38866080156402733</v>
      </c>
      <c r="N10" s="11" cm="1">
        <f t="array" ref="N10">IFERROR(INDEX('Master Data Sheet'!$1:$1048576, MATCH(1, ('Master Data Sheet'!$H:$H=N$2) * (INDEX('Master Data Sheet'!$1:$1, , MATCH($F$1, 'Master Data Sheet'!$1:$1, 0)) = $F$1) * ('Master Data Sheet'!$G:$G=$B10) * ('Master Data Sheet'!$F:$F=$E10) * ('Master Data Sheet'!$A:$A=$F10), 0), MATCH($F$1, 'Master Data Sheet'!$1:$1, 0)), "")</f>
        <v>0.56930596285434998</v>
      </c>
      <c r="O10" s="11">
        <f t="shared" si="8"/>
        <v>1.5178885630498533</v>
      </c>
      <c r="P10" s="11">
        <f t="shared" si="4"/>
        <v>1.0576850009223162</v>
      </c>
      <c r="Q10" s="11"/>
      <c r="R10" s="46">
        <f>(1-(O10/O4))*100</f>
        <v>40.732824427480921</v>
      </c>
      <c r="X10" t="str">
        <f>IFERROR(INDEX('Date Key'!$G$57:$G$62, MATCH(B9,'Date Key'!$A$57:$A$62, 0)), "")</f>
        <v>Low HLR, Lower Outlet Height, No Plants</v>
      </c>
      <c r="Y10" s="1">
        <f t="shared" ref="Y10:AE10" si="12">H9</f>
        <v>0</v>
      </c>
      <c r="Z10" s="1">
        <f t="shared" si="12"/>
        <v>0</v>
      </c>
      <c r="AA10" s="1">
        <f t="shared" si="12"/>
        <v>0.53646138807429133</v>
      </c>
      <c r="AB10" s="1">
        <f t="shared" si="12"/>
        <v>1.4451612903225808</v>
      </c>
      <c r="AC10" s="1">
        <f t="shared" si="12"/>
        <v>1.855718475073314</v>
      </c>
      <c r="AD10" s="1">
        <f t="shared" si="12"/>
        <v>1.9323558162267838</v>
      </c>
      <c r="AE10" s="1">
        <f t="shared" si="12"/>
        <v>1.9268817204301076</v>
      </c>
      <c r="AF10" s="1">
        <f t="shared" ref="AF10:AL10" si="13">H10</f>
        <v>1.7955034213098728</v>
      </c>
      <c r="AG10" s="1">
        <f t="shared" si="13"/>
        <v>3.0819159335288364</v>
      </c>
      <c r="AH10" s="1">
        <f t="shared" si="13"/>
        <v>2.6604105571847505</v>
      </c>
      <c r="AI10" s="1">
        <f t="shared" si="13"/>
        <v>1.4506353861192571</v>
      </c>
      <c r="AJ10" s="1">
        <f t="shared" si="13"/>
        <v>0.67878787878787872</v>
      </c>
      <c r="AK10" s="1">
        <f t="shared" si="13"/>
        <v>0.38866080156402733</v>
      </c>
      <c r="AL10" s="1">
        <f t="shared" si="13"/>
        <v>0.56930596285434998</v>
      </c>
      <c r="AM10" s="1">
        <f t="shared" ref="AM10:AS10" si="14">H11</f>
        <v>2.1896383186705767E-2</v>
      </c>
      <c r="AN10" s="1">
        <f t="shared" si="14"/>
        <v>2.7370478983382209E-2</v>
      </c>
      <c r="AO10" s="1">
        <f t="shared" si="14"/>
        <v>0</v>
      </c>
      <c r="AP10" s="1">
        <f t="shared" si="14"/>
        <v>3.8318670576735089E-2</v>
      </c>
      <c r="AQ10" s="1">
        <f t="shared" si="14"/>
        <v>5.4740957966764418E-2</v>
      </c>
      <c r="AR10" s="1">
        <f t="shared" si="14"/>
        <v>0</v>
      </c>
      <c r="AS10" s="1">
        <f t="shared" si="14"/>
        <v>0</v>
      </c>
    </row>
    <row r="11" spans="1:45" x14ac:dyDescent="0.35">
      <c r="A11" s="42">
        <f>IFERROR(INDEX('Date Key'!$B$2:$B$19, MATCH(F11,'Date Key'!$A$2:$A$19, 0)), "")</f>
        <v>45195</v>
      </c>
      <c r="B11" s="27">
        <f t="shared" si="0"/>
        <v>1</v>
      </c>
      <c r="C11" s="51" t="str">
        <f>IFERROR(INDEX('Date Key'!$G$57:$G$62, MATCH(B11,'Date Key'!$A$57:$A$62, 0)), "")</f>
        <v>Low HLR, Lower Outlet Height, No Plants</v>
      </c>
      <c r="D11" s="27" t="str">
        <f>IFERROR(INDEX('Date Key'!$G$2:$G$19, MATCH(F11, 'Date Key'!$A$2:$A$19, 0)), "")</f>
        <v>No</v>
      </c>
      <c r="E11" s="27" t="str">
        <f t="shared" si="1"/>
        <v>tank 2</v>
      </c>
      <c r="F11" s="27">
        <f t="shared" si="2"/>
        <v>3</v>
      </c>
      <c r="G11" s="27">
        <f t="shared" si="3"/>
        <v>3</v>
      </c>
      <c r="H11" s="28" cm="1">
        <f t="array" ref="H11">IFERROR(INDEX('Master Data Sheet'!$1:$1048576, MATCH(1, ('Master Data Sheet'!$H:$H=H$2) * (INDEX('Master Data Sheet'!$1:$1, , MATCH($F$1, 'Master Data Sheet'!$1:$1, 0)) = $F$1) * ('Master Data Sheet'!$G:$G=$B11) * ('Master Data Sheet'!$F:$F=$E11) * ('Master Data Sheet'!$A:$A=$F11), 0), MATCH($F$1, 'Master Data Sheet'!$1:$1, 0)), "")</f>
        <v>2.1896383186705767E-2</v>
      </c>
      <c r="I11" s="28" cm="1">
        <f t="array" ref="I11">IFERROR(INDEX('Master Data Sheet'!$1:$1048576, MATCH(1, ('Master Data Sheet'!$H:$H=I$2) * (INDEX('Master Data Sheet'!$1:$1, , MATCH($F$1, 'Master Data Sheet'!$1:$1, 0)) = $F$1) * ('Master Data Sheet'!$G:$G=$B11) * ('Master Data Sheet'!$F:$F=$E11) * ('Master Data Sheet'!$A:$A=$F11), 0), MATCH($F$1, 'Master Data Sheet'!$1:$1, 0)), "")</f>
        <v>2.7370478983382209E-2</v>
      </c>
      <c r="J11" s="28" cm="1">
        <f t="array" ref="J11">IFERROR(INDEX('Master Data Sheet'!$1:$1048576, MATCH(1, ('Master Data Sheet'!$H:$H=J$2) * (INDEX('Master Data Sheet'!$1:$1, , MATCH($F$1, 'Master Data Sheet'!$1:$1, 0)) = $F$1) * ('Master Data Sheet'!$G:$G=$B11) * ('Master Data Sheet'!$F:$F=$E11) * ('Master Data Sheet'!$A:$A=$F11), 0), MATCH($F$1, 'Master Data Sheet'!$1:$1, 0)), "")</f>
        <v>0</v>
      </c>
      <c r="K11" s="28" cm="1">
        <f t="array" ref="K11">IFERROR(INDEX('Master Data Sheet'!$1:$1048576, MATCH(1, ('Master Data Sheet'!$H:$H=K$2) * (INDEX('Master Data Sheet'!$1:$1, , MATCH($F$1, 'Master Data Sheet'!$1:$1, 0)) = $F$1) * ('Master Data Sheet'!$G:$G=$B11) * ('Master Data Sheet'!$F:$F=$E11) * ('Master Data Sheet'!$A:$A=$F11), 0), MATCH($F$1, 'Master Data Sheet'!$1:$1, 0)), "")</f>
        <v>3.8318670576735089E-2</v>
      </c>
      <c r="L11" s="28" cm="1">
        <f t="array" ref="L11">IFERROR(INDEX('Master Data Sheet'!$1:$1048576, MATCH(1, ('Master Data Sheet'!$H:$H=L$2) * (INDEX('Master Data Sheet'!$1:$1, , MATCH($F$1, 'Master Data Sheet'!$1:$1, 0)) = $F$1) * ('Master Data Sheet'!$G:$G=$B11) * ('Master Data Sheet'!$F:$F=$E11) * ('Master Data Sheet'!$A:$A=$F11), 0), MATCH($F$1, 'Master Data Sheet'!$1:$1, 0)), "")</f>
        <v>5.4740957966764418E-2</v>
      </c>
      <c r="M11" s="28" cm="1">
        <f t="array" ref="M11">IFERROR(INDEX('Master Data Sheet'!$1:$1048576, MATCH(1, ('Master Data Sheet'!$H:$H=M$2) * (INDEX('Master Data Sheet'!$1:$1, , MATCH($F$1, 'Master Data Sheet'!$1:$1, 0)) = $F$1) * ('Master Data Sheet'!$G:$G=$B11) * ('Master Data Sheet'!$F:$F=$E11) * ('Master Data Sheet'!$A:$A=$F11), 0), MATCH($F$1, 'Master Data Sheet'!$1:$1, 0)), "")</f>
        <v>0</v>
      </c>
      <c r="N11" s="28" cm="1">
        <f t="array" ref="N11">IFERROR(INDEX('Master Data Sheet'!$1:$1048576, MATCH(1, ('Master Data Sheet'!$H:$H=N$2) * (INDEX('Master Data Sheet'!$1:$1, , MATCH($F$1, 'Master Data Sheet'!$1:$1, 0)) = $F$1) * ('Master Data Sheet'!$G:$G=$B11) * ('Master Data Sheet'!$F:$F=$E11) * ('Master Data Sheet'!$A:$A=$F11), 0), MATCH($F$1, 'Master Data Sheet'!$1:$1, 0)), "")</f>
        <v>0</v>
      </c>
      <c r="O11" s="28">
        <f t="shared" si="8"/>
        <v>2.0332355816226784E-2</v>
      </c>
      <c r="P11" s="28">
        <f t="shared" si="4"/>
        <v>2.1601137543590433E-2</v>
      </c>
      <c r="Q11" s="28"/>
      <c r="R11" s="48">
        <f>(1-(O11/O5))*100</f>
        <v>98.422330097087368</v>
      </c>
      <c r="S11" s="27"/>
      <c r="T11" s="27"/>
      <c r="U11" s="27"/>
      <c r="V11" s="27"/>
    </row>
    <row r="12" spans="1:45" x14ac:dyDescent="0.35">
      <c r="A12" s="41">
        <f>IFERROR(INDEX('Date Key'!$B$2:$B$19, MATCH(F12,'Date Key'!$A$2:$A$19, 0)), "")</f>
        <v>45217</v>
      </c>
      <c r="B12" s="4">
        <f>INT((ROW(B10)-1)/9)+1</f>
        <v>2</v>
      </c>
      <c r="C12" s="26" t="str">
        <f>IFERROR(INDEX('Date Key'!$G$57:$G$62, MATCH(B12,'Date Key'!$A$57:$A$62, 0)), "")</f>
        <v>Medium HLR, Lower Outlet Height, No Plants</v>
      </c>
      <c r="D12" s="4" t="str">
        <f>IFERROR(INDEX('Date Key'!$G$2:$G$19, MATCH(F12, 'Date Key'!$A$2:$A$19, 0)), "")</f>
        <v>No</v>
      </c>
      <c r="E12" s="4" t="str">
        <f t="shared" si="1"/>
        <v>in</v>
      </c>
      <c r="F12" s="4">
        <f t="shared" si="2"/>
        <v>4</v>
      </c>
      <c r="G12" s="4">
        <f t="shared" si="3"/>
        <v>1</v>
      </c>
      <c r="H12" s="11" cm="1">
        <f t="array" ref="H12">IFERROR(INDEX('Master Data Sheet'!$1:$1048576, MATCH(1, ('Master Data Sheet'!$H:$H=H$2) * (INDEX('Master Data Sheet'!$1:$1, , MATCH($F$1, 'Master Data Sheet'!$1:$1, 0)) = $F$1) * ('Master Data Sheet'!$G:$G=$B12) * ('Master Data Sheet'!$F:$F=$E12) * ('Master Data Sheet'!$A:$A=$F12), 0), MATCH($F$1, 'Master Data Sheet'!$1:$1, 0)), "")</f>
        <v>3.5479785082432733</v>
      </c>
      <c r="I12" s="11" cm="1">
        <f t="array" ref="I12">IFERROR(INDEX('Master Data Sheet'!$1:$1048576, MATCH(1, ('Master Data Sheet'!$H:$H=I$2) * (INDEX('Master Data Sheet'!$1:$1, , MATCH($F$1, 'Master Data Sheet'!$1:$1, 0)) = $F$1) * ('Master Data Sheet'!$G:$G=$B12) * ('Master Data Sheet'!$F:$F=$E12) * ('Master Data Sheet'!$A:$A=$F12), 0), MATCH($F$1, 'Master Data Sheet'!$1:$1, 0)), "")</f>
        <v>2.9730944452389219</v>
      </c>
      <c r="J12" s="11" cm="1">
        <f t="array" ref="J12">IFERROR(INDEX('Master Data Sheet'!$1:$1048576, MATCH(1, ('Master Data Sheet'!$H:$H=J$2) * (INDEX('Master Data Sheet'!$1:$1, , MATCH($F$1, 'Master Data Sheet'!$1:$1, 0)) = $F$1) * ('Master Data Sheet'!$G:$G=$B12) * ('Master Data Sheet'!$F:$F=$E12) * ('Master Data Sheet'!$A:$A=$F12), 0), MATCH($F$1, 'Master Data Sheet'!$1:$1, 0)), "")</f>
        <v>0.97816094302232937</v>
      </c>
      <c r="K12" s="11" cm="1">
        <f t="array" ref="K12">IFERROR(INDEX('Master Data Sheet'!$1:$1048576, MATCH(1, ('Master Data Sheet'!$H:$H=K$2) * (INDEX('Master Data Sheet'!$1:$1, , MATCH($F$1, 'Master Data Sheet'!$1:$1, 0)) = $F$1) * ('Master Data Sheet'!$G:$G=$B12) * ('Master Data Sheet'!$F:$F=$E12) * ('Master Data Sheet'!$A:$A=$F12), 0), MATCH($F$1, 'Master Data Sheet'!$1:$1, 0)), "")</f>
        <v>0.92238860855175786</v>
      </c>
      <c r="L12" s="11" cm="1">
        <f t="array" ref="L12">IFERROR(INDEX('Master Data Sheet'!$1:$1048576, MATCH(1, ('Master Data Sheet'!$H:$H=L$2) * (INDEX('Master Data Sheet'!$1:$1, , MATCH($F$1, 'Master Data Sheet'!$1:$1, 0)) = $F$1) * ('Master Data Sheet'!$G:$G=$B12) * ('Master Data Sheet'!$F:$F=$E12) * ('Master Data Sheet'!$A:$A=$F12), 0), MATCH($F$1, 'Master Data Sheet'!$1:$1, 0)), "")</f>
        <v>0.76365196428936244</v>
      </c>
      <c r="M12" s="11" cm="1">
        <f t="array" ref="M12">IFERROR(INDEX('Master Data Sheet'!$1:$1048576, MATCH(1, ('Master Data Sheet'!$H:$H=M$2) * (INDEX('Master Data Sheet'!$1:$1, , MATCH($F$1, 'Master Data Sheet'!$1:$1, 0)) = $F$1) * ('Master Data Sheet'!$G:$G=$B12) * ('Master Data Sheet'!$F:$F=$E12) * ('Master Data Sheet'!$A:$A=$F12), 0), MATCH($F$1, 'Master Data Sheet'!$1:$1, 0)), "")</f>
        <v>0.71216980939345031</v>
      </c>
      <c r="N12" s="11" cm="1">
        <f t="array" ref="N12">IFERROR(INDEX('Master Data Sheet'!$1:$1048576, MATCH(1, ('Master Data Sheet'!$H:$H=N$2) * (INDEX('Master Data Sheet'!$1:$1, , MATCH($F$1, 'Master Data Sheet'!$1:$1, 0)) = $F$1) * ('Master Data Sheet'!$G:$G=$B12) * ('Master Data Sheet'!$F:$F=$E12) * ('Master Data Sheet'!$A:$A=$F12), 0), MATCH($F$1, 'Master Data Sheet'!$1:$1, 0)), "")</f>
        <v>0.74220106641606542</v>
      </c>
      <c r="O12" s="11">
        <f t="shared" si="8"/>
        <v>1.5199493350221656</v>
      </c>
      <c r="P12" s="11">
        <f t="shared" si="4"/>
        <v>1.2044730775066788</v>
      </c>
      <c r="Q12" s="11">
        <f>AVERAGE(O12:O14)</f>
        <v>1.6196356964914269</v>
      </c>
      <c r="S12" s="11">
        <f>AVERAGE(O12:O14)</f>
        <v>1.6196356964914269</v>
      </c>
      <c r="T12" s="11">
        <f>AVERAGE(P12:P14)</f>
        <v>0.81132295595106996</v>
      </c>
      <c r="V12" s="47">
        <f>AVERAGE(U15, U18)</f>
        <v>83.814285856074207</v>
      </c>
      <c r="X12" t="s">
        <v>343</v>
      </c>
    </row>
    <row r="13" spans="1:45" x14ac:dyDescent="0.35">
      <c r="A13" s="41">
        <f>IFERROR(INDEX('Date Key'!$B$2:$B$19, MATCH(F13,'Date Key'!$A$2:$A$19, 0)), "")</f>
        <v>45224</v>
      </c>
      <c r="B13" s="4">
        <f t="shared" ref="B13:B56" si="15">INT((ROW(B11)-1)/9)+1</f>
        <v>2</v>
      </c>
      <c r="C13" s="26" t="str">
        <f>IFERROR(INDEX('Date Key'!$G$57:$G$62, MATCH(B13,'Date Key'!$A$57:$A$62, 0)), "")</f>
        <v>Medium HLR, Lower Outlet Height, No Plants</v>
      </c>
      <c r="D13" s="4" t="str">
        <f>IFERROR(INDEX('Date Key'!$G$2:$G$19, MATCH(F13, 'Date Key'!$A$2:$A$19, 0)), "")</f>
        <v>No</v>
      </c>
      <c r="E13" s="4" t="str">
        <f t="shared" si="1"/>
        <v>in</v>
      </c>
      <c r="F13" s="4">
        <f t="shared" si="2"/>
        <v>5</v>
      </c>
      <c r="G13" s="4">
        <f t="shared" si="3"/>
        <v>2</v>
      </c>
      <c r="H13" s="11" cm="1">
        <f t="array" ref="H13">IFERROR(INDEX('Master Data Sheet'!$1:$1048576, MATCH(1, ('Master Data Sheet'!$H:$H=H$2) * (INDEX('Master Data Sheet'!$1:$1, , MATCH($F$1, 'Master Data Sheet'!$1:$1, 0)) = $F$1) * ('Master Data Sheet'!$G:$G=$B13) * ('Master Data Sheet'!$F:$F=$E13) * ('Master Data Sheet'!$A:$A=$F13), 0), MATCH($F$1, 'Master Data Sheet'!$1:$1, 0)), "")</f>
        <v>3.4235633005781527</v>
      </c>
      <c r="I13" s="11" cm="1">
        <f t="array" ref="I13">IFERROR(INDEX('Master Data Sheet'!$1:$1048576, MATCH(1, ('Master Data Sheet'!$H:$H=I$2) * (INDEX('Master Data Sheet'!$1:$1, , MATCH($F$1, 'Master Data Sheet'!$1:$1, 0)) = $F$1) * ('Master Data Sheet'!$G:$G=$B13) * ('Master Data Sheet'!$F:$F=$E13) * ('Master Data Sheet'!$A:$A=$F13), 0), MATCH($F$1, 'Master Data Sheet'!$1:$1, 0)), "")</f>
        <v>1.063964534515516</v>
      </c>
      <c r="J13" s="11" cm="1">
        <f t="array" ref="J13">IFERROR(INDEX('Master Data Sheet'!$1:$1048576, MATCH(1, ('Master Data Sheet'!$H:$H=J$2) * (INDEX('Master Data Sheet'!$1:$1, , MATCH($F$1, 'Master Data Sheet'!$1:$1, 0)) = $F$1) * ('Master Data Sheet'!$G:$G=$B13) * ('Master Data Sheet'!$F:$F=$E13) * ('Master Data Sheet'!$A:$A=$F13), 0), MATCH($F$1, 'Master Data Sheet'!$1:$1, 0)), "")</f>
        <v>0.84945555578254917</v>
      </c>
      <c r="K13" s="11" cm="1">
        <f t="array" ref="K13">IFERROR(INDEX('Master Data Sheet'!$1:$1048576, MATCH(1, ('Master Data Sheet'!$H:$H=K$2) * (INDEX('Master Data Sheet'!$1:$1, , MATCH($F$1, 'Master Data Sheet'!$1:$1, 0)) = $F$1) * ('Master Data Sheet'!$G:$G=$B13) * ('Master Data Sheet'!$F:$F=$E13) * ('Master Data Sheet'!$A:$A=$F13), 0), MATCH($F$1, 'Master Data Sheet'!$1:$1, 0)), "")</f>
        <v>0.8794868128051645</v>
      </c>
      <c r="L13" s="11" cm="1">
        <f t="array" ref="L13">IFERROR(INDEX('Master Data Sheet'!$1:$1048576, MATCH(1, ('Master Data Sheet'!$H:$H=L$2) * (INDEX('Master Data Sheet'!$1:$1, , MATCH($F$1, 'Master Data Sheet'!$1:$1, 0)) = $F$1) * ('Master Data Sheet'!$G:$G=$B13) * ('Master Data Sheet'!$F:$F=$E13) * ('Master Data Sheet'!$A:$A=$F13), 0), MATCH($F$1, 'Master Data Sheet'!$1:$1, 0)), "")</f>
        <v>0.67355819322151622</v>
      </c>
      <c r="M13" s="11" cm="1">
        <f t="array" ref="M13">IFERROR(INDEX('Master Data Sheet'!$1:$1048576, MATCH(1, ('Master Data Sheet'!$H:$H=M$2) * (INDEX('Master Data Sheet'!$1:$1, , MATCH($F$1, 'Master Data Sheet'!$1:$1, 0)) = $F$1) * ('Master Data Sheet'!$G:$G=$B13) * ('Master Data Sheet'!$F:$F=$E13) * ('Master Data Sheet'!$A:$A=$F13), 0), MATCH($F$1, 'Master Data Sheet'!$1:$1, 0)), "")</f>
        <v>0.66926801364685684</v>
      </c>
      <c r="N13" s="11" cm="1">
        <f t="array" ref="N13">IFERROR(INDEX('Master Data Sheet'!$1:$1048576, MATCH(1, ('Master Data Sheet'!$H:$H=N$2) * (INDEX('Master Data Sheet'!$1:$1, , MATCH($F$1, 'Master Data Sheet'!$1:$1, 0)) = $F$1) * ('Master Data Sheet'!$G:$G=$B13) * ('Master Data Sheet'!$F:$F=$E13) * ('Master Data Sheet'!$A:$A=$F13), 0), MATCH($F$1, 'Master Data Sheet'!$1:$1, 0)), "")</f>
        <v>0.70787962981879093</v>
      </c>
      <c r="O13" s="11">
        <f t="shared" si="8"/>
        <v>1.1810251486240781</v>
      </c>
      <c r="P13" s="11">
        <f t="shared" si="4"/>
        <v>0.99890181960005175</v>
      </c>
      <c r="Q13" s="11"/>
      <c r="X13" t="str">
        <f>IFERROR(INDEX('Date Key'!$G$57:$G$62, MATCH(B12,'Date Key'!$A$57:$A$62, 0)), "")</f>
        <v>Medium HLR, Lower Outlet Height, No Plants</v>
      </c>
      <c r="Y13" s="1">
        <f t="shared" ref="Y13:AE13" si="16">H12</f>
        <v>3.5479785082432733</v>
      </c>
      <c r="Z13" s="1">
        <f t="shared" si="16"/>
        <v>2.9730944452389219</v>
      </c>
      <c r="AA13" s="1">
        <f t="shared" si="16"/>
        <v>0.97816094302232937</v>
      </c>
      <c r="AB13" s="1">
        <f t="shared" si="16"/>
        <v>0.92238860855175786</v>
      </c>
      <c r="AC13" s="1">
        <f t="shared" si="16"/>
        <v>0.76365196428936244</v>
      </c>
      <c r="AD13" s="1">
        <f t="shared" si="16"/>
        <v>0.71216980939345031</v>
      </c>
      <c r="AE13" s="1">
        <f t="shared" si="16"/>
        <v>0.74220106641606542</v>
      </c>
      <c r="AF13" s="1">
        <f t="shared" ref="AF13:AL13" si="17">H13</f>
        <v>3.4235633005781527</v>
      </c>
      <c r="AG13" s="1">
        <f t="shared" si="17"/>
        <v>1.063964534515516</v>
      </c>
      <c r="AH13" s="1">
        <f t="shared" si="17"/>
        <v>0.84945555578254917</v>
      </c>
      <c r="AI13" s="1">
        <f t="shared" si="17"/>
        <v>0.8794868128051645</v>
      </c>
      <c r="AJ13" s="1">
        <f t="shared" si="17"/>
        <v>0.67355819322151622</v>
      </c>
      <c r="AK13" s="1">
        <f t="shared" si="17"/>
        <v>0.66926801364685684</v>
      </c>
      <c r="AL13" s="1">
        <f t="shared" si="17"/>
        <v>0.70787962981879093</v>
      </c>
      <c r="AM13" s="1">
        <f t="shared" ref="AM13:AS13" si="18">H14</f>
        <v>2.6106247751528961</v>
      </c>
      <c r="AN13" s="1">
        <f t="shared" si="18"/>
        <v>2.1573330135507858</v>
      </c>
      <c r="AO13" s="1">
        <f t="shared" si="18"/>
        <v>2.1363472838469848</v>
      </c>
      <c r="AP13" s="1">
        <f t="shared" si="18"/>
        <v>2.2580645161290329</v>
      </c>
      <c r="AQ13" s="1">
        <f t="shared" si="18"/>
        <v>1.9516728624535318</v>
      </c>
      <c r="AR13" s="1">
        <f t="shared" si="18"/>
        <v>1.9306871327497306</v>
      </c>
      <c r="AS13" s="1">
        <f t="shared" si="18"/>
        <v>2.060798656913299</v>
      </c>
    </row>
    <row r="14" spans="1:45" x14ac:dyDescent="0.35">
      <c r="A14" s="41">
        <f>IFERROR(INDEX('Date Key'!$B$2:$B$19, MATCH(F14,'Date Key'!$A$2:$A$19, 0)), "")</f>
        <v>45230</v>
      </c>
      <c r="B14" s="4">
        <f t="shared" si="15"/>
        <v>2</v>
      </c>
      <c r="C14" s="26" t="str">
        <f>IFERROR(INDEX('Date Key'!$G$57:$G$62, MATCH(B14,'Date Key'!$A$57:$A$62, 0)), "")</f>
        <v>Medium HLR, Lower Outlet Height, No Plants</v>
      </c>
      <c r="D14" s="4" t="str">
        <f>IFERROR(INDEX('Date Key'!$G$2:$G$19, MATCH(F14, 'Date Key'!$A$2:$A$19, 0)), "")</f>
        <v>Yes</v>
      </c>
      <c r="E14" s="4" t="str">
        <f t="shared" si="1"/>
        <v>in</v>
      </c>
      <c r="F14" s="4">
        <f t="shared" si="2"/>
        <v>6</v>
      </c>
      <c r="G14" s="4">
        <f t="shared" si="3"/>
        <v>3</v>
      </c>
      <c r="H14" s="11" cm="1">
        <f t="array" ref="H14">IFERROR(INDEX('Master Data Sheet'!$1:$1048576, MATCH(1, ('Master Data Sheet'!$H:$H=H$2) * (INDEX('Master Data Sheet'!$1:$1, , MATCH($F$1, 'Master Data Sheet'!$1:$1, 0)) = $F$1) * ('Master Data Sheet'!$G:$G=$B14) * ('Master Data Sheet'!$F:$F=$E14) * ('Master Data Sheet'!$A:$A=$F14), 0), MATCH($F$1, 'Master Data Sheet'!$1:$1, 0)), "")</f>
        <v>2.6106247751528961</v>
      </c>
      <c r="I14" s="11" cm="1">
        <f t="array" ref="I14">IFERROR(INDEX('Master Data Sheet'!$1:$1048576, MATCH(1, ('Master Data Sheet'!$H:$H=I$2) * (INDEX('Master Data Sheet'!$1:$1, , MATCH($F$1, 'Master Data Sheet'!$1:$1, 0)) = $F$1) * ('Master Data Sheet'!$G:$G=$B14) * ('Master Data Sheet'!$F:$F=$E14) * ('Master Data Sheet'!$A:$A=$F14), 0), MATCH($F$1, 'Master Data Sheet'!$1:$1, 0)), "")</f>
        <v>2.1573330135507858</v>
      </c>
      <c r="J14" s="11" cm="1">
        <f t="array" ref="J14">IFERROR(INDEX('Master Data Sheet'!$1:$1048576, MATCH(1, ('Master Data Sheet'!$H:$H=J$2) * (INDEX('Master Data Sheet'!$1:$1, , MATCH($F$1, 'Master Data Sheet'!$1:$1, 0)) = $F$1) * ('Master Data Sheet'!$G:$G=$B14) * ('Master Data Sheet'!$F:$F=$E14) * ('Master Data Sheet'!$A:$A=$F14), 0), MATCH($F$1, 'Master Data Sheet'!$1:$1, 0)), "")</f>
        <v>2.1363472838469848</v>
      </c>
      <c r="K14" s="11" cm="1">
        <f t="array" ref="K14">IFERROR(INDEX('Master Data Sheet'!$1:$1048576, MATCH(1, ('Master Data Sheet'!$H:$H=K$2) * (INDEX('Master Data Sheet'!$1:$1, , MATCH($F$1, 'Master Data Sheet'!$1:$1, 0)) = $F$1) * ('Master Data Sheet'!$G:$G=$B14) * ('Master Data Sheet'!$F:$F=$E14) * ('Master Data Sheet'!$A:$A=$F14), 0), MATCH($F$1, 'Master Data Sheet'!$1:$1, 0)), "")</f>
        <v>2.2580645161290329</v>
      </c>
      <c r="L14" s="11" cm="1">
        <f t="array" ref="L14">IFERROR(INDEX('Master Data Sheet'!$1:$1048576, MATCH(1, ('Master Data Sheet'!$H:$H=L$2) * (INDEX('Master Data Sheet'!$1:$1, , MATCH($F$1, 'Master Data Sheet'!$1:$1, 0)) = $F$1) * ('Master Data Sheet'!$G:$G=$B14) * ('Master Data Sheet'!$F:$F=$E14) * ('Master Data Sheet'!$A:$A=$F14), 0), MATCH($F$1, 'Master Data Sheet'!$1:$1, 0)), "")</f>
        <v>1.9516728624535318</v>
      </c>
      <c r="M14" s="11" cm="1">
        <f t="array" ref="M14">IFERROR(INDEX('Master Data Sheet'!$1:$1048576, MATCH(1, ('Master Data Sheet'!$H:$H=M$2) * (INDEX('Master Data Sheet'!$1:$1, , MATCH($F$1, 'Master Data Sheet'!$1:$1, 0)) = $F$1) * ('Master Data Sheet'!$G:$G=$B14) * ('Master Data Sheet'!$F:$F=$E14) * ('Master Data Sheet'!$A:$A=$F14), 0), MATCH($F$1, 'Master Data Sheet'!$1:$1, 0)), "")</f>
        <v>1.9306871327497306</v>
      </c>
      <c r="N14" s="11" cm="1">
        <f t="array" ref="N14">IFERROR(INDEX('Master Data Sheet'!$1:$1048576, MATCH(1, ('Master Data Sheet'!$H:$H=N$2) * (INDEX('Master Data Sheet'!$1:$1, , MATCH($F$1, 'Master Data Sheet'!$1:$1, 0)) = $F$1) * ('Master Data Sheet'!$G:$G=$B14) * ('Master Data Sheet'!$F:$F=$E14) * ('Master Data Sheet'!$A:$A=$F14), 0), MATCH($F$1, 'Master Data Sheet'!$1:$1, 0)), "")</f>
        <v>2.060798656913299</v>
      </c>
      <c r="O14" s="11">
        <f t="shared" si="8"/>
        <v>2.1579326058280368</v>
      </c>
      <c r="P14" s="11">
        <f t="shared" si="4"/>
        <v>0.23059397074647942</v>
      </c>
      <c r="Q14" s="11"/>
      <c r="Y14" s="1"/>
      <c r="Z14" s="1"/>
      <c r="AA14" s="1"/>
      <c r="AB14" s="1"/>
      <c r="AC14" s="1"/>
      <c r="AD14" s="1"/>
      <c r="AE14" s="1"/>
      <c r="AF14" s="1"/>
      <c r="AG14" s="1"/>
      <c r="AH14" s="1"/>
      <c r="AI14" s="1"/>
      <c r="AJ14" s="1"/>
      <c r="AK14" s="1"/>
      <c r="AL14" s="1"/>
      <c r="AM14" s="1"/>
      <c r="AN14" s="1"/>
      <c r="AO14" s="1"/>
      <c r="AP14" s="1"/>
      <c r="AQ14" s="1"/>
      <c r="AR14" s="1"/>
      <c r="AS14" s="1"/>
    </row>
    <row r="15" spans="1:45" x14ac:dyDescent="0.35">
      <c r="A15" s="41">
        <f>IFERROR(INDEX('Date Key'!$B$2:$B$19, MATCH(F15,'Date Key'!$A$2:$A$19, 0)), "")</f>
        <v>45217</v>
      </c>
      <c r="B15" s="4">
        <f t="shared" si="15"/>
        <v>2</v>
      </c>
      <c r="C15" s="26" t="str">
        <f>IFERROR(INDEX('Date Key'!$G$57:$G$62, MATCH(B15,'Date Key'!$A$57:$A$62, 0)), "")</f>
        <v>Medium HLR, Lower Outlet Height, No Plants</v>
      </c>
      <c r="D15" s="4" t="str">
        <f>IFERROR(INDEX('Date Key'!$G$2:$G$19, MATCH(F15, 'Date Key'!$A$2:$A$19, 0)), "")</f>
        <v>No</v>
      </c>
      <c r="E15" s="4" t="str">
        <f t="shared" si="1"/>
        <v>tank 1</v>
      </c>
      <c r="F15" s="4">
        <f t="shared" si="2"/>
        <v>4</v>
      </c>
      <c r="G15" s="4">
        <f t="shared" si="3"/>
        <v>1</v>
      </c>
      <c r="H15" s="11" cm="1">
        <f t="array" ref="H15">IFERROR(INDEX('Master Data Sheet'!$1:$1048576, MATCH(1, ('Master Data Sheet'!$H:$H=H$2) * (INDEX('Master Data Sheet'!$1:$1, , MATCH($F$1, 'Master Data Sheet'!$1:$1, 0)) = $F$1) * ('Master Data Sheet'!$G:$G=$B15) * ('Master Data Sheet'!$F:$F=$E15) * ('Master Data Sheet'!$A:$A=$F15), 0), MATCH($F$1, 'Master Data Sheet'!$1:$1, 0)), "")</f>
        <v>0.2059286195836483</v>
      </c>
      <c r="I15" s="11" cm="1">
        <f t="array" ref="I15">IFERROR(INDEX('Master Data Sheet'!$1:$1048576, MATCH(1, ('Master Data Sheet'!$H:$H=I$2) * (INDEX('Master Data Sheet'!$1:$1, , MATCH($F$1, 'Master Data Sheet'!$1:$1, 0)) = $F$1) * ('Master Data Sheet'!$G:$G=$B15) * ('Master Data Sheet'!$F:$F=$E15) * ('Master Data Sheet'!$A:$A=$F15), 0), MATCH($F$1, 'Master Data Sheet'!$1:$1, 0)), "")</f>
        <v>0</v>
      </c>
      <c r="J15" s="11" cm="1">
        <f t="array" ref="J15">IFERROR(INDEX('Master Data Sheet'!$1:$1048576, MATCH(1, ('Master Data Sheet'!$H:$H=J$2) * (INDEX('Master Data Sheet'!$1:$1, , MATCH($F$1, 'Master Data Sheet'!$1:$1, 0)) = $F$1) * ('Master Data Sheet'!$G:$G=$B15) * ('Master Data Sheet'!$F:$F=$E15) * ('Master Data Sheet'!$A:$A=$F15), 0), MATCH($F$1, 'Master Data Sheet'!$1:$1, 0)), "")</f>
        <v>6.0062514045230747E-2</v>
      </c>
      <c r="K15" s="11" cm="1">
        <f t="array" ref="K15">IFERROR(INDEX('Master Data Sheet'!$1:$1048576, MATCH(1, ('Master Data Sheet'!$H:$H=K$2) * (INDEX('Master Data Sheet'!$1:$1, , MATCH($F$1, 'Master Data Sheet'!$1:$1, 0)) = $F$1) * ('Master Data Sheet'!$G:$G=$B15) * ('Master Data Sheet'!$F:$F=$E15) * ('Master Data Sheet'!$A:$A=$F15), 0), MATCH($F$1, 'Master Data Sheet'!$1:$1, 0)), "")</f>
        <v>0.18876790128501089</v>
      </c>
      <c r="L15" s="11" cm="1">
        <f t="array" ref="L15">IFERROR(INDEX('Master Data Sheet'!$1:$1048576, MATCH(1, ('Master Data Sheet'!$H:$H=L$2) * (INDEX('Master Data Sheet'!$1:$1, , MATCH($F$1, 'Master Data Sheet'!$1:$1, 0)) = $F$1) * ('Master Data Sheet'!$G:$G=$B15) * ('Master Data Sheet'!$F:$F=$E15) * ('Master Data Sheet'!$A:$A=$F15), 0), MATCH($F$1, 'Master Data Sheet'!$1:$1, 0)), "")</f>
        <v>3.8611616171934045E-2</v>
      </c>
      <c r="M15" s="11" cm="1">
        <f t="array" ref="M15">IFERROR(INDEX('Master Data Sheet'!$1:$1048576, MATCH(1, ('Master Data Sheet'!$H:$H=M$2) * (INDEX('Master Data Sheet'!$1:$1, , MATCH($F$1, 'Master Data Sheet'!$1:$1, 0)) = $F$1) * ('Master Data Sheet'!$G:$G=$B15) * ('Master Data Sheet'!$F:$F=$E15) * ('Master Data Sheet'!$A:$A=$F15), 0), MATCH($F$1, 'Master Data Sheet'!$1:$1, 0)), "")</f>
        <v>0</v>
      </c>
      <c r="N15" s="11" cm="1">
        <f t="array" ref="N15">IFERROR(INDEX('Master Data Sheet'!$1:$1048576, MATCH(1, ('Master Data Sheet'!$H:$H=N$2) * (INDEX('Master Data Sheet'!$1:$1, , MATCH($F$1, 'Master Data Sheet'!$1:$1, 0)) = $F$1) * ('Master Data Sheet'!$G:$G=$B15) * ('Master Data Sheet'!$F:$F=$E15) * ('Master Data Sheet'!$A:$A=$F15), 0), MATCH($F$1, 'Master Data Sheet'!$1:$1, 0)), "")</f>
        <v>2.1450897873296695E-2</v>
      </c>
      <c r="O15" s="11">
        <f t="shared" si="8"/>
        <v>7.3545935565588666E-2</v>
      </c>
      <c r="P15" s="11">
        <f t="shared" si="4"/>
        <v>8.7307300160661835E-2</v>
      </c>
      <c r="Q15" s="11">
        <f>AVERAGE(O15:O17)</f>
        <v>5.2042888226759447E-2</v>
      </c>
      <c r="R15" s="46">
        <f>(1-(O15/O12))*100</f>
        <v>95.161290322580655</v>
      </c>
      <c r="S15" s="46">
        <f>AVERAGE(R15:R17)</f>
        <v>96.853030751606312</v>
      </c>
      <c r="T15" s="46">
        <f>STDEV(R15:R17)</f>
        <v>1.5789016580895465</v>
      </c>
      <c r="U15" s="47">
        <f>(1-(AVERAGE(H15:N17)/AVERAGE(H12:N14)))*100</f>
        <v>96.78675344464817</v>
      </c>
      <c r="Y15" s="2"/>
      <c r="Z15" s="2"/>
      <c r="AA15" s="2"/>
      <c r="AB15" s="2"/>
      <c r="AC15" s="2"/>
      <c r="AD15" s="2"/>
      <c r="AE15" s="2"/>
      <c r="AF15" s="2"/>
      <c r="AG15" s="2"/>
    </row>
    <row r="16" spans="1:45" x14ac:dyDescent="0.35">
      <c r="A16" s="41">
        <f>IFERROR(INDEX('Date Key'!$B$2:$B$19, MATCH(F16,'Date Key'!$A$2:$A$19, 0)), "")</f>
        <v>45224</v>
      </c>
      <c r="B16" s="4">
        <f t="shared" si="15"/>
        <v>2</v>
      </c>
      <c r="C16" s="26" t="str">
        <f>IFERROR(INDEX('Date Key'!$G$57:$G$62, MATCH(B16,'Date Key'!$A$57:$A$62, 0)), "")</f>
        <v>Medium HLR, Lower Outlet Height, No Plants</v>
      </c>
      <c r="D16" s="4" t="str">
        <f>IFERROR(INDEX('Date Key'!$G$2:$G$19, MATCH(F16, 'Date Key'!$A$2:$A$19, 0)), "")</f>
        <v>No</v>
      </c>
      <c r="E16" s="4" t="str">
        <f t="shared" si="1"/>
        <v>tank 1</v>
      </c>
      <c r="F16" s="4">
        <f t="shared" si="2"/>
        <v>5</v>
      </c>
      <c r="G16" s="4">
        <f>MOD(ROW(G16)-ROW($G$3), 3) + 1</f>
        <v>2</v>
      </c>
      <c r="H16" s="11" cm="1">
        <f t="array" ref="H16">IFERROR(INDEX('Master Data Sheet'!$1:$1048576, MATCH(1, ('Master Data Sheet'!$H:$H=H$2) * (INDEX('Master Data Sheet'!$1:$1, , MATCH($F$1, 'Master Data Sheet'!$1:$1, 0)) = $F$1) * ('Master Data Sheet'!$G:$G=$B16) * ('Master Data Sheet'!$F:$F=$E16) * ('Master Data Sheet'!$A:$A=$F16), 0), MATCH($F$1, 'Master Data Sheet'!$1:$1, 0)), "")</f>
        <v>7.2933052769208778E-2</v>
      </c>
      <c r="I16" s="11" cm="1">
        <f t="array" ref="I16">IFERROR(INDEX('Master Data Sheet'!$1:$1048576, MATCH(1, ('Master Data Sheet'!$H:$H=I$2) * (INDEX('Master Data Sheet'!$1:$1, , MATCH($F$1, 'Master Data Sheet'!$1:$1, 0)) = $F$1) * ('Master Data Sheet'!$G:$G=$B16) * ('Master Data Sheet'!$F:$F=$E16) * ('Master Data Sheet'!$A:$A=$F16), 0), MATCH($F$1, 'Master Data Sheet'!$1:$1, 0)), "")</f>
        <v>2.5741077447956038E-2</v>
      </c>
      <c r="J16" s="11" cm="1">
        <f t="array" ref="J16">IFERROR(INDEX('Master Data Sheet'!$1:$1048576, MATCH(1, ('Master Data Sheet'!$H:$H=J$2) * (INDEX('Master Data Sheet'!$1:$1, , MATCH($F$1, 'Master Data Sheet'!$1:$1, 0)) = $F$1) * ('Master Data Sheet'!$G:$G=$B16) * ('Master Data Sheet'!$F:$F=$E16) * ('Master Data Sheet'!$A:$A=$F16), 0), MATCH($F$1, 'Master Data Sheet'!$1:$1, 0)), "")</f>
        <v>2.1450897873296695E-2</v>
      </c>
      <c r="K16" s="11" cm="1">
        <f t="array" ref="K16">IFERROR(INDEX('Master Data Sheet'!$1:$1048576, MATCH(1, ('Master Data Sheet'!$H:$H=K$2) * (INDEX('Master Data Sheet'!$1:$1, , MATCH($F$1, 'Master Data Sheet'!$1:$1, 0)) = $F$1) * ('Master Data Sheet'!$G:$G=$B16) * ('Master Data Sheet'!$F:$F=$E16) * ('Master Data Sheet'!$A:$A=$F16), 0), MATCH($F$1, 'Master Data Sheet'!$1:$1, 0)), "")</f>
        <v>2.1450897873296695E-2</v>
      </c>
      <c r="L16" s="11" cm="1">
        <f t="array" ref="L16">IFERROR(INDEX('Master Data Sheet'!$1:$1048576, MATCH(1, ('Master Data Sheet'!$H:$H=L$2) * (INDEX('Master Data Sheet'!$1:$1, , MATCH($F$1, 'Master Data Sheet'!$1:$1, 0)) = $F$1) * ('Master Data Sheet'!$G:$G=$B16) * ('Master Data Sheet'!$F:$F=$E16) * ('Master Data Sheet'!$A:$A=$F16), 0), MATCH($F$1, 'Master Data Sheet'!$1:$1, 0)), "")</f>
        <v>0</v>
      </c>
      <c r="M16" s="11" cm="1">
        <f t="array" ref="M16">IFERROR(INDEX('Master Data Sheet'!$1:$1048576, MATCH(1, ('Master Data Sheet'!$H:$H=M$2) * (INDEX('Master Data Sheet'!$1:$1, , MATCH($F$1, 'Master Data Sheet'!$1:$1, 0)) = $F$1) * ('Master Data Sheet'!$G:$G=$B16) * ('Master Data Sheet'!$F:$F=$E16) * ('Master Data Sheet'!$A:$A=$F16), 0), MATCH($F$1, 'Master Data Sheet'!$1:$1, 0)), "")</f>
        <v>0</v>
      </c>
      <c r="N16" s="11" cm="1">
        <f t="array" ref="N16">IFERROR(INDEX('Master Data Sheet'!$1:$1048576, MATCH(1, ('Master Data Sheet'!$H:$H=N$2) * (INDEX('Master Data Sheet'!$1:$1, , MATCH($F$1, 'Master Data Sheet'!$1:$1, 0)) = $F$1) * ('Master Data Sheet'!$G:$G=$B16) * ('Master Data Sheet'!$F:$F=$E16) * ('Master Data Sheet'!$A:$A=$F16), 0), MATCH($F$1, 'Master Data Sheet'!$1:$1, 0)), "")</f>
        <v>0</v>
      </c>
      <c r="O16" s="11">
        <f t="shared" si="8"/>
        <v>2.0225132280536885E-2</v>
      </c>
      <c r="P16" s="11">
        <f t="shared" si="4"/>
        <v>2.594456739281709E-2</v>
      </c>
      <c r="Q16" s="11"/>
      <c r="R16" s="46">
        <f>(1-(O16/O13))*100</f>
        <v>98.287493513233002</v>
      </c>
      <c r="X16" t="str">
        <f>IFERROR(INDEX('Date Key'!$G$57:$G$62, MATCH(B15,'Date Key'!$A$57:$A$62, 0)), "")</f>
        <v>Medium HLR, Lower Outlet Height, No Plants</v>
      </c>
      <c r="Y16" s="1">
        <f t="shared" ref="Y16:AE16" si="19">H15</f>
        <v>0.2059286195836483</v>
      </c>
      <c r="Z16" s="1">
        <f t="shared" si="19"/>
        <v>0</v>
      </c>
      <c r="AA16" s="1">
        <f t="shared" si="19"/>
        <v>6.0062514045230747E-2</v>
      </c>
      <c r="AB16" s="1">
        <f t="shared" si="19"/>
        <v>0.18876790128501089</v>
      </c>
      <c r="AC16" s="1">
        <f t="shared" si="19"/>
        <v>3.8611616171934045E-2</v>
      </c>
      <c r="AD16" s="1">
        <f t="shared" si="19"/>
        <v>0</v>
      </c>
      <c r="AE16" s="1">
        <f t="shared" si="19"/>
        <v>2.1450897873296695E-2</v>
      </c>
      <c r="AF16" s="1">
        <f t="shared" ref="AF16:AL16" si="20">H16</f>
        <v>7.2933052769208778E-2</v>
      </c>
      <c r="AG16" s="1">
        <f t="shared" si="20"/>
        <v>2.5741077447956038E-2</v>
      </c>
      <c r="AH16" s="1">
        <f t="shared" si="20"/>
        <v>2.1450897873296695E-2</v>
      </c>
      <c r="AI16" s="1">
        <f t="shared" si="20"/>
        <v>2.1450897873296695E-2</v>
      </c>
      <c r="AJ16" s="1">
        <f t="shared" si="20"/>
        <v>0</v>
      </c>
      <c r="AK16" s="1">
        <f t="shared" si="20"/>
        <v>0</v>
      </c>
      <c r="AL16" s="1">
        <f t="shared" si="20"/>
        <v>0</v>
      </c>
      <c r="AM16" s="1">
        <f t="shared" ref="AM16:AS16" si="21">H17</f>
        <v>0</v>
      </c>
      <c r="AN16" s="1">
        <f t="shared" si="21"/>
        <v>0</v>
      </c>
      <c r="AO16" s="1">
        <f t="shared" si="21"/>
        <v>8.3942918815205672E-2</v>
      </c>
      <c r="AP16" s="1">
        <f t="shared" si="21"/>
        <v>0.12591437822280849</v>
      </c>
      <c r="AQ16" s="1">
        <f t="shared" si="21"/>
        <v>7.974577287444537E-2</v>
      </c>
      <c r="AR16" s="1">
        <f t="shared" si="21"/>
        <v>3.7774313466842541E-2</v>
      </c>
      <c r="AS16" s="1">
        <f t="shared" si="21"/>
        <v>0.10912579445976738</v>
      </c>
    </row>
    <row r="17" spans="1:45" x14ac:dyDescent="0.35">
      <c r="A17" s="41">
        <f>IFERROR(INDEX('Date Key'!$B$2:$B$19, MATCH(F17,'Date Key'!$A$2:$A$19, 0)), "")</f>
        <v>45230</v>
      </c>
      <c r="B17" s="4">
        <f t="shared" si="15"/>
        <v>2</v>
      </c>
      <c r="C17" s="26" t="str">
        <f>IFERROR(INDEX('Date Key'!$G$57:$G$62, MATCH(B17,'Date Key'!$A$57:$A$62, 0)), "")</f>
        <v>Medium HLR, Lower Outlet Height, No Plants</v>
      </c>
      <c r="D17" s="4" t="str">
        <f>IFERROR(INDEX('Date Key'!$G$2:$G$19, MATCH(F17, 'Date Key'!$A$2:$A$19, 0)), "")</f>
        <v>Yes</v>
      </c>
      <c r="E17" s="4" t="str">
        <f t="shared" si="1"/>
        <v>tank 1</v>
      </c>
      <c r="F17" s="4">
        <f t="shared" si="2"/>
        <v>6</v>
      </c>
      <c r="G17" s="4">
        <f t="shared" ref="G17:G56" si="22">MOD(ROW(G17)-ROW($G$3), 3) + 1</f>
        <v>3</v>
      </c>
      <c r="H17" s="11" cm="1">
        <f t="array" ref="H17">IFERROR(INDEX('Master Data Sheet'!$1:$1048576, MATCH(1, ('Master Data Sheet'!$H:$H=H$2) * (INDEX('Master Data Sheet'!$1:$1, , MATCH($F$1, 'Master Data Sheet'!$1:$1, 0)) = $F$1) * ('Master Data Sheet'!$G:$G=$B17) * ('Master Data Sheet'!$F:$F=$E17) * ('Master Data Sheet'!$A:$A=$F17), 0), MATCH($F$1, 'Master Data Sheet'!$1:$1, 0)), "")</f>
        <v>0</v>
      </c>
      <c r="I17" s="11" cm="1">
        <f t="array" ref="I17">IFERROR(INDEX('Master Data Sheet'!$1:$1048576, MATCH(1, ('Master Data Sheet'!$H:$H=I$2) * (INDEX('Master Data Sheet'!$1:$1, , MATCH($F$1, 'Master Data Sheet'!$1:$1, 0)) = $F$1) * ('Master Data Sheet'!$G:$G=$B17) * ('Master Data Sheet'!$F:$F=$E17) * ('Master Data Sheet'!$A:$A=$F17), 0), MATCH($F$1, 'Master Data Sheet'!$1:$1, 0)), "")</f>
        <v>0</v>
      </c>
      <c r="J17" s="11" cm="1">
        <f t="array" ref="J17">IFERROR(INDEX('Master Data Sheet'!$1:$1048576, MATCH(1, ('Master Data Sheet'!$H:$H=J$2) * (INDEX('Master Data Sheet'!$1:$1, , MATCH($F$1, 'Master Data Sheet'!$1:$1, 0)) = $F$1) * ('Master Data Sheet'!$G:$G=$B17) * ('Master Data Sheet'!$F:$F=$E17) * ('Master Data Sheet'!$A:$A=$F17), 0), MATCH($F$1, 'Master Data Sheet'!$1:$1, 0)), "")</f>
        <v>8.3942918815205672E-2</v>
      </c>
      <c r="K17" s="11" cm="1">
        <f t="array" ref="K17">IFERROR(INDEX('Master Data Sheet'!$1:$1048576, MATCH(1, ('Master Data Sheet'!$H:$H=K$2) * (INDEX('Master Data Sheet'!$1:$1, , MATCH($F$1, 'Master Data Sheet'!$1:$1, 0)) = $F$1) * ('Master Data Sheet'!$G:$G=$B17) * ('Master Data Sheet'!$F:$F=$E17) * ('Master Data Sheet'!$A:$A=$F17), 0), MATCH($F$1, 'Master Data Sheet'!$1:$1, 0)), "")</f>
        <v>0.12591437822280849</v>
      </c>
      <c r="L17" s="11" cm="1">
        <f t="array" ref="L17">IFERROR(INDEX('Master Data Sheet'!$1:$1048576, MATCH(1, ('Master Data Sheet'!$H:$H=L$2) * (INDEX('Master Data Sheet'!$1:$1, , MATCH($F$1, 'Master Data Sheet'!$1:$1, 0)) = $F$1) * ('Master Data Sheet'!$G:$G=$B17) * ('Master Data Sheet'!$F:$F=$E17) * ('Master Data Sheet'!$A:$A=$F17), 0), MATCH($F$1, 'Master Data Sheet'!$1:$1, 0)), "")</f>
        <v>7.974577287444537E-2</v>
      </c>
      <c r="M17" s="11" cm="1">
        <f t="array" ref="M17">IFERROR(INDEX('Master Data Sheet'!$1:$1048576, MATCH(1, ('Master Data Sheet'!$H:$H=M$2) * (INDEX('Master Data Sheet'!$1:$1, , MATCH($F$1, 'Master Data Sheet'!$1:$1, 0)) = $F$1) * ('Master Data Sheet'!$G:$G=$B17) * ('Master Data Sheet'!$F:$F=$E17) * ('Master Data Sheet'!$A:$A=$F17), 0), MATCH($F$1, 'Master Data Sheet'!$1:$1, 0)), "")</f>
        <v>3.7774313466842541E-2</v>
      </c>
      <c r="N17" s="11" cm="1">
        <f t="array" ref="N17">IFERROR(INDEX('Master Data Sheet'!$1:$1048576, MATCH(1, ('Master Data Sheet'!$H:$H=N$2) * (INDEX('Master Data Sheet'!$1:$1, , MATCH($F$1, 'Master Data Sheet'!$1:$1, 0)) = $F$1) * ('Master Data Sheet'!$G:$G=$B17) * ('Master Data Sheet'!$F:$F=$E17) * ('Master Data Sheet'!$A:$A=$F17), 0), MATCH($F$1, 'Master Data Sheet'!$1:$1, 0)), "")</f>
        <v>0.10912579445976738</v>
      </c>
      <c r="O17" s="11">
        <f t="shared" si="8"/>
        <v>6.2357596834152783E-2</v>
      </c>
      <c r="P17" s="11">
        <f t="shared" si="4"/>
        <v>5.0623250830105715E-2</v>
      </c>
      <c r="Q17" s="11"/>
      <c r="R17" s="46">
        <f>(1-(O17/O14))*100</f>
        <v>97.110308419005278</v>
      </c>
      <c r="Y17" s="2"/>
      <c r="Z17" s="2"/>
      <c r="AA17" s="2"/>
      <c r="AB17" s="2"/>
      <c r="AC17" s="2"/>
      <c r="AD17" s="2"/>
      <c r="AE17" s="2"/>
      <c r="AF17" s="2"/>
      <c r="AG17" s="2"/>
    </row>
    <row r="18" spans="1:45" x14ac:dyDescent="0.35">
      <c r="A18" s="41">
        <f>IFERROR(INDEX('Date Key'!$B$2:$B$19, MATCH(F18,'Date Key'!$A$2:$A$19, 0)), "")</f>
        <v>45217</v>
      </c>
      <c r="B18" s="4">
        <f t="shared" si="15"/>
        <v>2</v>
      </c>
      <c r="C18" s="26" t="str">
        <f>IFERROR(INDEX('Date Key'!$G$57:$G$62, MATCH(B18,'Date Key'!$A$57:$A$62, 0)), "")</f>
        <v>Medium HLR, Lower Outlet Height, No Plants</v>
      </c>
      <c r="D18" s="4" t="str">
        <f>IFERROR(INDEX('Date Key'!$G$2:$G$19, MATCH(F18, 'Date Key'!$A$2:$A$19, 0)), "")</f>
        <v>No</v>
      </c>
      <c r="E18" s="4" t="str">
        <f t="shared" si="1"/>
        <v>tank 2</v>
      </c>
      <c r="F18" s="4">
        <f t="shared" si="2"/>
        <v>4</v>
      </c>
      <c r="G18" s="4">
        <f t="shared" si="22"/>
        <v>1</v>
      </c>
      <c r="H18" s="11" cm="1">
        <f t="array" ref="H18">IFERROR(INDEX('Master Data Sheet'!$1:$1048576, MATCH(1, ('Master Data Sheet'!$H:$H=H$2) * (INDEX('Master Data Sheet'!$1:$1, , MATCH($F$1, 'Master Data Sheet'!$1:$1, 0)) = $F$1) * ('Master Data Sheet'!$G:$G=$B18) * ('Master Data Sheet'!$F:$F=$E18) * ('Master Data Sheet'!$A:$A=$F18), 0), MATCH($F$1, 'Master Data Sheet'!$1:$1, 0)), "")</f>
        <v>3.8611616171934045E-2</v>
      </c>
      <c r="I18" s="11" cm="1">
        <f t="array" ref="I18">IFERROR(INDEX('Master Data Sheet'!$1:$1048576, MATCH(1, ('Master Data Sheet'!$H:$H=I$2) * (INDEX('Master Data Sheet'!$1:$1, , MATCH($F$1, 'Master Data Sheet'!$1:$1, 0)) = $F$1) * ('Master Data Sheet'!$G:$G=$B18) * ('Master Data Sheet'!$F:$F=$E18) * ('Master Data Sheet'!$A:$A=$F18), 0), MATCH($F$1, 'Master Data Sheet'!$1:$1, 0)), "")</f>
        <v>0</v>
      </c>
      <c r="J18" s="11" cm="1">
        <f t="array" ref="J18">IFERROR(INDEX('Master Data Sheet'!$1:$1048576, MATCH(1, ('Master Data Sheet'!$H:$H=J$2) * (INDEX('Master Data Sheet'!$1:$1, , MATCH($F$1, 'Master Data Sheet'!$1:$1, 0)) = $F$1) * ('Master Data Sheet'!$G:$G=$B18) * ('Master Data Sheet'!$F:$F=$E18) * ('Master Data Sheet'!$A:$A=$F18), 0), MATCH($F$1, 'Master Data Sheet'!$1:$1, 0)), "")</f>
        <v>0.62636621790026337</v>
      </c>
      <c r="K18" s="11" cm="1">
        <f t="array" ref="K18">IFERROR(INDEX('Master Data Sheet'!$1:$1048576, MATCH(1, ('Master Data Sheet'!$H:$H=K$2) * (INDEX('Master Data Sheet'!$1:$1, , MATCH($F$1, 'Master Data Sheet'!$1:$1, 0)) = $F$1) * ('Master Data Sheet'!$G:$G=$B18) * ('Master Data Sheet'!$F:$F=$E18) * ('Master Data Sheet'!$A:$A=$F18), 0), MATCH($F$1, 'Master Data Sheet'!$1:$1, 0)), "")</f>
        <v>0.93954932685039527</v>
      </c>
      <c r="L18" s="11" cm="1">
        <f t="array" ref="L18">IFERROR(INDEX('Master Data Sheet'!$1:$1048576, MATCH(1, ('Master Data Sheet'!$H:$H=L$2) * (INDEX('Master Data Sheet'!$1:$1, , MATCH($F$1, 'Master Data Sheet'!$1:$1, 0)) = $F$1) * ('Master Data Sheet'!$G:$G=$B18) * ('Master Data Sheet'!$F:$F=$E18) * ('Master Data Sheet'!$A:$A=$F18), 0), MATCH($F$1, 'Master Data Sheet'!$1:$1, 0)), "")</f>
        <v>0.55772334470571416</v>
      </c>
      <c r="M18" s="11" cm="1">
        <f t="array" ref="M18">IFERROR(INDEX('Master Data Sheet'!$1:$1048576, MATCH(1, ('Master Data Sheet'!$H:$H=M$2) * (INDEX('Master Data Sheet'!$1:$1, , MATCH($F$1, 'Master Data Sheet'!$1:$1, 0)) = $F$1) * ('Master Data Sheet'!$G:$G=$B18) * ('Master Data Sheet'!$F:$F=$E18) * ('Master Data Sheet'!$A:$A=$F18), 0), MATCH($F$1, 'Master Data Sheet'!$1:$1, 0)), "")</f>
        <v>0.42043759831661531</v>
      </c>
      <c r="N18" s="11" cm="1">
        <f t="array" ref="N18">IFERROR(INDEX('Master Data Sheet'!$1:$1048576, MATCH(1, ('Master Data Sheet'!$H:$H=N$2) * (INDEX('Master Data Sheet'!$1:$1, , MATCH($F$1, 'Master Data Sheet'!$1:$1, 0)) = $F$1) * ('Master Data Sheet'!$G:$G=$B18) * ('Master Data Sheet'!$F:$F=$E18) * ('Master Data Sheet'!$A:$A=$F18), 0), MATCH($F$1, 'Master Data Sheet'!$1:$1, 0)), "")</f>
        <v>0.4590492144885493</v>
      </c>
      <c r="O18" s="11">
        <f t="shared" si="8"/>
        <v>0.43453390263335306</v>
      </c>
      <c r="P18" s="11">
        <f t="shared" si="4"/>
        <v>0.32999740662648652</v>
      </c>
      <c r="Q18" s="11">
        <f>AVERAGE(N18:N20)</f>
        <v>0.65725958659701023</v>
      </c>
      <c r="R18" s="46">
        <f>(1-(O18/O12))*100</f>
        <v>71.411290322580641</v>
      </c>
      <c r="S18" s="46">
        <f>AVERAGE(R18:R20)</f>
        <v>71.351177940621071</v>
      </c>
      <c r="T18" s="46">
        <f>STDEV(R18:R20)</f>
        <v>2.5247704892198652</v>
      </c>
      <c r="U18" s="47">
        <f>(1-(AVERAGE(H18:N20)/AVERAGE(H12:N14)))*100</f>
        <v>70.841818267500244</v>
      </c>
      <c r="V18" s="47"/>
      <c r="Y18" s="2"/>
      <c r="Z18" s="2"/>
      <c r="AA18" s="2"/>
      <c r="AB18" s="2"/>
      <c r="AC18" s="2"/>
      <c r="AD18" s="2"/>
      <c r="AE18" s="2"/>
      <c r="AF18" s="2"/>
      <c r="AG18" s="2"/>
    </row>
    <row r="19" spans="1:45" x14ac:dyDescent="0.35">
      <c r="A19" s="41">
        <f>IFERROR(INDEX('Date Key'!$B$2:$B$19, MATCH(F19,'Date Key'!$A$2:$A$19, 0)), "")</f>
        <v>45224</v>
      </c>
      <c r="B19" s="4">
        <f t="shared" si="15"/>
        <v>2</v>
      </c>
      <c r="C19" s="26" t="str">
        <f>IFERROR(INDEX('Date Key'!$G$57:$G$62, MATCH(B19,'Date Key'!$A$57:$A$62, 0)), "")</f>
        <v>Medium HLR, Lower Outlet Height, No Plants</v>
      </c>
      <c r="D19" s="4" t="str">
        <f>IFERROR(INDEX('Date Key'!$G$2:$G$19, MATCH(F19, 'Date Key'!$A$2:$A$19, 0)), "")</f>
        <v>No</v>
      </c>
      <c r="E19" s="4" t="str">
        <f t="shared" si="1"/>
        <v>tank 2</v>
      </c>
      <c r="F19" s="4">
        <f t="shared" si="2"/>
        <v>5</v>
      </c>
      <c r="G19" s="4">
        <f t="shared" si="22"/>
        <v>2</v>
      </c>
      <c r="H19" s="11" cm="1">
        <f t="array" ref="H19">IFERROR(INDEX('Master Data Sheet'!$1:$1048576, MATCH(1, ('Master Data Sheet'!$H:$H=H$2) * (INDEX('Master Data Sheet'!$1:$1, , MATCH($F$1, 'Master Data Sheet'!$1:$1, 0)) = $F$1) * ('Master Data Sheet'!$G:$G=$B19) * ('Master Data Sheet'!$F:$F=$E19) * ('Master Data Sheet'!$A:$A=$F19), 0), MATCH($F$1, 'Master Data Sheet'!$1:$1, 0)), "")</f>
        <v>4.7191975321252723E-2</v>
      </c>
      <c r="I19" s="11" cm="1">
        <f t="array" ref="I19">IFERROR(INDEX('Master Data Sheet'!$1:$1048576, MATCH(1, ('Master Data Sheet'!$H:$H=I$2) * (INDEX('Master Data Sheet'!$1:$1, , MATCH($F$1, 'Master Data Sheet'!$1:$1, 0)) = $F$1) * ('Master Data Sheet'!$G:$G=$B19) * ('Master Data Sheet'!$F:$F=$E19) * ('Master Data Sheet'!$A:$A=$F19), 0), MATCH($F$1, 'Master Data Sheet'!$1:$1, 0)), "")</f>
        <v>1.7160718298637353E-2</v>
      </c>
      <c r="J19" s="11" cm="1">
        <f t="array" ref="J19">IFERROR(INDEX('Master Data Sheet'!$1:$1048576, MATCH(1, ('Master Data Sheet'!$H:$H=J$2) * (INDEX('Master Data Sheet'!$1:$1, , MATCH($F$1, 'Master Data Sheet'!$1:$1, 0)) = $F$1) * ('Master Data Sheet'!$G:$G=$B19) * ('Master Data Sheet'!$F:$F=$E19) * ('Master Data Sheet'!$A:$A=$F19), 0), MATCH($F$1, 'Master Data Sheet'!$1:$1, 0)), "")</f>
        <v>0.62636621790026337</v>
      </c>
      <c r="K19" s="11" cm="1">
        <f t="array" ref="K19">IFERROR(INDEX('Master Data Sheet'!$1:$1048576, MATCH(1, ('Master Data Sheet'!$H:$H=K$2) * (INDEX('Master Data Sheet'!$1:$1, , MATCH($F$1, 'Master Data Sheet'!$1:$1, 0)) = $F$1) * ('Master Data Sheet'!$G:$G=$B19) * ('Master Data Sheet'!$F:$F=$E19) * ('Master Data Sheet'!$A:$A=$F19), 0), MATCH($F$1, 'Master Data Sheet'!$1:$1, 0)), "")</f>
        <v>0.51482154895912058</v>
      </c>
      <c r="L19" s="11" cm="1">
        <f t="array" ref="L19">IFERROR(INDEX('Master Data Sheet'!$1:$1048576, MATCH(1, ('Master Data Sheet'!$H:$H=L$2) * (INDEX('Master Data Sheet'!$1:$1, , MATCH($F$1, 'Master Data Sheet'!$1:$1, 0)) = $F$1) * ('Master Data Sheet'!$G:$G=$B19) * ('Master Data Sheet'!$F:$F=$E19) * ('Master Data Sheet'!$A:$A=$F19), 0), MATCH($F$1, 'Master Data Sheet'!$1:$1, 0)), "")</f>
        <v>0.36466526384604381</v>
      </c>
      <c r="M19" s="11" cm="1">
        <f t="array" ref="M19">IFERROR(INDEX('Master Data Sheet'!$1:$1048576, MATCH(1, ('Master Data Sheet'!$H:$H=M$2) * (INDEX('Master Data Sheet'!$1:$1, , MATCH($F$1, 'Master Data Sheet'!$1:$1, 0)) = $F$1) * ('Master Data Sheet'!$G:$G=$B19) * ('Master Data Sheet'!$F:$F=$E19) * ('Master Data Sheet'!$A:$A=$F19), 0), MATCH($F$1, 'Master Data Sheet'!$1:$1, 0)), "")</f>
        <v>0.31747328852479106</v>
      </c>
      <c r="N19" s="11" cm="1">
        <f t="array" ref="N19">IFERROR(INDEX('Master Data Sheet'!$1:$1048576, MATCH(1, ('Master Data Sheet'!$H:$H=N$2) * (INDEX('Master Data Sheet'!$1:$1, , MATCH($F$1, 'Master Data Sheet'!$1:$1, 0)) = $F$1) * ('Master Data Sheet'!$G:$G=$B19) * ('Master Data Sheet'!$F:$F=$E19) * ('Master Data Sheet'!$A:$A=$F19), 0), MATCH($F$1, 'Master Data Sheet'!$1:$1, 0)), "")</f>
        <v>0.27457149277819765</v>
      </c>
      <c r="O19" s="11">
        <f t="shared" si="8"/>
        <v>0.3088929293754723</v>
      </c>
      <c r="P19" s="11">
        <f t="shared" si="4"/>
        <v>0.22403611854958028</v>
      </c>
      <c r="Q19" s="11"/>
      <c r="R19" s="46">
        <f>(1-(O19/O13))*100</f>
        <v>73.845355474831351</v>
      </c>
      <c r="X19" t="str">
        <f>IFERROR(INDEX('Date Key'!$G$57:$G$62, MATCH(B18,'Date Key'!$A$57:$A$62, 0)), "")</f>
        <v>Medium HLR, Lower Outlet Height, No Plants</v>
      </c>
      <c r="Y19" s="1">
        <f t="shared" ref="Y19:AE19" si="23">H18</f>
        <v>3.8611616171934045E-2</v>
      </c>
      <c r="Z19" s="1">
        <f t="shared" si="23"/>
        <v>0</v>
      </c>
      <c r="AA19" s="1">
        <f t="shared" si="23"/>
        <v>0.62636621790026337</v>
      </c>
      <c r="AB19" s="1">
        <f t="shared" si="23"/>
        <v>0.93954932685039527</v>
      </c>
      <c r="AC19" s="1">
        <f t="shared" si="23"/>
        <v>0.55772334470571416</v>
      </c>
      <c r="AD19" s="1">
        <f t="shared" si="23"/>
        <v>0.42043759831661531</v>
      </c>
      <c r="AE19" s="1">
        <f t="shared" si="23"/>
        <v>0.4590492144885493</v>
      </c>
      <c r="AF19" s="1">
        <f t="shared" ref="AF19:AL19" si="24">H19</f>
        <v>4.7191975321252723E-2</v>
      </c>
      <c r="AG19" s="1">
        <f t="shared" si="24"/>
        <v>1.7160718298637353E-2</v>
      </c>
      <c r="AH19" s="1">
        <f t="shared" si="24"/>
        <v>0.62636621790026337</v>
      </c>
      <c r="AI19" s="1">
        <f t="shared" si="24"/>
        <v>0.51482154895912058</v>
      </c>
      <c r="AJ19" s="1">
        <f t="shared" si="24"/>
        <v>0.36466526384604381</v>
      </c>
      <c r="AK19" s="1">
        <f t="shared" si="24"/>
        <v>0.31747328852479106</v>
      </c>
      <c r="AL19" s="1">
        <f t="shared" si="24"/>
        <v>0.27457149277819765</v>
      </c>
      <c r="AM19" s="1">
        <f t="shared" ref="AM19:AS19" si="25">H20</f>
        <v>0</v>
      </c>
      <c r="AN19" s="1">
        <f t="shared" si="25"/>
        <v>1.6788583763041133E-2</v>
      </c>
      <c r="AO19" s="1">
        <f t="shared" si="25"/>
        <v>0.57081184794339868</v>
      </c>
      <c r="AP19" s="1">
        <f t="shared" si="25"/>
        <v>0.78486629092217286</v>
      </c>
      <c r="AQ19" s="1">
        <f t="shared" si="25"/>
        <v>0.96534356637486529</v>
      </c>
      <c r="AR19" s="1">
        <f t="shared" si="25"/>
        <v>1.1374265499460368</v>
      </c>
      <c r="AS19" s="1">
        <f t="shared" si="25"/>
        <v>1.2381580525242837</v>
      </c>
    </row>
    <row r="20" spans="1:45" x14ac:dyDescent="0.35">
      <c r="A20" s="42">
        <f>IFERROR(INDEX('Date Key'!$B$2:$B$19, MATCH(F20,'Date Key'!$A$2:$A$19, 0)), "")</f>
        <v>45230</v>
      </c>
      <c r="B20" s="27">
        <f t="shared" si="15"/>
        <v>2</v>
      </c>
      <c r="C20" s="51" t="str">
        <f>IFERROR(INDEX('Date Key'!$G$57:$G$62, MATCH(B20,'Date Key'!$A$57:$A$62, 0)), "")</f>
        <v>Medium HLR, Lower Outlet Height, No Plants</v>
      </c>
      <c r="D20" s="27" t="str">
        <f>IFERROR(INDEX('Date Key'!$G$2:$G$19, MATCH(F20, 'Date Key'!$A$2:$A$19, 0)), "")</f>
        <v>Yes</v>
      </c>
      <c r="E20" s="27" t="str">
        <f t="shared" si="1"/>
        <v>tank 2</v>
      </c>
      <c r="F20" s="27">
        <f t="shared" si="2"/>
        <v>6</v>
      </c>
      <c r="G20" s="27">
        <f t="shared" si="22"/>
        <v>3</v>
      </c>
      <c r="H20" s="28" cm="1">
        <f t="array" ref="H20">IFERROR(INDEX('Master Data Sheet'!$1:$1048576, MATCH(1, ('Master Data Sheet'!$H:$H=H$2) * (INDEX('Master Data Sheet'!$1:$1, , MATCH($F$1, 'Master Data Sheet'!$1:$1, 0)) = $F$1) * ('Master Data Sheet'!$G:$G=$B20) * ('Master Data Sheet'!$F:$F=$E20) * ('Master Data Sheet'!$A:$A=$F20), 0), MATCH($F$1, 'Master Data Sheet'!$1:$1, 0)), "")</f>
        <v>0</v>
      </c>
      <c r="I20" s="28" cm="1">
        <f t="array" ref="I20">IFERROR(INDEX('Master Data Sheet'!$1:$1048576, MATCH(1, ('Master Data Sheet'!$H:$H=I$2) * (INDEX('Master Data Sheet'!$1:$1, , MATCH($F$1, 'Master Data Sheet'!$1:$1, 0)) = $F$1) * ('Master Data Sheet'!$G:$G=$B20) * ('Master Data Sheet'!$F:$F=$E20) * ('Master Data Sheet'!$A:$A=$F20), 0), MATCH($F$1, 'Master Data Sheet'!$1:$1, 0)), "")</f>
        <v>1.6788583763041133E-2</v>
      </c>
      <c r="J20" s="28" cm="1">
        <f t="array" ref="J20">IFERROR(INDEX('Master Data Sheet'!$1:$1048576, MATCH(1, ('Master Data Sheet'!$H:$H=J$2) * (INDEX('Master Data Sheet'!$1:$1, , MATCH($F$1, 'Master Data Sheet'!$1:$1, 0)) = $F$1) * ('Master Data Sheet'!$G:$G=$B20) * ('Master Data Sheet'!$F:$F=$E20) * ('Master Data Sheet'!$A:$A=$F20), 0), MATCH($F$1, 'Master Data Sheet'!$1:$1, 0)), "")</f>
        <v>0.57081184794339868</v>
      </c>
      <c r="K20" s="28" cm="1">
        <f t="array" ref="K20">IFERROR(INDEX('Master Data Sheet'!$1:$1048576, MATCH(1, ('Master Data Sheet'!$H:$H=K$2) * (INDEX('Master Data Sheet'!$1:$1, , MATCH($F$1, 'Master Data Sheet'!$1:$1, 0)) = $F$1) * ('Master Data Sheet'!$G:$G=$B20) * ('Master Data Sheet'!$F:$F=$E20) * ('Master Data Sheet'!$A:$A=$F20), 0), MATCH($F$1, 'Master Data Sheet'!$1:$1, 0)), "")</f>
        <v>0.78486629092217286</v>
      </c>
      <c r="L20" s="28" cm="1">
        <f t="array" ref="L20">IFERROR(INDEX('Master Data Sheet'!$1:$1048576, MATCH(1, ('Master Data Sheet'!$H:$H=L$2) * (INDEX('Master Data Sheet'!$1:$1, , MATCH($F$1, 'Master Data Sheet'!$1:$1, 0)) = $F$1) * ('Master Data Sheet'!$G:$G=$B20) * ('Master Data Sheet'!$F:$F=$E20) * ('Master Data Sheet'!$A:$A=$F20), 0), MATCH($F$1, 'Master Data Sheet'!$1:$1, 0)), "")</f>
        <v>0.96534356637486529</v>
      </c>
      <c r="M20" s="28" cm="1">
        <f t="array" ref="M20">IFERROR(INDEX('Master Data Sheet'!$1:$1048576, MATCH(1, ('Master Data Sheet'!$H:$H=M$2) * (INDEX('Master Data Sheet'!$1:$1, , MATCH($F$1, 'Master Data Sheet'!$1:$1, 0)) = $F$1) * ('Master Data Sheet'!$G:$G=$B20) * ('Master Data Sheet'!$F:$F=$E20) * ('Master Data Sheet'!$A:$A=$F20), 0), MATCH($F$1, 'Master Data Sheet'!$1:$1, 0)), "")</f>
        <v>1.1374265499460368</v>
      </c>
      <c r="N20" s="28" cm="1">
        <f t="array" ref="N20">IFERROR(INDEX('Master Data Sheet'!$1:$1048576, MATCH(1, ('Master Data Sheet'!$H:$H=N$2) * (INDEX('Master Data Sheet'!$1:$1, , MATCH($F$1, 'Master Data Sheet'!$1:$1, 0)) = $F$1) * ('Master Data Sheet'!$G:$G=$B20) * ('Master Data Sheet'!$F:$F=$E20) * ('Master Data Sheet'!$A:$A=$F20), 0), MATCH($F$1, 'Master Data Sheet'!$1:$1, 0)), "")</f>
        <v>1.2381580525242837</v>
      </c>
      <c r="O20" s="28">
        <f t="shared" si="8"/>
        <v>0.67334212735339982</v>
      </c>
      <c r="P20" s="28">
        <f t="shared" si="4"/>
        <v>0.50448959261413495</v>
      </c>
      <c r="Q20" s="28"/>
      <c r="R20" s="48">
        <f>(1-(O20/O14))*100</f>
        <v>68.796888024451235</v>
      </c>
      <c r="S20" s="27"/>
      <c r="T20" s="27"/>
      <c r="U20" s="27"/>
      <c r="V20" s="27"/>
    </row>
    <row r="21" spans="1:45" x14ac:dyDescent="0.35">
      <c r="A21" s="41">
        <f>IFERROR(INDEX('Date Key'!$B$2:$B$19, MATCH(F21,'Date Key'!$A$2:$A$19, 0)), "")</f>
        <v>45233</v>
      </c>
      <c r="B21" s="4">
        <f t="shared" si="15"/>
        <v>3</v>
      </c>
      <c r="C21" s="26" t="str">
        <f>IFERROR(INDEX('Date Key'!$G$57:$G$62, MATCH(B21,'Date Key'!$A$57:$A$62, 0)), "")</f>
        <v>High HLR, Lower Outlet Height, No Plants</v>
      </c>
      <c r="D21" s="4" t="str">
        <f>IFERROR(INDEX('Date Key'!$G$2:$G$19, MATCH(F21, 'Date Key'!$A$2:$A$19, 0)), "")</f>
        <v>No</v>
      </c>
      <c r="E21" s="4" t="str">
        <f t="shared" si="1"/>
        <v>in</v>
      </c>
      <c r="F21" s="4">
        <f t="shared" si="2"/>
        <v>7</v>
      </c>
      <c r="G21" s="4">
        <f t="shared" si="22"/>
        <v>1</v>
      </c>
      <c r="H21" s="11" cm="1">
        <f t="array" ref="H21">IFERROR(INDEX('Master Data Sheet'!$1:$1048576, MATCH(1, ('Master Data Sheet'!$H:$H=H$2) * (INDEX('Master Data Sheet'!$1:$1, , MATCH($F$1, 'Master Data Sheet'!$1:$1, 0)) = $F$1) * ('Master Data Sheet'!$G:$G=$B21) * ('Master Data Sheet'!$F:$F=$E21) * ('Master Data Sheet'!$A:$A=$F21), 0), MATCH($F$1, 'Master Data Sheet'!$1:$1, 0)), "")</f>
        <v>0.81004916656673465</v>
      </c>
      <c r="I21" s="11" cm="1">
        <f t="array" ref="I21">IFERROR(INDEX('Master Data Sheet'!$1:$1048576, MATCH(1, ('Master Data Sheet'!$H:$H=I$2) * (INDEX('Master Data Sheet'!$1:$1, , MATCH($F$1, 'Master Data Sheet'!$1:$1, 0)) = $F$1) * ('Master Data Sheet'!$G:$G=$B21) * ('Master Data Sheet'!$F:$F=$E21) * ('Master Data Sheet'!$A:$A=$F21), 0), MATCH($F$1, 'Master Data Sheet'!$1:$1, 0)), "")</f>
        <v>0.72190910181076884</v>
      </c>
      <c r="J21" s="11" cm="1">
        <f t="array" ref="J21">IFERROR(INDEX('Master Data Sheet'!$1:$1048576, MATCH(1, ('Master Data Sheet'!$H:$H=J$2) * (INDEX('Master Data Sheet'!$1:$1, , MATCH($F$1, 'Master Data Sheet'!$1:$1, 0)) = $F$1) * ('Master Data Sheet'!$G:$G=$B21) * ('Master Data Sheet'!$F:$F=$E21) * ('Master Data Sheet'!$A:$A=$F21), 0), MATCH($F$1, 'Master Data Sheet'!$1:$1, 0)), "")</f>
        <v>0.68413478834392616</v>
      </c>
      <c r="K21" s="11" cm="1">
        <f t="array" ref="K21">IFERROR(INDEX('Master Data Sheet'!$1:$1048576, MATCH(1, ('Master Data Sheet'!$H:$H=K$2) * (INDEX('Master Data Sheet'!$1:$1, , MATCH($F$1, 'Master Data Sheet'!$1:$1, 0)) = $F$1) * ('Master Data Sheet'!$G:$G=$B21) * ('Master Data Sheet'!$F:$F=$E21) * ('Master Data Sheet'!$A:$A=$F21), 0), MATCH($F$1, 'Master Data Sheet'!$1:$1, 0)), "")</f>
        <v>0.62957189111404244</v>
      </c>
      <c r="L21" s="11" cm="1">
        <f t="array" ref="L21">IFERROR(INDEX('Master Data Sheet'!$1:$1048576, MATCH(1, ('Master Data Sheet'!$H:$H=L$2) * (INDEX('Master Data Sheet'!$1:$1, , MATCH($F$1, 'Master Data Sheet'!$1:$1, 0)) = $F$1) * ('Master Data Sheet'!$G:$G=$B21) * ('Master Data Sheet'!$F:$F=$E21) * ('Master Data Sheet'!$A:$A=$F21), 0), MATCH($F$1, 'Master Data Sheet'!$1:$1, 0)), "")</f>
        <v>0.67574049646240564</v>
      </c>
      <c r="M21" s="11" cm="1">
        <f t="array" ref="M21">IFERROR(INDEX('Master Data Sheet'!$1:$1048576, MATCH(1, ('Master Data Sheet'!$H:$H=M$2) * (INDEX('Master Data Sheet'!$1:$1, , MATCH($F$1, 'Master Data Sheet'!$1:$1, 0)) = $F$1) * ('Master Data Sheet'!$G:$G=$B21) * ('Master Data Sheet'!$F:$F=$E21) * ('Master Data Sheet'!$A:$A=$F21), 0), MATCH($F$1, 'Master Data Sheet'!$1:$1, 0)), "")</f>
        <v>0.67574049646240564</v>
      </c>
      <c r="N21" s="11" cm="1">
        <f t="array" ref="N21">IFERROR(INDEX('Master Data Sheet'!$1:$1048576, MATCH(1, ('Master Data Sheet'!$H:$H=N$2) * (INDEX('Master Data Sheet'!$1:$1, , MATCH($F$1, 'Master Data Sheet'!$1:$1, 0)) = $F$1) * ('Master Data Sheet'!$G:$G=$B21) * ('Master Data Sheet'!$F:$F=$E21) * ('Master Data Sheet'!$A:$A=$F21), 0), MATCH($F$1, 'Master Data Sheet'!$1:$1, 0)), "")</f>
        <v>0.77647199904065234</v>
      </c>
      <c r="O21" s="11">
        <f t="shared" si="8"/>
        <v>0.71051684854299069</v>
      </c>
      <c r="P21" s="11">
        <f t="shared" si="4"/>
        <v>6.3315922437215635E-2</v>
      </c>
      <c r="Q21" s="11">
        <f>AVERAGE(O21:O23)</f>
        <v>0.76687852260462874</v>
      </c>
      <c r="S21" s="11">
        <f>AVERAGE(O21:O23)</f>
        <v>0.76687852260462874</v>
      </c>
      <c r="T21" s="11">
        <f>AVERAGE(P21:P23)</f>
        <v>7.9581803712188676E-2</v>
      </c>
      <c r="V21" s="47">
        <f>AVERAGE(U24, U27)</f>
        <v>67.096690122491523</v>
      </c>
      <c r="X21" t="s">
        <v>343</v>
      </c>
    </row>
    <row r="22" spans="1:45" x14ac:dyDescent="0.35">
      <c r="A22" s="41">
        <f>IFERROR(INDEX('Date Key'!$B$2:$B$19, MATCH(F22,'Date Key'!$A$2:$A$19, 0)), "")</f>
        <v>45238</v>
      </c>
      <c r="B22" s="4">
        <f t="shared" si="15"/>
        <v>3</v>
      </c>
      <c r="C22" s="26" t="str">
        <f>IFERROR(INDEX('Date Key'!$G$57:$G$62, MATCH(B22,'Date Key'!$A$57:$A$62, 0)), "")</f>
        <v>High HLR, Lower Outlet Height, No Plants</v>
      </c>
      <c r="D22" s="4" t="str">
        <f>IFERROR(INDEX('Date Key'!$G$2:$G$19, MATCH(F22, 'Date Key'!$A$2:$A$19, 0)), "")</f>
        <v>No</v>
      </c>
      <c r="E22" s="4" t="str">
        <f t="shared" si="1"/>
        <v>in</v>
      </c>
      <c r="F22" s="4">
        <f t="shared" si="2"/>
        <v>8</v>
      </c>
      <c r="G22" s="4">
        <f t="shared" si="22"/>
        <v>2</v>
      </c>
      <c r="H22" s="11" cm="1">
        <f t="array" ref="H22">IFERROR(INDEX('Master Data Sheet'!$1:$1048576, MATCH(1, ('Master Data Sheet'!$H:$H=H$2) * (INDEX('Master Data Sheet'!$1:$1, , MATCH($F$1, 'Master Data Sheet'!$1:$1, 0)) = $F$1) * ('Master Data Sheet'!$G:$G=$B22) * ('Master Data Sheet'!$F:$F=$E22) * ('Master Data Sheet'!$A:$A=$F22), 0), MATCH($F$1, 'Master Data Sheet'!$1:$1, 0)), "")</f>
        <v>0.17628012951193189</v>
      </c>
      <c r="I22" s="11" cm="1">
        <f t="array" ref="I22">IFERROR(INDEX('Master Data Sheet'!$1:$1048576, MATCH(1, ('Master Data Sheet'!$H:$H=I$2) * (INDEX('Master Data Sheet'!$1:$1, , MATCH($F$1, 'Master Data Sheet'!$1:$1, 0)) = $F$1) * ('Master Data Sheet'!$G:$G=$B22) * ('Master Data Sheet'!$F:$F=$E22) * ('Master Data Sheet'!$A:$A=$F22), 0), MATCH($F$1, 'Master Data Sheet'!$1:$1, 0)), "")</f>
        <v>0.52884038853579562</v>
      </c>
      <c r="J22" s="11" cm="1">
        <f t="array" ref="J22">IFERROR(INDEX('Master Data Sheet'!$1:$1048576, MATCH(1, ('Master Data Sheet'!$H:$H=J$2) * (INDEX('Master Data Sheet'!$1:$1, , MATCH($F$1, 'Master Data Sheet'!$1:$1, 0)) = $F$1) * ('Master Data Sheet'!$G:$G=$B22) * ('Master Data Sheet'!$F:$F=$E22) * ('Master Data Sheet'!$A:$A=$F22), 0), MATCH($F$1, 'Master Data Sheet'!$1:$1, 0)), "")</f>
        <v>0.52464324259503547</v>
      </c>
      <c r="K22" s="11" cm="1">
        <f t="array" ref="K22">IFERROR(INDEX('Master Data Sheet'!$1:$1048576, MATCH(1, ('Master Data Sheet'!$H:$H=K$2) * (INDEX('Master Data Sheet'!$1:$1, , MATCH($F$1, 'Master Data Sheet'!$1:$1, 0)) = $F$1) * ('Master Data Sheet'!$G:$G=$B22) * ('Master Data Sheet'!$F:$F=$E22) * ('Master Data Sheet'!$A:$A=$F22), 0), MATCH($F$1, 'Master Data Sheet'!$1:$1, 0)), "")</f>
        <v>0.4365031778390695</v>
      </c>
      <c r="L22" s="11" cm="1">
        <f t="array" ref="L22">IFERROR(INDEX('Master Data Sheet'!$1:$1048576, MATCH(1, ('Master Data Sheet'!$H:$H=L$2) * (INDEX('Master Data Sheet'!$1:$1, , MATCH($F$1, 'Master Data Sheet'!$1:$1, 0)) = $F$1) * ('Master Data Sheet'!$G:$G=$B22) * ('Master Data Sheet'!$F:$F=$E22) * ('Master Data Sheet'!$A:$A=$F22), 0), MATCH($F$1, 'Master Data Sheet'!$1:$1, 0)), "")</f>
        <v>0.39033457249070641</v>
      </c>
      <c r="M22" s="11" cm="1">
        <f t="array" ref="M22">IFERROR(INDEX('Master Data Sheet'!$1:$1048576, MATCH(1, ('Master Data Sheet'!$H:$H=M$2) * (INDEX('Master Data Sheet'!$1:$1, , MATCH($F$1, 'Master Data Sheet'!$1:$1, 0)) = $F$1) * ('Master Data Sheet'!$G:$G=$B22) * ('Master Data Sheet'!$F:$F=$E22) * ('Master Data Sheet'!$A:$A=$F22), 0), MATCH($F$1, 'Master Data Sheet'!$1:$1, 0)), "")</f>
        <v>0.49946036695047374</v>
      </c>
      <c r="N22" s="11" cm="1">
        <f t="array" ref="N22">IFERROR(INDEX('Master Data Sheet'!$1:$1048576, MATCH(1, ('Master Data Sheet'!$H:$H=N$2) * (INDEX('Master Data Sheet'!$1:$1, , MATCH($F$1, 'Master Data Sheet'!$1:$1, 0)) = $F$1) * ('Master Data Sheet'!$G:$G=$B22) * ('Master Data Sheet'!$F:$F=$E22) * ('Master Data Sheet'!$A:$A=$F22), 0), MATCH($F$1, 'Master Data Sheet'!$1:$1, 0)), "")</f>
        <v>0.50785465883199421</v>
      </c>
      <c r="O22" s="11">
        <f t="shared" si="8"/>
        <v>0.43770236239357241</v>
      </c>
      <c r="P22" s="11">
        <f t="shared" si="4"/>
        <v>0.12595434469841357</v>
      </c>
      <c r="Q22" s="11"/>
      <c r="X22" t="str">
        <f>IFERROR(INDEX('Date Key'!$G$57:$G$62, MATCH(B21,'Date Key'!$A$57:$A$62, 0)), "")</f>
        <v>High HLR, Lower Outlet Height, No Plants</v>
      </c>
      <c r="Y22" s="1">
        <f t="shared" ref="Y22:AE22" si="26">H21</f>
        <v>0.81004916656673465</v>
      </c>
      <c r="Z22" s="1">
        <f t="shared" si="26"/>
        <v>0.72190910181076884</v>
      </c>
      <c r="AA22" s="1">
        <f t="shared" si="26"/>
        <v>0.68413478834392616</v>
      </c>
      <c r="AB22" s="1">
        <f t="shared" si="26"/>
        <v>0.62957189111404244</v>
      </c>
      <c r="AC22" s="1">
        <f t="shared" si="26"/>
        <v>0.67574049646240564</v>
      </c>
      <c r="AD22" s="1">
        <f t="shared" si="26"/>
        <v>0.67574049646240564</v>
      </c>
      <c r="AE22" s="1">
        <f t="shared" si="26"/>
        <v>0.77647199904065234</v>
      </c>
      <c r="AF22" s="1">
        <f t="shared" ref="AF22:AL22" si="27">H22</f>
        <v>0.17628012951193189</v>
      </c>
      <c r="AG22" s="1">
        <f t="shared" si="27"/>
        <v>0.52884038853579562</v>
      </c>
      <c r="AH22" s="1">
        <f t="shared" si="27"/>
        <v>0.52464324259503547</v>
      </c>
      <c r="AI22" s="1">
        <f t="shared" si="27"/>
        <v>0.4365031778390695</v>
      </c>
      <c r="AJ22" s="1">
        <f t="shared" si="27"/>
        <v>0.39033457249070641</v>
      </c>
      <c r="AK22" s="1">
        <f t="shared" si="27"/>
        <v>0.49946036695047374</v>
      </c>
      <c r="AL22" s="1">
        <f t="shared" si="27"/>
        <v>0.50785465883199421</v>
      </c>
      <c r="AM22" s="1">
        <f t="shared" ref="AM22:AS22" si="28">H23</f>
        <v>1.200383739057441</v>
      </c>
      <c r="AN22" s="1">
        <f t="shared" si="28"/>
        <v>1.2045808849982012</v>
      </c>
      <c r="AO22" s="1">
        <f t="shared" si="28"/>
        <v>1.1584122796498384</v>
      </c>
      <c r="AP22" s="1">
        <f t="shared" si="28"/>
        <v>1.112243674301475</v>
      </c>
      <c r="AQ22" s="1">
        <f t="shared" si="28"/>
        <v>1.0786665067753929</v>
      </c>
      <c r="AR22" s="1">
        <f t="shared" si="28"/>
        <v>1.1206379661829957</v>
      </c>
      <c r="AS22" s="1">
        <f t="shared" si="28"/>
        <v>1.1919894471759203</v>
      </c>
    </row>
    <row r="23" spans="1:45" x14ac:dyDescent="0.35">
      <c r="A23" s="41">
        <f>IFERROR(INDEX('Date Key'!$B$2:$B$19, MATCH(F23,'Date Key'!$A$2:$A$19, 0)), "")</f>
        <v>45246</v>
      </c>
      <c r="B23" s="4">
        <f t="shared" si="15"/>
        <v>3</v>
      </c>
      <c r="C23" s="26" t="str">
        <f>IFERROR(INDEX('Date Key'!$G$57:$G$62, MATCH(B23,'Date Key'!$A$57:$A$62, 0)), "")</f>
        <v>High HLR, Lower Outlet Height, No Plants</v>
      </c>
      <c r="D23" s="4" t="str">
        <f>IFERROR(INDEX('Date Key'!$G$2:$G$19, MATCH(F23, 'Date Key'!$A$2:$A$19, 0)), "")</f>
        <v>Yes</v>
      </c>
      <c r="E23" s="4" t="str">
        <f t="shared" si="1"/>
        <v>in</v>
      </c>
      <c r="F23" s="4">
        <f t="shared" si="2"/>
        <v>9</v>
      </c>
      <c r="G23" s="4">
        <f t="shared" si="22"/>
        <v>3</v>
      </c>
      <c r="H23" s="11" cm="1">
        <f t="array" ref="H23">IFERROR(INDEX('Master Data Sheet'!$1:$1048576, MATCH(1, ('Master Data Sheet'!$H:$H=H$2) * (INDEX('Master Data Sheet'!$1:$1, , MATCH($F$1, 'Master Data Sheet'!$1:$1, 0)) = $F$1) * ('Master Data Sheet'!$G:$G=$B23) * ('Master Data Sheet'!$F:$F=$E23) * ('Master Data Sheet'!$A:$A=$F23), 0), MATCH($F$1, 'Master Data Sheet'!$1:$1, 0)), "")</f>
        <v>1.200383739057441</v>
      </c>
      <c r="I23" s="11" cm="1">
        <f t="array" ref="I23">IFERROR(INDEX('Master Data Sheet'!$1:$1048576, MATCH(1, ('Master Data Sheet'!$H:$H=I$2) * (INDEX('Master Data Sheet'!$1:$1, , MATCH($F$1, 'Master Data Sheet'!$1:$1, 0)) = $F$1) * ('Master Data Sheet'!$G:$G=$B23) * ('Master Data Sheet'!$F:$F=$E23) * ('Master Data Sheet'!$A:$A=$F23), 0), MATCH($F$1, 'Master Data Sheet'!$1:$1, 0)), "")</f>
        <v>1.2045808849982012</v>
      </c>
      <c r="J23" s="11" cm="1">
        <f t="array" ref="J23">IFERROR(INDEX('Master Data Sheet'!$1:$1048576, MATCH(1, ('Master Data Sheet'!$H:$H=J$2) * (INDEX('Master Data Sheet'!$1:$1, , MATCH($F$1, 'Master Data Sheet'!$1:$1, 0)) = $F$1) * ('Master Data Sheet'!$G:$G=$B23) * ('Master Data Sheet'!$F:$F=$E23) * ('Master Data Sheet'!$A:$A=$F23), 0), MATCH($F$1, 'Master Data Sheet'!$1:$1, 0)), "")</f>
        <v>1.1584122796498384</v>
      </c>
      <c r="K23" s="11" cm="1">
        <f t="array" ref="K23">IFERROR(INDEX('Master Data Sheet'!$1:$1048576, MATCH(1, ('Master Data Sheet'!$H:$H=K$2) * (INDEX('Master Data Sheet'!$1:$1, , MATCH($F$1, 'Master Data Sheet'!$1:$1, 0)) = $F$1) * ('Master Data Sheet'!$G:$G=$B23) * ('Master Data Sheet'!$F:$F=$E23) * ('Master Data Sheet'!$A:$A=$F23), 0), MATCH($F$1, 'Master Data Sheet'!$1:$1, 0)), "")</f>
        <v>1.112243674301475</v>
      </c>
      <c r="L23" s="11" cm="1">
        <f t="array" ref="L23">IFERROR(INDEX('Master Data Sheet'!$1:$1048576, MATCH(1, ('Master Data Sheet'!$H:$H=L$2) * (INDEX('Master Data Sheet'!$1:$1, , MATCH($F$1, 'Master Data Sheet'!$1:$1, 0)) = $F$1) * ('Master Data Sheet'!$G:$G=$B23) * ('Master Data Sheet'!$F:$F=$E23) * ('Master Data Sheet'!$A:$A=$F23), 0), MATCH($F$1, 'Master Data Sheet'!$1:$1, 0)), "")</f>
        <v>1.0786665067753929</v>
      </c>
      <c r="M23" s="11" cm="1">
        <f t="array" ref="M23">IFERROR(INDEX('Master Data Sheet'!$1:$1048576, MATCH(1, ('Master Data Sheet'!$H:$H=M$2) * (INDEX('Master Data Sheet'!$1:$1, , MATCH($F$1, 'Master Data Sheet'!$1:$1, 0)) = $F$1) * ('Master Data Sheet'!$G:$G=$B23) * ('Master Data Sheet'!$F:$F=$E23) * ('Master Data Sheet'!$A:$A=$F23), 0), MATCH($F$1, 'Master Data Sheet'!$1:$1, 0)), "")</f>
        <v>1.1206379661829957</v>
      </c>
      <c r="N23" s="11" cm="1">
        <f t="array" ref="N23">IFERROR(INDEX('Master Data Sheet'!$1:$1048576, MATCH(1, ('Master Data Sheet'!$H:$H=N$2) * (INDEX('Master Data Sheet'!$1:$1, , MATCH($F$1, 'Master Data Sheet'!$1:$1, 0)) = $F$1) * ('Master Data Sheet'!$G:$G=$B23) * ('Master Data Sheet'!$F:$F=$E23) * ('Master Data Sheet'!$A:$A=$F23), 0), MATCH($F$1, 'Master Data Sheet'!$1:$1, 0)), "")</f>
        <v>1.1919894471759203</v>
      </c>
      <c r="O23" s="11">
        <f t="shared" si="8"/>
        <v>1.1524163568773236</v>
      </c>
      <c r="P23" s="11">
        <f t="shared" si="4"/>
        <v>4.9475144000936812E-2</v>
      </c>
      <c r="Q23" s="11"/>
      <c r="Y23" s="1"/>
      <c r="Z23" s="1"/>
      <c r="AA23" s="1"/>
      <c r="AB23" s="1"/>
      <c r="AC23" s="1"/>
      <c r="AD23" s="1"/>
      <c r="AE23" s="1"/>
      <c r="AF23" s="1"/>
      <c r="AG23" s="1"/>
      <c r="AH23" s="1"/>
      <c r="AI23" s="1"/>
      <c r="AJ23" s="1"/>
      <c r="AK23" s="1"/>
      <c r="AL23" s="1"/>
      <c r="AM23" s="1"/>
      <c r="AN23" s="1"/>
      <c r="AO23" s="1"/>
      <c r="AP23" s="1"/>
      <c r="AQ23" s="1"/>
      <c r="AR23" s="1"/>
      <c r="AS23" s="1"/>
    </row>
    <row r="24" spans="1:45" x14ac:dyDescent="0.35">
      <c r="A24" s="41">
        <f>IFERROR(INDEX('Date Key'!$B$2:$B$19, MATCH(F24,'Date Key'!$A$2:$A$19, 0)), "")</f>
        <v>45233</v>
      </c>
      <c r="B24" s="4">
        <f t="shared" si="15"/>
        <v>3</v>
      </c>
      <c r="C24" s="26" t="str">
        <f>IFERROR(INDEX('Date Key'!$G$57:$G$62, MATCH(B24,'Date Key'!$A$57:$A$62, 0)), "")</f>
        <v>High HLR, Lower Outlet Height, No Plants</v>
      </c>
      <c r="D24" s="4" t="str">
        <f>IFERROR(INDEX('Date Key'!$G$2:$G$19, MATCH(F24, 'Date Key'!$A$2:$A$19, 0)), "")</f>
        <v>No</v>
      </c>
      <c r="E24" s="4" t="str">
        <f t="shared" si="1"/>
        <v>tank 1</v>
      </c>
      <c r="F24" s="4">
        <f t="shared" si="2"/>
        <v>7</v>
      </c>
      <c r="G24" s="4">
        <f t="shared" si="22"/>
        <v>1</v>
      </c>
      <c r="H24" s="11" cm="1">
        <f t="array" ref="H24">IFERROR(INDEX('Master Data Sheet'!$1:$1048576, MATCH(1, ('Master Data Sheet'!$H:$H=H$2) * (INDEX('Master Data Sheet'!$1:$1, , MATCH($F$1, 'Master Data Sheet'!$1:$1, 0)) = $F$1) * ('Master Data Sheet'!$G:$G=$B24) * ('Master Data Sheet'!$F:$F=$E24) * ('Master Data Sheet'!$A:$A=$F24), 0), MATCH($F$1, 'Master Data Sheet'!$1:$1, 0)), "")</f>
        <v>8.8140064755965947E-2</v>
      </c>
      <c r="I24" s="11" cm="1">
        <f t="array" ref="I24">IFERROR(INDEX('Master Data Sheet'!$1:$1048576, MATCH(1, ('Master Data Sheet'!$H:$H=I$2) * (INDEX('Master Data Sheet'!$1:$1, , MATCH($F$1, 'Master Data Sheet'!$1:$1, 0)) = $F$1) * ('Master Data Sheet'!$G:$G=$B24) * ('Master Data Sheet'!$F:$F=$E24) * ('Master Data Sheet'!$A:$A=$F24), 0), MATCH($F$1, 'Master Data Sheet'!$1:$1, 0)), "")</f>
        <v>0</v>
      </c>
      <c r="J24" s="11" cm="1">
        <f t="array" ref="J24">IFERROR(INDEX('Master Data Sheet'!$1:$1048576, MATCH(1, ('Master Data Sheet'!$H:$H=J$2) * (INDEX('Master Data Sheet'!$1:$1, , MATCH($F$1, 'Master Data Sheet'!$1:$1, 0)) = $F$1) * ('Master Data Sheet'!$G:$G=$B24) * ('Master Data Sheet'!$F:$F=$E24) * ('Master Data Sheet'!$A:$A=$F24), 0), MATCH($F$1, 'Master Data Sheet'!$1:$1, 0)), "")</f>
        <v>0</v>
      </c>
      <c r="K24" s="11" cm="1">
        <f t="array" ref="K24">IFERROR(INDEX('Master Data Sheet'!$1:$1048576, MATCH(1, ('Master Data Sheet'!$H:$H=K$2) * (INDEX('Master Data Sheet'!$1:$1, , MATCH($F$1, 'Master Data Sheet'!$1:$1, 0)) = $F$1) * ('Master Data Sheet'!$G:$G=$B24) * ('Master Data Sheet'!$F:$F=$E24) * ('Master Data Sheet'!$A:$A=$F24), 0), MATCH($F$1, 'Master Data Sheet'!$1:$1, 0)), "")</f>
        <v>0.10073150257824681</v>
      </c>
      <c r="L24" s="11" cm="1">
        <f t="array" ref="L24">IFERROR(INDEX('Master Data Sheet'!$1:$1048576, MATCH(1, ('Master Data Sheet'!$H:$H=L$2) * (INDEX('Master Data Sheet'!$1:$1, , MATCH($F$1, 'Master Data Sheet'!$1:$1, 0)) = $F$1) * ('Master Data Sheet'!$G:$G=$B24) * ('Master Data Sheet'!$F:$F=$E24) * ('Master Data Sheet'!$A:$A=$F24), 0), MATCH($F$1, 'Master Data Sheet'!$1:$1, 0)), "")</f>
        <v>2.0985729703801418E-2</v>
      </c>
      <c r="M24" s="11" cm="1">
        <f t="array" ref="M24">IFERROR(INDEX('Master Data Sheet'!$1:$1048576, MATCH(1, ('Master Data Sheet'!$H:$H=M$2) * (INDEX('Master Data Sheet'!$1:$1, , MATCH($F$1, 'Master Data Sheet'!$1:$1, 0)) = $F$1) * ('Master Data Sheet'!$G:$G=$B24) * ('Master Data Sheet'!$F:$F=$E24) * ('Master Data Sheet'!$A:$A=$F24), 0), MATCH($F$1, 'Master Data Sheet'!$1:$1, 0)), "")</f>
        <v>0.18887156733421279</v>
      </c>
      <c r="N24" s="11" cm="1">
        <f t="array" ref="N24">IFERROR(INDEX('Master Data Sheet'!$1:$1048576, MATCH(1, ('Master Data Sheet'!$H:$H=N$2) * (INDEX('Master Data Sheet'!$1:$1, , MATCH($F$1, 'Master Data Sheet'!$1:$1, 0)) = $F$1) * ('Master Data Sheet'!$G:$G=$B24) * ('Master Data Sheet'!$F:$F=$E24) * ('Master Data Sheet'!$A:$A=$F24), 0), MATCH($F$1, 'Master Data Sheet'!$1:$1, 0)), "")</f>
        <v>0.15529439980813045</v>
      </c>
      <c r="O24" s="11">
        <f t="shared" si="8"/>
        <v>7.9146180597193916E-2</v>
      </c>
      <c r="P24" s="11">
        <f t="shared" si="4"/>
        <v>7.5604124353153196E-2</v>
      </c>
      <c r="Q24" s="11">
        <f>AVERAGE(O24:O26)</f>
        <v>0.13051125234840311</v>
      </c>
      <c r="R24" s="46">
        <f>(1-(O24/O21))*100</f>
        <v>88.860759493670884</v>
      </c>
      <c r="S24" s="46">
        <f>AVERAGE(R24:R26)</f>
        <v>83.229887345086198</v>
      </c>
      <c r="T24" s="46">
        <f>STDEV(R24:R26)</f>
        <v>4.8783051868326117</v>
      </c>
      <c r="U24" s="47">
        <f>(1-(AVERAGE(H24:N26)/AVERAGE(H21:N23)))*100</f>
        <v>82.981495960385715</v>
      </c>
      <c r="V24" s="47"/>
      <c r="Y24" s="2"/>
      <c r="Z24" s="2"/>
      <c r="AA24" s="2"/>
      <c r="AB24" s="2"/>
      <c r="AC24" s="2"/>
      <c r="AD24" s="2"/>
      <c r="AE24" s="2"/>
      <c r="AF24" s="2"/>
      <c r="AG24" s="2"/>
    </row>
    <row r="25" spans="1:45" x14ac:dyDescent="0.35">
      <c r="A25" s="41">
        <f>IFERROR(INDEX('Date Key'!$B$2:$B$19, MATCH(F25,'Date Key'!$A$2:$A$19, 0)), "")</f>
        <v>45238</v>
      </c>
      <c r="B25" s="4">
        <f t="shared" si="15"/>
        <v>3</v>
      </c>
      <c r="C25" s="26" t="str">
        <f>IFERROR(INDEX('Date Key'!$G$57:$G$62, MATCH(B25,'Date Key'!$A$57:$A$62, 0)), "")</f>
        <v>High HLR, Lower Outlet Height, No Plants</v>
      </c>
      <c r="D25" s="4" t="str">
        <f>IFERROR(INDEX('Date Key'!$G$2:$G$19, MATCH(F25, 'Date Key'!$A$2:$A$19, 0)), "")</f>
        <v>No</v>
      </c>
      <c r="E25" s="4" t="str">
        <f t="shared" si="1"/>
        <v>tank 1</v>
      </c>
      <c r="F25" s="4">
        <f t="shared" si="2"/>
        <v>8</v>
      </c>
      <c r="G25" s="4">
        <f t="shared" si="22"/>
        <v>2</v>
      </c>
      <c r="H25" s="11" cm="1">
        <f t="array" ref="H25">IFERROR(INDEX('Master Data Sheet'!$1:$1048576, MATCH(1, ('Master Data Sheet'!$H:$H=H$2) * (INDEX('Master Data Sheet'!$1:$1, , MATCH($F$1, 'Master Data Sheet'!$1:$1, 0)) = $F$1) * ('Master Data Sheet'!$G:$G=$B25) * ('Master Data Sheet'!$F:$F=$E25) * ('Master Data Sheet'!$A:$A=$F25), 0), MATCH($F$1, 'Master Data Sheet'!$1:$1, 0)), "")</f>
        <v>5.0365751289123406E-2</v>
      </c>
      <c r="I25" s="11" cm="1">
        <f t="array" ref="I25">IFERROR(INDEX('Master Data Sheet'!$1:$1048576, MATCH(1, ('Master Data Sheet'!$H:$H=I$2) * (INDEX('Master Data Sheet'!$1:$1, , MATCH($F$1, 'Master Data Sheet'!$1:$1, 0)) = $F$1) * ('Master Data Sheet'!$G:$G=$B25) * ('Master Data Sheet'!$F:$F=$E25) * ('Master Data Sheet'!$A:$A=$F25), 0), MATCH($F$1, 'Master Data Sheet'!$1:$1, 0)), "")</f>
        <v>3.3577167526082266E-2</v>
      </c>
      <c r="J25" s="11" cm="1">
        <f t="array" ref="J25">IFERROR(INDEX('Master Data Sheet'!$1:$1048576, MATCH(1, ('Master Data Sheet'!$H:$H=J$2) * (INDEX('Master Data Sheet'!$1:$1, , MATCH($F$1, 'Master Data Sheet'!$1:$1, 0)) = $F$1) * ('Master Data Sheet'!$G:$G=$B25) * ('Master Data Sheet'!$F:$F=$E25) * ('Master Data Sheet'!$A:$A=$F25), 0), MATCH($F$1, 'Master Data Sheet'!$1:$1, 0)), "")</f>
        <v>4.6168605348363118E-2</v>
      </c>
      <c r="K25" s="11" cm="1">
        <f t="array" ref="K25">IFERROR(INDEX('Master Data Sheet'!$1:$1048576, MATCH(1, ('Master Data Sheet'!$H:$H=K$2) * (INDEX('Master Data Sheet'!$1:$1, , MATCH($F$1, 'Master Data Sheet'!$1:$1, 0)) = $F$1) * ('Master Data Sheet'!$G:$G=$B25) * ('Master Data Sheet'!$F:$F=$E25) * ('Master Data Sheet'!$A:$A=$F25), 0), MATCH($F$1, 'Master Data Sheet'!$1:$1, 0)), "")</f>
        <v>7.974577287444537E-2</v>
      </c>
      <c r="L25" s="11" cm="1">
        <f t="array" ref="L25">IFERROR(INDEX('Master Data Sheet'!$1:$1048576, MATCH(1, ('Master Data Sheet'!$H:$H=L$2) * (INDEX('Master Data Sheet'!$1:$1, , MATCH($F$1, 'Master Data Sheet'!$1:$1, 0)) = $F$1) * ('Master Data Sheet'!$G:$G=$B25) * ('Master Data Sheet'!$F:$F=$E25) * ('Master Data Sheet'!$A:$A=$F25), 0), MATCH($F$1, 'Master Data Sheet'!$1:$1, 0)), "")</f>
        <v>0.10912579445976738</v>
      </c>
      <c r="M25" s="11" cm="1">
        <f t="array" ref="M25">IFERROR(INDEX('Master Data Sheet'!$1:$1048576, MATCH(1, ('Master Data Sheet'!$H:$H=M$2) * (INDEX('Master Data Sheet'!$1:$1, , MATCH($F$1, 'Master Data Sheet'!$1:$1, 0)) = $F$1) * ('Master Data Sheet'!$G:$G=$B25) * ('Master Data Sheet'!$F:$F=$E25) * ('Master Data Sheet'!$A:$A=$F25), 0), MATCH($F$1, 'Master Data Sheet'!$1:$1, 0)), "")</f>
        <v>0.13850581604508938</v>
      </c>
      <c r="N25" s="11" cm="1">
        <f t="array" ref="N25">IFERROR(INDEX('Master Data Sheet'!$1:$1048576, MATCH(1, ('Master Data Sheet'!$H:$H=N$2) * (INDEX('Master Data Sheet'!$1:$1, , MATCH($F$1, 'Master Data Sheet'!$1:$1, 0)) = $F$1) * ('Master Data Sheet'!$G:$G=$B25) * ('Master Data Sheet'!$F:$F=$E25) * ('Master Data Sheet'!$A:$A=$F25), 0), MATCH($F$1, 'Master Data Sheet'!$1:$1, 0)), "")</f>
        <v>0.13850581604508938</v>
      </c>
      <c r="O25" s="11">
        <f t="shared" si="8"/>
        <v>8.5142103369708622E-2</v>
      </c>
      <c r="P25" s="11">
        <f t="shared" si="4"/>
        <v>4.4134227652183597E-2</v>
      </c>
      <c r="Q25" s="11"/>
      <c r="R25" s="46">
        <f>(1-(O25/O22))*100</f>
        <v>80.547945205479451</v>
      </c>
      <c r="X25" t="str">
        <f>IFERROR(INDEX('Date Key'!$G$57:$G$62, MATCH(B24,'Date Key'!$A$57:$A$62, 0)), "")</f>
        <v>High HLR, Lower Outlet Height, No Plants</v>
      </c>
      <c r="Y25" s="1">
        <f t="shared" ref="Y25:AE25" si="29">H24</f>
        <v>8.8140064755965947E-2</v>
      </c>
      <c r="Z25" s="1">
        <f t="shared" si="29"/>
        <v>0</v>
      </c>
      <c r="AA25" s="1">
        <f t="shared" si="29"/>
        <v>0</v>
      </c>
      <c r="AB25" s="1">
        <f t="shared" si="29"/>
        <v>0.10073150257824681</v>
      </c>
      <c r="AC25" s="1">
        <f t="shared" si="29"/>
        <v>2.0985729703801418E-2</v>
      </c>
      <c r="AD25" s="1">
        <f t="shared" si="29"/>
        <v>0.18887156733421279</v>
      </c>
      <c r="AE25" s="1">
        <f t="shared" si="29"/>
        <v>0.15529439980813045</v>
      </c>
      <c r="AF25" s="1">
        <f t="shared" ref="AF25:AL25" si="30">H25</f>
        <v>5.0365751289123406E-2</v>
      </c>
      <c r="AG25" s="1">
        <f t="shared" si="30"/>
        <v>3.3577167526082266E-2</v>
      </c>
      <c r="AH25" s="1">
        <f t="shared" si="30"/>
        <v>4.6168605348363118E-2</v>
      </c>
      <c r="AI25" s="1">
        <f t="shared" si="30"/>
        <v>7.974577287444537E-2</v>
      </c>
      <c r="AJ25" s="1">
        <f t="shared" si="30"/>
        <v>0.10912579445976738</v>
      </c>
      <c r="AK25" s="1">
        <f t="shared" si="30"/>
        <v>0.13850581604508938</v>
      </c>
      <c r="AL25" s="1">
        <f t="shared" si="30"/>
        <v>0.13850581604508938</v>
      </c>
      <c r="AM25" s="1">
        <f t="shared" ref="AM25:AS25" si="31">H26</f>
        <v>1.6788583763041133E-2</v>
      </c>
      <c r="AN25" s="1">
        <f t="shared" si="31"/>
        <v>0.14690010792660993</v>
      </c>
      <c r="AO25" s="1">
        <f t="shared" si="31"/>
        <v>0.22664588080105533</v>
      </c>
      <c r="AP25" s="1">
        <f t="shared" si="31"/>
        <v>0.29799736179398006</v>
      </c>
      <c r="AQ25" s="1">
        <f t="shared" si="31"/>
        <v>0.29380021585321986</v>
      </c>
      <c r="AR25" s="1">
        <f t="shared" si="31"/>
        <v>0.30219450773474033</v>
      </c>
      <c r="AS25" s="1">
        <f t="shared" si="31"/>
        <v>0.3063916536755007</v>
      </c>
    </row>
    <row r="26" spans="1:45" x14ac:dyDescent="0.35">
      <c r="A26" s="41">
        <f>IFERROR(INDEX('Date Key'!$B$2:$B$19, MATCH(F26,'Date Key'!$A$2:$A$19, 0)), "")</f>
        <v>45246</v>
      </c>
      <c r="B26" s="4">
        <f t="shared" si="15"/>
        <v>3</v>
      </c>
      <c r="C26" s="26" t="str">
        <f>IFERROR(INDEX('Date Key'!$G$57:$G$62, MATCH(B26,'Date Key'!$A$57:$A$62, 0)), "")</f>
        <v>High HLR, Lower Outlet Height, No Plants</v>
      </c>
      <c r="D26" s="4" t="str">
        <f>IFERROR(INDEX('Date Key'!$G$2:$G$19, MATCH(F26, 'Date Key'!$A$2:$A$19, 0)), "")</f>
        <v>Yes</v>
      </c>
      <c r="E26" s="4" t="str">
        <f t="shared" si="1"/>
        <v>tank 1</v>
      </c>
      <c r="F26" s="4">
        <f t="shared" si="2"/>
        <v>9</v>
      </c>
      <c r="G26" s="4">
        <f t="shared" si="22"/>
        <v>3</v>
      </c>
      <c r="H26" s="11" cm="1">
        <f t="array" ref="H26">IFERROR(INDEX('Master Data Sheet'!$1:$1048576, MATCH(1, ('Master Data Sheet'!$H:$H=H$2) * (INDEX('Master Data Sheet'!$1:$1, , MATCH($F$1, 'Master Data Sheet'!$1:$1, 0)) = $F$1) * ('Master Data Sheet'!$G:$G=$B26) * ('Master Data Sheet'!$F:$F=$E26) * ('Master Data Sheet'!$A:$A=$F26), 0), MATCH($F$1, 'Master Data Sheet'!$1:$1, 0)), "")</f>
        <v>1.6788583763041133E-2</v>
      </c>
      <c r="I26" s="11" cm="1">
        <f t="array" ref="I26">IFERROR(INDEX('Master Data Sheet'!$1:$1048576, MATCH(1, ('Master Data Sheet'!$H:$H=I$2) * (INDEX('Master Data Sheet'!$1:$1, , MATCH($F$1, 'Master Data Sheet'!$1:$1, 0)) = $F$1) * ('Master Data Sheet'!$G:$G=$B26) * ('Master Data Sheet'!$F:$F=$E26) * ('Master Data Sheet'!$A:$A=$F26), 0), MATCH($F$1, 'Master Data Sheet'!$1:$1, 0)), "")</f>
        <v>0.14690010792660993</v>
      </c>
      <c r="J26" s="11" cm="1">
        <f t="array" ref="J26">IFERROR(INDEX('Master Data Sheet'!$1:$1048576, MATCH(1, ('Master Data Sheet'!$H:$H=J$2) * (INDEX('Master Data Sheet'!$1:$1, , MATCH($F$1, 'Master Data Sheet'!$1:$1, 0)) = $F$1) * ('Master Data Sheet'!$G:$G=$B26) * ('Master Data Sheet'!$F:$F=$E26) * ('Master Data Sheet'!$A:$A=$F26), 0), MATCH($F$1, 'Master Data Sheet'!$1:$1, 0)), "")</f>
        <v>0.22664588080105533</v>
      </c>
      <c r="K26" s="11" cm="1">
        <f t="array" ref="K26">IFERROR(INDEX('Master Data Sheet'!$1:$1048576, MATCH(1, ('Master Data Sheet'!$H:$H=K$2) * (INDEX('Master Data Sheet'!$1:$1, , MATCH($F$1, 'Master Data Sheet'!$1:$1, 0)) = $F$1) * ('Master Data Sheet'!$G:$G=$B26) * ('Master Data Sheet'!$F:$F=$E26) * ('Master Data Sheet'!$A:$A=$F26), 0), MATCH($F$1, 'Master Data Sheet'!$1:$1, 0)), "")</f>
        <v>0.29799736179398006</v>
      </c>
      <c r="L26" s="11" cm="1">
        <f t="array" ref="L26">IFERROR(INDEX('Master Data Sheet'!$1:$1048576, MATCH(1, ('Master Data Sheet'!$H:$H=L$2) * (INDEX('Master Data Sheet'!$1:$1, , MATCH($F$1, 'Master Data Sheet'!$1:$1, 0)) = $F$1) * ('Master Data Sheet'!$G:$G=$B26) * ('Master Data Sheet'!$F:$F=$E26) * ('Master Data Sheet'!$A:$A=$F26), 0), MATCH($F$1, 'Master Data Sheet'!$1:$1, 0)), "")</f>
        <v>0.29380021585321986</v>
      </c>
      <c r="M26" s="11" cm="1">
        <f t="array" ref="M26">IFERROR(INDEX('Master Data Sheet'!$1:$1048576, MATCH(1, ('Master Data Sheet'!$H:$H=M$2) * (INDEX('Master Data Sheet'!$1:$1, , MATCH($F$1, 'Master Data Sheet'!$1:$1, 0)) = $F$1) * ('Master Data Sheet'!$G:$G=$B26) * ('Master Data Sheet'!$F:$F=$E26) * ('Master Data Sheet'!$A:$A=$F26), 0), MATCH($F$1, 'Master Data Sheet'!$1:$1, 0)), "")</f>
        <v>0.30219450773474033</v>
      </c>
      <c r="N26" s="11" cm="1">
        <f t="array" ref="N26">IFERROR(INDEX('Master Data Sheet'!$1:$1048576, MATCH(1, ('Master Data Sheet'!$H:$H=N$2) * (INDEX('Master Data Sheet'!$1:$1, , MATCH($F$1, 'Master Data Sheet'!$1:$1, 0)) = $F$1) * ('Master Data Sheet'!$G:$G=$B26) * ('Master Data Sheet'!$F:$F=$E26) * ('Master Data Sheet'!$A:$A=$F26), 0), MATCH($F$1, 'Master Data Sheet'!$1:$1, 0)), "")</f>
        <v>0.3063916536755007</v>
      </c>
      <c r="O26" s="11">
        <f t="shared" si="8"/>
        <v>0.22724547307830675</v>
      </c>
      <c r="P26" s="11">
        <f t="shared" si="4"/>
        <v>0.10959370322106494</v>
      </c>
      <c r="Q26" s="11"/>
      <c r="R26" s="46">
        <f>(1-(O26/O23))*100</f>
        <v>80.28095733610823</v>
      </c>
      <c r="Y26" s="2"/>
      <c r="Z26" s="2"/>
      <c r="AA26" s="2"/>
      <c r="AB26" s="2"/>
      <c r="AC26" s="2"/>
      <c r="AD26" s="2"/>
      <c r="AE26" s="2"/>
      <c r="AF26" s="2"/>
      <c r="AG26" s="2"/>
    </row>
    <row r="27" spans="1:45" x14ac:dyDescent="0.35">
      <c r="A27" s="41">
        <f>IFERROR(INDEX('Date Key'!$B$2:$B$19, MATCH(F27,'Date Key'!$A$2:$A$19, 0)), "")</f>
        <v>45233</v>
      </c>
      <c r="B27" s="4">
        <f t="shared" si="15"/>
        <v>3</v>
      </c>
      <c r="C27" s="26" t="str">
        <f>IFERROR(INDEX('Date Key'!$G$57:$G$62, MATCH(B27,'Date Key'!$A$57:$A$62, 0)), "")</f>
        <v>High HLR, Lower Outlet Height, No Plants</v>
      </c>
      <c r="D27" s="4" t="str">
        <f>IFERROR(INDEX('Date Key'!$G$2:$G$19, MATCH(F27, 'Date Key'!$A$2:$A$19, 0)), "")</f>
        <v>No</v>
      </c>
      <c r="E27" s="4" t="str">
        <f t="shared" si="1"/>
        <v>tank 2</v>
      </c>
      <c r="F27" s="4">
        <f t="shared" si="2"/>
        <v>7</v>
      </c>
      <c r="G27" s="4">
        <f t="shared" si="22"/>
        <v>1</v>
      </c>
      <c r="H27" s="11" cm="1">
        <f t="array" ref="H27">IFERROR(INDEX('Master Data Sheet'!$1:$1048576, MATCH(1, ('Master Data Sheet'!$H:$H=H$2) * (INDEX('Master Data Sheet'!$1:$1, , MATCH($F$1, 'Master Data Sheet'!$1:$1, 0)) = $F$1) * ('Master Data Sheet'!$G:$G=$B27) * ('Master Data Sheet'!$F:$F=$E27) * ('Master Data Sheet'!$A:$A=$F27), 0), MATCH($F$1, 'Master Data Sheet'!$1:$1, 0)), "")</f>
        <v>0</v>
      </c>
      <c r="I27" s="11" cm="1">
        <f t="array" ref="I27">IFERROR(INDEX('Master Data Sheet'!$1:$1048576, MATCH(1, ('Master Data Sheet'!$H:$H=I$2) * (INDEX('Master Data Sheet'!$1:$1, , MATCH($F$1, 'Master Data Sheet'!$1:$1, 0)) = $F$1) * ('Master Data Sheet'!$G:$G=$B27) * ('Master Data Sheet'!$F:$F=$E27) * ('Master Data Sheet'!$A:$A=$F27), 0), MATCH($F$1, 'Master Data Sheet'!$1:$1, 0)), "")</f>
        <v>0.15109725386737016</v>
      </c>
      <c r="J27" s="11" cm="1">
        <f t="array" ref="J27">IFERROR(INDEX('Master Data Sheet'!$1:$1048576, MATCH(1, ('Master Data Sheet'!$H:$H=J$2) * (INDEX('Master Data Sheet'!$1:$1, , MATCH($F$1, 'Master Data Sheet'!$1:$1, 0)) = $F$1) * ('Master Data Sheet'!$G:$G=$B27) * ('Master Data Sheet'!$F:$F=$E27) * ('Master Data Sheet'!$A:$A=$F27), 0), MATCH($F$1, 'Master Data Sheet'!$1:$1, 0)), "")</f>
        <v>0.20146300515649362</v>
      </c>
      <c r="K27" s="11" cm="1">
        <f t="array" ref="K27">IFERROR(INDEX('Master Data Sheet'!$1:$1048576, MATCH(1, ('Master Data Sheet'!$H:$H=K$2) * (INDEX('Master Data Sheet'!$1:$1, , MATCH($F$1, 'Master Data Sheet'!$1:$1, 0)) = $F$1) * ('Master Data Sheet'!$G:$G=$B27) * ('Master Data Sheet'!$F:$F=$E27) * ('Master Data Sheet'!$A:$A=$F27), 0), MATCH($F$1, 'Master Data Sheet'!$1:$1, 0)), "")</f>
        <v>0.33157452932006237</v>
      </c>
      <c r="L27" s="11" cm="1">
        <f t="array" ref="L27">IFERROR(INDEX('Master Data Sheet'!$1:$1048576, MATCH(1, ('Master Data Sheet'!$H:$H=L$2) * (INDEX('Master Data Sheet'!$1:$1, , MATCH($F$1, 'Master Data Sheet'!$1:$1, 0)) = $F$1) * ('Master Data Sheet'!$G:$G=$B27) * ('Master Data Sheet'!$F:$F=$E27) * ('Master Data Sheet'!$A:$A=$F27), 0), MATCH($F$1, 'Master Data Sheet'!$1:$1, 0)), "")</f>
        <v>0.32737738337930206</v>
      </c>
      <c r="M27" s="11" cm="1">
        <f t="array" ref="M27">IFERROR(INDEX('Master Data Sheet'!$1:$1048576, MATCH(1, ('Master Data Sheet'!$H:$H=M$2) * (INDEX('Master Data Sheet'!$1:$1, , MATCH($F$1, 'Master Data Sheet'!$1:$1, 0)) = $F$1) * ('Master Data Sheet'!$G:$G=$B27) * ('Master Data Sheet'!$F:$F=$E27) * ('Master Data Sheet'!$A:$A=$F27), 0), MATCH($F$1, 'Master Data Sheet'!$1:$1, 0)), "")</f>
        <v>0.41551744813526814</v>
      </c>
      <c r="N27" s="11" cm="1">
        <f t="array" ref="N27">IFERROR(INDEX('Master Data Sheet'!$1:$1048576, MATCH(1, ('Master Data Sheet'!$H:$H=N$2) * (INDEX('Master Data Sheet'!$1:$1, , MATCH($F$1, 'Master Data Sheet'!$1:$1, 0)) = $F$1) * ('Master Data Sheet'!$G:$G=$B27) * ('Master Data Sheet'!$F:$F=$E27) * ('Master Data Sheet'!$A:$A=$F27), 0), MATCH($F$1, 'Master Data Sheet'!$1:$1, 0)), "")</f>
        <v>0.4365031778390695</v>
      </c>
      <c r="O27" s="11">
        <f t="shared" si="8"/>
        <v>0.26621897109965226</v>
      </c>
      <c r="P27" s="11">
        <f t="shared" si="4"/>
        <v>0.15685307996656958</v>
      </c>
      <c r="Q27" s="11">
        <f>AVERAGE(N27:N29)</f>
        <v>0.48966702642203308</v>
      </c>
      <c r="R27" s="46">
        <f>(1-(O27/O21))*100</f>
        <v>62.531645569620252</v>
      </c>
      <c r="S27" s="46">
        <f>AVERAGE(R27:R29)</f>
        <v>51.530333849564862</v>
      </c>
      <c r="T27" s="46">
        <f>STDEV(R27:R29)</f>
        <v>9.531419651595062</v>
      </c>
      <c r="U27" s="47">
        <f>(1-(AVERAGE(H27:N29)/AVERAGE(H21:N23)))*100</f>
        <v>51.211884284597332</v>
      </c>
      <c r="V27" s="47"/>
      <c r="Y27" s="2"/>
      <c r="Z27" s="2"/>
      <c r="AA27" s="2"/>
      <c r="AB27" s="2"/>
      <c r="AC27" s="2"/>
      <c r="AD27" s="2"/>
      <c r="AE27" s="2"/>
      <c r="AF27" s="2"/>
      <c r="AG27" s="2"/>
    </row>
    <row r="28" spans="1:45" x14ac:dyDescent="0.35">
      <c r="A28" s="41">
        <f>IFERROR(INDEX('Date Key'!$B$2:$B$19, MATCH(F28,'Date Key'!$A$2:$A$19, 0)), "")</f>
        <v>45238</v>
      </c>
      <c r="B28" s="4">
        <f t="shared" si="15"/>
        <v>3</v>
      </c>
      <c r="C28" s="26" t="str">
        <f>IFERROR(INDEX('Date Key'!$G$57:$G$62, MATCH(B28,'Date Key'!$A$57:$A$62, 0)), "")</f>
        <v>High HLR, Lower Outlet Height, No Plants</v>
      </c>
      <c r="D28" s="4" t="str">
        <f>IFERROR(INDEX('Date Key'!$G$2:$G$19, MATCH(F28, 'Date Key'!$A$2:$A$19, 0)), "")</f>
        <v>No</v>
      </c>
      <c r="E28" s="4" t="str">
        <f t="shared" si="1"/>
        <v>tank 2</v>
      </c>
      <c r="F28" s="4">
        <f t="shared" si="2"/>
        <v>8</v>
      </c>
      <c r="G28" s="4">
        <f t="shared" si="22"/>
        <v>2</v>
      </c>
      <c r="H28" s="11" cm="1">
        <f t="array" ref="H28">IFERROR(INDEX('Master Data Sheet'!$1:$1048576, MATCH(1, ('Master Data Sheet'!$H:$H=H$2) * (INDEX('Master Data Sheet'!$1:$1, , MATCH($F$1, 'Master Data Sheet'!$1:$1, 0)) = $F$1) * ('Master Data Sheet'!$G:$G=$B28) * ('Master Data Sheet'!$F:$F=$E28) * ('Master Data Sheet'!$A:$A=$F28), 0), MATCH($F$1, 'Master Data Sheet'!$1:$1, 0)), "")</f>
        <v>2.0985729703801418E-2</v>
      </c>
      <c r="I28" s="11" cm="1">
        <f t="array" ref="I28">IFERROR(INDEX('Master Data Sheet'!$1:$1048576, MATCH(1, ('Master Data Sheet'!$H:$H=I$2) * (INDEX('Master Data Sheet'!$1:$1, , MATCH($F$1, 'Master Data Sheet'!$1:$1, 0)) = $F$1) * ('Master Data Sheet'!$G:$G=$B28) * ('Master Data Sheet'!$F:$F=$E28) * ('Master Data Sheet'!$A:$A=$F28), 0), MATCH($F$1, 'Master Data Sheet'!$1:$1, 0)), "")</f>
        <v>0.11752008634128794</v>
      </c>
      <c r="J28" s="11" cm="1">
        <f t="array" ref="J28">IFERROR(INDEX('Master Data Sheet'!$1:$1048576, MATCH(1, ('Master Data Sheet'!$H:$H=J$2) * (INDEX('Master Data Sheet'!$1:$1, , MATCH($F$1, 'Master Data Sheet'!$1:$1, 0)) = $F$1) * ('Master Data Sheet'!$G:$G=$B28) * ('Master Data Sheet'!$F:$F=$E28) * ('Master Data Sheet'!$A:$A=$F28), 0), MATCH($F$1, 'Master Data Sheet'!$1:$1, 0)), "")</f>
        <v>0.23923731862333616</v>
      </c>
      <c r="K28" s="11" cm="1">
        <f t="array" ref="K28">IFERROR(INDEX('Master Data Sheet'!$1:$1048576, MATCH(1, ('Master Data Sheet'!$H:$H=K$2) * (INDEX('Master Data Sheet'!$1:$1, , MATCH($F$1, 'Master Data Sheet'!$1:$1, 0)) = $F$1) * ('Master Data Sheet'!$G:$G=$B28) * ('Master Data Sheet'!$F:$F=$E28) * ('Master Data Sheet'!$A:$A=$F28), 0), MATCH($F$1, 'Master Data Sheet'!$1:$1, 0)), "")</f>
        <v>0.28540592397169934</v>
      </c>
      <c r="L28" s="11" cm="1">
        <f t="array" ref="L28">IFERROR(INDEX('Master Data Sheet'!$1:$1048576, MATCH(1, ('Master Data Sheet'!$H:$H=L$2) * (INDEX('Master Data Sheet'!$1:$1, , MATCH($F$1, 'Master Data Sheet'!$1:$1, 0)) = $F$1) * ('Master Data Sheet'!$G:$G=$B28) * ('Master Data Sheet'!$F:$F=$E28) * ('Master Data Sheet'!$A:$A=$F28), 0), MATCH($F$1, 'Master Data Sheet'!$1:$1, 0)), "")</f>
        <v>0.27701163209017876</v>
      </c>
      <c r="M28" s="11" cm="1">
        <f t="array" ref="M28">IFERROR(INDEX('Master Data Sheet'!$1:$1048576, MATCH(1, ('Master Data Sheet'!$H:$H=M$2) * (INDEX('Master Data Sheet'!$1:$1, , MATCH($F$1, 'Master Data Sheet'!$1:$1, 0)) = $F$1) * ('Master Data Sheet'!$G:$G=$B28) * ('Master Data Sheet'!$F:$F=$E28) * ('Master Data Sheet'!$A:$A=$F28), 0), MATCH($F$1, 'Master Data Sheet'!$1:$1, 0)), "")</f>
        <v>0.41132030219450777</v>
      </c>
      <c r="N28" s="11" cm="1">
        <f t="array" ref="N28">IFERROR(INDEX('Master Data Sheet'!$1:$1048576, MATCH(1, ('Master Data Sheet'!$H:$H=N$2) * (INDEX('Master Data Sheet'!$1:$1, , MATCH($F$1, 'Master Data Sheet'!$1:$1, 0)) = $F$1) * ('Master Data Sheet'!$G:$G=$B28) * ('Master Data Sheet'!$F:$F=$E28) * ('Master Data Sheet'!$A:$A=$F28), 0), MATCH($F$1, 'Master Data Sheet'!$1:$1, 0)), "")</f>
        <v>0.3105887996162609</v>
      </c>
      <c r="O28" s="11">
        <f t="shared" si="8"/>
        <v>0.23743854179158172</v>
      </c>
      <c r="P28" s="11">
        <f t="shared" si="4"/>
        <v>0.12954292561799388</v>
      </c>
      <c r="Q28" s="11"/>
      <c r="R28" s="46">
        <f>(1-(O28/O22))*100</f>
        <v>45.753424657534246</v>
      </c>
      <c r="X28" t="str">
        <f>IFERROR(INDEX('Date Key'!$G$57:$G$62, MATCH(B27,'Date Key'!$A$57:$A$62, 0)), "")</f>
        <v>High HLR, Lower Outlet Height, No Plants</v>
      </c>
      <c r="Y28" s="1">
        <f t="shared" ref="Y28:AE28" si="32">H27</f>
        <v>0</v>
      </c>
      <c r="Z28" s="1">
        <f t="shared" si="32"/>
        <v>0.15109725386737016</v>
      </c>
      <c r="AA28" s="1">
        <f t="shared" si="32"/>
        <v>0.20146300515649362</v>
      </c>
      <c r="AB28" s="1">
        <f t="shared" si="32"/>
        <v>0.33157452932006237</v>
      </c>
      <c r="AC28" s="1">
        <f t="shared" si="32"/>
        <v>0.32737738337930206</v>
      </c>
      <c r="AD28" s="1">
        <f t="shared" si="32"/>
        <v>0.41551744813526814</v>
      </c>
      <c r="AE28" s="1">
        <f t="shared" si="32"/>
        <v>0.4365031778390695</v>
      </c>
      <c r="AF28" s="1">
        <f t="shared" ref="AF28:AL28" si="33">H28</f>
        <v>2.0985729703801418E-2</v>
      </c>
      <c r="AG28" s="1">
        <f t="shared" si="33"/>
        <v>0.11752008634128794</v>
      </c>
      <c r="AH28" s="1">
        <f t="shared" si="33"/>
        <v>0.23923731862333616</v>
      </c>
      <c r="AI28" s="1">
        <f t="shared" si="33"/>
        <v>0.28540592397169934</v>
      </c>
      <c r="AJ28" s="1">
        <f t="shared" si="33"/>
        <v>0.27701163209017876</v>
      </c>
      <c r="AK28" s="1">
        <f t="shared" si="33"/>
        <v>0.41132030219450777</v>
      </c>
      <c r="AL28" s="1">
        <f t="shared" si="33"/>
        <v>0.3105887996162609</v>
      </c>
      <c r="AM28" s="1">
        <f t="shared" ref="AM28:AS28" si="34">H29</f>
        <v>3.3577167526082266E-2</v>
      </c>
      <c r="AN28" s="1">
        <f t="shared" si="34"/>
        <v>0.53723468041731626</v>
      </c>
      <c r="AO28" s="1">
        <f t="shared" si="34"/>
        <v>0.67574049646240564</v>
      </c>
      <c r="AP28" s="1">
        <f t="shared" si="34"/>
        <v>0.76388056121837167</v>
      </c>
      <c r="AQ28" s="1">
        <f t="shared" si="34"/>
        <v>0.80165487468521401</v>
      </c>
      <c r="AR28" s="1">
        <f t="shared" si="34"/>
        <v>0.79745772874445386</v>
      </c>
      <c r="AS28" s="1">
        <f t="shared" si="34"/>
        <v>0.72190910181076884</v>
      </c>
    </row>
    <row r="29" spans="1:45" x14ac:dyDescent="0.35">
      <c r="A29" s="42">
        <f>IFERROR(INDEX('Date Key'!$B$2:$B$19, MATCH(F29,'Date Key'!$A$2:$A$19, 0)), "")</f>
        <v>45246</v>
      </c>
      <c r="B29" s="27">
        <f t="shared" si="15"/>
        <v>3</v>
      </c>
      <c r="C29" s="51" t="str">
        <f>IFERROR(INDEX('Date Key'!$G$57:$G$62, MATCH(B29,'Date Key'!$A$57:$A$62, 0)), "")</f>
        <v>High HLR, Lower Outlet Height, No Plants</v>
      </c>
      <c r="D29" s="27" t="str">
        <f>IFERROR(INDEX('Date Key'!$G$2:$G$19, MATCH(F29, 'Date Key'!$A$2:$A$19, 0)), "")</f>
        <v>Yes</v>
      </c>
      <c r="E29" s="27" t="str">
        <f t="shared" si="1"/>
        <v>tank 2</v>
      </c>
      <c r="F29" s="27">
        <f t="shared" si="2"/>
        <v>9</v>
      </c>
      <c r="G29" s="27">
        <f t="shared" si="22"/>
        <v>3</v>
      </c>
      <c r="H29" s="28" cm="1">
        <f t="array" ref="H29">IFERROR(INDEX('Master Data Sheet'!$1:$1048576, MATCH(1, ('Master Data Sheet'!$H:$H=H$2) * (INDEX('Master Data Sheet'!$1:$1, , MATCH($F$1, 'Master Data Sheet'!$1:$1, 0)) = $F$1) * ('Master Data Sheet'!$G:$G=$B29) * ('Master Data Sheet'!$F:$F=$E29) * ('Master Data Sheet'!$A:$A=$F29), 0), MATCH($F$1, 'Master Data Sheet'!$1:$1, 0)), "")</f>
        <v>3.3577167526082266E-2</v>
      </c>
      <c r="I29" s="28" cm="1">
        <f t="array" ref="I29">IFERROR(INDEX('Master Data Sheet'!$1:$1048576, MATCH(1, ('Master Data Sheet'!$H:$H=I$2) * (INDEX('Master Data Sheet'!$1:$1, , MATCH($F$1, 'Master Data Sheet'!$1:$1, 0)) = $F$1) * ('Master Data Sheet'!$G:$G=$B29) * ('Master Data Sheet'!$F:$F=$E29) * ('Master Data Sheet'!$A:$A=$F29), 0), MATCH($F$1, 'Master Data Sheet'!$1:$1, 0)), "")</f>
        <v>0.53723468041731626</v>
      </c>
      <c r="J29" s="28" cm="1">
        <f t="array" ref="J29">IFERROR(INDEX('Master Data Sheet'!$1:$1048576, MATCH(1, ('Master Data Sheet'!$H:$H=J$2) * (INDEX('Master Data Sheet'!$1:$1, , MATCH($F$1, 'Master Data Sheet'!$1:$1, 0)) = $F$1) * ('Master Data Sheet'!$G:$G=$B29) * ('Master Data Sheet'!$F:$F=$E29) * ('Master Data Sheet'!$A:$A=$F29), 0), MATCH($F$1, 'Master Data Sheet'!$1:$1, 0)), "")</f>
        <v>0.67574049646240564</v>
      </c>
      <c r="K29" s="28" cm="1">
        <f t="array" ref="K29">IFERROR(INDEX('Master Data Sheet'!$1:$1048576, MATCH(1, ('Master Data Sheet'!$H:$H=K$2) * (INDEX('Master Data Sheet'!$1:$1, , MATCH($F$1, 'Master Data Sheet'!$1:$1, 0)) = $F$1) * ('Master Data Sheet'!$G:$G=$B29) * ('Master Data Sheet'!$F:$F=$E29) * ('Master Data Sheet'!$A:$A=$F29), 0), MATCH($F$1, 'Master Data Sheet'!$1:$1, 0)), "")</f>
        <v>0.76388056121837167</v>
      </c>
      <c r="L29" s="28" cm="1">
        <f t="array" ref="L29">IFERROR(INDEX('Master Data Sheet'!$1:$1048576, MATCH(1, ('Master Data Sheet'!$H:$H=L$2) * (INDEX('Master Data Sheet'!$1:$1, , MATCH($F$1, 'Master Data Sheet'!$1:$1, 0)) = $F$1) * ('Master Data Sheet'!$G:$G=$B29) * ('Master Data Sheet'!$F:$F=$E29) * ('Master Data Sheet'!$A:$A=$F29), 0), MATCH($F$1, 'Master Data Sheet'!$1:$1, 0)), "")</f>
        <v>0.80165487468521401</v>
      </c>
      <c r="M29" s="28" cm="1">
        <f t="array" ref="M29">IFERROR(INDEX('Master Data Sheet'!$1:$1048576, MATCH(1, ('Master Data Sheet'!$H:$H=M$2) * (INDEX('Master Data Sheet'!$1:$1, , MATCH($F$1, 'Master Data Sheet'!$1:$1, 0)) = $F$1) * ('Master Data Sheet'!$G:$G=$B29) * ('Master Data Sheet'!$F:$F=$E29) * ('Master Data Sheet'!$A:$A=$F29), 0), MATCH($F$1, 'Master Data Sheet'!$1:$1, 0)), "")</f>
        <v>0.79745772874445386</v>
      </c>
      <c r="N29" s="28" cm="1">
        <f t="array" ref="N29">IFERROR(INDEX('Master Data Sheet'!$1:$1048576, MATCH(1, ('Master Data Sheet'!$H:$H=N$2) * (INDEX('Master Data Sheet'!$1:$1, , MATCH($F$1, 'Master Data Sheet'!$1:$1, 0)) = $F$1) * ('Master Data Sheet'!$G:$G=$B29) * ('Master Data Sheet'!$F:$F=$E29) * ('Master Data Sheet'!$A:$A=$F29), 0), MATCH($F$1, 'Master Data Sheet'!$1:$1, 0)), "")</f>
        <v>0.72190910181076884</v>
      </c>
      <c r="O29" s="28">
        <f t="shared" si="8"/>
        <v>0.6187792301235161</v>
      </c>
      <c r="P29" s="28">
        <f t="shared" si="4"/>
        <v>0.27368328029586325</v>
      </c>
      <c r="Q29" s="28"/>
      <c r="R29" s="48">
        <f>(1-(O29/O23))*100</f>
        <v>46.305931321540058</v>
      </c>
      <c r="S29" s="27"/>
      <c r="T29" s="27"/>
      <c r="U29" s="27"/>
      <c r="V29" s="27"/>
    </row>
    <row r="30" spans="1:45" x14ac:dyDescent="0.35">
      <c r="A30" s="41">
        <f>IFERROR(INDEX('Date Key'!$B$2:$B$19, MATCH(F30,'Date Key'!$A$2:$A$19, 0)), "")</f>
        <v>45250</v>
      </c>
      <c r="B30" s="4">
        <f t="shared" si="15"/>
        <v>4</v>
      </c>
      <c r="C30" s="26" t="str">
        <f>IFERROR(INDEX('Date Key'!$G$57:$G$62, MATCH(B30,'Date Key'!$A$57:$A$62, 0)), "")</f>
        <v>High HLR, Upper Outlet Height, No Plants</v>
      </c>
      <c r="D30" s="4" t="str">
        <f>IFERROR(INDEX('Date Key'!$G$2:$G$19, MATCH(F30, 'Date Key'!$A$2:$A$19, 0)), "")</f>
        <v>Yes</v>
      </c>
      <c r="E30" s="4" t="str">
        <f t="shared" si="1"/>
        <v>in</v>
      </c>
      <c r="F30" s="4">
        <f t="shared" si="2"/>
        <v>10</v>
      </c>
      <c r="G30" s="4">
        <f t="shared" si="22"/>
        <v>1</v>
      </c>
      <c r="H30" s="11" cm="1">
        <f t="array" ref="H30">IFERROR(INDEX('Master Data Sheet'!$1:$1048576, MATCH(1, ('Master Data Sheet'!$H:$H=H$2) * (INDEX('Master Data Sheet'!$1:$1, , MATCH($F$1, 'Master Data Sheet'!$1:$1, 0)) = $F$1) * ('Master Data Sheet'!$G:$G=$B30) * ('Master Data Sheet'!$F:$F=$E30) * ('Master Data Sheet'!$A:$A=$F30), 0), MATCH($F$1, 'Master Data Sheet'!$1:$1, 0)), "")</f>
        <v>1.1961865931166806</v>
      </c>
      <c r="I30" s="11" cm="1">
        <f t="array" ref="I30">IFERROR(INDEX('Master Data Sheet'!$1:$1048576, MATCH(1, ('Master Data Sheet'!$H:$H=I$2) * (INDEX('Master Data Sheet'!$1:$1, , MATCH($F$1, 'Master Data Sheet'!$1:$1, 0)) = $F$1) * ('Master Data Sheet'!$G:$G=$B30) * ('Master Data Sheet'!$F:$F=$E30) * ('Master Data Sheet'!$A:$A=$F30), 0), MATCH($F$1, 'Master Data Sheet'!$1:$1, 0)), "")</f>
        <v>1.1290322580645165</v>
      </c>
      <c r="J30" s="11" cm="1">
        <f t="array" ref="J30">IFERROR(INDEX('Master Data Sheet'!$1:$1048576, MATCH(1, ('Master Data Sheet'!$H:$H=J$2) * (INDEX('Master Data Sheet'!$1:$1, , MATCH($F$1, 'Master Data Sheet'!$1:$1, 0)) = $F$1) * ('Master Data Sheet'!$G:$G=$B30) * ('Master Data Sheet'!$F:$F=$E30) * ('Master Data Sheet'!$A:$A=$F30), 0), MATCH($F$1, 'Master Data Sheet'!$1:$1, 0)), "")</f>
        <v>0.93596354478954324</v>
      </c>
      <c r="K30" s="11" cm="1">
        <f t="array" ref="K30">IFERROR(INDEX('Master Data Sheet'!$1:$1048576, MATCH(1, ('Master Data Sheet'!$H:$H=K$2) * (INDEX('Master Data Sheet'!$1:$1, , MATCH($F$1, 'Master Data Sheet'!$1:$1, 0)) = $F$1) * ('Master Data Sheet'!$G:$G=$B30) * ('Master Data Sheet'!$F:$F=$E30) * ('Master Data Sheet'!$A:$A=$F30), 0), MATCH($F$1, 'Master Data Sheet'!$1:$1, 0)), "")</f>
        <v>0.91497781508574172</v>
      </c>
      <c r="L30" s="11" cm="1">
        <f t="array" ref="L30">IFERROR(INDEX('Master Data Sheet'!$1:$1048576, MATCH(1, ('Master Data Sheet'!$H:$H=L$2) * (INDEX('Master Data Sheet'!$1:$1, , MATCH($F$1, 'Master Data Sheet'!$1:$1, 0)) = $F$1) * ('Master Data Sheet'!$G:$G=$B30) * ('Master Data Sheet'!$F:$F=$E30) * ('Master Data Sheet'!$A:$A=$F30), 0), MATCH($F$1, 'Master Data Sheet'!$1:$1, 0)), "")</f>
        <v>0.86041491785585811</v>
      </c>
      <c r="M30" s="11" cm="1">
        <f t="array" ref="M30">IFERROR(INDEX('Master Data Sheet'!$1:$1048576, MATCH(1, ('Master Data Sheet'!$H:$H=M$2) * (INDEX('Master Data Sheet'!$1:$1, , MATCH($F$1, 'Master Data Sheet'!$1:$1, 0)) = $F$1) * ('Master Data Sheet'!$G:$G=$B30) * ('Master Data Sheet'!$F:$F=$E30) * ('Master Data Sheet'!$A:$A=$F30), 0), MATCH($F$1, 'Master Data Sheet'!$1:$1, 0)), "")</f>
        <v>0.74289483151457003</v>
      </c>
      <c r="N30" s="11" cm="1">
        <f t="array" ref="N30">IFERROR(INDEX('Master Data Sheet'!$1:$1048576, MATCH(1, ('Master Data Sheet'!$H:$H=N$2) * (INDEX('Master Data Sheet'!$1:$1, , MATCH($F$1, 'Master Data Sheet'!$1:$1, 0)) = $F$1) * ('Master Data Sheet'!$G:$G=$B30) * ('Master Data Sheet'!$F:$F=$E30) * ('Master Data Sheet'!$A:$A=$F30), 0), MATCH($F$1, 'Master Data Sheet'!$1:$1, 0)), "")</f>
        <v>0.6001918695287205</v>
      </c>
      <c r="O30" s="11">
        <f t="shared" si="8"/>
        <v>0.91138026142223294</v>
      </c>
      <c r="P30" s="11">
        <f t="shared" si="4"/>
        <v>0.20693289573127266</v>
      </c>
      <c r="Q30" s="11">
        <f>AVERAGE(O30:O32)</f>
        <v>0.97990520130438552</v>
      </c>
      <c r="S30" s="11">
        <f>AVERAGE(O30:O32)</f>
        <v>0.97990520130438552</v>
      </c>
      <c r="T30" s="11">
        <f>AVERAGE(P30:P32)</f>
        <v>0.3280751348875599</v>
      </c>
      <c r="V30" s="47">
        <f>AVERAGE(U33, U36)</f>
        <v>75.910821158164595</v>
      </c>
      <c r="X30" t="s">
        <v>343</v>
      </c>
    </row>
    <row r="31" spans="1:45" x14ac:dyDescent="0.35">
      <c r="A31" s="41">
        <f>IFERROR(INDEX('Date Key'!$B$2:$B$19, MATCH(F31,'Date Key'!$A$2:$A$19, 0)), "")</f>
        <v>45259</v>
      </c>
      <c r="B31" s="4">
        <f t="shared" si="15"/>
        <v>4</v>
      </c>
      <c r="C31" s="26" t="str">
        <f>IFERROR(INDEX('Date Key'!$G$57:$G$62, MATCH(B31,'Date Key'!$A$57:$A$62, 0)), "")</f>
        <v>High HLR, Upper Outlet Height, No Plants</v>
      </c>
      <c r="D31" s="4" t="str">
        <f>IFERROR(INDEX('Date Key'!$G$2:$G$19, MATCH(F31, 'Date Key'!$A$2:$A$19, 0)), "")</f>
        <v>No</v>
      </c>
      <c r="E31" s="4" t="str">
        <f t="shared" si="1"/>
        <v>in</v>
      </c>
      <c r="F31" s="4">
        <f t="shared" si="2"/>
        <v>11</v>
      </c>
      <c r="G31" s="4">
        <f t="shared" si="22"/>
        <v>2</v>
      </c>
      <c r="H31" s="11" cm="1">
        <f t="array" ref="H31">IFERROR(INDEX('Master Data Sheet'!$1:$1048576, MATCH(1, ('Master Data Sheet'!$H:$H=H$2) * (INDEX('Master Data Sheet'!$1:$1, , MATCH($F$1, 'Master Data Sheet'!$1:$1, 0)) = $F$1) * ('Master Data Sheet'!$G:$G=$B31) * ('Master Data Sheet'!$F:$F=$E31) * ('Master Data Sheet'!$A:$A=$F31), 0), MATCH($F$1, 'Master Data Sheet'!$1:$1, 0)), "")</f>
        <v>0.10193143897259581</v>
      </c>
      <c r="I31" s="11" cm="1">
        <f t="array" ref="I31">IFERROR(INDEX('Master Data Sheet'!$1:$1048576, MATCH(1, ('Master Data Sheet'!$H:$H=I$2) * (INDEX('Master Data Sheet'!$1:$1, , MATCH($F$1, 'Master Data Sheet'!$1:$1, 0)) = $F$1) * ('Master Data Sheet'!$G:$G=$B31) * ('Master Data Sheet'!$F:$F=$E31) * ('Master Data Sheet'!$A:$A=$F31), 0), MATCH($F$1, 'Master Data Sheet'!$1:$1, 0)), "")</f>
        <v>0.98109010011123476</v>
      </c>
      <c r="J31" s="11" cm="1">
        <f t="array" ref="J31">IFERROR(INDEX('Master Data Sheet'!$1:$1048576, MATCH(1, ('Master Data Sheet'!$H:$H=J$2) * (INDEX('Master Data Sheet'!$1:$1, , MATCH($F$1, 'Master Data Sheet'!$1:$1, 0)) = $F$1) * ('Master Data Sheet'!$G:$G=$B31) * ('Master Data Sheet'!$F:$F=$E31) * ('Master Data Sheet'!$A:$A=$F31), 0), MATCH($F$1, 'Master Data Sheet'!$1:$1, 0)), "")</f>
        <v>0.80695722519971702</v>
      </c>
      <c r="K31" s="11" cm="1">
        <f t="array" ref="K31">IFERROR(INDEX('Master Data Sheet'!$1:$1048576, MATCH(1, ('Master Data Sheet'!$H:$H=K$2) * (INDEX('Master Data Sheet'!$1:$1, , MATCH($F$1, 'Master Data Sheet'!$1:$1, 0)) = $F$1) * ('Master Data Sheet'!$G:$G=$B31) * ('Master Data Sheet'!$F:$F=$E31) * ('Master Data Sheet'!$A:$A=$F31), 0), MATCH($F$1, 'Master Data Sheet'!$1:$1, 0)), "")</f>
        <v>1.09151582566488</v>
      </c>
      <c r="L31" s="11" cm="1">
        <f t="array" ref="L31">IFERROR(INDEX('Master Data Sheet'!$1:$1048576, MATCH(1, ('Master Data Sheet'!$H:$H=L$2) * (INDEX('Master Data Sheet'!$1:$1, , MATCH($F$1, 'Master Data Sheet'!$1:$1, 0)) = $F$1) * ('Master Data Sheet'!$G:$G=$B31) * ('Master Data Sheet'!$F:$F=$E31) * ('Master Data Sheet'!$A:$A=$F31), 0), MATCH($F$1, 'Master Data Sheet'!$1:$1, 0)), "")</f>
        <v>1.2104358377995752</v>
      </c>
      <c r="M31" s="11" cm="1">
        <f t="array" ref="M31">IFERROR(INDEX('Master Data Sheet'!$1:$1048576, MATCH(1, ('Master Data Sheet'!$H:$H=M$2) * (INDEX('Master Data Sheet'!$1:$1, , MATCH($F$1, 'Master Data Sheet'!$1:$1, 0)) = $F$1) * ('Master Data Sheet'!$G:$G=$B31) * ('Master Data Sheet'!$F:$F=$E31) * ('Master Data Sheet'!$A:$A=$F31), 0), MATCH($F$1, 'Master Data Sheet'!$1:$1, 0)), "")</f>
        <v>1.2571544139953479</v>
      </c>
      <c r="N31" s="11" cm="1">
        <f t="array" ref="N31">IFERROR(INDEX('Master Data Sheet'!$1:$1048576, MATCH(1, ('Master Data Sheet'!$H:$H=N$2) * (INDEX('Master Data Sheet'!$1:$1, , MATCH($F$1, 'Master Data Sheet'!$1:$1, 0)) = $F$1) * ('Master Data Sheet'!$G:$G=$B31) * ('Master Data Sheet'!$F:$F=$E31) * ('Master Data Sheet'!$A:$A=$F31), 0), MATCH($F$1, 'Master Data Sheet'!$1:$1, 0)), "")</f>
        <v>1.2741429871574474</v>
      </c>
      <c r="O31" s="11">
        <f t="shared" si="8"/>
        <v>0.96046111841439974</v>
      </c>
      <c r="P31" s="11">
        <f t="shared" si="4"/>
        <v>0.41375277111768499</v>
      </c>
      <c r="Q31" s="11"/>
      <c r="X31" t="str">
        <f>IFERROR(INDEX('Date Key'!$G$57:$G$62, MATCH(B30,'Date Key'!$A$57:$A$62, 0)), "")</f>
        <v>High HLR, Upper Outlet Height, No Plants</v>
      </c>
      <c r="Y31" s="1">
        <f t="shared" ref="Y31:AE31" si="35">H30</f>
        <v>1.1961865931166806</v>
      </c>
      <c r="Z31" s="1">
        <f t="shared" si="35"/>
        <v>1.1290322580645165</v>
      </c>
      <c r="AA31" s="1">
        <f t="shared" si="35"/>
        <v>0.93596354478954324</v>
      </c>
      <c r="AB31" s="1">
        <f t="shared" si="35"/>
        <v>0.91497781508574172</v>
      </c>
      <c r="AC31" s="1">
        <f t="shared" si="35"/>
        <v>0.86041491785585811</v>
      </c>
      <c r="AD31" s="1">
        <f t="shared" si="35"/>
        <v>0.74289483151457003</v>
      </c>
      <c r="AE31" s="1">
        <f t="shared" si="35"/>
        <v>0.6001918695287205</v>
      </c>
      <c r="AF31" s="1">
        <f t="shared" ref="AF31:AL31" si="36">H31</f>
        <v>0.10193143897259581</v>
      </c>
      <c r="AG31" s="1">
        <f t="shared" si="36"/>
        <v>0.98109010011123476</v>
      </c>
      <c r="AH31" s="1">
        <f t="shared" si="36"/>
        <v>0.80695722519971702</v>
      </c>
      <c r="AI31" s="1">
        <f t="shared" si="36"/>
        <v>1.09151582566488</v>
      </c>
      <c r="AJ31" s="1">
        <f t="shared" si="36"/>
        <v>1.2104358377995752</v>
      </c>
      <c r="AK31" s="1">
        <f t="shared" si="36"/>
        <v>1.2571544139953479</v>
      </c>
      <c r="AL31" s="1">
        <f t="shared" si="36"/>
        <v>1.2741429871574474</v>
      </c>
      <c r="AM31" s="1">
        <f t="shared" ref="AM31:AS31" si="37">H32</f>
        <v>1.8377938333163735</v>
      </c>
      <c r="AN31" s="1">
        <f t="shared" si="37"/>
        <v>0.7821308639462704</v>
      </c>
      <c r="AO31" s="1">
        <f t="shared" si="37"/>
        <v>0.82487025541874415</v>
      </c>
      <c r="AP31" s="1">
        <f t="shared" si="37"/>
        <v>1.0086496387503816</v>
      </c>
      <c r="AQ31" s="1">
        <f t="shared" si="37"/>
        <v>0.86333570774397084</v>
      </c>
      <c r="AR31" s="1">
        <f t="shared" si="37"/>
        <v>0.99582782130863956</v>
      </c>
      <c r="AS31" s="1">
        <f t="shared" si="37"/>
        <v>1.1625114480512875</v>
      </c>
    </row>
    <row r="32" spans="1:45" x14ac:dyDescent="0.35">
      <c r="A32" s="41">
        <f>IFERROR(INDEX('Date Key'!$B$2:$B$19, MATCH(F32,'Date Key'!$A$2:$A$19, 0)), "")</f>
        <v>45266</v>
      </c>
      <c r="B32" s="4">
        <f t="shared" si="15"/>
        <v>4</v>
      </c>
      <c r="C32" s="26" t="str">
        <f>IFERROR(INDEX('Date Key'!$G$57:$G$62, MATCH(B32,'Date Key'!$A$57:$A$62, 0)), "")</f>
        <v>High HLR, Upper Outlet Height, No Plants</v>
      </c>
      <c r="D32" s="4" t="str">
        <f>IFERROR(INDEX('Date Key'!$G$2:$G$19, MATCH(F32, 'Date Key'!$A$2:$A$19, 0)), "")</f>
        <v>No</v>
      </c>
      <c r="E32" s="4" t="str">
        <f t="shared" si="1"/>
        <v>in</v>
      </c>
      <c r="F32" s="4">
        <f t="shared" si="2"/>
        <v>12</v>
      </c>
      <c r="G32" s="4">
        <f t="shared" si="22"/>
        <v>3</v>
      </c>
      <c r="H32" s="11" cm="1">
        <f t="array" ref="H32">IFERROR(INDEX('Master Data Sheet'!$1:$1048576, MATCH(1, ('Master Data Sheet'!$H:$H=H$2) * (INDEX('Master Data Sheet'!$1:$1, , MATCH($F$1, 'Master Data Sheet'!$1:$1, 0)) = $F$1) * ('Master Data Sheet'!$G:$G=$B32) * ('Master Data Sheet'!$F:$F=$E32) * ('Master Data Sheet'!$A:$A=$F32), 0), MATCH($F$1, 'Master Data Sheet'!$1:$1, 0)), "")</f>
        <v>1.8377938333163735</v>
      </c>
      <c r="I32" s="11" cm="1">
        <f t="array" ref="I32">IFERROR(INDEX('Master Data Sheet'!$1:$1048576, MATCH(1, ('Master Data Sheet'!$H:$H=I$2) * (INDEX('Master Data Sheet'!$1:$1, , MATCH($F$1, 'Master Data Sheet'!$1:$1, 0)) = $F$1) * ('Master Data Sheet'!$G:$G=$B32) * ('Master Data Sheet'!$F:$F=$E32) * ('Master Data Sheet'!$A:$A=$F32), 0), MATCH($F$1, 'Master Data Sheet'!$1:$1, 0)), "")</f>
        <v>0.7821308639462704</v>
      </c>
      <c r="J32" s="11" cm="1">
        <f t="array" ref="J32">IFERROR(INDEX('Master Data Sheet'!$1:$1048576, MATCH(1, ('Master Data Sheet'!$H:$H=J$2) * (INDEX('Master Data Sheet'!$1:$1, , MATCH($F$1, 'Master Data Sheet'!$1:$1, 0)) = $F$1) * ('Master Data Sheet'!$G:$G=$B32) * ('Master Data Sheet'!$F:$F=$E32) * ('Master Data Sheet'!$A:$A=$F32), 0), MATCH($F$1, 'Master Data Sheet'!$1:$1, 0)), "")</f>
        <v>0.82487025541874415</v>
      </c>
      <c r="K32" s="11" cm="1">
        <f t="array" ref="K32">IFERROR(INDEX('Master Data Sheet'!$1:$1048576, MATCH(1, ('Master Data Sheet'!$H:$H=K$2) * (INDEX('Master Data Sheet'!$1:$1, , MATCH($F$1, 'Master Data Sheet'!$1:$1, 0)) = $F$1) * ('Master Data Sheet'!$G:$G=$B32) * ('Master Data Sheet'!$F:$F=$E32) * ('Master Data Sheet'!$A:$A=$F32), 0), MATCH($F$1, 'Master Data Sheet'!$1:$1, 0)), "")</f>
        <v>1.0086496387503816</v>
      </c>
      <c r="L32" s="11" cm="1">
        <f t="array" ref="L32">IFERROR(INDEX('Master Data Sheet'!$1:$1048576, MATCH(1, ('Master Data Sheet'!$H:$H=L$2) * (INDEX('Master Data Sheet'!$1:$1, , MATCH($F$1, 'Master Data Sheet'!$1:$1, 0)) = $F$1) * ('Master Data Sheet'!$G:$G=$B32) * ('Master Data Sheet'!$F:$F=$E32) * ('Master Data Sheet'!$A:$A=$F32), 0), MATCH($F$1, 'Master Data Sheet'!$1:$1, 0)), "")</f>
        <v>0.86333570774397084</v>
      </c>
      <c r="M32" s="11" cm="1">
        <f t="array" ref="M32">IFERROR(INDEX('Master Data Sheet'!$1:$1048576, MATCH(1, ('Master Data Sheet'!$H:$H=M$2) * (INDEX('Master Data Sheet'!$1:$1, , MATCH($F$1, 'Master Data Sheet'!$1:$1, 0)) = $F$1) * ('Master Data Sheet'!$G:$G=$B32) * ('Master Data Sheet'!$F:$F=$E32) * ('Master Data Sheet'!$A:$A=$F32), 0), MATCH($F$1, 'Master Data Sheet'!$1:$1, 0)), "")</f>
        <v>0.99582782130863956</v>
      </c>
      <c r="N32" s="11" cm="1">
        <f t="array" ref="N32">IFERROR(INDEX('Master Data Sheet'!$1:$1048576, MATCH(1, ('Master Data Sheet'!$H:$H=N$2) * (INDEX('Master Data Sheet'!$1:$1, , MATCH($F$1, 'Master Data Sheet'!$1:$1, 0)) = $F$1) * ('Master Data Sheet'!$G:$G=$B32) * ('Master Data Sheet'!$F:$F=$E32) * ('Master Data Sheet'!$A:$A=$F32), 0), MATCH($F$1, 'Master Data Sheet'!$1:$1, 0)), "")</f>
        <v>1.1625114480512875</v>
      </c>
      <c r="O32" s="11">
        <f t="shared" si="8"/>
        <v>1.067874224076524</v>
      </c>
      <c r="P32" s="11">
        <f t="shared" si="4"/>
        <v>0.36353973781372212</v>
      </c>
      <c r="Q32" s="11"/>
      <c r="Y32" s="1"/>
      <c r="Z32" s="1"/>
      <c r="AA32" s="1"/>
      <c r="AB32" s="1"/>
      <c r="AC32" s="1"/>
      <c r="AD32" s="1"/>
      <c r="AE32" s="1"/>
      <c r="AF32" s="1"/>
      <c r="AG32" s="1"/>
      <c r="AH32" s="1"/>
      <c r="AI32" s="1"/>
      <c r="AJ32" s="1"/>
      <c r="AK32" s="1"/>
      <c r="AL32" s="1"/>
      <c r="AM32" s="1"/>
      <c r="AN32" s="1"/>
      <c r="AO32" s="1"/>
      <c r="AP32" s="1"/>
      <c r="AQ32" s="1"/>
      <c r="AR32" s="1"/>
      <c r="AS32" s="1"/>
    </row>
    <row r="33" spans="1:45" x14ac:dyDescent="0.35">
      <c r="A33" s="41">
        <f>IFERROR(INDEX('Date Key'!$B$2:$B$19, MATCH(F33,'Date Key'!$A$2:$A$19, 0)), "")</f>
        <v>45250</v>
      </c>
      <c r="B33" s="4">
        <f t="shared" si="15"/>
        <v>4</v>
      </c>
      <c r="C33" s="26" t="str">
        <f>IFERROR(INDEX('Date Key'!$G$57:$G$62, MATCH(B33,'Date Key'!$A$57:$A$62, 0)), "")</f>
        <v>High HLR, Upper Outlet Height, No Plants</v>
      </c>
      <c r="D33" s="4" t="str">
        <f>IFERROR(INDEX('Date Key'!$G$2:$G$19, MATCH(F33, 'Date Key'!$A$2:$A$19, 0)), "")</f>
        <v>Yes</v>
      </c>
      <c r="E33" s="4" t="str">
        <f t="shared" si="1"/>
        <v>tank 1</v>
      </c>
      <c r="F33" s="4">
        <f t="shared" si="2"/>
        <v>10</v>
      </c>
      <c r="G33" s="4">
        <f t="shared" si="22"/>
        <v>1</v>
      </c>
      <c r="H33" s="11" cm="1">
        <f t="array" ref="H33">IFERROR(INDEX('Master Data Sheet'!$1:$1048576, MATCH(1, ('Master Data Sheet'!$H:$H=H$2) * (INDEX('Master Data Sheet'!$1:$1, , MATCH($F$1, 'Master Data Sheet'!$1:$1, 0)) = $F$1) * ('Master Data Sheet'!$G:$G=$B33) * ('Master Data Sheet'!$F:$F=$E33) * ('Master Data Sheet'!$A:$A=$F33), 0), MATCH($F$1, 'Master Data Sheet'!$1:$1, 0)), "")</f>
        <v>4.6168605348363118E-2</v>
      </c>
      <c r="I33" s="11" cm="1">
        <f t="array" ref="I33">IFERROR(INDEX('Master Data Sheet'!$1:$1048576, MATCH(1, ('Master Data Sheet'!$H:$H=I$2) * (INDEX('Master Data Sheet'!$1:$1, , MATCH($F$1, 'Master Data Sheet'!$1:$1, 0)) = $F$1) * ('Master Data Sheet'!$G:$G=$B33) * ('Master Data Sheet'!$F:$F=$E33) * ('Master Data Sheet'!$A:$A=$F33), 0), MATCH($F$1, 'Master Data Sheet'!$1:$1, 0)), "")</f>
        <v>2.9380021585321985E-2</v>
      </c>
      <c r="J33" s="11" cm="1">
        <f t="array" ref="J33">IFERROR(INDEX('Master Data Sheet'!$1:$1048576, MATCH(1, ('Master Data Sheet'!$H:$H=J$2) * (INDEX('Master Data Sheet'!$1:$1, , MATCH($F$1, 'Master Data Sheet'!$1:$1, 0)) = $F$1) * ('Master Data Sheet'!$G:$G=$B33) * ('Master Data Sheet'!$F:$F=$E33) * ('Master Data Sheet'!$A:$A=$F33), 0), MATCH($F$1, 'Master Data Sheet'!$1:$1, 0)), "")</f>
        <v>0.15109725386737016</v>
      </c>
      <c r="K33" s="11" cm="1">
        <f t="array" ref="K33">IFERROR(INDEX('Master Data Sheet'!$1:$1048576, MATCH(1, ('Master Data Sheet'!$H:$H=K$2) * (INDEX('Master Data Sheet'!$1:$1, , MATCH($F$1, 'Master Data Sheet'!$1:$1, 0)) = $F$1) * ('Master Data Sheet'!$G:$G=$B33) * ('Master Data Sheet'!$F:$F=$E33) * ('Master Data Sheet'!$A:$A=$F33), 0), MATCH($F$1, 'Master Data Sheet'!$1:$1, 0)), "")</f>
        <v>0.15949154574889074</v>
      </c>
      <c r="L33" s="11" cm="1">
        <f t="array" ref="L33">IFERROR(INDEX('Master Data Sheet'!$1:$1048576, MATCH(1, ('Master Data Sheet'!$H:$H=L$2) * (INDEX('Master Data Sheet'!$1:$1, , MATCH($F$1, 'Master Data Sheet'!$1:$1, 0)) = $F$1) * ('Master Data Sheet'!$G:$G=$B33) * ('Master Data Sheet'!$F:$F=$E33) * ('Master Data Sheet'!$A:$A=$F33), 0), MATCH($F$1, 'Master Data Sheet'!$1:$1, 0)), "")</f>
        <v>0.16368869168965103</v>
      </c>
      <c r="M33" s="11" cm="1">
        <f t="array" ref="M33">IFERROR(INDEX('Master Data Sheet'!$1:$1048576, MATCH(1, ('Master Data Sheet'!$H:$H=M$2) * (INDEX('Master Data Sheet'!$1:$1, , MATCH($F$1, 'Master Data Sheet'!$1:$1, 0)) = $F$1) * ('Master Data Sheet'!$G:$G=$B33) * ('Master Data Sheet'!$F:$F=$E33) * ('Master Data Sheet'!$A:$A=$F33), 0), MATCH($F$1, 'Master Data Sheet'!$1:$1, 0)), "")</f>
        <v>0.15949154574889074</v>
      </c>
      <c r="N33" s="11" cm="1">
        <f t="array" ref="N33">IFERROR(INDEX('Master Data Sheet'!$1:$1048576, MATCH(1, ('Master Data Sheet'!$H:$H=N$2) * (INDEX('Master Data Sheet'!$1:$1, , MATCH($F$1, 'Master Data Sheet'!$1:$1, 0)) = $F$1) * ('Master Data Sheet'!$G:$G=$B33) * ('Master Data Sheet'!$F:$F=$E33) * ('Master Data Sheet'!$A:$A=$F33), 0), MATCH($F$1, 'Master Data Sheet'!$1:$1, 0)), "")</f>
        <v>0.12591437822280849</v>
      </c>
      <c r="O33" s="11">
        <f t="shared" si="8"/>
        <v>0.11931886317304231</v>
      </c>
      <c r="P33" s="11">
        <f t="shared" si="4"/>
        <v>5.7285386317285955E-2</v>
      </c>
      <c r="Q33" s="11">
        <f>AVERAGE(O33:O35)</f>
        <v>0.13953648095543755</v>
      </c>
      <c r="R33" s="46">
        <f>(1-(O33/O30))*100</f>
        <v>86.90789473684211</v>
      </c>
      <c r="S33" s="46">
        <f>AVERAGE(R33:R35)</f>
        <v>85.681595776038122</v>
      </c>
      <c r="T33" s="46">
        <f>STDEV(R33:R35)</f>
        <v>3.4904095451945536</v>
      </c>
      <c r="U33" s="47">
        <f>(1-(AVERAGE(H33:N35)/AVERAGE(H30:N32)))*100</f>
        <v>85.760206112826438</v>
      </c>
      <c r="V33" s="47"/>
      <c r="Y33" s="2"/>
      <c r="Z33" s="2"/>
      <c r="AA33" s="2"/>
      <c r="AB33" s="2"/>
      <c r="AC33" s="2"/>
      <c r="AD33" s="2"/>
      <c r="AE33" s="2"/>
      <c r="AF33" s="2"/>
      <c r="AG33" s="2"/>
    </row>
    <row r="34" spans="1:45" x14ac:dyDescent="0.35">
      <c r="A34" s="41">
        <f>IFERROR(INDEX('Date Key'!$B$2:$B$19, MATCH(F34,'Date Key'!$A$2:$A$19, 0)), "")</f>
        <v>45259</v>
      </c>
      <c r="B34" s="4">
        <f t="shared" si="15"/>
        <v>4</v>
      </c>
      <c r="C34" s="26" t="str">
        <f>IFERROR(INDEX('Date Key'!$G$57:$G$62, MATCH(B34,'Date Key'!$A$57:$A$62, 0)), "")</f>
        <v>High HLR, Upper Outlet Height, No Plants</v>
      </c>
      <c r="D34" s="4" t="str">
        <f>IFERROR(INDEX('Date Key'!$G$2:$G$19, MATCH(F34, 'Date Key'!$A$2:$A$19, 0)), "")</f>
        <v>No</v>
      </c>
      <c r="E34" s="4" t="str">
        <f t="shared" si="1"/>
        <v>tank 1</v>
      </c>
      <c r="F34" s="4">
        <f t="shared" si="2"/>
        <v>11</v>
      </c>
      <c r="G34" s="4">
        <f t="shared" si="22"/>
        <v>2</v>
      </c>
      <c r="H34" s="11" cm="1">
        <f t="array" ref="H34">IFERROR(INDEX('Master Data Sheet'!$1:$1048576, MATCH(1, ('Master Data Sheet'!$H:$H=H$2) * (INDEX('Master Data Sheet'!$1:$1, , MATCH($F$1, 'Master Data Sheet'!$1:$1, 0)) = $F$1) * ('Master Data Sheet'!$G:$G=$B34) * ('Master Data Sheet'!$F:$F=$E34) * ('Master Data Sheet'!$A:$A=$F34), 0), MATCH($F$1, 'Master Data Sheet'!$1:$1, 0)), "")</f>
        <v>3.3977146324198612E-2</v>
      </c>
      <c r="I34" s="11" cm="1">
        <f t="array" ref="I34">IFERROR(INDEX('Master Data Sheet'!$1:$1048576, MATCH(1, ('Master Data Sheet'!$H:$H=I$2) * (INDEX('Master Data Sheet'!$1:$1, , MATCH($F$1, 'Master Data Sheet'!$1:$1, 0)) = $F$1) * ('Master Data Sheet'!$G:$G=$B34) * ('Master Data Sheet'!$F:$F=$E34) * ('Master Data Sheet'!$A:$A=$F34), 0), MATCH($F$1, 'Master Data Sheet'!$1:$1, 0)), "")</f>
        <v>3.822428961472342E-2</v>
      </c>
      <c r="J34" s="11" cm="1">
        <f t="array" ref="J34">IFERROR(INDEX('Master Data Sheet'!$1:$1048576, MATCH(1, ('Master Data Sheet'!$H:$H=J$2) * (INDEX('Master Data Sheet'!$1:$1, , MATCH($F$1, 'Master Data Sheet'!$1:$1, 0)) = $F$1) * ('Master Data Sheet'!$G:$G=$B34) * ('Master Data Sheet'!$F:$F=$E34) * ('Master Data Sheet'!$A:$A=$F34), 0), MATCH($F$1, 'Master Data Sheet'!$1:$1, 0)), "")</f>
        <v>3.822428961472342E-2</v>
      </c>
      <c r="K34" s="11" cm="1">
        <f t="array" ref="K34">IFERROR(INDEX('Master Data Sheet'!$1:$1048576, MATCH(1, ('Master Data Sheet'!$H:$H=K$2) * (INDEX('Master Data Sheet'!$1:$1, , MATCH($F$1, 'Master Data Sheet'!$1:$1, 0)) = $F$1) * ('Master Data Sheet'!$G:$G=$B34) * ('Master Data Sheet'!$F:$F=$E34) * ('Master Data Sheet'!$A:$A=$F34), 0), MATCH($F$1, 'Master Data Sheet'!$1:$1, 0)), "")</f>
        <v>0.17413287491151785</v>
      </c>
      <c r="L34" s="11" cm="1">
        <f t="array" ref="L34">IFERROR(INDEX('Master Data Sheet'!$1:$1048576, MATCH(1, ('Master Data Sheet'!$H:$H=L$2) * (INDEX('Master Data Sheet'!$1:$1, , MATCH($F$1, 'Master Data Sheet'!$1:$1, 0)) = $F$1) * ('Master Data Sheet'!$G:$G=$B34) * ('Master Data Sheet'!$F:$F=$E34) * ('Master Data Sheet'!$A:$A=$F34), 0), MATCH($F$1, 'Master Data Sheet'!$1:$1, 0)), "")</f>
        <v>0.15714430174941849</v>
      </c>
      <c r="M34" s="11" cm="1">
        <f t="array" ref="M34">IFERROR(INDEX('Master Data Sheet'!$1:$1048576, MATCH(1, ('Master Data Sheet'!$H:$H=M$2) * (INDEX('Master Data Sheet'!$1:$1, , MATCH($F$1, 'Master Data Sheet'!$1:$1, 0)) = $F$1) * ('Master Data Sheet'!$G:$G=$B34) * ('Master Data Sheet'!$F:$F=$E34) * ('Master Data Sheet'!$A:$A=$F34), 0), MATCH($F$1, 'Master Data Sheet'!$1:$1, 0)), "")</f>
        <v>0.29305288704621302</v>
      </c>
      <c r="N34" s="11" cm="1">
        <f t="array" ref="N34">IFERROR(INDEX('Master Data Sheet'!$1:$1048576, MATCH(1, ('Master Data Sheet'!$H:$H=N$2) * (INDEX('Master Data Sheet'!$1:$1, , MATCH($F$1, 'Master Data Sheet'!$1:$1, 0)) = $F$1) * ('Master Data Sheet'!$G:$G=$B34) * ('Master Data Sheet'!$F:$F=$E34) * ('Master Data Sheet'!$A:$A=$F34), 0), MATCH($F$1, 'Master Data Sheet'!$1:$1, 0)), "")</f>
        <v>0.49266862170087983</v>
      </c>
      <c r="O34" s="11">
        <f t="shared" si="8"/>
        <v>0.17534634442309635</v>
      </c>
      <c r="P34" s="11">
        <f t="shared" si="4"/>
        <v>0.16954409981853408</v>
      </c>
      <c r="Q34" s="11"/>
      <c r="R34" s="46">
        <f>(1-(O34/O31))*100</f>
        <v>81.743524952621598</v>
      </c>
      <c r="X34" t="str">
        <f>IFERROR(INDEX('Date Key'!$G$57:$G$62, MATCH(B33,'Date Key'!$A$57:$A$62, 0)), "")</f>
        <v>High HLR, Upper Outlet Height, No Plants</v>
      </c>
      <c r="Y34" s="1">
        <f t="shared" ref="Y34:AE34" si="38">H33</f>
        <v>4.6168605348363118E-2</v>
      </c>
      <c r="Z34" s="1">
        <f t="shared" si="38"/>
        <v>2.9380021585321985E-2</v>
      </c>
      <c r="AA34" s="1">
        <f t="shared" si="38"/>
        <v>0.15109725386737016</v>
      </c>
      <c r="AB34" s="1">
        <f t="shared" si="38"/>
        <v>0.15949154574889074</v>
      </c>
      <c r="AC34" s="1">
        <f t="shared" si="38"/>
        <v>0.16368869168965103</v>
      </c>
      <c r="AD34" s="1">
        <f t="shared" si="38"/>
        <v>0.15949154574889074</v>
      </c>
      <c r="AE34" s="1">
        <f t="shared" si="38"/>
        <v>0.12591437822280849</v>
      </c>
      <c r="AF34" s="1">
        <f t="shared" ref="AF34:AL34" si="39">H34</f>
        <v>3.3977146324198612E-2</v>
      </c>
      <c r="AG34" s="1">
        <f t="shared" si="39"/>
        <v>3.822428961472342E-2</v>
      </c>
      <c r="AH34" s="1">
        <f t="shared" si="39"/>
        <v>3.822428961472342E-2</v>
      </c>
      <c r="AI34" s="1">
        <f t="shared" si="39"/>
        <v>0.17413287491151785</v>
      </c>
      <c r="AJ34" s="1">
        <f t="shared" si="39"/>
        <v>0.15714430174941849</v>
      </c>
      <c r="AK34" s="1">
        <f t="shared" si="39"/>
        <v>0.29305288704621302</v>
      </c>
      <c r="AL34" s="1">
        <f t="shared" si="39"/>
        <v>0.49266862170087983</v>
      </c>
      <c r="AM34" s="1">
        <f t="shared" ref="AM34:AS34" si="40">H35</f>
        <v>1.709575658898952E-2</v>
      </c>
      <c r="AN34" s="1">
        <f t="shared" si="40"/>
        <v>0</v>
      </c>
      <c r="AO34" s="1">
        <f t="shared" si="40"/>
        <v>0.11112241782843187</v>
      </c>
      <c r="AP34" s="1">
        <f t="shared" si="40"/>
        <v>0.11967029612292664</v>
      </c>
      <c r="AQ34" s="1">
        <f t="shared" si="40"/>
        <v>0.13676605271191616</v>
      </c>
      <c r="AR34" s="1">
        <f t="shared" si="40"/>
        <v>0.30772361860181124</v>
      </c>
      <c r="AS34" s="1">
        <f t="shared" si="40"/>
        <v>0.17523150503714258</v>
      </c>
    </row>
    <row r="35" spans="1:45" x14ac:dyDescent="0.35">
      <c r="A35" s="41">
        <f>IFERROR(INDEX('Date Key'!$B$2:$B$19, MATCH(F35,'Date Key'!$A$2:$A$19, 0)), "")</f>
        <v>45266</v>
      </c>
      <c r="B35" s="4">
        <f t="shared" si="15"/>
        <v>4</v>
      </c>
      <c r="C35" s="26" t="str">
        <f>IFERROR(INDEX('Date Key'!$G$57:$G$62, MATCH(B35,'Date Key'!$A$57:$A$62, 0)), "")</f>
        <v>High HLR, Upper Outlet Height, No Plants</v>
      </c>
      <c r="D35" s="4" t="str">
        <f>IFERROR(INDEX('Date Key'!$G$2:$G$19, MATCH(F35, 'Date Key'!$A$2:$A$19, 0)), "")</f>
        <v>No</v>
      </c>
      <c r="E35" s="4" t="str">
        <f t="shared" si="1"/>
        <v>tank 1</v>
      </c>
      <c r="F35" s="4">
        <f t="shared" si="2"/>
        <v>12</v>
      </c>
      <c r="G35" s="4">
        <f t="shared" si="22"/>
        <v>3</v>
      </c>
      <c r="H35" s="11" cm="1">
        <f t="array" ref="H35">IFERROR(INDEX('Master Data Sheet'!$1:$1048576, MATCH(1, ('Master Data Sheet'!$H:$H=H$2) * (INDEX('Master Data Sheet'!$1:$1, , MATCH($F$1, 'Master Data Sheet'!$1:$1, 0)) = $F$1) * ('Master Data Sheet'!$G:$G=$B35) * ('Master Data Sheet'!$F:$F=$E35) * ('Master Data Sheet'!$A:$A=$F35), 0), MATCH($F$1, 'Master Data Sheet'!$1:$1, 0)), "")</f>
        <v>1.709575658898952E-2</v>
      </c>
      <c r="I35" s="11" cm="1">
        <f t="array" ref="I35">IFERROR(INDEX('Master Data Sheet'!$1:$1048576, MATCH(1, ('Master Data Sheet'!$H:$H=I$2) * (INDEX('Master Data Sheet'!$1:$1, , MATCH($F$1, 'Master Data Sheet'!$1:$1, 0)) = $F$1) * ('Master Data Sheet'!$G:$G=$B35) * ('Master Data Sheet'!$F:$F=$E35) * ('Master Data Sheet'!$A:$A=$F35), 0), MATCH($F$1, 'Master Data Sheet'!$1:$1, 0)), "")</f>
        <v>0</v>
      </c>
      <c r="J35" s="11" cm="1">
        <f t="array" ref="J35">IFERROR(INDEX('Master Data Sheet'!$1:$1048576, MATCH(1, ('Master Data Sheet'!$H:$H=J$2) * (INDEX('Master Data Sheet'!$1:$1, , MATCH($F$1, 'Master Data Sheet'!$1:$1, 0)) = $F$1) * ('Master Data Sheet'!$G:$G=$B35) * ('Master Data Sheet'!$F:$F=$E35) * ('Master Data Sheet'!$A:$A=$F35), 0), MATCH($F$1, 'Master Data Sheet'!$1:$1, 0)), "")</f>
        <v>0.11112241782843187</v>
      </c>
      <c r="K35" s="11" cm="1">
        <f t="array" ref="K35">IFERROR(INDEX('Master Data Sheet'!$1:$1048576, MATCH(1, ('Master Data Sheet'!$H:$H=K$2) * (INDEX('Master Data Sheet'!$1:$1, , MATCH($F$1, 'Master Data Sheet'!$1:$1, 0)) = $F$1) * ('Master Data Sheet'!$G:$G=$B35) * ('Master Data Sheet'!$F:$F=$E35) * ('Master Data Sheet'!$A:$A=$F35), 0), MATCH($F$1, 'Master Data Sheet'!$1:$1, 0)), "")</f>
        <v>0.11967029612292664</v>
      </c>
      <c r="L35" s="11" cm="1">
        <f t="array" ref="L35">IFERROR(INDEX('Master Data Sheet'!$1:$1048576, MATCH(1, ('Master Data Sheet'!$H:$H=L$2) * (INDEX('Master Data Sheet'!$1:$1, , MATCH($F$1, 'Master Data Sheet'!$1:$1, 0)) = $F$1) * ('Master Data Sheet'!$G:$G=$B35) * ('Master Data Sheet'!$F:$F=$E35) * ('Master Data Sheet'!$A:$A=$F35), 0), MATCH($F$1, 'Master Data Sheet'!$1:$1, 0)), "")</f>
        <v>0.13676605271191616</v>
      </c>
      <c r="M35" s="11" cm="1">
        <f t="array" ref="M35">IFERROR(INDEX('Master Data Sheet'!$1:$1048576, MATCH(1, ('Master Data Sheet'!$H:$H=M$2) * (INDEX('Master Data Sheet'!$1:$1, , MATCH($F$1, 'Master Data Sheet'!$1:$1, 0)) = $F$1) * ('Master Data Sheet'!$G:$G=$B35) * ('Master Data Sheet'!$F:$F=$E35) * ('Master Data Sheet'!$A:$A=$F35), 0), MATCH($F$1, 'Master Data Sheet'!$1:$1, 0)), "")</f>
        <v>0.30772361860181124</v>
      </c>
      <c r="N35" s="11" cm="1">
        <f t="array" ref="N35">IFERROR(INDEX('Master Data Sheet'!$1:$1048576, MATCH(1, ('Master Data Sheet'!$H:$H=N$2) * (INDEX('Master Data Sheet'!$1:$1, , MATCH($F$1, 'Master Data Sheet'!$1:$1, 0)) = $F$1) * ('Master Data Sheet'!$G:$G=$B35) * ('Master Data Sheet'!$F:$F=$E35) * ('Master Data Sheet'!$A:$A=$F35), 0), MATCH($F$1, 'Master Data Sheet'!$1:$1, 0)), "")</f>
        <v>0.17523150503714258</v>
      </c>
      <c r="O35" s="11">
        <f t="shared" si="8"/>
        <v>0.12394423527017399</v>
      </c>
      <c r="P35" s="11">
        <f t="shared" si="4"/>
        <v>0.10290050306967372</v>
      </c>
      <c r="Q35" s="11"/>
      <c r="R35" s="46">
        <f>(1-(O35/O32))*100</f>
        <v>88.393367638650659</v>
      </c>
      <c r="Y35" s="2"/>
      <c r="Z35" s="2"/>
      <c r="AA35" s="2"/>
      <c r="AB35" s="2"/>
      <c r="AC35" s="2"/>
      <c r="AD35" s="2"/>
      <c r="AE35" s="2"/>
      <c r="AF35" s="2"/>
      <c r="AG35" s="2"/>
    </row>
    <row r="36" spans="1:45" x14ac:dyDescent="0.35">
      <c r="A36" s="41">
        <f>IFERROR(INDEX('Date Key'!$B$2:$B$19, MATCH(F36,'Date Key'!$A$2:$A$19, 0)), "")</f>
        <v>45250</v>
      </c>
      <c r="B36" s="4">
        <f t="shared" si="15"/>
        <v>4</v>
      </c>
      <c r="C36" s="26" t="str">
        <f>IFERROR(INDEX('Date Key'!$G$57:$G$62, MATCH(B36,'Date Key'!$A$57:$A$62, 0)), "")</f>
        <v>High HLR, Upper Outlet Height, No Plants</v>
      </c>
      <c r="D36" s="4" t="str">
        <f>IFERROR(INDEX('Date Key'!$G$2:$G$19, MATCH(F36, 'Date Key'!$A$2:$A$19, 0)), "")</f>
        <v>Yes</v>
      </c>
      <c r="E36" s="4" t="str">
        <f t="shared" si="1"/>
        <v>tank 2</v>
      </c>
      <c r="F36" s="4">
        <f t="shared" si="2"/>
        <v>10</v>
      </c>
      <c r="G36" s="4">
        <f t="shared" si="22"/>
        <v>1</v>
      </c>
      <c r="H36" s="11" cm="1">
        <f t="array" ref="H36">IFERROR(INDEX('Master Data Sheet'!$1:$1048576, MATCH(1, ('Master Data Sheet'!$H:$H=H$2) * (INDEX('Master Data Sheet'!$1:$1, , MATCH($F$1, 'Master Data Sheet'!$1:$1, 0)) = $F$1) * ('Master Data Sheet'!$G:$G=$B36) * ('Master Data Sheet'!$F:$F=$E36) * ('Master Data Sheet'!$A:$A=$F36), 0), MATCH($F$1, 'Master Data Sheet'!$1:$1, 0)), "")</f>
        <v>3.7774313466842541E-2</v>
      </c>
      <c r="I36" s="11" cm="1">
        <f t="array" ref="I36">IFERROR(INDEX('Master Data Sheet'!$1:$1048576, MATCH(1, ('Master Data Sheet'!$H:$H=I$2) * (INDEX('Master Data Sheet'!$1:$1, , MATCH($F$1, 'Master Data Sheet'!$1:$1, 0)) = $F$1) * ('Master Data Sheet'!$G:$G=$B36) * ('Master Data Sheet'!$F:$F=$E36) * ('Master Data Sheet'!$A:$A=$F36), 0), MATCH($F$1, 'Master Data Sheet'!$1:$1, 0)), "")</f>
        <v>0.18047727545269221</v>
      </c>
      <c r="J36" s="11" cm="1">
        <f t="array" ref="J36">IFERROR(INDEX('Master Data Sheet'!$1:$1048576, MATCH(1, ('Master Data Sheet'!$H:$H=J$2) * (INDEX('Master Data Sheet'!$1:$1, , MATCH($F$1, 'Master Data Sheet'!$1:$1, 0)) = $F$1) * ('Master Data Sheet'!$G:$G=$B36) * ('Master Data Sheet'!$F:$F=$E36) * ('Master Data Sheet'!$A:$A=$F36), 0), MATCH($F$1, 'Master Data Sheet'!$1:$1, 0)), "")</f>
        <v>0.55822041012111767</v>
      </c>
      <c r="K36" s="11" cm="1">
        <f t="array" ref="K36">IFERROR(INDEX('Master Data Sheet'!$1:$1048576, MATCH(1, ('Master Data Sheet'!$H:$H=K$2) * (INDEX('Master Data Sheet'!$1:$1, , MATCH($F$1, 'Master Data Sheet'!$1:$1, 0)) = $F$1) * ('Master Data Sheet'!$G:$G=$B36) * ('Master Data Sheet'!$F:$F=$E36) * ('Master Data Sheet'!$A:$A=$F36), 0), MATCH($F$1, 'Master Data Sheet'!$1:$1, 0)), "")</f>
        <v>0.533037534476556</v>
      </c>
      <c r="L36" s="11" cm="1">
        <f t="array" ref="L36">IFERROR(INDEX('Master Data Sheet'!$1:$1048576, MATCH(1, ('Master Data Sheet'!$H:$H=L$2) * (INDEX('Master Data Sheet'!$1:$1, , MATCH($F$1, 'Master Data Sheet'!$1:$1, 0)) = $F$1) * ('Master Data Sheet'!$G:$G=$B36) * ('Master Data Sheet'!$F:$F=$E36) * ('Master Data Sheet'!$A:$A=$F36), 0), MATCH($F$1, 'Master Data Sheet'!$1:$1, 0)), "")</f>
        <v>0.54143182635807663</v>
      </c>
      <c r="M36" s="11" cm="1">
        <f t="array" ref="M36">IFERROR(INDEX('Master Data Sheet'!$1:$1048576, MATCH(1, ('Master Data Sheet'!$H:$H=M$2) * (INDEX('Master Data Sheet'!$1:$1, , MATCH($F$1, 'Master Data Sheet'!$1:$1, 0)) = $F$1) * ('Master Data Sheet'!$G:$G=$B36) * ('Master Data Sheet'!$F:$F=$E36) * ('Master Data Sheet'!$A:$A=$F36), 0), MATCH($F$1, 'Master Data Sheet'!$1:$1, 0)), "")</f>
        <v>0.57500899388415883</v>
      </c>
      <c r="N36" s="11" cm="1">
        <f t="array" ref="N36">IFERROR(INDEX('Master Data Sheet'!$1:$1048576, MATCH(1, ('Master Data Sheet'!$H:$H=N$2) * (INDEX('Master Data Sheet'!$1:$1, , MATCH($F$1, 'Master Data Sheet'!$1:$1, 0)) = $F$1) * ('Master Data Sheet'!$G:$G=$B36) * ('Master Data Sheet'!$F:$F=$E36) * ('Master Data Sheet'!$A:$A=$F36), 0), MATCH($F$1, 'Master Data Sheet'!$1:$1, 0)), "")</f>
        <v>0.49526322100971343</v>
      </c>
      <c r="O36" s="11">
        <f t="shared" si="8"/>
        <v>0.41731622496702248</v>
      </c>
      <c r="P36" s="11">
        <f t="shared" si="4"/>
        <v>0.21592343841058506</v>
      </c>
      <c r="Q36" s="11">
        <f>AVERAGE(N36:N38)</f>
        <v>0.5662619092582899</v>
      </c>
      <c r="R36" s="46">
        <f>(1-(O36/O30))*100</f>
        <v>54.210526315789465</v>
      </c>
      <c r="S36" s="46">
        <f>AVERAGE(R36:R38)</f>
        <v>65.122987014227164</v>
      </c>
      <c r="T36" s="46">
        <f>STDEV(R36:R38)</f>
        <v>17.933407245210027</v>
      </c>
      <c r="U36" s="47">
        <f>(1-(AVERAGE(H36:N38)/AVERAGE(H30:N32)))*100</f>
        <v>66.061436203502737</v>
      </c>
      <c r="V36" s="47"/>
      <c r="Y36" s="2"/>
      <c r="Z36" s="2"/>
      <c r="AA36" s="2"/>
      <c r="AB36" s="2"/>
      <c r="AC36" s="2"/>
      <c r="AD36" s="2"/>
      <c r="AE36" s="2"/>
      <c r="AF36" s="2"/>
      <c r="AG36" s="2"/>
    </row>
    <row r="37" spans="1:45" x14ac:dyDescent="0.35">
      <c r="A37" s="41">
        <f>IFERROR(INDEX('Date Key'!$B$2:$B$19, MATCH(F37,'Date Key'!$A$2:$A$19, 0)), "")</f>
        <v>45259</v>
      </c>
      <c r="B37" s="4">
        <f t="shared" si="15"/>
        <v>4</v>
      </c>
      <c r="C37" s="26" t="str">
        <f>IFERROR(INDEX('Date Key'!$G$57:$G$62, MATCH(B37,'Date Key'!$A$57:$A$62, 0)), "")</f>
        <v>High HLR, Upper Outlet Height, No Plants</v>
      </c>
      <c r="D37" s="4" t="str">
        <f>IFERROR(INDEX('Date Key'!$G$2:$G$19, MATCH(F37, 'Date Key'!$A$2:$A$19, 0)), "")</f>
        <v>No</v>
      </c>
      <c r="E37" s="4" t="str">
        <f t="shared" si="1"/>
        <v>tank 2</v>
      </c>
      <c r="F37" s="4">
        <f t="shared" si="2"/>
        <v>11</v>
      </c>
      <c r="G37" s="4">
        <f t="shared" si="22"/>
        <v>2</v>
      </c>
      <c r="H37" s="11" cm="1">
        <f t="array" ref="H37">IFERROR(INDEX('Master Data Sheet'!$1:$1048576, MATCH(1, ('Master Data Sheet'!$H:$H=H$2) * (INDEX('Master Data Sheet'!$1:$1, , MATCH($F$1, 'Master Data Sheet'!$1:$1, 0)) = $F$1) * ('Master Data Sheet'!$G:$G=$B37) * ('Master Data Sheet'!$F:$F=$E37) * ('Master Data Sheet'!$A:$A=$F37), 0), MATCH($F$1, 'Master Data Sheet'!$1:$1, 0)), "")</f>
        <v>2.1235716452624124E-2</v>
      </c>
      <c r="I37" s="11" cm="1">
        <f t="array" ref="I37">IFERROR(INDEX('Master Data Sheet'!$1:$1048576, MATCH(1, ('Master Data Sheet'!$H:$H=I$2) * (INDEX('Master Data Sheet'!$1:$1, , MATCH($F$1, 'Master Data Sheet'!$1:$1, 0)) = $F$1) * ('Master Data Sheet'!$G:$G=$B37) * ('Master Data Sheet'!$F:$F=$E37) * ('Master Data Sheet'!$A:$A=$F37), 0), MATCH($F$1, 'Master Data Sheet'!$1:$1, 0)), "")</f>
        <v>4.6718576195773083E-2</v>
      </c>
      <c r="J37" s="11" cm="1">
        <f t="array" ref="J37">IFERROR(INDEX('Master Data Sheet'!$1:$1048576, MATCH(1, ('Master Data Sheet'!$H:$H=J$2) * (INDEX('Master Data Sheet'!$1:$1, , MATCH($F$1, 'Master Data Sheet'!$1:$1, 0)) = $F$1) * ('Master Data Sheet'!$G:$G=$B37) * ('Master Data Sheet'!$F:$F=$E37) * ('Master Data Sheet'!$A:$A=$F37), 0), MATCH($F$1, 'Master Data Sheet'!$1:$1, 0)), "")</f>
        <v>0.1826271614925675</v>
      </c>
      <c r="K37" s="11" cm="1">
        <f t="array" ref="K37">IFERROR(INDEX('Master Data Sheet'!$1:$1048576, MATCH(1, ('Master Data Sheet'!$H:$H=K$2) * (INDEX('Master Data Sheet'!$1:$1, , MATCH($F$1, 'Master Data Sheet'!$1:$1, 0)) = $F$1) * ('Master Data Sheet'!$G:$G=$B37) * ('Master Data Sheet'!$F:$F=$E37) * ('Master Data Sheet'!$A:$A=$F37), 0), MATCH($F$1, 'Master Data Sheet'!$1:$1, 0)), "")</f>
        <v>0.41622004247143296</v>
      </c>
      <c r="L37" s="11" cm="1">
        <f t="array" ref="L37">IFERROR(INDEX('Master Data Sheet'!$1:$1048576, MATCH(1, ('Master Data Sheet'!$H:$H=L$2) * (INDEX('Master Data Sheet'!$1:$1, , MATCH($F$1, 'Master Data Sheet'!$1:$1, 0)) = $F$1) * ('Master Data Sheet'!$G:$G=$B37) * ('Master Data Sheet'!$F:$F=$E37) * ('Master Data Sheet'!$A:$A=$F37), 0), MATCH($F$1, 'Master Data Sheet'!$1:$1, 0)), "")</f>
        <v>0.60309434725452515</v>
      </c>
      <c r="M37" s="11" cm="1">
        <f t="array" ref="M37">IFERROR(INDEX('Master Data Sheet'!$1:$1048576, MATCH(1, ('Master Data Sheet'!$H:$H=M$2) * (INDEX('Master Data Sheet'!$1:$1, , MATCH($F$1, 'Master Data Sheet'!$1:$1, 0)) = $F$1) * ('Master Data Sheet'!$G:$G=$B37) * ('Master Data Sheet'!$F:$F=$E37) * ('Master Data Sheet'!$A:$A=$F37), 0), MATCH($F$1, 'Master Data Sheet'!$1:$1, 0)), "")</f>
        <v>0.7814743654565679</v>
      </c>
      <c r="N37" s="11" cm="1">
        <f t="array" ref="N37">IFERROR(INDEX('Master Data Sheet'!$1:$1048576, MATCH(1, ('Master Data Sheet'!$H:$H=N$2) * (INDEX('Master Data Sheet'!$1:$1, , MATCH($F$1, 'Master Data Sheet'!$1:$1, 0)) = $F$1) * ('Master Data Sheet'!$G:$G=$B37) * ('Master Data Sheet'!$F:$F=$E37) * ('Master Data Sheet'!$A:$A=$F37), 0), MATCH($F$1, 'Master Data Sheet'!$1:$1, 0)), "")</f>
        <v>0.95136009707756086</v>
      </c>
      <c r="O37" s="11">
        <f t="shared" si="8"/>
        <v>0.42896147234300736</v>
      </c>
      <c r="P37" s="11">
        <f t="shared" si="4"/>
        <v>0.36530370503403037</v>
      </c>
      <c r="Q37" s="11"/>
      <c r="R37" s="46">
        <f>(1-(O37/O31))*100</f>
        <v>55.337965887555271</v>
      </c>
      <c r="X37" t="str">
        <f>IFERROR(INDEX('Date Key'!$G$57:$G$62, MATCH(B36,'Date Key'!$A$57:$A$62, 0)), "")</f>
        <v>High HLR, Upper Outlet Height, No Plants</v>
      </c>
      <c r="Y37" s="1">
        <f t="shared" ref="Y37:AE37" si="41">H36</f>
        <v>3.7774313466842541E-2</v>
      </c>
      <c r="Z37" s="1">
        <f t="shared" si="41"/>
        <v>0.18047727545269221</v>
      </c>
      <c r="AA37" s="1">
        <f t="shared" si="41"/>
        <v>0.55822041012111767</v>
      </c>
      <c r="AB37" s="1">
        <f t="shared" si="41"/>
        <v>0.533037534476556</v>
      </c>
      <c r="AC37" s="1">
        <f t="shared" si="41"/>
        <v>0.54143182635807663</v>
      </c>
      <c r="AD37" s="1">
        <f t="shared" si="41"/>
        <v>0.57500899388415883</v>
      </c>
      <c r="AE37" s="1">
        <f t="shared" si="41"/>
        <v>0.49526322100971343</v>
      </c>
      <c r="AF37" s="1">
        <f t="shared" ref="AF37:AL37" si="42">H37</f>
        <v>2.1235716452624124E-2</v>
      </c>
      <c r="AG37" s="1">
        <f t="shared" si="42"/>
        <v>4.6718576195773083E-2</v>
      </c>
      <c r="AH37" s="1">
        <f t="shared" si="42"/>
        <v>0.1826271614925675</v>
      </c>
      <c r="AI37" s="1">
        <f t="shared" si="42"/>
        <v>0.41622004247143296</v>
      </c>
      <c r="AJ37" s="1">
        <f t="shared" si="42"/>
        <v>0.60309434725452515</v>
      </c>
      <c r="AK37" s="1">
        <f t="shared" si="42"/>
        <v>0.7814743654565679</v>
      </c>
      <c r="AL37" s="1">
        <f t="shared" si="42"/>
        <v>0.95136009707756086</v>
      </c>
      <c r="AM37" s="1">
        <f t="shared" ref="AM37:AS37" si="43">H38</f>
        <v>0</v>
      </c>
      <c r="AN37" s="1">
        <f t="shared" si="43"/>
        <v>0</v>
      </c>
      <c r="AO37" s="1">
        <f t="shared" si="43"/>
        <v>9.8300600386689738E-2</v>
      </c>
      <c r="AP37" s="1">
        <f t="shared" si="43"/>
        <v>8.5478782944947596E-2</v>
      </c>
      <c r="AQ37" s="1">
        <f t="shared" si="43"/>
        <v>0.26071028798209012</v>
      </c>
      <c r="AR37" s="1">
        <f t="shared" si="43"/>
        <v>0.36328482751602725</v>
      </c>
      <c r="AS37" s="1">
        <f t="shared" si="43"/>
        <v>0.2521624096875954</v>
      </c>
    </row>
    <row r="38" spans="1:45" x14ac:dyDescent="0.35">
      <c r="A38" s="42">
        <f>IFERROR(INDEX('Date Key'!$B$2:$B$19, MATCH(F38,'Date Key'!$A$2:$A$19, 0)), "")</f>
        <v>45266</v>
      </c>
      <c r="B38" s="27">
        <f t="shared" si="15"/>
        <v>4</v>
      </c>
      <c r="C38" s="51" t="str">
        <f>IFERROR(INDEX('Date Key'!$G$57:$G$62, MATCH(B38,'Date Key'!$A$57:$A$62, 0)), "")</f>
        <v>High HLR, Upper Outlet Height, No Plants</v>
      </c>
      <c r="D38" s="27" t="str">
        <f>IFERROR(INDEX('Date Key'!$G$2:$G$19, MATCH(F38, 'Date Key'!$A$2:$A$19, 0)), "")</f>
        <v>No</v>
      </c>
      <c r="E38" s="27" t="str">
        <f t="shared" si="1"/>
        <v>tank 2</v>
      </c>
      <c r="F38" s="27">
        <f t="shared" si="2"/>
        <v>12</v>
      </c>
      <c r="G38" s="27">
        <f t="shared" si="22"/>
        <v>3</v>
      </c>
      <c r="H38" s="28" cm="1">
        <f t="array" ref="H38">IFERROR(INDEX('Master Data Sheet'!$1:$1048576, MATCH(1, ('Master Data Sheet'!$H:$H=H$2) * (INDEX('Master Data Sheet'!$1:$1, , MATCH($F$1, 'Master Data Sheet'!$1:$1, 0)) = $F$1) * ('Master Data Sheet'!$G:$G=$B38) * ('Master Data Sheet'!$F:$F=$E38) * ('Master Data Sheet'!$A:$A=$F38), 0), MATCH($F$1, 'Master Data Sheet'!$1:$1, 0)), "")</f>
        <v>0</v>
      </c>
      <c r="I38" s="28" cm="1">
        <f t="array" ref="I38">IFERROR(INDEX('Master Data Sheet'!$1:$1048576, MATCH(1, ('Master Data Sheet'!$H:$H=I$2) * (INDEX('Master Data Sheet'!$1:$1, , MATCH($F$1, 'Master Data Sheet'!$1:$1, 0)) = $F$1) * ('Master Data Sheet'!$G:$G=$B38) * ('Master Data Sheet'!$F:$F=$E38) * ('Master Data Sheet'!$A:$A=$F38), 0), MATCH($F$1, 'Master Data Sheet'!$1:$1, 0)), "")</f>
        <v>0</v>
      </c>
      <c r="J38" s="28" cm="1">
        <f t="array" ref="J38">IFERROR(INDEX('Master Data Sheet'!$1:$1048576, MATCH(1, ('Master Data Sheet'!$H:$H=J$2) * (INDEX('Master Data Sheet'!$1:$1, , MATCH($F$1, 'Master Data Sheet'!$1:$1, 0)) = $F$1) * ('Master Data Sheet'!$G:$G=$B38) * ('Master Data Sheet'!$F:$F=$E38) * ('Master Data Sheet'!$A:$A=$F38), 0), MATCH($F$1, 'Master Data Sheet'!$1:$1, 0)), "")</f>
        <v>9.8300600386689738E-2</v>
      </c>
      <c r="K38" s="28" cm="1">
        <f t="array" ref="K38">IFERROR(INDEX('Master Data Sheet'!$1:$1048576, MATCH(1, ('Master Data Sheet'!$H:$H=K$2) * (INDEX('Master Data Sheet'!$1:$1, , MATCH($F$1, 'Master Data Sheet'!$1:$1, 0)) = $F$1) * ('Master Data Sheet'!$G:$G=$B38) * ('Master Data Sheet'!$F:$F=$E38) * ('Master Data Sheet'!$A:$A=$F38), 0), MATCH($F$1, 'Master Data Sheet'!$1:$1, 0)), "")</f>
        <v>8.5478782944947596E-2</v>
      </c>
      <c r="L38" s="28" cm="1">
        <f t="array" ref="L38">IFERROR(INDEX('Master Data Sheet'!$1:$1048576, MATCH(1, ('Master Data Sheet'!$H:$H=L$2) * (INDEX('Master Data Sheet'!$1:$1, , MATCH($F$1, 'Master Data Sheet'!$1:$1, 0)) = $F$1) * ('Master Data Sheet'!$G:$G=$B38) * ('Master Data Sheet'!$F:$F=$E38) * ('Master Data Sheet'!$A:$A=$F38), 0), MATCH($F$1, 'Master Data Sheet'!$1:$1, 0)), "")</f>
        <v>0.26071028798209012</v>
      </c>
      <c r="M38" s="28" cm="1">
        <f t="array" ref="M38">IFERROR(INDEX('Master Data Sheet'!$1:$1048576, MATCH(1, ('Master Data Sheet'!$H:$H=M$2) * (INDEX('Master Data Sheet'!$1:$1, , MATCH($F$1, 'Master Data Sheet'!$1:$1, 0)) = $F$1) * ('Master Data Sheet'!$G:$G=$B38) * ('Master Data Sheet'!$F:$F=$E38) * ('Master Data Sheet'!$A:$A=$F38), 0), MATCH($F$1, 'Master Data Sheet'!$1:$1, 0)), "")</f>
        <v>0.36328482751602725</v>
      </c>
      <c r="N38" s="28" cm="1">
        <f t="array" ref="N38">IFERROR(INDEX('Master Data Sheet'!$1:$1048576, MATCH(1, ('Master Data Sheet'!$H:$H=N$2) * (INDEX('Master Data Sheet'!$1:$1, , MATCH($F$1, 'Master Data Sheet'!$1:$1, 0)) = $F$1) * ('Master Data Sheet'!$G:$G=$B38) * ('Master Data Sheet'!$F:$F=$E38) * ('Master Data Sheet'!$A:$A=$F38), 0), MATCH($F$1, 'Master Data Sheet'!$1:$1, 0)), "")</f>
        <v>0.2521624096875954</v>
      </c>
      <c r="O38" s="28">
        <f t="shared" si="8"/>
        <v>0.15141955835962145</v>
      </c>
      <c r="P38" s="28">
        <f t="shared" si="4"/>
        <v>0.14142492284829797</v>
      </c>
      <c r="Q38" s="28"/>
      <c r="R38" s="48">
        <f>(1-(O38/O32))*100</f>
        <v>85.820468839336755</v>
      </c>
      <c r="S38" s="27"/>
      <c r="T38" s="27"/>
      <c r="U38" s="27"/>
      <c r="V38" s="27"/>
    </row>
    <row r="39" spans="1:45" x14ac:dyDescent="0.35">
      <c r="A39" s="41">
        <f>IFERROR(INDEX('Date Key'!$B$2:$B$19, MATCH(F39,'Date Key'!$A$2:$A$19, 0)), "")</f>
        <v>45313</v>
      </c>
      <c r="B39" s="4">
        <f t="shared" si="15"/>
        <v>5</v>
      </c>
      <c r="C39" s="26" t="str">
        <f>IFERROR(INDEX('Date Key'!$G$57:$G$62, MATCH(B39,'Date Key'!$A$57:$A$62, 0)), "")</f>
        <v>High HLR, Lower Outlet Height, Yes Plants</v>
      </c>
      <c r="D39" s="4" t="str">
        <f>IFERROR(INDEX('Date Key'!$G$2:$G$19, MATCH(F39, 'Date Key'!$A$2:$A$19, 0)), "")</f>
        <v>Yes</v>
      </c>
      <c r="E39" s="4" t="str">
        <f t="shared" si="1"/>
        <v>in</v>
      </c>
      <c r="F39" s="4">
        <f t="shared" si="2"/>
        <v>13</v>
      </c>
      <c r="G39" s="4">
        <f t="shared" si="22"/>
        <v>1</v>
      </c>
      <c r="H39" s="11" cm="1">
        <f t="array" ref="H39">IFERROR(INDEX('Master Data Sheet'!$1:$1048576, MATCH(1, ('Master Data Sheet'!$H:$H=H$2) * (INDEX('Master Data Sheet'!$1:$1, , MATCH($F$1, 'Master Data Sheet'!$1:$1, 0)) = $F$1) * ('Master Data Sheet'!$G:$G=$B39) * ('Master Data Sheet'!$F:$F=$E39) * ('Master Data Sheet'!$A:$A=$F39), 0), MATCH($F$1, 'Master Data Sheet'!$1:$1, 0)), "")</f>
        <v>2.207428170988087</v>
      </c>
      <c r="I39" s="11" cm="1">
        <f t="array" ref="I39">IFERROR(INDEX('Master Data Sheet'!$1:$1048576, MATCH(1, ('Master Data Sheet'!$H:$H=I$2) * (INDEX('Master Data Sheet'!$1:$1, , MATCH($F$1, 'Master Data Sheet'!$1:$1, 0)) = $F$1) * ('Master Data Sheet'!$G:$G=$B39) * ('Master Data Sheet'!$F:$F=$E39) * ('Master Data Sheet'!$A:$A=$F39), 0), MATCH($F$1, 'Master Data Sheet'!$1:$1, 0)), "")</f>
        <v>2.254899744557723</v>
      </c>
      <c r="J39" s="11" cm="1">
        <f t="array" ref="J39">IFERROR(INDEX('Master Data Sheet'!$1:$1048576, MATCH(1, ('Master Data Sheet'!$H:$H=J$2) * (INDEX('Master Data Sheet'!$1:$1, , MATCH($F$1, 'Master Data Sheet'!$1:$1, 0)) = $F$1) * ('Master Data Sheet'!$G:$G=$B39) * ('Master Data Sheet'!$F:$F=$E39) * ('Master Data Sheet'!$A:$A=$F39), 0), MATCH($F$1, 'Master Data Sheet'!$1:$1, 0)), "")</f>
        <v>2.1219793385627419</v>
      </c>
      <c r="K39" s="11" cm="1">
        <f t="array" ref="K39">IFERROR(INDEX('Master Data Sheet'!$1:$1048576, MATCH(1, ('Master Data Sheet'!$H:$H=K$2) * (INDEX('Master Data Sheet'!$1:$1, , MATCH($F$1, 'Master Data Sheet'!$1:$1, 0)) = $F$1) * ('Master Data Sheet'!$G:$G=$B39) * ('Master Data Sheet'!$F:$F=$E39) * ('Master Data Sheet'!$A:$A=$F39), 0), MATCH($F$1, 'Master Data Sheet'!$1:$1, 0)), "")</f>
        <v>2.0602662929222144</v>
      </c>
      <c r="L39" s="11" cm="1">
        <f t="array" ref="L39">IFERROR(INDEX('Master Data Sheet'!$1:$1048576, MATCH(1, ('Master Data Sheet'!$H:$H=L$2) * (INDEX('Master Data Sheet'!$1:$1, , MATCH($F$1, 'Master Data Sheet'!$1:$1, 0)) = $F$1) * ('Master Data Sheet'!$G:$G=$B39) * ('Master Data Sheet'!$F:$F=$E39) * ('Master Data Sheet'!$A:$A=$F39), 0), MATCH($F$1, 'Master Data Sheet'!$1:$1, 0)), "")</f>
        <v>2.2169224857020144</v>
      </c>
      <c r="M39" s="11" cm="1">
        <f t="array" ref="M39">IFERROR(INDEX('Master Data Sheet'!$1:$1048576, MATCH(1, ('Master Data Sheet'!$H:$H=M$2) * (INDEX('Master Data Sheet'!$1:$1, , MATCH($F$1, 'Master Data Sheet'!$1:$1, 0)) = $F$1) * ('Master Data Sheet'!$G:$G=$B39) * ('Master Data Sheet'!$F:$F=$E39) * ('Master Data Sheet'!$A:$A=$F39), 0), MATCH($F$1, 'Master Data Sheet'!$1:$1, 0)), "")</f>
        <v>2.2881298460564685</v>
      </c>
      <c r="N39" s="11" cm="1">
        <f t="array" ref="N39">IFERROR(INDEX('Master Data Sheet'!$1:$1048576, MATCH(1, ('Master Data Sheet'!$H:$H=N$2) * (INDEX('Master Data Sheet'!$1:$1, , MATCH($F$1, 'Master Data Sheet'!$1:$1, 0)) = $F$1) * ('Master Data Sheet'!$G:$G=$B39) * ('Master Data Sheet'!$F:$F=$E39) * ('Master Data Sheet'!$A:$A=$F39), 0), MATCH($F$1, 'Master Data Sheet'!$1:$1, 0)), "")</f>
        <v>2.440038881479305</v>
      </c>
      <c r="O39" s="11">
        <f t="shared" si="8"/>
        <v>2.2270949657526509</v>
      </c>
      <c r="P39" s="11">
        <f t="shared" si="4"/>
        <v>0.12193908103891161</v>
      </c>
      <c r="Q39" s="11">
        <f>AVERAGE(O39:O41)</f>
        <v>1.9924497592513053</v>
      </c>
      <c r="S39" s="11">
        <f>AVERAGE(O39:O41)</f>
        <v>1.9924497592513053</v>
      </c>
      <c r="T39" s="11">
        <f>AVERAGE(P39:P41)</f>
        <v>0.28357335815882595</v>
      </c>
      <c r="V39" s="47">
        <f>AVERAGE(U42, U45)</f>
        <v>42.733151803948275</v>
      </c>
      <c r="X39" t="s">
        <v>343</v>
      </c>
    </row>
    <row r="40" spans="1:45" x14ac:dyDescent="0.35">
      <c r="A40" s="41">
        <f>IFERROR(INDEX('Date Key'!$B$2:$B$19, MATCH(F40,'Date Key'!$A$2:$A$19, 0)), "")</f>
        <v>45322</v>
      </c>
      <c r="B40" s="4">
        <f t="shared" si="15"/>
        <v>5</v>
      </c>
      <c r="C40" s="26" t="str">
        <f>IFERROR(INDEX('Date Key'!$G$57:$G$62, MATCH(B40,'Date Key'!$A$57:$A$62, 0)), "")</f>
        <v>High HLR, Lower Outlet Height, Yes Plants</v>
      </c>
      <c r="D40" s="4" t="str">
        <f>IFERROR(INDEX('Date Key'!$G$2:$G$19, MATCH(F40, 'Date Key'!$A$2:$A$19, 0)), "")</f>
        <v>No</v>
      </c>
      <c r="E40" s="4" t="str">
        <f t="shared" si="1"/>
        <v>in</v>
      </c>
      <c r="F40" s="4">
        <f t="shared" si="2"/>
        <v>14</v>
      </c>
      <c r="G40" s="4">
        <f t="shared" si="22"/>
        <v>2</v>
      </c>
      <c r="H40" s="11" cm="1">
        <f t="array" ref="H40">IFERROR(INDEX('Master Data Sheet'!$1:$1048576, MATCH(1, ('Master Data Sheet'!$H:$H=H$2) * (INDEX('Master Data Sheet'!$1:$1, , MATCH($F$1, 'Master Data Sheet'!$1:$1, 0)) = $F$1) * ('Master Data Sheet'!$G:$G=$B40) * ('Master Data Sheet'!$F:$F=$E40) * ('Master Data Sheet'!$A:$A=$F40), 0), MATCH($F$1, 'Master Data Sheet'!$1:$1, 0)), "")</f>
        <v>1.642516445509415</v>
      </c>
      <c r="I40" s="11" cm="1">
        <f t="array" ref="I40">IFERROR(INDEX('Master Data Sheet'!$1:$1048576, MATCH(1, ('Master Data Sheet'!$H:$H=I$2) * (INDEX('Master Data Sheet'!$1:$1, , MATCH($F$1, 'Master Data Sheet'!$1:$1, 0)) = $F$1) * ('Master Data Sheet'!$G:$G=$B40) * ('Master Data Sheet'!$F:$F=$E40) * ('Master Data Sheet'!$A:$A=$F40), 0), MATCH($F$1, 'Master Data Sheet'!$1:$1, 0)), "")</f>
        <v>2.1647037547754144</v>
      </c>
      <c r="J40" s="11" cm="1">
        <f t="array" ref="J40">IFERROR(INDEX('Master Data Sheet'!$1:$1048576, MATCH(1, ('Master Data Sheet'!$H:$H=J$2) * (INDEX('Master Data Sheet'!$1:$1, , MATCH($F$1, 'Master Data Sheet'!$1:$1, 0)) = $F$1) * ('Master Data Sheet'!$G:$G=$B40) * ('Master Data Sheet'!$F:$F=$E40) * ('Master Data Sheet'!$A:$A=$F40), 0), MATCH($F$1, 'Master Data Sheet'!$1:$1, 0)), "")</f>
        <v>2.4637746682641226</v>
      </c>
      <c r="K40" s="11" cm="1">
        <f t="array" ref="K40">IFERROR(INDEX('Master Data Sheet'!$1:$1048576, MATCH(1, ('Master Data Sheet'!$H:$H=K$2) * (INDEX('Master Data Sheet'!$1:$1, , MATCH($F$1, 'Master Data Sheet'!$1:$1, 0)) = $F$1) * ('Master Data Sheet'!$G:$G=$B40) * ('Master Data Sheet'!$F:$F=$E40) * ('Master Data Sheet'!$A:$A=$F40), 0), MATCH($F$1, 'Master Data Sheet'!$1:$1, 0)), "")</f>
        <v>2.6773967493274857</v>
      </c>
      <c r="L40" s="11" cm="1">
        <f t="array" ref="L40">IFERROR(INDEX('Master Data Sheet'!$1:$1048576, MATCH(1, ('Master Data Sheet'!$H:$H=L$2) * (INDEX('Master Data Sheet'!$1:$1, , MATCH($F$1, 'Master Data Sheet'!$1:$1, 0)) = $F$1) * ('Master Data Sheet'!$G:$G=$B40) * ('Master Data Sheet'!$F:$F=$E40) * ('Master Data Sheet'!$A:$A=$F40), 0), MATCH($F$1, 'Master Data Sheet'!$1:$1, 0)), "")</f>
        <v>2.7818342111806857</v>
      </c>
      <c r="M40" s="11" cm="1">
        <f t="array" ref="M40">IFERROR(INDEX('Master Data Sheet'!$1:$1048576, MATCH(1, ('Master Data Sheet'!$H:$H=M$2) * (INDEX('Master Data Sheet'!$1:$1, , MATCH($F$1, 'Master Data Sheet'!$1:$1, 0)) = $F$1) * ('Master Data Sheet'!$G:$G=$B40) * ('Master Data Sheet'!$F:$F=$E40) * ('Master Data Sheet'!$A:$A=$F40), 0), MATCH($F$1, 'Master Data Sheet'!$1:$1, 0)), "")</f>
        <v>2.8103171553224673</v>
      </c>
      <c r="N40" s="11" cm="1">
        <f t="array" ref="N40">IFERROR(INDEX('Master Data Sheet'!$1:$1048576, MATCH(1, ('Master Data Sheet'!$H:$H=N$2) * (INDEX('Master Data Sheet'!$1:$1, , MATCH($F$1, 'Master Data Sheet'!$1:$1, 0)) = $F$1) * ('Master Data Sheet'!$G:$G=$B40) * ('Master Data Sheet'!$F:$F=$E40) * ('Master Data Sheet'!$A:$A=$F40), 0), MATCH($F$1, 'Master Data Sheet'!$1:$1, 0)), "")</f>
        <v>2.9907091348870858</v>
      </c>
      <c r="O40" s="11">
        <f t="shared" si="8"/>
        <v>2.5044645884666679</v>
      </c>
      <c r="P40" s="11">
        <f t="shared" si="4"/>
        <v>0.46491337657398046</v>
      </c>
      <c r="Q40" s="11"/>
      <c r="X40" t="str">
        <f>IFERROR(INDEX('Date Key'!$G$57:$G$62, MATCH(B39,'Date Key'!$A$57:$A$62, 0)), "")</f>
        <v>High HLR, Lower Outlet Height, Yes Plants</v>
      </c>
      <c r="Y40" s="1">
        <f t="shared" ref="Y40:AE40" si="44">H39</f>
        <v>2.207428170988087</v>
      </c>
      <c r="Z40" s="1">
        <f t="shared" si="44"/>
        <v>2.254899744557723</v>
      </c>
      <c r="AA40" s="1">
        <f t="shared" si="44"/>
        <v>2.1219793385627419</v>
      </c>
      <c r="AB40" s="1">
        <f t="shared" si="44"/>
        <v>2.0602662929222144</v>
      </c>
      <c r="AC40" s="1">
        <f t="shared" si="44"/>
        <v>2.2169224857020144</v>
      </c>
      <c r="AD40" s="1">
        <f t="shared" si="44"/>
        <v>2.2881298460564685</v>
      </c>
      <c r="AE40" s="1">
        <f t="shared" si="44"/>
        <v>2.440038881479305</v>
      </c>
      <c r="AF40" s="1">
        <f t="shared" ref="AF40:AL40" si="45">H40</f>
        <v>1.642516445509415</v>
      </c>
      <c r="AG40" s="1">
        <f t="shared" si="45"/>
        <v>2.1647037547754144</v>
      </c>
      <c r="AH40" s="1">
        <f t="shared" si="45"/>
        <v>2.4637746682641226</v>
      </c>
      <c r="AI40" s="1">
        <f t="shared" si="45"/>
        <v>2.6773967493274857</v>
      </c>
      <c r="AJ40" s="1">
        <f t="shared" si="45"/>
        <v>2.7818342111806857</v>
      </c>
      <c r="AK40" s="1">
        <f t="shared" si="45"/>
        <v>2.8103171553224673</v>
      </c>
      <c r="AL40" s="1">
        <f t="shared" si="45"/>
        <v>2.9907091348870858</v>
      </c>
      <c r="AM40" s="1">
        <f t="shared" ref="AM40:AS40" si="46">H41</f>
        <v>1.158306395099125</v>
      </c>
      <c r="AN40" s="1">
        <f t="shared" si="46"/>
        <v>1.1488120803851978</v>
      </c>
      <c r="AO40" s="1">
        <f t="shared" si="46"/>
        <v>1.0063973596762892</v>
      </c>
      <c r="AP40" s="1">
        <f t="shared" si="46"/>
        <v>1.0491217758889619</v>
      </c>
      <c r="AQ40" s="1">
        <f t="shared" si="46"/>
        <v>1.2010308113117978</v>
      </c>
      <c r="AR40" s="1">
        <f t="shared" si="46"/>
        <v>1.3766756335194521</v>
      </c>
      <c r="AS40" s="1">
        <f t="shared" si="46"/>
        <v>1.7801840088613605</v>
      </c>
    </row>
    <row r="41" spans="1:45" x14ac:dyDescent="0.35">
      <c r="A41" s="41">
        <f>IFERROR(INDEX('Date Key'!$B$2:$B$19, MATCH(F41,'Date Key'!$A$2:$A$19, 0)), "")</f>
        <v>45330</v>
      </c>
      <c r="B41" s="4">
        <f t="shared" si="15"/>
        <v>5</v>
      </c>
      <c r="C41" s="26" t="str">
        <f>IFERROR(INDEX('Date Key'!$G$57:$G$62, MATCH(B41,'Date Key'!$A$57:$A$62, 0)), "")</f>
        <v>High HLR, Lower Outlet Height, Yes Plants</v>
      </c>
      <c r="D41" s="4" t="str">
        <f>IFERROR(INDEX('Date Key'!$G$2:$G$19, MATCH(F41, 'Date Key'!$A$2:$A$19, 0)), "")</f>
        <v>No</v>
      </c>
      <c r="E41" s="4" t="str">
        <f t="shared" si="1"/>
        <v>in</v>
      </c>
      <c r="F41" s="4">
        <f t="shared" si="2"/>
        <v>15</v>
      </c>
      <c r="G41" s="4">
        <f t="shared" si="22"/>
        <v>3</v>
      </c>
      <c r="H41" s="11" cm="1">
        <f t="array" ref="H41">IFERROR(INDEX('Master Data Sheet'!$1:$1048576, MATCH(1, ('Master Data Sheet'!$H:$H=H$2) * (INDEX('Master Data Sheet'!$1:$1, , MATCH($F$1, 'Master Data Sheet'!$1:$1, 0)) = $F$1) * ('Master Data Sheet'!$G:$G=$B41) * ('Master Data Sheet'!$F:$F=$E41) * ('Master Data Sheet'!$A:$A=$F41), 0), MATCH($F$1, 'Master Data Sheet'!$1:$1, 0)), "")</f>
        <v>1.158306395099125</v>
      </c>
      <c r="I41" s="11" cm="1">
        <f t="array" ref="I41">IFERROR(INDEX('Master Data Sheet'!$1:$1048576, MATCH(1, ('Master Data Sheet'!$H:$H=I$2) * (INDEX('Master Data Sheet'!$1:$1, , MATCH($F$1, 'Master Data Sheet'!$1:$1, 0)) = $F$1) * ('Master Data Sheet'!$G:$G=$B41) * ('Master Data Sheet'!$F:$F=$E41) * ('Master Data Sheet'!$A:$A=$F41), 0), MATCH($F$1, 'Master Data Sheet'!$1:$1, 0)), "")</f>
        <v>1.1488120803851978</v>
      </c>
      <c r="J41" s="11" cm="1">
        <f t="array" ref="J41">IFERROR(INDEX('Master Data Sheet'!$1:$1048576, MATCH(1, ('Master Data Sheet'!$H:$H=J$2) * (INDEX('Master Data Sheet'!$1:$1, , MATCH($F$1, 'Master Data Sheet'!$1:$1, 0)) = $F$1) * ('Master Data Sheet'!$G:$G=$B41) * ('Master Data Sheet'!$F:$F=$E41) * ('Master Data Sheet'!$A:$A=$F41), 0), MATCH($F$1, 'Master Data Sheet'!$1:$1, 0)), "")</f>
        <v>1.0063973596762892</v>
      </c>
      <c r="K41" s="11" cm="1">
        <f t="array" ref="K41">IFERROR(INDEX('Master Data Sheet'!$1:$1048576, MATCH(1, ('Master Data Sheet'!$H:$H=K$2) * (INDEX('Master Data Sheet'!$1:$1, , MATCH($F$1, 'Master Data Sheet'!$1:$1, 0)) = $F$1) * ('Master Data Sheet'!$G:$G=$B41) * ('Master Data Sheet'!$F:$F=$E41) * ('Master Data Sheet'!$A:$A=$F41), 0), MATCH($F$1, 'Master Data Sheet'!$1:$1, 0)), "")</f>
        <v>1.0491217758889619</v>
      </c>
      <c r="L41" s="11" cm="1">
        <f t="array" ref="L41">IFERROR(INDEX('Master Data Sheet'!$1:$1048576, MATCH(1, ('Master Data Sheet'!$H:$H=L$2) * (INDEX('Master Data Sheet'!$1:$1, , MATCH($F$1, 'Master Data Sheet'!$1:$1, 0)) = $F$1) * ('Master Data Sheet'!$G:$G=$B41) * ('Master Data Sheet'!$F:$F=$E41) * ('Master Data Sheet'!$A:$A=$F41), 0), MATCH($F$1, 'Master Data Sheet'!$1:$1, 0)), "")</f>
        <v>1.2010308113117978</v>
      </c>
      <c r="M41" s="11" cm="1">
        <f t="array" ref="M41">IFERROR(INDEX('Master Data Sheet'!$1:$1048576, MATCH(1, ('Master Data Sheet'!$H:$H=M$2) * (INDEX('Master Data Sheet'!$1:$1, , MATCH($F$1, 'Master Data Sheet'!$1:$1, 0)) = $F$1) * ('Master Data Sheet'!$G:$G=$B41) * ('Master Data Sheet'!$F:$F=$E41) * ('Master Data Sheet'!$A:$A=$F41), 0), MATCH($F$1, 'Master Data Sheet'!$1:$1, 0)), "")</f>
        <v>1.3766756335194521</v>
      </c>
      <c r="N41" s="11" cm="1">
        <f t="array" ref="N41">IFERROR(INDEX('Master Data Sheet'!$1:$1048576, MATCH(1, ('Master Data Sheet'!$H:$H=N$2) * (INDEX('Master Data Sheet'!$1:$1, , MATCH($F$1, 'Master Data Sheet'!$1:$1, 0)) = $F$1) * ('Master Data Sheet'!$G:$G=$B41) * ('Master Data Sheet'!$F:$F=$E41) * ('Master Data Sheet'!$A:$A=$F41), 0), MATCH($F$1, 'Master Data Sheet'!$1:$1, 0)), "")</f>
        <v>1.7801840088613605</v>
      </c>
      <c r="O41" s="11">
        <f t="shared" si="8"/>
        <v>1.2457897235345978</v>
      </c>
      <c r="P41" s="11">
        <f t="shared" si="4"/>
        <v>0.26386761686358567</v>
      </c>
      <c r="Q41" s="11"/>
      <c r="Y41" s="1"/>
      <c r="Z41" s="1"/>
      <c r="AA41" s="1"/>
      <c r="AB41" s="1"/>
      <c r="AC41" s="1"/>
      <c r="AD41" s="1"/>
      <c r="AE41" s="1"/>
      <c r="AF41" s="1"/>
      <c r="AG41" s="1"/>
      <c r="AH41" s="1"/>
      <c r="AI41" s="1"/>
      <c r="AJ41" s="1"/>
      <c r="AK41" s="1"/>
      <c r="AL41" s="1"/>
      <c r="AM41" s="1"/>
      <c r="AN41" s="1"/>
      <c r="AO41" s="1"/>
      <c r="AP41" s="1"/>
      <c r="AQ41" s="1"/>
      <c r="AR41" s="1"/>
      <c r="AS41" s="1"/>
    </row>
    <row r="42" spans="1:45" x14ac:dyDescent="0.35">
      <c r="A42" s="41">
        <f>IFERROR(INDEX('Date Key'!$B$2:$B$19, MATCH(F42,'Date Key'!$A$2:$A$19, 0)), "")</f>
        <v>45313</v>
      </c>
      <c r="B42" s="4">
        <f t="shared" si="15"/>
        <v>5</v>
      </c>
      <c r="C42" s="26" t="str">
        <f>IFERROR(INDEX('Date Key'!$G$57:$G$62, MATCH(B42,'Date Key'!$A$57:$A$62, 0)), "")</f>
        <v>High HLR, Lower Outlet Height, Yes Plants</v>
      </c>
      <c r="D42" s="4" t="str">
        <f>IFERROR(INDEX('Date Key'!$G$2:$G$19, MATCH(F42, 'Date Key'!$A$2:$A$19, 0)), "")</f>
        <v>Yes</v>
      </c>
      <c r="E42" s="4" t="str">
        <f t="shared" si="1"/>
        <v>tank 1</v>
      </c>
      <c r="F42" s="4">
        <f t="shared" si="2"/>
        <v>13</v>
      </c>
      <c r="G42" s="4">
        <f t="shared" si="22"/>
        <v>1</v>
      </c>
      <c r="H42" s="11" cm="1">
        <f t="array" ref="H42">IFERROR(INDEX('Master Data Sheet'!$1:$1048576, MATCH(1, ('Master Data Sheet'!$H:$H=H$2) * (INDEX('Master Data Sheet'!$1:$1, , MATCH($F$1, 'Master Data Sheet'!$1:$1, 0)) = $F$1) * ('Master Data Sheet'!$G:$G=$B42) * ('Master Data Sheet'!$F:$F=$E42) * ('Master Data Sheet'!$A:$A=$F42), 0), MATCH($F$1, 'Master Data Sheet'!$1:$1, 0)), "")</f>
        <v>9.4943147139272557E-2</v>
      </c>
      <c r="I42" s="11" cm="1">
        <f t="array" ref="I42">IFERROR(INDEX('Master Data Sheet'!$1:$1048576, MATCH(1, ('Master Data Sheet'!$H:$H=I$2) * (INDEX('Master Data Sheet'!$1:$1, , MATCH($F$1, 'Master Data Sheet'!$1:$1, 0)) = $F$1) * ('Master Data Sheet'!$G:$G=$B42) * ('Master Data Sheet'!$F:$F=$E42) * ('Master Data Sheet'!$A:$A=$F42), 0), MATCH($F$1, 'Master Data Sheet'!$1:$1, 0)), "")</f>
        <v>0.78328096389899859</v>
      </c>
      <c r="J42" s="11" cm="1">
        <f t="array" ref="J42">IFERROR(INDEX('Master Data Sheet'!$1:$1048576, MATCH(1, ('Master Data Sheet'!$H:$H=J$2) * (INDEX('Master Data Sheet'!$1:$1, , MATCH($F$1, 'Master Data Sheet'!$1:$1, 0)) = $F$1) * ('Master Data Sheet'!$G:$G=$B42) * ('Master Data Sheet'!$F:$F=$E42) * ('Master Data Sheet'!$A:$A=$F42), 0), MATCH($F$1, 'Master Data Sheet'!$1:$1, 0)), "")</f>
        <v>1.4241472070890882</v>
      </c>
      <c r="K42" s="11" cm="1">
        <f t="array" ref="K42">IFERROR(INDEX('Master Data Sheet'!$1:$1048576, MATCH(1, ('Master Data Sheet'!$H:$H=K$2) * (INDEX('Master Data Sheet'!$1:$1, , MATCH($F$1, 'Master Data Sheet'!$1:$1, 0)) = $F$1) * ('Master Data Sheet'!$G:$G=$B42) * ('Master Data Sheet'!$F:$F=$E42) * ('Master Data Sheet'!$A:$A=$F42), 0), MATCH($F$1, 'Master Data Sheet'!$1:$1, 0)), "")</f>
        <v>1.3956642629473064</v>
      </c>
      <c r="L42" s="11" cm="1">
        <f t="array" ref="L42">IFERROR(INDEX('Master Data Sheet'!$1:$1048576, MATCH(1, ('Master Data Sheet'!$H:$H=L$2) * (INDEX('Master Data Sheet'!$1:$1, , MATCH($F$1, 'Master Data Sheet'!$1:$1, 0)) = $F$1) * ('Master Data Sheet'!$G:$G=$B42) * ('Master Data Sheet'!$F:$F=$E42) * ('Master Data Sheet'!$A:$A=$F42), 0), MATCH($F$1, 'Master Data Sheet'!$1:$1, 0)), "")</f>
        <v>1.4241472070890882</v>
      </c>
      <c r="M42" s="11" cm="1">
        <f t="array" ref="M42">IFERROR(INDEX('Master Data Sheet'!$1:$1048576, MATCH(1, ('Master Data Sheet'!$H:$H=M$2) * (INDEX('Master Data Sheet'!$1:$1, , MATCH($F$1, 'Master Data Sheet'!$1:$1, 0)) = $F$1) * ('Master Data Sheet'!$G:$G=$B42) * ('Master Data Sheet'!$F:$F=$E42) * ('Master Data Sheet'!$A:$A=$F42), 0), MATCH($F$1, 'Master Data Sheet'!$1:$1, 0)), "")</f>
        <v>1.4478829938739066</v>
      </c>
      <c r="N42" s="11" cm="1">
        <f t="array" ref="N42">IFERROR(INDEX('Master Data Sheet'!$1:$1048576, MATCH(1, ('Master Data Sheet'!$H:$H=N$2) * (INDEX('Master Data Sheet'!$1:$1, , MATCH($F$1, 'Master Data Sheet'!$1:$1, 0)) = $F$1) * ('Master Data Sheet'!$G:$G=$B42) * ('Master Data Sheet'!$F:$F=$E42) * ('Master Data Sheet'!$A:$A=$F42), 0), MATCH($F$1, 'Master Data Sheet'!$1:$1, 0)), "")</f>
        <v>1.5713090851549609</v>
      </c>
      <c r="O42" s="11">
        <f t="shared" si="8"/>
        <v>1.1630535524560888</v>
      </c>
      <c r="P42" s="11">
        <f t="shared" si="4"/>
        <v>0.53593142957805961</v>
      </c>
      <c r="Q42" s="11">
        <f>AVERAGE(O42:O44)</f>
        <v>0.90941971652688924</v>
      </c>
      <c r="R42" s="46">
        <f>(1-(O42/O39))*100</f>
        <v>47.777101096224129</v>
      </c>
      <c r="S42" s="46">
        <f>AVERAGE(R42:R44)</f>
        <v>55.695733201785849</v>
      </c>
      <c r="T42" s="46">
        <f>STDEV(R42:R44)</f>
        <v>8.0128933577573012</v>
      </c>
      <c r="U42" s="47">
        <f>(1-(AVERAGE(H42:N44)/AVERAGE(H39:N41)))*100</f>
        <v>54.356705241660997</v>
      </c>
      <c r="V42" s="47"/>
      <c r="Y42" s="2"/>
      <c r="Z42" s="2"/>
      <c r="AA42" s="2"/>
      <c r="AB42" s="2"/>
      <c r="AC42" s="2"/>
      <c r="AD42" s="2"/>
      <c r="AE42" s="2"/>
      <c r="AF42" s="2"/>
      <c r="AG42" s="2"/>
    </row>
    <row r="43" spans="1:45" x14ac:dyDescent="0.35">
      <c r="A43" s="41">
        <f>IFERROR(INDEX('Date Key'!$B$2:$B$19, MATCH(F43,'Date Key'!$A$2:$A$19, 0)), "")</f>
        <v>45322</v>
      </c>
      <c r="B43" s="4">
        <f t="shared" si="15"/>
        <v>5</v>
      </c>
      <c r="C43" s="26" t="str">
        <f>IFERROR(INDEX('Date Key'!$G$57:$G$62, MATCH(B43,'Date Key'!$A$57:$A$62, 0)), "")</f>
        <v>High HLR, Lower Outlet Height, Yes Plants</v>
      </c>
      <c r="D43" s="4" t="str">
        <f>IFERROR(INDEX('Date Key'!$G$2:$G$19, MATCH(F43, 'Date Key'!$A$2:$A$19, 0)), "")</f>
        <v>No</v>
      </c>
      <c r="E43" s="4" t="str">
        <f t="shared" si="1"/>
        <v>tank 1</v>
      </c>
      <c r="F43" s="4">
        <f t="shared" si="2"/>
        <v>14</v>
      </c>
      <c r="G43" s="4">
        <f t="shared" si="22"/>
        <v>2</v>
      </c>
      <c r="H43" s="11" cm="1">
        <f t="array" ref="H43">IFERROR(INDEX('Master Data Sheet'!$1:$1048576, MATCH(1, ('Master Data Sheet'!$H:$H=H$2) * (INDEX('Master Data Sheet'!$1:$1, , MATCH($F$1, 'Master Data Sheet'!$1:$1, 0)) = $F$1) * ('Master Data Sheet'!$G:$G=$B43) * ('Master Data Sheet'!$F:$F=$E43) * ('Master Data Sheet'!$A:$A=$F43), 0), MATCH($F$1, 'Master Data Sheet'!$1:$1, 0)), "")</f>
        <v>0.11867893392409072</v>
      </c>
      <c r="I43" s="11" cm="1">
        <f t="array" ref="I43">IFERROR(INDEX('Master Data Sheet'!$1:$1048576, MATCH(1, ('Master Data Sheet'!$H:$H=I$2) * (INDEX('Master Data Sheet'!$1:$1, , MATCH($F$1, 'Master Data Sheet'!$1:$1, 0)) = $F$1) * ('Master Data Sheet'!$G:$G=$B43) * ('Master Data Sheet'!$F:$F=$E43) * ('Master Data Sheet'!$A:$A=$F43), 0), MATCH($F$1, 'Master Data Sheet'!$1:$1, 0)), "")</f>
        <v>0.4177498474127993</v>
      </c>
      <c r="J43" s="11" cm="1">
        <f t="array" ref="J43">IFERROR(INDEX('Master Data Sheet'!$1:$1048576, MATCH(1, ('Master Data Sheet'!$H:$H=J$2) * (INDEX('Master Data Sheet'!$1:$1, , MATCH($F$1, 'Master Data Sheet'!$1:$1, 0)) = $F$1) * ('Master Data Sheet'!$G:$G=$B43) * ('Master Data Sheet'!$F:$F=$E43) * ('Master Data Sheet'!$A:$A=$F43), 0), MATCH($F$1, 'Master Data Sheet'!$1:$1, 0)), "")</f>
        <v>0.92094852725094389</v>
      </c>
      <c r="K43" s="11" cm="1">
        <f t="array" ref="K43">IFERROR(INDEX('Master Data Sheet'!$1:$1048576, MATCH(1, ('Master Data Sheet'!$H:$H=K$2) * (INDEX('Master Data Sheet'!$1:$1, , MATCH($F$1, 'Master Data Sheet'!$1:$1, 0)) = $F$1) * ('Master Data Sheet'!$G:$G=$B43) * ('Master Data Sheet'!$F:$F=$E43) * ('Master Data Sheet'!$A:$A=$F43), 0), MATCH($F$1, 'Master Data Sheet'!$1:$1, 0)), "")</f>
        <v>1.3481926893776701</v>
      </c>
      <c r="L43" s="11" cm="1">
        <f t="array" ref="L43">IFERROR(INDEX('Master Data Sheet'!$1:$1048576, MATCH(1, ('Master Data Sheet'!$H:$H=L$2) * (INDEX('Master Data Sheet'!$1:$1, , MATCH($F$1, 'Master Data Sheet'!$1:$1, 0)) = $F$1) * ('Master Data Sheet'!$G:$G=$B43) * ('Master Data Sheet'!$F:$F=$E43) * ('Master Data Sheet'!$A:$A=$F43), 0), MATCH($F$1, 'Master Data Sheet'!$1:$1, 0)), "")</f>
        <v>1.5760562425119244</v>
      </c>
      <c r="M43" s="11" cm="1">
        <f t="array" ref="M43">IFERROR(INDEX('Master Data Sheet'!$1:$1048576, MATCH(1, ('Master Data Sheet'!$H:$H=M$2) * (INDEX('Master Data Sheet'!$1:$1, , MATCH($F$1, 'Master Data Sheet'!$1:$1, 0)) = $F$1) * ('Master Data Sheet'!$G:$G=$B43) * ('Master Data Sheet'!$F:$F=$E43) * ('Master Data Sheet'!$A:$A=$F43), 0), MATCH($F$1, 'Master Data Sheet'!$1:$1, 0)), "")</f>
        <v>1.6282749734385247</v>
      </c>
      <c r="N43" s="11" cm="1">
        <f t="array" ref="N43">IFERROR(INDEX('Master Data Sheet'!$1:$1048576, MATCH(1, ('Master Data Sheet'!$H:$H=N$2) * (INDEX('Master Data Sheet'!$1:$1, , MATCH($F$1, 'Master Data Sheet'!$1:$1, 0)) = $F$1) * ('Master Data Sheet'!$G:$G=$B43) * ('Master Data Sheet'!$F:$F=$E43) * ('Master Data Sheet'!$A:$A=$F43), 0), MATCH($F$1, 'Master Data Sheet'!$1:$1, 0)), "")</f>
        <v>1.7896783235752878</v>
      </c>
      <c r="O43" s="11">
        <f t="shared" si="8"/>
        <v>1.1142256482130344</v>
      </c>
      <c r="P43" s="11">
        <f t="shared" si="4"/>
        <v>0.6457629785145429</v>
      </c>
      <c r="Q43" s="11"/>
      <c r="R43" s="46">
        <f>(1-(O43/O40))*100</f>
        <v>55.510425128621712</v>
      </c>
      <c r="X43" t="str">
        <f>IFERROR(INDEX('Date Key'!$G$57:$G$62, MATCH(B42,'Date Key'!$A$57:$A$62, 0)), "")</f>
        <v>High HLR, Lower Outlet Height, Yes Plants</v>
      </c>
      <c r="Y43" s="1">
        <f t="shared" ref="Y43:AE43" si="47">H42</f>
        <v>9.4943147139272557E-2</v>
      </c>
      <c r="Z43" s="1">
        <f t="shared" si="47"/>
        <v>0.78328096389899859</v>
      </c>
      <c r="AA43" s="1">
        <f t="shared" si="47"/>
        <v>1.4241472070890882</v>
      </c>
      <c r="AB43" s="1">
        <f t="shared" si="47"/>
        <v>1.3956642629473064</v>
      </c>
      <c r="AC43" s="1">
        <f t="shared" si="47"/>
        <v>1.4241472070890882</v>
      </c>
      <c r="AD43" s="1">
        <f t="shared" si="47"/>
        <v>1.4478829938739066</v>
      </c>
      <c r="AE43" s="1">
        <f t="shared" si="47"/>
        <v>1.5713090851549609</v>
      </c>
      <c r="AF43" s="1">
        <f t="shared" ref="AF43:AL43" si="48">H43</f>
        <v>0.11867893392409072</v>
      </c>
      <c r="AG43" s="1">
        <f t="shared" si="48"/>
        <v>0.4177498474127993</v>
      </c>
      <c r="AH43" s="1">
        <f t="shared" si="48"/>
        <v>0.92094852725094389</v>
      </c>
      <c r="AI43" s="1">
        <f t="shared" si="48"/>
        <v>1.3481926893776701</v>
      </c>
      <c r="AJ43" s="1">
        <f t="shared" si="48"/>
        <v>1.5760562425119244</v>
      </c>
      <c r="AK43" s="1">
        <f t="shared" si="48"/>
        <v>1.6282749734385247</v>
      </c>
      <c r="AL43" s="1">
        <f t="shared" si="48"/>
        <v>1.7896783235752878</v>
      </c>
      <c r="AM43" s="1">
        <f t="shared" ref="AM43:AS43" si="49">H44</f>
        <v>6.1713045640527167E-2</v>
      </c>
      <c r="AN43" s="1">
        <f t="shared" si="49"/>
        <v>0.29432375613174488</v>
      </c>
      <c r="AO43" s="1">
        <f t="shared" si="49"/>
        <v>0.53168162397992635</v>
      </c>
      <c r="AP43" s="1">
        <f t="shared" si="49"/>
        <v>0.5221873092659991</v>
      </c>
      <c r="AQ43" s="1">
        <f t="shared" si="49"/>
        <v>0.46047426362547195</v>
      </c>
      <c r="AR43" s="1">
        <f t="shared" si="49"/>
        <v>0.55541741076474449</v>
      </c>
      <c r="AS43" s="1">
        <f t="shared" si="49"/>
        <v>0.73106223297239858</v>
      </c>
    </row>
    <row r="44" spans="1:45" x14ac:dyDescent="0.35">
      <c r="A44" s="41">
        <f>IFERROR(INDEX('Date Key'!$B$2:$B$19, MATCH(F44,'Date Key'!$A$2:$A$19, 0)), "")</f>
        <v>45330</v>
      </c>
      <c r="B44" s="4">
        <f t="shared" si="15"/>
        <v>5</v>
      </c>
      <c r="C44" s="26" t="str">
        <f>IFERROR(INDEX('Date Key'!$G$57:$G$62, MATCH(B44,'Date Key'!$A$57:$A$62, 0)), "")</f>
        <v>High HLR, Lower Outlet Height, Yes Plants</v>
      </c>
      <c r="D44" s="4" t="str">
        <f>IFERROR(INDEX('Date Key'!$G$2:$G$19, MATCH(F44, 'Date Key'!$A$2:$A$19, 0)), "")</f>
        <v>No</v>
      </c>
      <c r="E44" s="4" t="str">
        <f t="shared" si="1"/>
        <v>tank 1</v>
      </c>
      <c r="F44" s="4">
        <f t="shared" si="2"/>
        <v>15</v>
      </c>
      <c r="G44" s="4">
        <f t="shared" si="22"/>
        <v>3</v>
      </c>
      <c r="H44" s="11" cm="1">
        <f t="array" ref="H44">IFERROR(INDEX('Master Data Sheet'!$1:$1048576, MATCH(1, ('Master Data Sheet'!$H:$H=H$2) * (INDEX('Master Data Sheet'!$1:$1, , MATCH($F$1, 'Master Data Sheet'!$1:$1, 0)) = $F$1) * ('Master Data Sheet'!$G:$G=$B44) * ('Master Data Sheet'!$F:$F=$E44) * ('Master Data Sheet'!$A:$A=$F44), 0), MATCH($F$1, 'Master Data Sheet'!$1:$1, 0)), "")</f>
        <v>6.1713045640527167E-2</v>
      </c>
      <c r="I44" s="11" cm="1">
        <f t="array" ref="I44">IFERROR(INDEX('Master Data Sheet'!$1:$1048576, MATCH(1, ('Master Data Sheet'!$H:$H=I$2) * (INDEX('Master Data Sheet'!$1:$1, , MATCH($F$1, 'Master Data Sheet'!$1:$1, 0)) = $F$1) * ('Master Data Sheet'!$G:$G=$B44) * ('Master Data Sheet'!$F:$F=$E44) * ('Master Data Sheet'!$A:$A=$F44), 0), MATCH($F$1, 'Master Data Sheet'!$1:$1, 0)), "")</f>
        <v>0.29432375613174488</v>
      </c>
      <c r="J44" s="11" cm="1">
        <f t="array" ref="J44">IFERROR(INDEX('Master Data Sheet'!$1:$1048576, MATCH(1, ('Master Data Sheet'!$H:$H=J$2) * (INDEX('Master Data Sheet'!$1:$1, , MATCH($F$1, 'Master Data Sheet'!$1:$1, 0)) = $F$1) * ('Master Data Sheet'!$G:$G=$B44) * ('Master Data Sheet'!$F:$F=$E44) * ('Master Data Sheet'!$A:$A=$F44), 0), MATCH($F$1, 'Master Data Sheet'!$1:$1, 0)), "")</f>
        <v>0.53168162397992635</v>
      </c>
      <c r="K44" s="11" cm="1">
        <f t="array" ref="K44">IFERROR(INDEX('Master Data Sheet'!$1:$1048576, MATCH(1, ('Master Data Sheet'!$H:$H=K$2) * (INDEX('Master Data Sheet'!$1:$1, , MATCH($F$1, 'Master Data Sheet'!$1:$1, 0)) = $F$1) * ('Master Data Sheet'!$G:$G=$B44) * ('Master Data Sheet'!$F:$F=$E44) * ('Master Data Sheet'!$A:$A=$F44), 0), MATCH($F$1, 'Master Data Sheet'!$1:$1, 0)), "")</f>
        <v>0.5221873092659991</v>
      </c>
      <c r="L44" s="11" cm="1">
        <f t="array" ref="L44">IFERROR(INDEX('Master Data Sheet'!$1:$1048576, MATCH(1, ('Master Data Sheet'!$H:$H=L$2) * (INDEX('Master Data Sheet'!$1:$1, , MATCH($F$1, 'Master Data Sheet'!$1:$1, 0)) = $F$1) * ('Master Data Sheet'!$G:$G=$B44) * ('Master Data Sheet'!$F:$F=$E44) * ('Master Data Sheet'!$A:$A=$F44), 0), MATCH($F$1, 'Master Data Sheet'!$1:$1, 0)), "")</f>
        <v>0.46047426362547195</v>
      </c>
      <c r="M44" s="11" cm="1">
        <f t="array" ref="M44">IFERROR(INDEX('Master Data Sheet'!$1:$1048576, MATCH(1, ('Master Data Sheet'!$H:$H=M$2) * (INDEX('Master Data Sheet'!$1:$1, , MATCH($F$1, 'Master Data Sheet'!$1:$1, 0)) = $F$1) * ('Master Data Sheet'!$G:$G=$B44) * ('Master Data Sheet'!$F:$F=$E44) * ('Master Data Sheet'!$A:$A=$F44), 0), MATCH($F$1, 'Master Data Sheet'!$1:$1, 0)), "")</f>
        <v>0.55541741076474449</v>
      </c>
      <c r="N44" s="11" cm="1">
        <f t="array" ref="N44">IFERROR(INDEX('Master Data Sheet'!$1:$1048576, MATCH(1, ('Master Data Sheet'!$H:$H=N$2) * (INDEX('Master Data Sheet'!$1:$1, , MATCH($F$1, 'Master Data Sheet'!$1:$1, 0)) = $F$1) * ('Master Data Sheet'!$G:$G=$B44) * ('Master Data Sheet'!$F:$F=$E44) * ('Master Data Sheet'!$A:$A=$F44), 0), MATCH($F$1, 'Master Data Sheet'!$1:$1, 0)), "")</f>
        <v>0.73106223297239858</v>
      </c>
      <c r="O44" s="11">
        <f t="shared" si="8"/>
        <v>0.45097994891154464</v>
      </c>
      <c r="P44" s="11">
        <f t="shared" si="4"/>
        <v>0.21490173899596227</v>
      </c>
      <c r="Q44" s="11"/>
      <c r="R44" s="46">
        <f>(1-(O44/O41))*100</f>
        <v>63.799673380511713</v>
      </c>
      <c r="Y44" s="2"/>
      <c r="Z44" s="2"/>
      <c r="AA44" s="2"/>
      <c r="AB44" s="2"/>
      <c r="AC44" s="2"/>
      <c r="AD44" s="2"/>
      <c r="AE44" s="2"/>
      <c r="AF44" s="2"/>
      <c r="AG44" s="2"/>
    </row>
    <row r="45" spans="1:45" x14ac:dyDescent="0.35">
      <c r="A45" s="41">
        <f>IFERROR(INDEX('Date Key'!$B$2:$B$19, MATCH(F45,'Date Key'!$A$2:$A$19, 0)), "")</f>
        <v>45313</v>
      </c>
      <c r="B45" s="4">
        <f t="shared" si="15"/>
        <v>5</v>
      </c>
      <c r="C45" s="26" t="str">
        <f>IFERROR(INDEX('Date Key'!$G$57:$G$62, MATCH(B45,'Date Key'!$A$57:$A$62, 0)), "")</f>
        <v>High HLR, Lower Outlet Height, Yes Plants</v>
      </c>
      <c r="D45" s="4" t="str">
        <f>IFERROR(INDEX('Date Key'!$G$2:$G$19, MATCH(F45, 'Date Key'!$A$2:$A$19, 0)), "")</f>
        <v>Yes</v>
      </c>
      <c r="E45" s="4" t="str">
        <f t="shared" si="1"/>
        <v>tank 2</v>
      </c>
      <c r="F45" s="4">
        <f t="shared" si="2"/>
        <v>13</v>
      </c>
      <c r="G45" s="4">
        <f t="shared" si="22"/>
        <v>1</v>
      </c>
      <c r="H45" s="11" cm="1">
        <f t="array" ref="H45">IFERROR(INDEX('Master Data Sheet'!$1:$1048576, MATCH(1, ('Master Data Sheet'!$H:$H=H$2) * (INDEX('Master Data Sheet'!$1:$1, , MATCH($F$1, 'Master Data Sheet'!$1:$1, 0)) = $F$1) * ('Master Data Sheet'!$G:$G=$B45) * ('Master Data Sheet'!$F:$F=$E45) * ('Master Data Sheet'!$A:$A=$F45), 0), MATCH($F$1, 'Master Data Sheet'!$1:$1, 0)), "")</f>
        <v>6.1713045640527167E-2</v>
      </c>
      <c r="I45" s="11" cm="1">
        <f t="array" ref="I45">IFERROR(INDEX('Master Data Sheet'!$1:$1048576, MATCH(1, ('Master Data Sheet'!$H:$H=I$2) * (INDEX('Master Data Sheet'!$1:$1, , MATCH($F$1, 'Master Data Sheet'!$1:$1, 0)) = $F$1) * ('Master Data Sheet'!$G:$G=$B45) * ('Master Data Sheet'!$F:$F=$E45) * ('Master Data Sheet'!$A:$A=$F45), 0), MATCH($F$1, 'Master Data Sheet'!$1:$1, 0)), "")</f>
        <v>0.90670705518005279</v>
      </c>
      <c r="J45" s="11" cm="1">
        <f t="array" ref="J45">IFERROR(INDEX('Master Data Sheet'!$1:$1048576, MATCH(1, ('Master Data Sheet'!$H:$H=J$2) * (INDEX('Master Data Sheet'!$1:$1, , MATCH($F$1, 'Master Data Sheet'!$1:$1, 0)) = $F$1) * ('Master Data Sheet'!$G:$G=$B45) * ('Master Data Sheet'!$F:$F=$E45) * ('Master Data Sheet'!$A:$A=$F45), 0), MATCH($F$1, 'Master Data Sheet'!$1:$1, 0)), "")</f>
        <v>1.7849311662183243</v>
      </c>
      <c r="K45" s="11" cm="1">
        <f t="array" ref="K45">IFERROR(INDEX('Master Data Sheet'!$1:$1048576, MATCH(1, ('Master Data Sheet'!$H:$H=K$2) * (INDEX('Master Data Sheet'!$1:$1, , MATCH($F$1, 'Master Data Sheet'!$1:$1, 0)) = $F$1) * ('Master Data Sheet'!$G:$G=$B45) * ('Master Data Sheet'!$F:$F=$E45) * ('Master Data Sheet'!$A:$A=$F45), 0), MATCH($F$1, 'Master Data Sheet'!$1:$1, 0)), "")</f>
        <v>1.9083572574993783</v>
      </c>
      <c r="L45" s="11" cm="1">
        <f t="array" ref="L45">IFERROR(INDEX('Master Data Sheet'!$1:$1048576, MATCH(1, ('Master Data Sheet'!$H:$H=L$2) * (INDEX('Master Data Sheet'!$1:$1, , MATCH($F$1, 'Master Data Sheet'!$1:$1, 0)) = $F$1) * ('Master Data Sheet'!$G:$G=$B45) * ('Master Data Sheet'!$F:$F=$E45) * ('Master Data Sheet'!$A:$A=$F45), 0), MATCH($F$1, 'Master Data Sheet'!$1:$1, 0)), "")</f>
        <v>1.8608856839297425</v>
      </c>
      <c r="M45" s="11" cm="1">
        <f t="array" ref="M45">IFERROR(INDEX('Master Data Sheet'!$1:$1048576, MATCH(1, ('Master Data Sheet'!$H:$H=M$2) * (INDEX('Master Data Sheet'!$1:$1, , MATCH($F$1, 'Master Data Sheet'!$1:$1, 0)) = $F$1) * ('Master Data Sheet'!$G:$G=$B45) * ('Master Data Sheet'!$F:$F=$E45) * ('Master Data Sheet'!$A:$A=$F45), 0), MATCH($F$1, 'Master Data Sheet'!$1:$1, 0)), "")</f>
        <v>2.0270361914234689</v>
      </c>
      <c r="N45" s="11" cm="1">
        <f t="array" ref="N45">IFERROR(INDEX('Master Data Sheet'!$1:$1048576, MATCH(1, ('Master Data Sheet'!$H:$H=N$2) * (INDEX('Master Data Sheet'!$1:$1, , MATCH($F$1, 'Master Data Sheet'!$1:$1, 0)) = $F$1) * ('Master Data Sheet'!$G:$G=$B45) * ('Master Data Sheet'!$F:$F=$E45) * ('Master Data Sheet'!$A:$A=$F45), 0), MATCH($F$1, 'Master Data Sheet'!$1:$1, 0)), "")</f>
        <v>2.1409679679905964</v>
      </c>
      <c r="O45" s="11">
        <f t="shared" si="8"/>
        <v>1.5272283382688701</v>
      </c>
      <c r="P45" s="11">
        <f t="shared" si="4"/>
        <v>0.7618249124941282</v>
      </c>
      <c r="Q45" s="11">
        <f>AVERAGE(N45:N47)</f>
        <v>2.0302009629947784</v>
      </c>
      <c r="R45" s="46">
        <f>(1-(O45/O39))*100</f>
        <v>31.425091352009748</v>
      </c>
      <c r="S45" s="46">
        <f>AVERAGE(R45:R47)</f>
        <v>30.688223934219511</v>
      </c>
      <c r="T45" s="46">
        <f>STDEV(R45:R47)</f>
        <v>1.9050807513256247</v>
      </c>
      <c r="U45" s="47">
        <f>(1-(AVERAGE(H45:N47)/AVERAGE(H39:N41)))*100</f>
        <v>31.109598366235545</v>
      </c>
      <c r="V45" s="47"/>
      <c r="Y45" s="2"/>
      <c r="Z45" s="2"/>
      <c r="AA45" s="2"/>
      <c r="AB45" s="2"/>
      <c r="AC45" s="2"/>
      <c r="AD45" s="2"/>
      <c r="AE45" s="2"/>
      <c r="AF45" s="2"/>
      <c r="AG45" s="2"/>
    </row>
    <row r="46" spans="1:45" x14ac:dyDescent="0.35">
      <c r="A46" s="41">
        <f>IFERROR(INDEX('Date Key'!$B$2:$B$19, MATCH(F46,'Date Key'!$A$2:$A$19, 0)), "")</f>
        <v>45322</v>
      </c>
      <c r="B46" s="4">
        <f t="shared" si="15"/>
        <v>5</v>
      </c>
      <c r="C46" s="26" t="str">
        <f>IFERROR(INDEX('Date Key'!$G$57:$G$62, MATCH(B46,'Date Key'!$A$57:$A$62, 0)), "")</f>
        <v>High HLR, Lower Outlet Height, Yes Plants</v>
      </c>
      <c r="D46" s="4" t="str">
        <f>IFERROR(INDEX('Date Key'!$G$2:$G$19, MATCH(F46, 'Date Key'!$A$2:$A$19, 0)), "")</f>
        <v>No</v>
      </c>
      <c r="E46" s="4" t="str">
        <f t="shared" si="1"/>
        <v>tank 2</v>
      </c>
      <c r="F46" s="4">
        <f t="shared" si="2"/>
        <v>14</v>
      </c>
      <c r="G46" s="4">
        <f t="shared" si="22"/>
        <v>2</v>
      </c>
      <c r="H46" s="11" cm="1">
        <f t="array" ref="H46">IFERROR(INDEX('Master Data Sheet'!$1:$1048576, MATCH(1, ('Master Data Sheet'!$H:$H=H$2) * (INDEX('Master Data Sheet'!$1:$1, , MATCH($F$1, 'Master Data Sheet'!$1:$1, 0)) = $F$1) * ('Master Data Sheet'!$G:$G=$B46) * ('Master Data Sheet'!$F:$F=$E46) * ('Master Data Sheet'!$A:$A=$F46), 0), MATCH($F$1, 'Master Data Sheet'!$1:$1, 0)), "")</f>
        <v>9.4943147139272557E-2</v>
      </c>
      <c r="I46" s="11" cm="1">
        <f t="array" ref="I46">IFERROR(INDEX('Master Data Sheet'!$1:$1048576, MATCH(1, ('Master Data Sheet'!$H:$H=I$2) * (INDEX('Master Data Sheet'!$1:$1, , MATCH($F$1, 'Master Data Sheet'!$1:$1, 0)) = $F$1) * ('Master Data Sheet'!$G:$G=$B46) * ('Master Data Sheet'!$F:$F=$E46) * ('Master Data Sheet'!$A:$A=$F46), 0), MATCH($F$1, 'Master Data Sheet'!$1:$1, 0)), "")</f>
        <v>0.60288898433438087</v>
      </c>
      <c r="J46" s="11" cm="1">
        <f t="array" ref="J46">IFERROR(INDEX('Master Data Sheet'!$1:$1048576, MATCH(1, ('Master Data Sheet'!$H:$H=J$2) * (INDEX('Master Data Sheet'!$1:$1, , MATCH($F$1, 'Master Data Sheet'!$1:$1, 0)) = $F$1) * ('Master Data Sheet'!$G:$G=$B46) * ('Master Data Sheet'!$F:$F=$E46) * ('Master Data Sheet'!$A:$A=$F46), 0), MATCH($F$1, 'Master Data Sheet'!$1:$1, 0)), "")</f>
        <v>1.3909171055903429</v>
      </c>
      <c r="K46" s="11" cm="1">
        <f t="array" ref="K46">IFERROR(INDEX('Master Data Sheet'!$1:$1048576, MATCH(1, ('Master Data Sheet'!$H:$H=K$2) * (INDEX('Master Data Sheet'!$1:$1, , MATCH($F$1, 'Master Data Sheet'!$1:$1, 0)) = $F$1) * ('Master Data Sheet'!$G:$G=$B46) * ('Master Data Sheet'!$F:$F=$E46) * ('Master Data Sheet'!$A:$A=$F46), 0), MATCH($F$1, 'Master Data Sheet'!$1:$1, 0)), "")</f>
        <v>2.1552094400614874</v>
      </c>
      <c r="L46" s="11" cm="1">
        <f t="array" ref="L46">IFERROR(INDEX('Master Data Sheet'!$1:$1048576, MATCH(1, ('Master Data Sheet'!$H:$H=L$2) * (INDEX('Master Data Sheet'!$1:$1, , MATCH($F$1, 'Master Data Sheet'!$1:$1, 0)) = $F$1) * ('Master Data Sheet'!$G:$G=$B46) * ('Master Data Sheet'!$F:$F=$E46) * ('Master Data Sheet'!$A:$A=$F46), 0), MATCH($F$1, 'Master Data Sheet'!$1:$1, 0)), "")</f>
        <v>2.378325835838778</v>
      </c>
      <c r="M46" s="11" cm="1">
        <f t="array" ref="M46">IFERROR(INDEX('Master Data Sheet'!$1:$1048576, MATCH(1, ('Master Data Sheet'!$H:$H=M$2) * (INDEX('Master Data Sheet'!$1:$1, , MATCH($F$1, 'Master Data Sheet'!$1:$1, 0)) = $F$1) * ('Master Data Sheet'!$G:$G=$B46) * ('Master Data Sheet'!$F:$F=$E46) * ('Master Data Sheet'!$A:$A=$F46), 0), MATCH($F$1, 'Master Data Sheet'!$1:$1, 0)), "")</f>
        <v>2.6299251757578501</v>
      </c>
      <c r="N46" s="11" cm="1">
        <f t="array" ref="N46">IFERROR(INDEX('Master Data Sheet'!$1:$1048576, MATCH(1, ('Master Data Sheet'!$H:$H=N$2) * (INDEX('Master Data Sheet'!$1:$1, , MATCH($F$1, 'Master Data Sheet'!$1:$1, 0)) = $F$1) * ('Master Data Sheet'!$G:$G=$B46) * ('Master Data Sheet'!$F:$F=$E46) * ('Master Data Sheet'!$A:$A=$F46), 0), MATCH($F$1, 'Master Data Sheet'!$1:$1, 0)), "")</f>
        <v>2.6489138051857046</v>
      </c>
      <c r="O46" s="11">
        <f t="shared" si="8"/>
        <v>1.7001604991296879</v>
      </c>
      <c r="P46" s="11">
        <f t="shared" si="4"/>
        <v>1.0253399398065208</v>
      </c>
      <c r="Q46" s="11"/>
      <c r="R46" s="46">
        <f>(1-(O46/O40))*100</f>
        <v>32.114811806119668</v>
      </c>
      <c r="X46" t="str">
        <f>IFERROR(INDEX('Date Key'!$G$57:$G$62, MATCH(B45,'Date Key'!$A$57:$A$62, 0)), "")</f>
        <v>High HLR, Lower Outlet Height, Yes Plants</v>
      </c>
      <c r="Y46" s="1">
        <f t="shared" ref="Y46:AE46" si="50">H45</f>
        <v>6.1713045640527167E-2</v>
      </c>
      <c r="Z46" s="1">
        <f t="shared" si="50"/>
        <v>0.90670705518005279</v>
      </c>
      <c r="AA46" s="1">
        <f t="shared" si="50"/>
        <v>1.7849311662183243</v>
      </c>
      <c r="AB46" s="1">
        <f t="shared" si="50"/>
        <v>1.9083572574993783</v>
      </c>
      <c r="AC46" s="1">
        <f t="shared" si="50"/>
        <v>1.8608856839297425</v>
      </c>
      <c r="AD46" s="1">
        <f t="shared" si="50"/>
        <v>2.0270361914234689</v>
      </c>
      <c r="AE46" s="1">
        <f t="shared" si="50"/>
        <v>2.1409679679905964</v>
      </c>
      <c r="AF46" s="1">
        <f t="shared" ref="AF46:AL46" si="51">H46</f>
        <v>9.4943147139272557E-2</v>
      </c>
      <c r="AG46" s="1">
        <f t="shared" si="51"/>
        <v>0.60288898433438087</v>
      </c>
      <c r="AH46" s="1">
        <f t="shared" si="51"/>
        <v>1.3909171055903429</v>
      </c>
      <c r="AI46" s="1">
        <f t="shared" si="51"/>
        <v>2.1552094400614874</v>
      </c>
      <c r="AJ46" s="1">
        <f t="shared" si="51"/>
        <v>2.378325835838778</v>
      </c>
      <c r="AK46" s="1">
        <f t="shared" si="51"/>
        <v>2.6299251757578501</v>
      </c>
      <c r="AL46" s="1">
        <f t="shared" si="51"/>
        <v>2.6489138051857046</v>
      </c>
      <c r="AM46" s="1">
        <f t="shared" ref="AM46:AS46" si="52">H47</f>
        <v>3.7977258855709024E-2</v>
      </c>
      <c r="AN46" s="1">
        <f t="shared" si="52"/>
        <v>0.81176390804078036</v>
      </c>
      <c r="AO46" s="1">
        <f t="shared" si="52"/>
        <v>1.0443746185319982</v>
      </c>
      <c r="AP46" s="1">
        <f t="shared" si="52"/>
        <v>0.9256956846079073</v>
      </c>
      <c r="AQ46" s="1">
        <f t="shared" si="52"/>
        <v>0.99690304496236182</v>
      </c>
      <c r="AR46" s="1">
        <f t="shared" si="52"/>
        <v>1.1155819788864525</v>
      </c>
      <c r="AS46" s="1">
        <f t="shared" si="52"/>
        <v>1.3007211158080341</v>
      </c>
    </row>
    <row r="47" spans="1:45" x14ac:dyDescent="0.35">
      <c r="A47" s="42">
        <f>IFERROR(INDEX('Date Key'!$B$2:$B$19, MATCH(F47,'Date Key'!$A$2:$A$19, 0)), "")</f>
        <v>45330</v>
      </c>
      <c r="B47" s="27">
        <f t="shared" si="15"/>
        <v>5</v>
      </c>
      <c r="C47" s="51" t="str">
        <f>IFERROR(INDEX('Date Key'!$G$57:$G$62, MATCH(B47,'Date Key'!$A$57:$A$62, 0)), "")</f>
        <v>High HLR, Lower Outlet Height, Yes Plants</v>
      </c>
      <c r="D47" s="27" t="str">
        <f>IFERROR(INDEX('Date Key'!$G$2:$G$19, MATCH(F47, 'Date Key'!$A$2:$A$19, 0)), "")</f>
        <v>No</v>
      </c>
      <c r="E47" s="27" t="str">
        <f t="shared" si="1"/>
        <v>tank 2</v>
      </c>
      <c r="F47" s="27">
        <f t="shared" si="2"/>
        <v>15</v>
      </c>
      <c r="G47" s="27">
        <f t="shared" si="22"/>
        <v>3</v>
      </c>
      <c r="H47" s="28" cm="1">
        <f t="array" ref="H47">IFERROR(INDEX('Master Data Sheet'!$1:$1048576, MATCH(1, ('Master Data Sheet'!$H:$H=H$2) * (INDEX('Master Data Sheet'!$1:$1, , MATCH($F$1, 'Master Data Sheet'!$1:$1, 0)) = $F$1) * ('Master Data Sheet'!$G:$G=$B47) * ('Master Data Sheet'!$F:$F=$E47) * ('Master Data Sheet'!$A:$A=$F47), 0), MATCH($F$1, 'Master Data Sheet'!$1:$1, 0)), "")</f>
        <v>3.7977258855709024E-2</v>
      </c>
      <c r="I47" s="28" cm="1">
        <f t="array" ref="I47">IFERROR(INDEX('Master Data Sheet'!$1:$1048576, MATCH(1, ('Master Data Sheet'!$H:$H=I$2) * (INDEX('Master Data Sheet'!$1:$1, , MATCH($F$1, 'Master Data Sheet'!$1:$1, 0)) = $F$1) * ('Master Data Sheet'!$G:$G=$B47) * ('Master Data Sheet'!$F:$F=$E47) * ('Master Data Sheet'!$A:$A=$F47), 0), MATCH($F$1, 'Master Data Sheet'!$1:$1, 0)), "")</f>
        <v>0.81176390804078036</v>
      </c>
      <c r="J47" s="28" cm="1">
        <f t="array" ref="J47">IFERROR(INDEX('Master Data Sheet'!$1:$1048576, MATCH(1, ('Master Data Sheet'!$H:$H=J$2) * (INDEX('Master Data Sheet'!$1:$1, , MATCH($F$1, 'Master Data Sheet'!$1:$1, 0)) = $F$1) * ('Master Data Sheet'!$G:$G=$B47) * ('Master Data Sheet'!$F:$F=$E47) * ('Master Data Sheet'!$A:$A=$F47), 0), MATCH($F$1, 'Master Data Sheet'!$1:$1, 0)), "")</f>
        <v>1.0443746185319982</v>
      </c>
      <c r="K47" s="28" cm="1">
        <f t="array" ref="K47">IFERROR(INDEX('Master Data Sheet'!$1:$1048576, MATCH(1, ('Master Data Sheet'!$H:$H=K$2) * (INDEX('Master Data Sheet'!$1:$1, , MATCH($F$1, 'Master Data Sheet'!$1:$1, 0)) = $F$1) * ('Master Data Sheet'!$G:$G=$B47) * ('Master Data Sheet'!$F:$F=$E47) * ('Master Data Sheet'!$A:$A=$F47), 0), MATCH($F$1, 'Master Data Sheet'!$1:$1, 0)), "")</f>
        <v>0.9256956846079073</v>
      </c>
      <c r="L47" s="28" cm="1">
        <f t="array" ref="L47">IFERROR(INDEX('Master Data Sheet'!$1:$1048576, MATCH(1, ('Master Data Sheet'!$H:$H=L$2) * (INDEX('Master Data Sheet'!$1:$1, , MATCH($F$1, 'Master Data Sheet'!$1:$1, 0)) = $F$1) * ('Master Data Sheet'!$G:$G=$B47) * ('Master Data Sheet'!$F:$F=$E47) * ('Master Data Sheet'!$A:$A=$F47), 0), MATCH($F$1, 'Master Data Sheet'!$1:$1, 0)), "")</f>
        <v>0.99690304496236182</v>
      </c>
      <c r="M47" s="28" cm="1">
        <f t="array" ref="M47">IFERROR(INDEX('Master Data Sheet'!$1:$1048576, MATCH(1, ('Master Data Sheet'!$H:$H=M$2) * (INDEX('Master Data Sheet'!$1:$1, , MATCH($F$1, 'Master Data Sheet'!$1:$1, 0)) = $F$1) * ('Master Data Sheet'!$G:$G=$B47) * ('Master Data Sheet'!$F:$F=$E47) * ('Master Data Sheet'!$A:$A=$F47), 0), MATCH($F$1, 'Master Data Sheet'!$1:$1, 0)), "")</f>
        <v>1.1155819788864525</v>
      </c>
      <c r="N47" s="28" cm="1">
        <f t="array" ref="N47">IFERROR(INDEX('Master Data Sheet'!$1:$1048576, MATCH(1, ('Master Data Sheet'!$H:$H=N$2) * (INDEX('Master Data Sheet'!$1:$1, , MATCH($F$1, 'Master Data Sheet'!$1:$1, 0)) = $F$1) * ('Master Data Sheet'!$G:$G=$B47) * ('Master Data Sheet'!$F:$F=$E47) * ('Master Data Sheet'!$A:$A=$F47), 0), MATCH($F$1, 'Master Data Sheet'!$1:$1, 0)), "")</f>
        <v>1.3007211158080341</v>
      </c>
      <c r="O47" s="28">
        <f t="shared" si="8"/>
        <v>0.89043108709903485</v>
      </c>
      <c r="P47" s="28">
        <f t="shared" si="4"/>
        <v>0.4058274195182705</v>
      </c>
      <c r="Q47" s="28"/>
      <c r="R47" s="48">
        <f>(1-(O47/O41))*100</f>
        <v>28.524768644529118</v>
      </c>
      <c r="S47" s="27"/>
      <c r="T47" s="27"/>
      <c r="U47" s="27"/>
      <c r="V47" s="27"/>
    </row>
    <row r="48" spans="1:45" x14ac:dyDescent="0.35">
      <c r="A48" s="41">
        <f>IFERROR(INDEX('Date Key'!$B$2:$B$19, MATCH(F48,'Date Key'!$A$2:$A$19, 0)), "")</f>
        <v>45371</v>
      </c>
      <c r="B48" s="4">
        <f t="shared" si="15"/>
        <v>6</v>
      </c>
      <c r="C48" s="26" t="str">
        <f>IFERROR(INDEX('Date Key'!$G$57:$G$62, MATCH(B48,'Date Key'!$A$57:$A$62, 0)), "")</f>
        <v>Medium HLR, Upper Outlet Height, Yes Plants</v>
      </c>
      <c r="D48" s="4" t="str">
        <f>IFERROR(INDEX('Date Key'!$G$2:$G$19, MATCH(F48, 'Date Key'!$A$2:$A$19, 0)), "")</f>
        <v>No</v>
      </c>
      <c r="E48" s="4" t="str">
        <f t="shared" si="1"/>
        <v>in</v>
      </c>
      <c r="F48" s="4">
        <f t="shared" si="2"/>
        <v>16</v>
      </c>
      <c r="G48" s="4">
        <f t="shared" si="22"/>
        <v>1</v>
      </c>
      <c r="H48" s="11" cm="1">
        <f t="array" ref="H48">IFERROR(INDEX('Master Data Sheet'!$1:$1048576, MATCH(1, ('Master Data Sheet'!$H:$H=H$2) * (INDEX('Master Data Sheet'!$1:$1, , MATCH($F$1, 'Master Data Sheet'!$1:$1, 0)) = $F$1) * ('Master Data Sheet'!$G:$G=$B48) * ('Master Data Sheet'!$F:$F=$E48) * ('Master Data Sheet'!$A:$A=$F48), 0), MATCH($F$1, 'Master Data Sheet'!$1:$1, 0)), "")</f>
        <v>3.522390758867012</v>
      </c>
      <c r="I48" s="11" cm="1">
        <f t="array" ref="I48">IFERROR(INDEX('Master Data Sheet'!$1:$1048576, MATCH(1, ('Master Data Sheet'!$H:$H=I$2) * (INDEX('Master Data Sheet'!$1:$1, , MATCH($F$1, 'Master Data Sheet'!$1:$1, 0)) = $F$1) * ('Master Data Sheet'!$G:$G=$B48) * ('Master Data Sheet'!$F:$F=$E48) * ('Master Data Sheet'!$A:$A=$F48), 0), MATCH($F$1, 'Master Data Sheet'!$1:$1, 0)), "")</f>
        <v>5.1744015190903552</v>
      </c>
      <c r="J48" s="11" cm="1">
        <f t="array" ref="J48">IFERROR(INDEX('Master Data Sheet'!$1:$1048576, MATCH(1, ('Master Data Sheet'!$H:$H=J$2) * (INDEX('Master Data Sheet'!$1:$1, , MATCH($F$1, 'Master Data Sheet'!$1:$1, 0)) = $F$1) * ('Master Data Sheet'!$G:$G=$B48) * ('Master Data Sheet'!$F:$F=$E48) * ('Master Data Sheet'!$A:$A=$F48), 0), MATCH($F$1, 'Master Data Sheet'!$1:$1, 0)), "")</f>
        <v>4.5335352759002649</v>
      </c>
      <c r="K48" s="11" cm="1">
        <f t="array" ref="K48">IFERROR(INDEX('Master Data Sheet'!$1:$1048576, MATCH(1, ('Master Data Sheet'!$H:$H=K$2) * (INDEX('Master Data Sheet'!$1:$1, , MATCH($F$1, 'Master Data Sheet'!$1:$1, 0)) = $F$1) * ('Master Data Sheet'!$G:$G=$B48) * ('Master Data Sheet'!$F:$F=$E48) * ('Master Data Sheet'!$A:$A=$F48), 0), MATCH($F$1, 'Master Data Sheet'!$1:$1, 0)), "")</f>
        <v>5.3120690824422994</v>
      </c>
      <c r="L48" s="11" cm="1">
        <f t="array" ref="L48">IFERROR(INDEX('Master Data Sheet'!$1:$1048576, MATCH(1, ('Master Data Sheet'!$H:$H=L$2) * (INDEX('Master Data Sheet'!$1:$1, , MATCH($F$1, 'Master Data Sheet'!$1:$1, 0)) = $F$1) * ('Master Data Sheet'!$G:$G=$B48) * ('Master Data Sheet'!$F:$F=$E48) * ('Master Data Sheet'!$A:$A=$F48), 0), MATCH($F$1, 'Master Data Sheet'!$1:$1, 0)), "")</f>
        <v>6.2947306553337716</v>
      </c>
      <c r="M48" s="11" cm="1">
        <f t="array" ref="M48">IFERROR(INDEX('Master Data Sheet'!$1:$1048576, MATCH(1, ('Master Data Sheet'!$H:$H=M$2) * (INDEX('Master Data Sheet'!$1:$1, , MATCH($F$1, 'Master Data Sheet'!$1:$1, 0)) = $F$1) * ('Master Data Sheet'!$G:$G=$B48) * ('Master Data Sheet'!$F:$F=$E48) * ('Master Data Sheet'!$A:$A=$F48), 0), MATCH($F$1, 'Master Data Sheet'!$1:$1, 0)), "")</f>
        <v>7.9230056287722954</v>
      </c>
      <c r="N48" s="11" cm="1">
        <f t="array" ref="N48">IFERROR(INDEX('Master Data Sheet'!$1:$1048576, MATCH(1, ('Master Data Sheet'!$H:$H=N$2) * (INDEX('Master Data Sheet'!$1:$1, , MATCH($F$1, 'Master Data Sheet'!$1:$1, 0)) = $F$1) * ('Master Data Sheet'!$G:$G=$B48) * ('Master Data Sheet'!$F:$F=$E48) * ('Master Data Sheet'!$A:$A=$F48), 0), MATCH($F$1, 'Master Data Sheet'!$1:$1, 0)), "")</f>
        <v>9.3898772520740543</v>
      </c>
      <c r="O48" s="11">
        <f t="shared" si="8"/>
        <v>6.021430024640007</v>
      </c>
      <c r="P48" s="11">
        <f t="shared" si="4"/>
        <v>2.0296468497297999</v>
      </c>
      <c r="Q48" s="11">
        <f>AVERAGE(O48:O50)</f>
        <v>7.5491805112138843</v>
      </c>
      <c r="S48" s="11">
        <f>AVERAGE(O48:O50)</f>
        <v>7.5491805112138843</v>
      </c>
      <c r="T48" s="11">
        <f>AVERAGE(P48:P50)</f>
        <v>1.6685759071460529</v>
      </c>
      <c r="V48" s="47">
        <f>AVERAGE(U51, U54)</f>
        <v>88.332815017215836</v>
      </c>
      <c r="X48" t="s">
        <v>343</v>
      </c>
    </row>
    <row r="49" spans="1:46" x14ac:dyDescent="0.35">
      <c r="A49" s="41">
        <f>IFERROR(INDEX('Date Key'!$B$2:$B$19, MATCH(F49,'Date Key'!$A$2:$A$19, 0)), "")</f>
        <v>45392</v>
      </c>
      <c r="B49" s="4">
        <f t="shared" si="15"/>
        <v>6</v>
      </c>
      <c r="C49" s="26" t="str">
        <f>IFERROR(INDEX('Date Key'!$G$57:$G$62, MATCH(B49,'Date Key'!$A$57:$A$62, 0)), "")</f>
        <v>Medium HLR, Upper Outlet Height, Yes Plants</v>
      </c>
      <c r="D49" s="4" t="str">
        <f>IFERROR(INDEX('Date Key'!$G$2:$G$19, MATCH(F49, 'Date Key'!$A$2:$A$19, 0)), "")</f>
        <v>No</v>
      </c>
      <c r="E49" s="4" t="str">
        <f t="shared" si="1"/>
        <v>in</v>
      </c>
      <c r="F49" s="4">
        <f t="shared" si="2"/>
        <v>17</v>
      </c>
      <c r="G49" s="4">
        <f t="shared" si="22"/>
        <v>2</v>
      </c>
      <c r="H49" s="11" cm="1">
        <f t="array" ref="H49">IFERROR(INDEX('Master Data Sheet'!$1:$1048576, MATCH(1, ('Master Data Sheet'!$H:$H=H$2) * (INDEX('Master Data Sheet'!$1:$1, , MATCH($F$1, 'Master Data Sheet'!$1:$1, 0)) = $F$1) * ('Master Data Sheet'!$G:$G=$B49) * ('Master Data Sheet'!$F:$F=$E49) * ('Master Data Sheet'!$A:$A=$F49), 0), MATCH($F$1, 'Master Data Sheet'!$1:$1, 0)), "")</f>
        <v>5.7250717724981346</v>
      </c>
      <c r="I49" s="11" cm="1">
        <f t="array" ref="I49">IFERROR(INDEX('Master Data Sheet'!$1:$1048576, MATCH(1, ('Master Data Sheet'!$H:$H=I$2) * (INDEX('Master Data Sheet'!$1:$1, , MATCH($F$1, 'Master Data Sheet'!$1:$1, 0)) = $F$1) * ('Master Data Sheet'!$G:$G=$B49) * ('Master Data Sheet'!$F:$F=$E49) * ('Master Data Sheet'!$A:$A=$F49), 0), MATCH($F$1, 'Master Data Sheet'!$1:$1, 0)), "")</f>
        <v>7.9324999434862224</v>
      </c>
      <c r="J49" s="11" cm="1">
        <f t="array" ref="J49">IFERROR(INDEX('Master Data Sheet'!$1:$1048576, MATCH(1, ('Master Data Sheet'!$H:$H=J$2) * (INDEX('Master Data Sheet'!$1:$1, , MATCH($F$1, 'Master Data Sheet'!$1:$1, 0)) = $F$1) * ('Master Data Sheet'!$G:$G=$B49) * ('Master Data Sheet'!$F:$F=$E49) * ('Master Data Sheet'!$A:$A=$F49), 0), MATCH($F$1, 'Master Data Sheet'!$1:$1, 0)), "")</f>
        <v>6.821665121956733</v>
      </c>
      <c r="K49" s="11" cm="1">
        <f t="array" ref="K49">IFERROR(INDEX('Master Data Sheet'!$1:$1048576, MATCH(1, ('Master Data Sheet'!$H:$H=K$2) * (INDEX('Master Data Sheet'!$1:$1, , MATCH($F$1, 'Master Data Sheet'!$1:$1, 0)) = $F$1) * ('Master Data Sheet'!$G:$G=$B49) * ('Master Data Sheet'!$F:$F=$E49) * ('Master Data Sheet'!$A:$A=$F49), 0), MATCH($F$1, 'Master Data Sheet'!$1:$1, 0)), "")</f>
        <v>7.6856477609241143</v>
      </c>
      <c r="L49" s="11" cm="1">
        <f t="array" ref="L49">IFERROR(INDEX('Master Data Sheet'!$1:$1048576, MATCH(1, ('Master Data Sheet'!$H:$H=L$2) * (INDEX('Master Data Sheet'!$1:$1, , MATCH($F$1, 'Master Data Sheet'!$1:$1, 0)) = $F$1) * ('Master Data Sheet'!$G:$G=$B49) * ('Master Data Sheet'!$F:$F=$E49) * ('Master Data Sheet'!$A:$A=$F49), 0), MATCH($F$1, 'Master Data Sheet'!$1:$1, 0)), "")</f>
        <v>9.6889481655627634</v>
      </c>
      <c r="M49" s="11" cm="1">
        <f t="array" ref="M49">IFERROR(INDEX('Master Data Sheet'!$1:$1048576, MATCH(1, ('Master Data Sheet'!$H:$H=M$2) * (INDEX('Master Data Sheet'!$1:$1, , MATCH($F$1, 'Master Data Sheet'!$1:$1, 0)) = $F$1) * ('Master Data Sheet'!$G:$G=$B49) * ('Master Data Sheet'!$F:$F=$E49) * ('Master Data Sheet'!$A:$A=$F49), 0), MATCH($F$1, 'Master Data Sheet'!$1:$1, 0)), "")</f>
        <v>10.723828469380836</v>
      </c>
      <c r="N49" s="11" cm="1">
        <f t="array" ref="N49">IFERROR(INDEX('Master Data Sheet'!$1:$1048576, MATCH(1, ('Master Data Sheet'!$H:$H=N$2) * (INDEX('Master Data Sheet'!$1:$1, , MATCH($F$1, 'Master Data Sheet'!$1:$1, 0)) = $F$1) * ('Master Data Sheet'!$G:$G=$B49) * ('Master Data Sheet'!$F:$F=$E49) * ('Master Data Sheet'!$A:$A=$F49), 0), MATCH($F$1, 'Master Data Sheet'!$1:$1, 0)), "")</f>
        <v>11.355200397856997</v>
      </c>
      <c r="O49" s="11">
        <f t="shared" si="8"/>
        <v>8.5618373759522566</v>
      </c>
      <c r="P49" s="11">
        <f t="shared" si="4"/>
        <v>2.0811324481384301</v>
      </c>
      <c r="Q49" s="11"/>
      <c r="X49" t="str">
        <f>IFERROR(INDEX('Date Key'!$G$57:$G$62, MATCH(B48,'Date Key'!$A$57:$A$62, 0)), "")</f>
        <v>Medium HLR, Upper Outlet Height, Yes Plants</v>
      </c>
      <c r="Y49" s="1">
        <f t="shared" ref="Y49:AE49" si="53">H48</f>
        <v>3.522390758867012</v>
      </c>
      <c r="Z49" s="1">
        <f t="shared" si="53"/>
        <v>5.1744015190903552</v>
      </c>
      <c r="AA49" s="1">
        <f t="shared" si="53"/>
        <v>4.5335352759002649</v>
      </c>
      <c r="AB49" s="1">
        <f t="shared" si="53"/>
        <v>5.3120690824422994</v>
      </c>
      <c r="AC49" s="1">
        <f t="shared" si="53"/>
        <v>6.2947306553337716</v>
      </c>
      <c r="AD49" s="1">
        <f t="shared" si="53"/>
        <v>7.9230056287722954</v>
      </c>
      <c r="AE49" s="1">
        <f t="shared" si="53"/>
        <v>9.3898772520740543</v>
      </c>
      <c r="AF49" s="1">
        <f t="shared" ref="AF49:AL49" si="54">H49</f>
        <v>5.7250717724981346</v>
      </c>
      <c r="AG49" s="1">
        <f t="shared" si="54"/>
        <v>7.9324999434862224</v>
      </c>
      <c r="AH49" s="1">
        <f t="shared" si="54"/>
        <v>6.821665121956733</v>
      </c>
      <c r="AI49" s="1">
        <f t="shared" si="54"/>
        <v>7.6856477609241143</v>
      </c>
      <c r="AJ49" s="1">
        <f t="shared" si="54"/>
        <v>9.6889481655627634</v>
      </c>
      <c r="AK49" s="1">
        <f t="shared" si="54"/>
        <v>10.723828469380836</v>
      </c>
      <c r="AL49" s="1">
        <f t="shared" si="54"/>
        <v>11.355200397856997</v>
      </c>
      <c r="AM49" s="1">
        <f t="shared" ref="AM49:AS49" si="55">H50</f>
        <v>9.4371173438520923</v>
      </c>
      <c r="AN49" s="1">
        <f t="shared" si="55"/>
        <v>8.801877888827045</v>
      </c>
      <c r="AO49" s="1">
        <f t="shared" si="55"/>
        <v>8.5630278537376281</v>
      </c>
      <c r="AP49" s="1">
        <f t="shared" si="55"/>
        <v>7.9023788205115801</v>
      </c>
      <c r="AQ49" s="1">
        <f t="shared" si="55"/>
        <v>7.4653340754543471</v>
      </c>
      <c r="AR49" s="1">
        <f t="shared" si="55"/>
        <v>7.2722212811267335</v>
      </c>
      <c r="AS49" s="1">
        <f t="shared" si="55"/>
        <v>7.007961667836315</v>
      </c>
    </row>
    <row r="50" spans="1:46" x14ac:dyDescent="0.35">
      <c r="A50" s="41">
        <f>IFERROR(INDEX('Date Key'!$B$2:$B$19, MATCH(F50,'Date Key'!$A$2:$A$19, 0)), "")</f>
        <v>45400</v>
      </c>
      <c r="B50" s="4">
        <f t="shared" si="15"/>
        <v>6</v>
      </c>
      <c r="C50" s="26" t="str">
        <f>IFERROR(INDEX('Date Key'!$G$57:$G$62, MATCH(B50,'Date Key'!$A$57:$A$62, 0)), "")</f>
        <v>Medium HLR, Upper Outlet Height, Yes Plants</v>
      </c>
      <c r="D50" s="4" t="str">
        <f>IFERROR(INDEX('Date Key'!$G$2:$G$19, MATCH(F50, 'Date Key'!$A$2:$A$19, 0)), "")</f>
        <v>Yes</v>
      </c>
      <c r="E50" s="4" t="str">
        <f t="shared" si="1"/>
        <v>in</v>
      </c>
      <c r="F50" s="4">
        <f t="shared" si="2"/>
        <v>18</v>
      </c>
      <c r="G50" s="4">
        <f t="shared" si="22"/>
        <v>3</v>
      </c>
      <c r="H50" s="11" cm="1">
        <f t="array" ref="H50">IFERROR(INDEX('Master Data Sheet'!$1:$1048576, MATCH(1, ('Master Data Sheet'!$H:$H=H$2) * (INDEX('Master Data Sheet'!$1:$1, , MATCH($F$1, 'Master Data Sheet'!$1:$1, 0)) = $F$1) * ('Master Data Sheet'!$G:$G=$B50) * ('Master Data Sheet'!$F:$F=$E50) * ('Master Data Sheet'!$A:$A=$F50), 0), MATCH($F$1, 'Master Data Sheet'!$1:$1, 0)), "")</f>
        <v>9.4371173438520923</v>
      </c>
      <c r="I50" s="11" cm="1">
        <f t="array" ref="I50">IFERROR(INDEX('Master Data Sheet'!$1:$1048576, MATCH(1, ('Master Data Sheet'!$H:$H=I$2) * (INDEX('Master Data Sheet'!$1:$1, , MATCH($F$1, 'Master Data Sheet'!$1:$1, 0)) = $F$1) * ('Master Data Sheet'!$G:$G=$B50) * ('Master Data Sheet'!$F:$F=$E50) * ('Master Data Sheet'!$A:$A=$F50), 0), MATCH($F$1, 'Master Data Sheet'!$1:$1, 0)), "")</f>
        <v>8.801877888827045</v>
      </c>
      <c r="J50" s="11" cm="1">
        <f t="array" ref="J50">IFERROR(INDEX('Master Data Sheet'!$1:$1048576, MATCH(1, ('Master Data Sheet'!$H:$H=J$2) * (INDEX('Master Data Sheet'!$1:$1, , MATCH($F$1, 'Master Data Sheet'!$1:$1, 0)) = $F$1) * ('Master Data Sheet'!$G:$G=$B50) * ('Master Data Sheet'!$F:$F=$E50) * ('Master Data Sheet'!$A:$A=$F50), 0), MATCH($F$1, 'Master Data Sheet'!$1:$1, 0)), "")</f>
        <v>8.5630278537376281</v>
      </c>
      <c r="K50" s="11" cm="1">
        <f t="array" ref="K50">IFERROR(INDEX('Master Data Sheet'!$1:$1048576, MATCH(1, ('Master Data Sheet'!$H:$H=K$2) * (INDEX('Master Data Sheet'!$1:$1, , MATCH($F$1, 'Master Data Sheet'!$1:$1, 0)) = $F$1) * ('Master Data Sheet'!$G:$G=$B50) * ('Master Data Sheet'!$F:$F=$E50) * ('Master Data Sheet'!$A:$A=$F50), 0), MATCH($F$1, 'Master Data Sheet'!$1:$1, 0)), "")</f>
        <v>7.9023788205115801</v>
      </c>
      <c r="L50" s="11" cm="1">
        <f t="array" ref="L50">IFERROR(INDEX('Master Data Sheet'!$1:$1048576, MATCH(1, ('Master Data Sheet'!$H:$H=L$2) * (INDEX('Master Data Sheet'!$1:$1, , MATCH($F$1, 'Master Data Sheet'!$1:$1, 0)) = $F$1) * ('Master Data Sheet'!$G:$G=$B50) * ('Master Data Sheet'!$F:$F=$E50) * ('Master Data Sheet'!$A:$A=$F50), 0), MATCH($F$1, 'Master Data Sheet'!$1:$1, 0)), "")</f>
        <v>7.4653340754543471</v>
      </c>
      <c r="M50" s="11" cm="1">
        <f t="array" ref="M50">IFERROR(INDEX('Master Data Sheet'!$1:$1048576, MATCH(1, ('Master Data Sheet'!$H:$H=M$2) * (INDEX('Master Data Sheet'!$1:$1, , MATCH($F$1, 'Master Data Sheet'!$1:$1, 0)) = $F$1) * ('Master Data Sheet'!$G:$G=$B50) * ('Master Data Sheet'!$F:$F=$E50) * ('Master Data Sheet'!$A:$A=$F50), 0), MATCH($F$1, 'Master Data Sheet'!$1:$1, 0)), "")</f>
        <v>7.2722212811267335</v>
      </c>
      <c r="N50" s="11" cm="1">
        <f t="array" ref="N50">IFERROR(INDEX('Master Data Sheet'!$1:$1048576, MATCH(1, ('Master Data Sheet'!$H:$H=N$2) * (INDEX('Master Data Sheet'!$1:$1, , MATCH($F$1, 'Master Data Sheet'!$1:$1, 0)) = $F$1) * ('Master Data Sheet'!$G:$G=$B50) * ('Master Data Sheet'!$F:$F=$E50) * ('Master Data Sheet'!$A:$A=$F50), 0), MATCH($F$1, 'Master Data Sheet'!$1:$1, 0)), "")</f>
        <v>7.007961667836315</v>
      </c>
      <c r="O50" s="11">
        <f t="shared" si="8"/>
        <v>8.0642741330493912</v>
      </c>
      <c r="P50" s="11">
        <f t="shared" si="4"/>
        <v>0.89494842356992821</v>
      </c>
      <c r="Q50" s="11"/>
      <c r="Y50" s="1"/>
      <c r="Z50" s="1"/>
      <c r="AA50" s="1"/>
      <c r="AB50" s="1"/>
      <c r="AC50" s="1"/>
      <c r="AD50" s="1"/>
      <c r="AE50" s="1"/>
      <c r="AF50" s="1"/>
      <c r="AG50" s="1"/>
      <c r="AH50" s="1"/>
      <c r="AI50" s="1"/>
      <c r="AJ50" s="1"/>
      <c r="AK50" s="1"/>
      <c r="AL50" s="1"/>
      <c r="AM50" s="1"/>
      <c r="AN50" s="1"/>
      <c r="AO50" s="1"/>
      <c r="AP50" s="1"/>
      <c r="AQ50" s="1"/>
      <c r="AR50" s="1"/>
      <c r="AS50" s="1"/>
    </row>
    <row r="51" spans="1:46" x14ac:dyDescent="0.35">
      <c r="A51" s="41">
        <f>IFERROR(INDEX('Date Key'!$B$2:$B$19, MATCH(F51,'Date Key'!$A$2:$A$19, 0)), "")</f>
        <v>45371</v>
      </c>
      <c r="B51" s="4">
        <f t="shared" si="15"/>
        <v>6</v>
      </c>
      <c r="C51" s="26" t="str">
        <f>IFERROR(INDEX('Date Key'!$G$57:$G$62, MATCH(B51,'Date Key'!$A$57:$A$62, 0)), "")</f>
        <v>Medium HLR, Upper Outlet Height, Yes Plants</v>
      </c>
      <c r="D51" s="4" t="str">
        <f>IFERROR(INDEX('Date Key'!$G$2:$G$19, MATCH(F51, 'Date Key'!$A$2:$A$19, 0)), "")</f>
        <v>No</v>
      </c>
      <c r="E51" s="4" t="str">
        <f t="shared" si="1"/>
        <v>tank 1</v>
      </c>
      <c r="F51" s="4">
        <f t="shared" si="2"/>
        <v>16</v>
      </c>
      <c r="G51" s="4">
        <f t="shared" si="22"/>
        <v>1</v>
      </c>
      <c r="H51" s="11" cm="1">
        <f t="array" ref="H51">IFERROR(INDEX('Master Data Sheet'!$1:$1048576, MATCH(1, ('Master Data Sheet'!$H:$H=H$2) * (INDEX('Master Data Sheet'!$1:$1, , MATCH($F$1, 'Master Data Sheet'!$1:$1, 0)) = $F$1) * ('Master Data Sheet'!$G:$G=$B51) * ('Master Data Sheet'!$F:$F=$E51) * ('Master Data Sheet'!$A:$A=$F51), 0), MATCH($F$1, 'Master Data Sheet'!$1:$1, 0)), "")</f>
        <v>0</v>
      </c>
      <c r="I51" s="11" cm="1">
        <f t="array" ref="I51">IFERROR(INDEX('Master Data Sheet'!$1:$1048576, MATCH(1, ('Master Data Sheet'!$H:$H=I$2) * (INDEX('Master Data Sheet'!$1:$1, , MATCH($F$1, 'Master Data Sheet'!$1:$1, 0)) = $F$1) * ('Master Data Sheet'!$G:$G=$B51) * ('Master Data Sheet'!$F:$F=$E51) * ('Master Data Sheet'!$A:$A=$F51), 0), MATCH($F$1, 'Master Data Sheet'!$1:$1, 0)), "")</f>
        <v>0</v>
      </c>
      <c r="J51" s="11" cm="1">
        <f t="array" ref="J51">IFERROR(INDEX('Master Data Sheet'!$1:$1048576, MATCH(1, ('Master Data Sheet'!$H:$H=J$2) * (INDEX('Master Data Sheet'!$1:$1, , MATCH($F$1, 'Master Data Sheet'!$1:$1, 0)) = $F$1) * ('Master Data Sheet'!$G:$G=$B51) * ('Master Data Sheet'!$F:$F=$E51) * ('Master Data Sheet'!$A:$A=$F51), 0), MATCH($F$1, 'Master Data Sheet'!$1:$1, 0)), "")</f>
        <v>0</v>
      </c>
      <c r="K51" s="11" cm="1">
        <f t="array" ref="K51">IFERROR(INDEX('Master Data Sheet'!$1:$1048576, MATCH(1, ('Master Data Sheet'!$H:$H=K$2) * (INDEX('Master Data Sheet'!$1:$1, , MATCH($F$1, 'Master Data Sheet'!$1:$1, 0)) = $F$1) * ('Master Data Sheet'!$G:$G=$B51) * ('Master Data Sheet'!$F:$F=$E51) * ('Master Data Sheet'!$A:$A=$F51), 0), MATCH($F$1, 'Master Data Sheet'!$1:$1, 0)), "")</f>
        <v>0</v>
      </c>
      <c r="L51" s="11" cm="1">
        <f t="array" ref="L51">IFERROR(INDEX('Master Data Sheet'!$1:$1048576, MATCH(1, ('Master Data Sheet'!$H:$H=L$2) * (INDEX('Master Data Sheet'!$1:$1, , MATCH($F$1, 'Master Data Sheet'!$1:$1, 0)) = $F$1) * ('Master Data Sheet'!$G:$G=$B51) * ('Master Data Sheet'!$F:$F=$E51) * ('Master Data Sheet'!$A:$A=$F51), 0), MATCH($F$1, 'Master Data Sheet'!$1:$1, 0)), "")</f>
        <v>0</v>
      </c>
      <c r="M51" s="11" cm="1">
        <f t="array" ref="M51">IFERROR(INDEX('Master Data Sheet'!$1:$1048576, MATCH(1, ('Master Data Sheet'!$H:$H=M$2) * (INDEX('Master Data Sheet'!$1:$1, , MATCH($F$1, 'Master Data Sheet'!$1:$1, 0)) = $F$1) * ('Master Data Sheet'!$G:$G=$B51) * ('Master Data Sheet'!$F:$F=$E51) * ('Master Data Sheet'!$A:$A=$F51), 0), MATCH($F$1, 'Master Data Sheet'!$1:$1, 0)), "")</f>
        <v>0.22311639577729053</v>
      </c>
      <c r="N51" s="11" cm="1">
        <f t="array" ref="N51">IFERROR(INDEX('Master Data Sheet'!$1:$1048576, MATCH(1, ('Master Data Sheet'!$H:$H=N$2) * (INDEX('Master Data Sheet'!$1:$1, , MATCH($F$1, 'Master Data Sheet'!$1:$1, 0)) = $F$1) * ('Master Data Sheet'!$G:$G=$B51) * ('Master Data Sheet'!$F:$F=$E51) * ('Master Data Sheet'!$A:$A=$F51), 0), MATCH($F$1, 'Master Data Sheet'!$1:$1, 0)), "")</f>
        <v>0</v>
      </c>
      <c r="O51" s="11">
        <f t="shared" si="8"/>
        <v>3.1873770825327219E-2</v>
      </c>
      <c r="P51" s="11">
        <f t="shared" si="4"/>
        <v>8.4330070949681785E-2</v>
      </c>
      <c r="Q51" s="11">
        <f>AVERAGE(O51:O53)</f>
        <v>0.45730016494900677</v>
      </c>
      <c r="R51" s="46">
        <f>(1-(O51/O48))*100</f>
        <v>99.470661110485409</v>
      </c>
      <c r="S51" s="46">
        <f>AVERAGE(R51:R53)</f>
        <v>94.475533247866565</v>
      </c>
      <c r="T51" s="46">
        <f>STDEV(R51:R53)</f>
        <v>4.5059898916090475</v>
      </c>
      <c r="U51" s="47">
        <f>(1-(AVERAGE(H51:N53)/AVERAGE(H48:N50)))*100</f>
        <v>93.942386670053608</v>
      </c>
      <c r="V51" s="47"/>
      <c r="Y51" s="2"/>
      <c r="Z51" s="2"/>
      <c r="AA51" s="2"/>
      <c r="AB51" s="2"/>
      <c r="AC51" s="2"/>
      <c r="AD51" s="2"/>
      <c r="AE51" s="2"/>
      <c r="AF51" s="2"/>
      <c r="AG51" s="2"/>
    </row>
    <row r="52" spans="1:46" x14ac:dyDescent="0.35">
      <c r="A52" s="41">
        <f>IFERROR(INDEX('Date Key'!$B$2:$B$19, MATCH(F52,'Date Key'!$A$2:$A$19, 0)), "")</f>
        <v>45392</v>
      </c>
      <c r="B52" s="4">
        <f t="shared" si="15"/>
        <v>6</v>
      </c>
      <c r="C52" s="26" t="str">
        <f>IFERROR(INDEX('Date Key'!$G$57:$G$62, MATCH(B52,'Date Key'!$A$57:$A$62, 0)), "")</f>
        <v>Medium HLR, Upper Outlet Height, Yes Plants</v>
      </c>
      <c r="D52" s="4" t="str">
        <f>IFERROR(INDEX('Date Key'!$G$2:$G$19, MATCH(F52, 'Date Key'!$A$2:$A$19, 0)), "")</f>
        <v>No</v>
      </c>
      <c r="E52" s="4" t="str">
        <f t="shared" si="1"/>
        <v>tank 1</v>
      </c>
      <c r="F52" s="4">
        <f t="shared" si="2"/>
        <v>17</v>
      </c>
      <c r="G52" s="4">
        <f t="shared" si="22"/>
        <v>2</v>
      </c>
      <c r="H52" s="11" cm="1">
        <f t="array" ref="H52">IFERROR(INDEX('Master Data Sheet'!$1:$1048576, MATCH(1, ('Master Data Sheet'!$H:$H=H$2) * (INDEX('Master Data Sheet'!$1:$1, , MATCH($F$1, 'Master Data Sheet'!$1:$1, 0)) = $F$1) * ('Master Data Sheet'!$G:$G=$B52) * ('Master Data Sheet'!$F:$F=$E52) * ('Master Data Sheet'!$A:$A=$F52), 0), MATCH($F$1, 'Master Data Sheet'!$1:$1, 0)), "")</f>
        <v>0</v>
      </c>
      <c r="I52" s="11" cm="1">
        <f t="array" ref="I52">IFERROR(INDEX('Master Data Sheet'!$1:$1048576, MATCH(1, ('Master Data Sheet'!$H:$H=I$2) * (INDEX('Master Data Sheet'!$1:$1, , MATCH($F$1, 'Master Data Sheet'!$1:$1, 0)) = $F$1) * ('Master Data Sheet'!$G:$G=$B52) * ('Master Data Sheet'!$F:$F=$E52) * ('Master Data Sheet'!$A:$A=$F52), 0), MATCH($F$1, 'Master Data Sheet'!$1:$1, 0)), "")</f>
        <v>0</v>
      </c>
      <c r="J52" s="11" cm="1">
        <f t="array" ref="J52">IFERROR(INDEX('Master Data Sheet'!$1:$1048576, MATCH(1, ('Master Data Sheet'!$H:$H=J$2) * (INDEX('Master Data Sheet'!$1:$1, , MATCH($F$1, 'Master Data Sheet'!$1:$1, 0)) = $F$1) * ('Master Data Sheet'!$G:$G=$B52) * ('Master Data Sheet'!$F:$F=$E52) * ('Master Data Sheet'!$A:$A=$F52), 0), MATCH($F$1, 'Master Data Sheet'!$1:$1, 0)), "")</f>
        <v>5.2218730926599913E-2</v>
      </c>
      <c r="K52" s="11" cm="1">
        <f t="array" ref="K52">IFERROR(INDEX('Master Data Sheet'!$1:$1048576, MATCH(1, ('Master Data Sheet'!$H:$H=K$2) * (INDEX('Master Data Sheet'!$1:$1, , MATCH($F$1, 'Master Data Sheet'!$1:$1, 0)) = $F$1) * ('Master Data Sheet'!$G:$G=$B52) * ('Master Data Sheet'!$F:$F=$E52) * ('Master Data Sheet'!$A:$A=$F52), 0), MATCH($F$1, 'Master Data Sheet'!$1:$1, 0)), "")</f>
        <v>0</v>
      </c>
      <c r="L52" s="11" cm="1">
        <f t="array" ref="L52">IFERROR(INDEX('Master Data Sheet'!$1:$1048576, MATCH(1, ('Master Data Sheet'!$H:$H=L$2) * (INDEX('Master Data Sheet'!$1:$1, , MATCH($F$1, 'Master Data Sheet'!$1:$1, 0)) = $F$1) * ('Master Data Sheet'!$G:$G=$B52) * ('Master Data Sheet'!$F:$F=$E52) * ('Master Data Sheet'!$A:$A=$F52), 0), MATCH($F$1, 'Master Data Sheet'!$1:$1, 0)), "")</f>
        <v>0.60288898433438087</v>
      </c>
      <c r="M52" s="11" cm="1">
        <f t="array" ref="M52">IFERROR(INDEX('Master Data Sheet'!$1:$1048576, MATCH(1, ('Master Data Sheet'!$H:$H=M$2) * (INDEX('Master Data Sheet'!$1:$1, , MATCH($F$1, 'Master Data Sheet'!$1:$1, 0)) = $F$1) * ('Master Data Sheet'!$G:$G=$B52) * ('Master Data Sheet'!$F:$F=$E52) * ('Master Data Sheet'!$A:$A=$F52), 0), MATCH($F$1, 'Master Data Sheet'!$1:$1, 0)), "")</f>
        <v>1.9368402016411601</v>
      </c>
      <c r="N52" s="11" cm="1">
        <f t="array" ref="N52">IFERROR(INDEX('Master Data Sheet'!$1:$1048576, MATCH(1, ('Master Data Sheet'!$H:$H=N$2) * (INDEX('Master Data Sheet'!$1:$1, , MATCH($F$1, 'Master Data Sheet'!$1:$1, 0)) = $F$1) * ('Master Data Sheet'!$G:$G=$B52) * ('Master Data Sheet'!$F:$F=$E52) * ('Master Data Sheet'!$A:$A=$F52), 0), MATCH($F$1, 'Master Data Sheet'!$1:$1, 0)), "")</f>
        <v>2.9717205054592313</v>
      </c>
      <c r="O52" s="11">
        <f t="shared" si="8"/>
        <v>0.79480977462305324</v>
      </c>
      <c r="P52" s="11">
        <f t="shared" si="4"/>
        <v>1.1921001501340063</v>
      </c>
      <c r="Q52" s="11"/>
      <c r="R52" s="46">
        <f>(1-(O52/O49))*100</f>
        <v>90.716831683168309</v>
      </c>
      <c r="X52" t="str">
        <f>IFERROR(INDEX('Date Key'!$G$57:$G$62, MATCH(B51,'Date Key'!$A$57:$A$62, 0)), "")</f>
        <v>Medium HLR, Upper Outlet Height, Yes Plants</v>
      </c>
      <c r="Y52" s="1">
        <f t="shared" ref="Y52:AE52" si="56">H51</f>
        <v>0</v>
      </c>
      <c r="Z52" s="1">
        <f t="shared" si="56"/>
        <v>0</v>
      </c>
      <c r="AA52" s="1">
        <f t="shared" si="56"/>
        <v>0</v>
      </c>
      <c r="AB52" s="1">
        <f t="shared" si="56"/>
        <v>0</v>
      </c>
      <c r="AC52" s="1">
        <f t="shared" si="56"/>
        <v>0</v>
      </c>
      <c r="AD52" s="1">
        <f t="shared" si="56"/>
        <v>0.22311639577729053</v>
      </c>
      <c r="AE52" s="1">
        <f t="shared" si="56"/>
        <v>0</v>
      </c>
      <c r="AF52" s="1">
        <f t="shared" ref="AF52:AL52" si="57">H52</f>
        <v>0</v>
      </c>
      <c r="AG52" s="1">
        <f t="shared" si="57"/>
        <v>0</v>
      </c>
      <c r="AH52" s="1">
        <f t="shared" si="57"/>
        <v>5.2218730926599913E-2</v>
      </c>
      <c r="AI52" s="1">
        <f t="shared" si="57"/>
        <v>0</v>
      </c>
      <c r="AJ52" s="1">
        <f t="shared" si="57"/>
        <v>0.60288898433438087</v>
      </c>
      <c r="AK52" s="1">
        <f t="shared" si="57"/>
        <v>1.9368402016411601</v>
      </c>
      <c r="AL52" s="1">
        <f t="shared" si="57"/>
        <v>2.9717205054592313</v>
      </c>
      <c r="AM52" s="1">
        <f t="shared" ref="AM52:AS52" si="58">H53</f>
        <v>0</v>
      </c>
      <c r="AN52" s="1">
        <f t="shared" si="58"/>
        <v>5.0819156402003726E-2</v>
      </c>
      <c r="AO52" s="1">
        <f t="shared" si="58"/>
        <v>5.0819156402003726E-2</v>
      </c>
      <c r="AP52" s="1">
        <f t="shared" si="58"/>
        <v>0.3608160104542264</v>
      </c>
      <c r="AQ52" s="1">
        <f t="shared" si="58"/>
        <v>0.89949906831546589</v>
      </c>
      <c r="AR52" s="1">
        <f t="shared" si="58"/>
        <v>1.2399874162088909</v>
      </c>
      <c r="AS52" s="1">
        <f t="shared" si="58"/>
        <v>1.2145778380078891</v>
      </c>
    </row>
    <row r="53" spans="1:46" x14ac:dyDescent="0.35">
      <c r="A53" s="41">
        <f>IFERROR(INDEX('Date Key'!$B$2:$B$19, MATCH(F53,'Date Key'!$A$2:$A$19, 0)), "")</f>
        <v>45400</v>
      </c>
      <c r="B53" s="4">
        <f t="shared" si="15"/>
        <v>6</v>
      </c>
      <c r="C53" s="26" t="str">
        <f>IFERROR(INDEX('Date Key'!$G$57:$G$62, MATCH(B53,'Date Key'!$A$57:$A$62, 0)), "")</f>
        <v>Medium HLR, Upper Outlet Height, Yes Plants</v>
      </c>
      <c r="D53" s="4" t="str">
        <f>IFERROR(INDEX('Date Key'!$G$2:$G$19, MATCH(F53, 'Date Key'!$A$2:$A$19, 0)), "")</f>
        <v>Yes</v>
      </c>
      <c r="E53" s="4" t="str">
        <f t="shared" si="1"/>
        <v>tank 1</v>
      </c>
      <c r="F53" s="4">
        <f t="shared" si="2"/>
        <v>18</v>
      </c>
      <c r="G53" s="4">
        <f t="shared" si="22"/>
        <v>3</v>
      </c>
      <c r="H53" s="11" cm="1">
        <f t="array" ref="H53">IFERROR(INDEX('Master Data Sheet'!$1:$1048576, MATCH(1, ('Master Data Sheet'!$H:$H=H$2) * (INDEX('Master Data Sheet'!$1:$1, , MATCH($F$1, 'Master Data Sheet'!$1:$1, 0)) = $F$1) * ('Master Data Sheet'!$G:$G=$B53) * ('Master Data Sheet'!$F:$F=$E53) * ('Master Data Sheet'!$A:$A=$F53), 0), MATCH($F$1, 'Master Data Sheet'!$1:$1, 0)), "")</f>
        <v>0</v>
      </c>
      <c r="I53" s="11" cm="1">
        <f t="array" ref="I53">IFERROR(INDEX('Master Data Sheet'!$1:$1048576, MATCH(1, ('Master Data Sheet'!$H:$H=I$2) * (INDEX('Master Data Sheet'!$1:$1, , MATCH($F$1, 'Master Data Sheet'!$1:$1, 0)) = $F$1) * ('Master Data Sheet'!$G:$G=$B53) * ('Master Data Sheet'!$F:$F=$E53) * ('Master Data Sheet'!$A:$A=$F53), 0), MATCH($F$1, 'Master Data Sheet'!$1:$1, 0)), "")</f>
        <v>5.0819156402003726E-2</v>
      </c>
      <c r="J53" s="11" cm="1">
        <f t="array" ref="J53">IFERROR(INDEX('Master Data Sheet'!$1:$1048576, MATCH(1, ('Master Data Sheet'!$H:$H=J$2) * (INDEX('Master Data Sheet'!$1:$1, , MATCH($F$1, 'Master Data Sheet'!$1:$1, 0)) = $F$1) * ('Master Data Sheet'!$G:$G=$B53) * ('Master Data Sheet'!$F:$F=$E53) * ('Master Data Sheet'!$A:$A=$F53), 0), MATCH($F$1, 'Master Data Sheet'!$1:$1, 0)), "")</f>
        <v>5.0819156402003726E-2</v>
      </c>
      <c r="K53" s="11" cm="1">
        <f t="array" ref="K53">IFERROR(INDEX('Master Data Sheet'!$1:$1048576, MATCH(1, ('Master Data Sheet'!$H:$H=K$2) * (INDEX('Master Data Sheet'!$1:$1, , MATCH($F$1, 'Master Data Sheet'!$1:$1, 0)) = $F$1) * ('Master Data Sheet'!$G:$G=$B53) * ('Master Data Sheet'!$F:$F=$E53) * ('Master Data Sheet'!$A:$A=$F53), 0), MATCH($F$1, 'Master Data Sheet'!$1:$1, 0)), "")</f>
        <v>0.3608160104542264</v>
      </c>
      <c r="L53" s="11" cm="1">
        <f t="array" ref="L53">IFERROR(INDEX('Master Data Sheet'!$1:$1048576, MATCH(1, ('Master Data Sheet'!$H:$H=L$2) * (INDEX('Master Data Sheet'!$1:$1, , MATCH($F$1, 'Master Data Sheet'!$1:$1, 0)) = $F$1) * ('Master Data Sheet'!$G:$G=$B53) * ('Master Data Sheet'!$F:$F=$E53) * ('Master Data Sheet'!$A:$A=$F53), 0), MATCH($F$1, 'Master Data Sheet'!$1:$1, 0)), "")</f>
        <v>0.89949906831546589</v>
      </c>
      <c r="M53" s="11" cm="1">
        <f t="array" ref="M53">IFERROR(INDEX('Master Data Sheet'!$1:$1048576, MATCH(1, ('Master Data Sheet'!$H:$H=M$2) * (INDEX('Master Data Sheet'!$1:$1, , MATCH($F$1, 'Master Data Sheet'!$1:$1, 0)) = $F$1) * ('Master Data Sheet'!$G:$G=$B53) * ('Master Data Sheet'!$F:$F=$E53) * ('Master Data Sheet'!$A:$A=$F53), 0), MATCH($F$1, 'Master Data Sheet'!$1:$1, 0)), "")</f>
        <v>1.2399874162088909</v>
      </c>
      <c r="N53" s="11" cm="1">
        <f t="array" ref="N53">IFERROR(INDEX('Master Data Sheet'!$1:$1048576, MATCH(1, ('Master Data Sheet'!$H:$H=N$2) * (INDEX('Master Data Sheet'!$1:$1, , MATCH($F$1, 'Master Data Sheet'!$1:$1, 0)) = $F$1) * ('Master Data Sheet'!$G:$G=$B53) * ('Master Data Sheet'!$F:$F=$E53) * ('Master Data Sheet'!$A:$A=$F53), 0), MATCH($F$1, 'Master Data Sheet'!$1:$1, 0)), "")</f>
        <v>1.2145778380078891</v>
      </c>
      <c r="O53" s="11">
        <f t="shared" si="8"/>
        <v>0.54521694939863996</v>
      </c>
      <c r="P53" s="11">
        <f t="shared" si="4"/>
        <v>0.55922407616427539</v>
      </c>
      <c r="Q53" s="11"/>
      <c r="R53" s="46">
        <f>(1-(O53/O50))*100</f>
        <v>93.239106949945977</v>
      </c>
      <c r="Y53" s="2"/>
      <c r="Z53" s="2"/>
      <c r="AA53" s="2"/>
      <c r="AB53" s="2"/>
      <c r="AC53" s="2"/>
      <c r="AD53" s="2"/>
      <c r="AE53" s="2"/>
      <c r="AF53" s="2"/>
      <c r="AG53" s="2"/>
    </row>
    <row r="54" spans="1:46" x14ac:dyDescent="0.35">
      <c r="A54" s="41">
        <f>IFERROR(INDEX('Date Key'!$B$2:$B$19, MATCH(F54,'Date Key'!$A$2:$A$19, 0)), "")</f>
        <v>45371</v>
      </c>
      <c r="B54" s="4">
        <f t="shared" si="15"/>
        <v>6</v>
      </c>
      <c r="C54" s="26" t="str">
        <f>IFERROR(INDEX('Date Key'!$G$57:$G$62, MATCH(B54,'Date Key'!$A$57:$A$62, 0)), "")</f>
        <v>Medium HLR, Upper Outlet Height, Yes Plants</v>
      </c>
      <c r="D54" s="4" t="str">
        <f>IFERROR(INDEX('Date Key'!$G$2:$G$19, MATCH(F54, 'Date Key'!$A$2:$A$19, 0)), "")</f>
        <v>No</v>
      </c>
      <c r="E54" s="4" t="str">
        <f t="shared" si="1"/>
        <v>tank 2</v>
      </c>
      <c r="F54" s="4">
        <f t="shared" si="2"/>
        <v>16</v>
      </c>
      <c r="G54" s="4">
        <f t="shared" si="22"/>
        <v>1</v>
      </c>
      <c r="H54" s="11" cm="1">
        <f t="array" ref="H54">IFERROR(INDEX('Master Data Sheet'!$1:$1048576, MATCH(1, ('Master Data Sheet'!$H:$H=H$2) * (INDEX('Master Data Sheet'!$1:$1, , MATCH($F$1, 'Master Data Sheet'!$1:$1, 0)) = $F$1) * ('Master Data Sheet'!$G:$G=$B54) * ('Master Data Sheet'!$F:$F=$E54) * ('Master Data Sheet'!$A:$A=$F54), 0), MATCH($F$1, 'Master Data Sheet'!$1:$1, 0)), "")</f>
        <v>0</v>
      </c>
      <c r="I54" s="11" cm="1">
        <f t="array" ref="I54">IFERROR(INDEX('Master Data Sheet'!$1:$1048576, MATCH(1, ('Master Data Sheet'!$H:$H=I$2) * (INDEX('Master Data Sheet'!$1:$1, , MATCH($F$1, 'Master Data Sheet'!$1:$1, 0)) = $F$1) * ('Master Data Sheet'!$G:$G=$B54) * ('Master Data Sheet'!$F:$F=$E54) * ('Master Data Sheet'!$A:$A=$F54), 0), MATCH($F$1, 'Master Data Sheet'!$1:$1, 0)), "")</f>
        <v>1.8988629427854512E-2</v>
      </c>
      <c r="J54" s="11" cm="1">
        <f t="array" ref="J54">IFERROR(INDEX('Master Data Sheet'!$1:$1048576, MATCH(1, ('Master Data Sheet'!$H:$H=J$2) * (INDEX('Master Data Sheet'!$1:$1, , MATCH($F$1, 'Master Data Sheet'!$1:$1, 0)) = $F$1) * ('Master Data Sheet'!$G:$G=$B54) * ('Master Data Sheet'!$F:$F=$E54) * ('Master Data Sheet'!$A:$A=$F54), 0), MATCH($F$1, 'Master Data Sheet'!$1:$1, 0)), "")</f>
        <v>0</v>
      </c>
      <c r="K54" s="11" cm="1">
        <f t="array" ref="K54">IFERROR(INDEX('Master Data Sheet'!$1:$1048576, MATCH(1, ('Master Data Sheet'!$H:$H=K$2) * (INDEX('Master Data Sheet'!$1:$1, , MATCH($F$1, 'Master Data Sheet'!$1:$1, 0)) = $F$1) * ('Master Data Sheet'!$G:$G=$B54) * ('Master Data Sheet'!$F:$F=$E54) * ('Master Data Sheet'!$A:$A=$F54), 0), MATCH($F$1, 'Master Data Sheet'!$1:$1, 0)), "")</f>
        <v>0</v>
      </c>
      <c r="L54" s="11" cm="1">
        <f t="array" ref="L54">IFERROR(INDEX('Master Data Sheet'!$1:$1048576, MATCH(1, ('Master Data Sheet'!$H:$H=L$2) * (INDEX('Master Data Sheet'!$1:$1, , MATCH($F$1, 'Master Data Sheet'!$1:$1, 0)) = $F$1) * ('Master Data Sheet'!$G:$G=$B54) * ('Master Data Sheet'!$F:$F=$E54) * ('Master Data Sheet'!$A:$A=$F54), 0), MATCH($F$1, 'Master Data Sheet'!$1:$1, 0)), "")</f>
        <v>0.11867893392409072</v>
      </c>
      <c r="M54" s="11" cm="1">
        <f t="array" ref="M54">IFERROR(INDEX('Master Data Sheet'!$1:$1048576, MATCH(1, ('Master Data Sheet'!$H:$H=M$2) * (INDEX('Master Data Sheet'!$1:$1, , MATCH($F$1, 'Master Data Sheet'!$1:$1, 0)) = $F$1) * ('Master Data Sheet'!$G:$G=$B54) * ('Master Data Sheet'!$F:$F=$E54) * ('Master Data Sheet'!$A:$A=$F54), 0), MATCH($F$1, 'Master Data Sheet'!$1:$1, 0)), "")</f>
        <v>0.46047426362547195</v>
      </c>
      <c r="N54" s="11" cm="1">
        <f t="array" ref="N54">IFERROR(INDEX('Master Data Sheet'!$1:$1048576, MATCH(1, ('Master Data Sheet'!$H:$H=N$2) * (INDEX('Master Data Sheet'!$1:$1, , MATCH($F$1, 'Master Data Sheet'!$1:$1, 0)) = $F$1) * ('Master Data Sheet'!$G:$G=$B54) * ('Master Data Sheet'!$F:$F=$E54) * ('Master Data Sheet'!$A:$A=$F54), 0), MATCH($F$1, 'Master Data Sheet'!$1:$1, 0)), "")</f>
        <v>0.78328096389899859</v>
      </c>
      <c r="O54" s="11">
        <f t="shared" si="8"/>
        <v>0.19734611298234511</v>
      </c>
      <c r="P54" s="11">
        <f t="shared" si="4"/>
        <v>0.30751489262261439</v>
      </c>
      <c r="Q54" s="11">
        <f>AVERAGE(N54:N56)</f>
        <v>3.3193966597533602</v>
      </c>
      <c r="R54" s="46">
        <f>(1-(O54/O48))*100</f>
        <v>96.722603896835224</v>
      </c>
      <c r="S54" s="46">
        <f>AVERAGE(R54:R56)</f>
        <v>83.810346865248192</v>
      </c>
      <c r="T54" s="46">
        <f>STDEV(R54:R56)</f>
        <v>14.993733357027098</v>
      </c>
      <c r="U54" s="47">
        <f>(1-(AVERAGE(H54:N56)/AVERAGE(H48:N50)))*100</f>
        <v>82.723243364378078</v>
      </c>
      <c r="Y54" s="2"/>
      <c r="Z54" s="2"/>
      <c r="AA54" s="2"/>
      <c r="AB54" s="2"/>
      <c r="AC54" s="2"/>
      <c r="AD54" s="2"/>
      <c r="AE54" s="2"/>
      <c r="AF54" s="2"/>
      <c r="AG54" s="2"/>
    </row>
    <row r="55" spans="1:46" x14ac:dyDescent="0.35">
      <c r="A55" s="41">
        <f>IFERROR(INDEX('Date Key'!$B$2:$B$19, MATCH(F55,'Date Key'!$A$2:$A$19, 0)), "")</f>
        <v>45392</v>
      </c>
      <c r="B55" s="4">
        <f t="shared" si="15"/>
        <v>6</v>
      </c>
      <c r="C55" s="26" t="str">
        <f>IFERROR(INDEX('Date Key'!$G$57:$G$62, MATCH(B55,'Date Key'!$A$57:$A$62, 0)), "")</f>
        <v>Medium HLR, Upper Outlet Height, Yes Plants</v>
      </c>
      <c r="D55" s="4" t="str">
        <f>IFERROR(INDEX('Date Key'!$G$2:$G$19, MATCH(F55, 'Date Key'!$A$2:$A$19, 0)), "")</f>
        <v>No</v>
      </c>
      <c r="E55" s="4" t="str">
        <f t="shared" si="1"/>
        <v>tank 2</v>
      </c>
      <c r="F55" s="4">
        <f t="shared" si="2"/>
        <v>17</v>
      </c>
      <c r="G55" s="4">
        <f t="shared" si="22"/>
        <v>2</v>
      </c>
      <c r="H55" s="11" cm="1">
        <f t="array" ref="H55">IFERROR(INDEX('Master Data Sheet'!$1:$1048576, MATCH(1, ('Master Data Sheet'!$H:$H=H$2) * (INDEX('Master Data Sheet'!$1:$1, , MATCH($F$1, 'Master Data Sheet'!$1:$1, 0)) = $F$1) * ('Master Data Sheet'!$G:$G=$B55) * ('Master Data Sheet'!$F:$F=$E55) * ('Master Data Sheet'!$A:$A=$F55), 0), MATCH($F$1, 'Master Data Sheet'!$1:$1, 0)), "")</f>
        <v>4.7471573569636279E-2</v>
      </c>
      <c r="I55" s="11" cm="1">
        <f t="array" ref="I55">IFERROR(INDEX('Master Data Sheet'!$1:$1048576, MATCH(1, ('Master Data Sheet'!$H:$H=I$2) * (INDEX('Master Data Sheet'!$1:$1, , MATCH($F$1, 'Master Data Sheet'!$1:$1, 0)) = $F$1) * ('Master Data Sheet'!$G:$G=$B55) * ('Master Data Sheet'!$F:$F=$E55) * ('Master Data Sheet'!$A:$A=$F55), 0), MATCH($F$1, 'Master Data Sheet'!$1:$1, 0)), "")</f>
        <v>0</v>
      </c>
      <c r="J55" s="11" cm="1">
        <f t="array" ref="J55">IFERROR(INDEX('Master Data Sheet'!$1:$1048576, MATCH(1, ('Master Data Sheet'!$H:$H=J$2) * (INDEX('Master Data Sheet'!$1:$1, , MATCH($F$1, 'Master Data Sheet'!$1:$1, 0)) = $F$1) * ('Master Data Sheet'!$G:$G=$B55) * ('Master Data Sheet'!$F:$F=$E55) * ('Master Data Sheet'!$A:$A=$F55), 0), MATCH($F$1, 'Master Data Sheet'!$1:$1, 0)), "")</f>
        <v>0</v>
      </c>
      <c r="K55" s="11" cm="1">
        <f t="array" ref="K55">IFERROR(INDEX('Master Data Sheet'!$1:$1048576, MATCH(1, ('Master Data Sheet'!$H:$H=K$2) * (INDEX('Master Data Sheet'!$1:$1, , MATCH($F$1, 'Master Data Sheet'!$1:$1, 0)) = $F$1) * ('Master Data Sheet'!$G:$G=$B55) * ('Master Data Sheet'!$F:$F=$E55) * ('Master Data Sheet'!$A:$A=$F55), 0), MATCH($F$1, 'Master Data Sheet'!$1:$1, 0)), "")</f>
        <v>0</v>
      </c>
      <c r="L55" s="11" cm="1">
        <f t="array" ref="L55">IFERROR(INDEX('Master Data Sheet'!$1:$1048576, MATCH(1, ('Master Data Sheet'!$H:$H=L$2) * (INDEX('Master Data Sheet'!$1:$1, , MATCH($F$1, 'Master Data Sheet'!$1:$1, 0)) = $F$1) * ('Master Data Sheet'!$G:$G=$B55) * ('Master Data Sheet'!$F:$F=$E55) * ('Master Data Sheet'!$A:$A=$F55), 0), MATCH($F$1, 'Master Data Sheet'!$1:$1, 0)), "")</f>
        <v>1.0016502023193257</v>
      </c>
      <c r="M55" s="11" cm="1">
        <f t="array" ref="M55">IFERROR(INDEX('Master Data Sheet'!$1:$1048576, MATCH(1, ('Master Data Sheet'!$H:$H=M$2) * (INDEX('Master Data Sheet'!$1:$1, , MATCH($F$1, 'Master Data Sheet'!$1:$1, 0)) = $F$1) * ('Master Data Sheet'!$G:$G=$B55) * ('Master Data Sheet'!$F:$F=$E55) * ('Master Data Sheet'!$A:$A=$F55), 0), MATCH($F$1, 'Master Data Sheet'!$1:$1, 0)), "")</f>
        <v>2.5302348712616136</v>
      </c>
      <c r="N55" s="11" cm="1">
        <f t="array" ref="N55">IFERROR(INDEX('Master Data Sheet'!$1:$1048576, MATCH(1, ('Master Data Sheet'!$H:$H=N$2) * (INDEX('Master Data Sheet'!$1:$1, , MATCH($F$1, 'Master Data Sheet'!$1:$1, 0)) = $F$1) * ('Master Data Sheet'!$G:$G=$B55) * ('Master Data Sheet'!$F:$F=$E55) * ('Master Data Sheet'!$A:$A=$F55), 0), MATCH($F$1, 'Master Data Sheet'!$1:$1, 0)), "")</f>
        <v>4.0066008092773027</v>
      </c>
      <c r="O55" s="11">
        <f t="shared" si="8"/>
        <v>1.0837082080611256</v>
      </c>
      <c r="P55" s="11">
        <f t="shared" si="4"/>
        <v>1.5937132147503801</v>
      </c>
      <c r="Q55" s="11"/>
      <c r="R55" s="46">
        <f>(1-(O55/O49))*100</f>
        <v>87.342574257425738</v>
      </c>
      <c r="X55" t="str">
        <f>IFERROR(INDEX('Date Key'!$G$57:$G$62, MATCH(B54,'Date Key'!$A$57:$A$62, 0)), "")</f>
        <v>Medium HLR, Upper Outlet Height, Yes Plants</v>
      </c>
      <c r="Y55" s="1">
        <f t="shared" ref="Y55:AE55" si="59">H54</f>
        <v>0</v>
      </c>
      <c r="Z55" s="1">
        <f t="shared" si="59"/>
        <v>1.8988629427854512E-2</v>
      </c>
      <c r="AA55" s="1">
        <f t="shared" si="59"/>
        <v>0</v>
      </c>
      <c r="AB55" s="1">
        <f t="shared" si="59"/>
        <v>0</v>
      </c>
      <c r="AC55" s="1">
        <f t="shared" si="59"/>
        <v>0.11867893392409072</v>
      </c>
      <c r="AD55" s="1">
        <f t="shared" si="59"/>
        <v>0.46047426362547195</v>
      </c>
      <c r="AE55" s="1">
        <f t="shared" si="59"/>
        <v>0.78328096389899859</v>
      </c>
      <c r="AF55" s="1">
        <f t="shared" ref="AF55:AL55" si="60">H55</f>
        <v>4.7471573569636279E-2</v>
      </c>
      <c r="AG55" s="1">
        <f t="shared" si="60"/>
        <v>0</v>
      </c>
      <c r="AH55" s="1">
        <f t="shared" si="60"/>
        <v>0</v>
      </c>
      <c r="AI55" s="1">
        <f t="shared" si="60"/>
        <v>0</v>
      </c>
      <c r="AJ55" s="1">
        <f t="shared" si="60"/>
        <v>1.0016502023193257</v>
      </c>
      <c r="AK55" s="1">
        <f t="shared" si="60"/>
        <v>2.5302348712616136</v>
      </c>
      <c r="AL55" s="1">
        <f t="shared" si="60"/>
        <v>4.0066008092773027</v>
      </c>
      <c r="AM55" s="1">
        <f t="shared" ref="AM55:AS55" si="61">H56</f>
        <v>0.20835854124821526</v>
      </c>
      <c r="AN55" s="1">
        <f t="shared" si="61"/>
        <v>0.3150787696924231</v>
      </c>
      <c r="AO55" s="1">
        <f t="shared" si="61"/>
        <v>0.50819156402003729</v>
      </c>
      <c r="AP55" s="1">
        <f t="shared" si="61"/>
        <v>2.6883333736659978</v>
      </c>
      <c r="AQ55" s="1">
        <f t="shared" si="61"/>
        <v>4.2738910534085131</v>
      </c>
      <c r="AR55" s="1">
        <f t="shared" si="61"/>
        <v>5.2597826876073848</v>
      </c>
      <c r="AS55" s="1">
        <f t="shared" si="61"/>
        <v>5.1683082060837782</v>
      </c>
    </row>
    <row r="56" spans="1:46" x14ac:dyDescent="0.35">
      <c r="A56" s="42">
        <f>IFERROR(INDEX('Date Key'!$B$2:$B$19, MATCH(F56,'Date Key'!$A$2:$A$19, 0)), "")</f>
        <v>45400</v>
      </c>
      <c r="B56" s="27">
        <f t="shared" si="15"/>
        <v>6</v>
      </c>
      <c r="C56" s="51" t="str">
        <f>IFERROR(INDEX('Date Key'!$G$57:$G$62, MATCH(B56,'Date Key'!$A$57:$A$62, 0)), "")</f>
        <v>Medium HLR, Upper Outlet Height, Yes Plants</v>
      </c>
      <c r="D56" s="27" t="str">
        <f>IFERROR(INDEX('Date Key'!$G$2:$G$19, MATCH(F56, 'Date Key'!$A$2:$A$19, 0)), "")</f>
        <v>Yes</v>
      </c>
      <c r="E56" s="27" t="str">
        <f t="shared" si="1"/>
        <v>tank 2</v>
      </c>
      <c r="F56" s="27">
        <f t="shared" si="2"/>
        <v>18</v>
      </c>
      <c r="G56" s="27">
        <f t="shared" si="22"/>
        <v>3</v>
      </c>
      <c r="H56" s="28" cm="1">
        <f t="array" ref="H56">IFERROR(INDEX('Master Data Sheet'!$1:$1048576, MATCH(1, ('Master Data Sheet'!$H:$H=H$2) * (INDEX('Master Data Sheet'!$1:$1, , MATCH($F$1, 'Master Data Sheet'!$1:$1, 0)) = $F$1) * ('Master Data Sheet'!$G:$G=$B56) * ('Master Data Sheet'!$F:$F=$E56) * ('Master Data Sheet'!$A:$A=$F56), 0), MATCH($F$1, 'Master Data Sheet'!$1:$1, 0)), "")</f>
        <v>0.20835854124821526</v>
      </c>
      <c r="I56" s="28" cm="1">
        <f t="array" ref="I56">IFERROR(INDEX('Master Data Sheet'!$1:$1048576, MATCH(1, ('Master Data Sheet'!$H:$H=I$2) * (INDEX('Master Data Sheet'!$1:$1, , MATCH($F$1, 'Master Data Sheet'!$1:$1, 0)) = $F$1) * ('Master Data Sheet'!$G:$G=$B56) * ('Master Data Sheet'!$F:$F=$E56) * ('Master Data Sheet'!$A:$A=$F56), 0), MATCH($F$1, 'Master Data Sheet'!$1:$1, 0)), "")</f>
        <v>0.3150787696924231</v>
      </c>
      <c r="J56" s="28" cm="1">
        <f t="array" ref="J56">IFERROR(INDEX('Master Data Sheet'!$1:$1048576, MATCH(1, ('Master Data Sheet'!$H:$H=J$2) * (INDEX('Master Data Sheet'!$1:$1, , MATCH($F$1, 'Master Data Sheet'!$1:$1, 0)) = $F$1) * ('Master Data Sheet'!$G:$G=$B56) * ('Master Data Sheet'!$F:$F=$E56) * ('Master Data Sheet'!$A:$A=$F56), 0), MATCH($F$1, 'Master Data Sheet'!$1:$1, 0)), "")</f>
        <v>0.50819156402003729</v>
      </c>
      <c r="K56" s="28" cm="1">
        <f t="array" ref="K56">IFERROR(INDEX('Master Data Sheet'!$1:$1048576, MATCH(1, ('Master Data Sheet'!$H:$H=K$2) * (INDEX('Master Data Sheet'!$1:$1, , MATCH($F$1, 'Master Data Sheet'!$1:$1, 0)) = $F$1) * ('Master Data Sheet'!$G:$G=$B56) * ('Master Data Sheet'!$F:$F=$E56) * ('Master Data Sheet'!$A:$A=$F56), 0), MATCH($F$1, 'Master Data Sheet'!$1:$1, 0)), "")</f>
        <v>2.6883333736659978</v>
      </c>
      <c r="L56" s="28" cm="1">
        <f t="array" ref="L56">IFERROR(INDEX('Master Data Sheet'!$1:$1048576, MATCH(1, ('Master Data Sheet'!$H:$H=L$2) * (INDEX('Master Data Sheet'!$1:$1, , MATCH($F$1, 'Master Data Sheet'!$1:$1, 0)) = $F$1) * ('Master Data Sheet'!$G:$G=$B56) * ('Master Data Sheet'!$F:$F=$E56) * ('Master Data Sheet'!$A:$A=$F56), 0), MATCH($F$1, 'Master Data Sheet'!$1:$1, 0)), "")</f>
        <v>4.2738910534085131</v>
      </c>
      <c r="M56" s="28" cm="1">
        <f t="array" ref="M56">IFERROR(INDEX('Master Data Sheet'!$1:$1048576, MATCH(1, ('Master Data Sheet'!$H:$H=M$2) * (INDEX('Master Data Sheet'!$1:$1, , MATCH($F$1, 'Master Data Sheet'!$1:$1, 0)) = $F$1) * ('Master Data Sheet'!$G:$G=$B56) * ('Master Data Sheet'!$F:$F=$E56) * ('Master Data Sheet'!$A:$A=$F56), 0), MATCH($F$1, 'Master Data Sheet'!$1:$1, 0)), "")</f>
        <v>5.2597826876073848</v>
      </c>
      <c r="N56" s="28" cm="1">
        <f t="array" ref="N56">IFERROR(INDEX('Master Data Sheet'!$1:$1048576, MATCH(1, ('Master Data Sheet'!$H:$H=N$2) * (INDEX('Master Data Sheet'!$1:$1, , MATCH($F$1, 'Master Data Sheet'!$1:$1, 0)) = $F$1) * ('Master Data Sheet'!$G:$G=$B56) * ('Master Data Sheet'!$F:$F=$E56) * ('Master Data Sheet'!$A:$A=$F56), 0), MATCH($F$1, 'Master Data Sheet'!$1:$1, 0)), "")</f>
        <v>5.1683082060837782</v>
      </c>
      <c r="O56" s="28">
        <f t="shared" si="8"/>
        <v>2.6317063136751928</v>
      </c>
      <c r="P56" s="28">
        <f t="shared" si="4"/>
        <v>2.3018038008917059</v>
      </c>
      <c r="Q56" s="28"/>
      <c r="R56" s="48">
        <f>(1-(O56/O50))*100</f>
        <v>67.365862441483614</v>
      </c>
      <c r="S56" s="27"/>
      <c r="T56" s="27"/>
      <c r="U56" s="27"/>
      <c r="V56" s="27"/>
    </row>
    <row r="58" spans="1:46" x14ac:dyDescent="0.35">
      <c r="X58" t="s">
        <v>456</v>
      </c>
      <c r="Y58" t="s">
        <v>465</v>
      </c>
    </row>
    <row r="59" spans="1:46" x14ac:dyDescent="0.35">
      <c r="X59" t="s">
        <v>344</v>
      </c>
      <c r="Y59" s="30" t="s">
        <v>457</v>
      </c>
      <c r="Z59" s="1">
        <f t="shared" ref="Z59:AT59" si="62">Y4</f>
        <v>6.459433040078201</v>
      </c>
      <c r="AA59" s="1">
        <f t="shared" si="62"/>
        <v>2.9669599217986318</v>
      </c>
      <c r="AB59" s="1">
        <f t="shared" si="62"/>
        <v>3.4377321603128053</v>
      </c>
      <c r="AC59" s="1">
        <f t="shared" si="62"/>
        <v>2.6713587487781036</v>
      </c>
      <c r="AD59" s="1">
        <f t="shared" si="62"/>
        <v>2.6658846529814269</v>
      </c>
      <c r="AE59" s="1">
        <f t="shared" si="62"/>
        <v>2.8629521016617789</v>
      </c>
      <c r="AF59" s="1">
        <f t="shared" si="62"/>
        <v>3.4760508308895401</v>
      </c>
      <c r="AG59" s="1">
        <f t="shared" si="62"/>
        <v>5.5178885630498531</v>
      </c>
      <c r="AH59" s="1">
        <f t="shared" si="62"/>
        <v>2.2717497556207227</v>
      </c>
      <c r="AI59" s="1">
        <f t="shared" si="62"/>
        <v>1.7024437927663734</v>
      </c>
      <c r="AJ59" s="1">
        <f t="shared" si="62"/>
        <v>1.7681329423264907</v>
      </c>
      <c r="AK59" s="1">
        <f t="shared" si="62"/>
        <v>1.9049853372434016</v>
      </c>
      <c r="AL59" s="1">
        <f t="shared" si="62"/>
        <v>2.2662756598240468</v>
      </c>
      <c r="AM59" s="1">
        <f t="shared" si="62"/>
        <v>2.4961876832844574</v>
      </c>
      <c r="AN59" s="1">
        <f t="shared" si="62"/>
        <v>4.5599217986314757</v>
      </c>
      <c r="AO59" s="1">
        <f t="shared" si="62"/>
        <v>0.97986314760508297</v>
      </c>
      <c r="AP59" s="1">
        <f t="shared" si="62"/>
        <v>0.61309872922776143</v>
      </c>
      <c r="AQ59" s="1">
        <f t="shared" si="62"/>
        <v>0.93607038123167163</v>
      </c>
      <c r="AR59" s="1">
        <f t="shared" si="62"/>
        <v>0.65141739980449664</v>
      </c>
      <c r="AS59" s="1">
        <f t="shared" si="62"/>
        <v>0.61309872922776143</v>
      </c>
      <c r="AT59" s="1">
        <f t="shared" si="62"/>
        <v>0.66783968719452591</v>
      </c>
    </row>
    <row r="60" spans="1:46" x14ac:dyDescent="0.35">
      <c r="X60" t="s">
        <v>345</v>
      </c>
      <c r="Y60" s="30" t="s">
        <v>457</v>
      </c>
      <c r="Z60" s="1">
        <f t="shared" ref="Z60:AT60" si="63">Y7</f>
        <v>9.3059628543499515E-2</v>
      </c>
      <c r="AA60" s="1">
        <f t="shared" si="63"/>
        <v>0.19159335288367546</v>
      </c>
      <c r="AB60" s="1">
        <f t="shared" si="63"/>
        <v>0.32297165200391004</v>
      </c>
      <c r="AC60" s="1">
        <f t="shared" si="63"/>
        <v>0.1806451612903226</v>
      </c>
      <c r="AD60" s="1">
        <f t="shared" si="63"/>
        <v>0</v>
      </c>
      <c r="AE60" s="1">
        <f t="shared" si="63"/>
        <v>0.1806451612903226</v>
      </c>
      <c r="AF60" s="1">
        <f t="shared" si="63"/>
        <v>0.13685239491691104</v>
      </c>
      <c r="AG60" s="1">
        <f t="shared" si="63"/>
        <v>0.33939393939393936</v>
      </c>
      <c r="AH60" s="1">
        <f t="shared" si="63"/>
        <v>0.30654936461388071</v>
      </c>
      <c r="AI60" s="1">
        <f t="shared" si="63"/>
        <v>0.39960899315738024</v>
      </c>
      <c r="AJ60" s="1">
        <f t="shared" si="63"/>
        <v>5.4740957966764418E-2</v>
      </c>
      <c r="AK60" s="1">
        <f t="shared" si="63"/>
        <v>0</v>
      </c>
      <c r="AL60" s="1">
        <f t="shared" si="63"/>
        <v>0</v>
      </c>
      <c r="AM60" s="1">
        <f t="shared" si="63"/>
        <v>0</v>
      </c>
      <c r="AN60" s="1">
        <f t="shared" si="63"/>
        <v>0</v>
      </c>
      <c r="AO60" s="1">
        <f t="shared" si="63"/>
        <v>0</v>
      </c>
      <c r="AP60" s="1">
        <f t="shared" si="63"/>
        <v>4.9266862170087966E-2</v>
      </c>
      <c r="AQ60" s="1">
        <f t="shared" si="63"/>
        <v>2.1896383186705767E-2</v>
      </c>
      <c r="AR60" s="1">
        <f t="shared" si="63"/>
        <v>0</v>
      </c>
      <c r="AS60" s="1">
        <f t="shared" si="63"/>
        <v>0</v>
      </c>
      <c r="AT60" s="1">
        <f t="shared" si="63"/>
        <v>3.2844574780058651E-2</v>
      </c>
    </row>
    <row r="61" spans="1:46" x14ac:dyDescent="0.35">
      <c r="X61" t="s">
        <v>346</v>
      </c>
      <c r="Y61" s="30" t="s">
        <v>457</v>
      </c>
      <c r="Z61" s="1">
        <f t="shared" ref="Z61:AT61" si="64">Y10</f>
        <v>0</v>
      </c>
      <c r="AA61" s="1">
        <f t="shared" si="64"/>
        <v>0</v>
      </c>
      <c r="AB61" s="1">
        <f t="shared" si="64"/>
        <v>0.53646138807429133</v>
      </c>
      <c r="AC61" s="1">
        <f t="shared" si="64"/>
        <v>1.4451612903225808</v>
      </c>
      <c r="AD61" s="1">
        <f t="shared" si="64"/>
        <v>1.855718475073314</v>
      </c>
      <c r="AE61" s="1">
        <f t="shared" si="64"/>
        <v>1.9323558162267838</v>
      </c>
      <c r="AF61" s="1">
        <f t="shared" si="64"/>
        <v>1.9268817204301076</v>
      </c>
      <c r="AG61" s="1">
        <f t="shared" si="64"/>
        <v>1.7955034213098728</v>
      </c>
      <c r="AH61" s="1">
        <f t="shared" si="64"/>
        <v>3.0819159335288364</v>
      </c>
      <c r="AI61" s="1">
        <f t="shared" si="64"/>
        <v>2.6604105571847505</v>
      </c>
      <c r="AJ61" s="1">
        <f t="shared" si="64"/>
        <v>1.4506353861192571</v>
      </c>
      <c r="AK61" s="1">
        <f t="shared" si="64"/>
        <v>0.67878787878787872</v>
      </c>
      <c r="AL61" s="1">
        <f t="shared" si="64"/>
        <v>0.38866080156402733</v>
      </c>
      <c r="AM61" s="1">
        <f t="shared" si="64"/>
        <v>0.56930596285434998</v>
      </c>
      <c r="AN61" s="1">
        <f t="shared" si="64"/>
        <v>2.1896383186705767E-2</v>
      </c>
      <c r="AO61" s="1">
        <f t="shared" si="64"/>
        <v>2.7370478983382209E-2</v>
      </c>
      <c r="AP61" s="1">
        <f t="shared" si="64"/>
        <v>0</v>
      </c>
      <c r="AQ61" s="1">
        <f t="shared" si="64"/>
        <v>3.8318670576735089E-2</v>
      </c>
      <c r="AR61" s="1">
        <f t="shared" si="64"/>
        <v>5.4740957966764418E-2</v>
      </c>
      <c r="AS61" s="1">
        <f t="shared" si="64"/>
        <v>0</v>
      </c>
      <c r="AT61" s="1">
        <f t="shared" si="64"/>
        <v>0</v>
      </c>
    </row>
    <row r="62" spans="1:46" x14ac:dyDescent="0.35">
      <c r="X62" t="s">
        <v>344</v>
      </c>
      <c r="Y62" s="30" t="s">
        <v>458</v>
      </c>
      <c r="Z62" s="1">
        <f t="shared" ref="Z62:AT62" si="65">Y13</f>
        <v>3.5479785082432733</v>
      </c>
      <c r="AA62" s="1">
        <f t="shared" si="65"/>
        <v>2.9730944452389219</v>
      </c>
      <c r="AB62" s="1">
        <f t="shared" si="65"/>
        <v>0.97816094302232937</v>
      </c>
      <c r="AC62" s="1">
        <f t="shared" si="65"/>
        <v>0.92238860855175786</v>
      </c>
      <c r="AD62" s="1">
        <f t="shared" si="65"/>
        <v>0.76365196428936244</v>
      </c>
      <c r="AE62" s="1">
        <f t="shared" si="65"/>
        <v>0.71216980939345031</v>
      </c>
      <c r="AF62" s="1">
        <f t="shared" si="65"/>
        <v>0.74220106641606542</v>
      </c>
      <c r="AG62" s="1">
        <f t="shared" si="65"/>
        <v>3.4235633005781527</v>
      </c>
      <c r="AH62" s="1">
        <f t="shared" si="65"/>
        <v>1.063964534515516</v>
      </c>
      <c r="AI62" s="1">
        <f t="shared" si="65"/>
        <v>0.84945555578254917</v>
      </c>
      <c r="AJ62" s="1">
        <f t="shared" si="65"/>
        <v>0.8794868128051645</v>
      </c>
      <c r="AK62" s="1">
        <f t="shared" si="65"/>
        <v>0.67355819322151622</v>
      </c>
      <c r="AL62" s="1">
        <f t="shared" si="65"/>
        <v>0.66926801364685684</v>
      </c>
      <c r="AM62" s="1">
        <f t="shared" si="65"/>
        <v>0.70787962981879093</v>
      </c>
      <c r="AN62" s="1">
        <f t="shared" si="65"/>
        <v>2.6106247751528961</v>
      </c>
      <c r="AO62" s="1">
        <f t="shared" si="65"/>
        <v>2.1573330135507858</v>
      </c>
      <c r="AP62" s="1">
        <f t="shared" si="65"/>
        <v>2.1363472838469848</v>
      </c>
      <c r="AQ62" s="1">
        <f t="shared" si="65"/>
        <v>2.2580645161290329</v>
      </c>
      <c r="AR62" s="1">
        <f t="shared" si="65"/>
        <v>1.9516728624535318</v>
      </c>
      <c r="AS62" s="1">
        <f t="shared" si="65"/>
        <v>1.9306871327497306</v>
      </c>
      <c r="AT62" s="1">
        <f t="shared" si="65"/>
        <v>2.060798656913299</v>
      </c>
    </row>
    <row r="63" spans="1:46" x14ac:dyDescent="0.35">
      <c r="X63" t="s">
        <v>345</v>
      </c>
      <c r="Y63" s="30" t="s">
        <v>458</v>
      </c>
      <c r="Z63" s="1">
        <f t="shared" ref="Z63:AT63" si="66">Y16</f>
        <v>0.2059286195836483</v>
      </c>
      <c r="AA63" s="1">
        <f t="shared" si="66"/>
        <v>0</v>
      </c>
      <c r="AB63" s="1">
        <f t="shared" si="66"/>
        <v>6.0062514045230747E-2</v>
      </c>
      <c r="AC63" s="1">
        <f t="shared" si="66"/>
        <v>0.18876790128501089</v>
      </c>
      <c r="AD63" s="1">
        <f t="shared" si="66"/>
        <v>3.8611616171934045E-2</v>
      </c>
      <c r="AE63" s="1">
        <f t="shared" si="66"/>
        <v>0</v>
      </c>
      <c r="AF63" s="1">
        <f t="shared" si="66"/>
        <v>2.1450897873296695E-2</v>
      </c>
      <c r="AG63" s="1">
        <f t="shared" si="66"/>
        <v>7.2933052769208778E-2</v>
      </c>
      <c r="AH63" s="1">
        <f t="shared" si="66"/>
        <v>2.5741077447956038E-2</v>
      </c>
      <c r="AI63" s="1">
        <f t="shared" si="66"/>
        <v>2.1450897873296695E-2</v>
      </c>
      <c r="AJ63" s="1">
        <f t="shared" si="66"/>
        <v>2.1450897873296695E-2</v>
      </c>
      <c r="AK63" s="1">
        <f t="shared" si="66"/>
        <v>0</v>
      </c>
      <c r="AL63" s="1">
        <f t="shared" si="66"/>
        <v>0</v>
      </c>
      <c r="AM63" s="1">
        <f t="shared" si="66"/>
        <v>0</v>
      </c>
      <c r="AN63" s="1">
        <f t="shared" si="66"/>
        <v>0</v>
      </c>
      <c r="AO63" s="1">
        <f t="shared" si="66"/>
        <v>0</v>
      </c>
      <c r="AP63" s="1">
        <f t="shared" si="66"/>
        <v>8.3942918815205672E-2</v>
      </c>
      <c r="AQ63" s="1">
        <f t="shared" si="66"/>
        <v>0.12591437822280849</v>
      </c>
      <c r="AR63" s="1">
        <f t="shared" si="66"/>
        <v>7.974577287444537E-2</v>
      </c>
      <c r="AS63" s="1">
        <f t="shared" si="66"/>
        <v>3.7774313466842541E-2</v>
      </c>
      <c r="AT63" s="1">
        <f t="shared" si="66"/>
        <v>0.10912579445976738</v>
      </c>
    </row>
    <row r="64" spans="1:46" x14ac:dyDescent="0.35">
      <c r="X64" t="s">
        <v>346</v>
      </c>
      <c r="Y64" s="30" t="s">
        <v>458</v>
      </c>
      <c r="Z64" s="1">
        <f t="shared" ref="Z64:AT64" si="67">Y19</f>
        <v>3.8611616171934045E-2</v>
      </c>
      <c r="AA64" s="1">
        <f t="shared" si="67"/>
        <v>0</v>
      </c>
      <c r="AB64" s="1">
        <f t="shared" si="67"/>
        <v>0.62636621790026337</v>
      </c>
      <c r="AC64" s="1">
        <f t="shared" si="67"/>
        <v>0.93954932685039527</v>
      </c>
      <c r="AD64" s="1">
        <f t="shared" si="67"/>
        <v>0.55772334470571416</v>
      </c>
      <c r="AE64" s="1">
        <f t="shared" si="67"/>
        <v>0.42043759831661531</v>
      </c>
      <c r="AF64" s="1">
        <f t="shared" si="67"/>
        <v>0.4590492144885493</v>
      </c>
      <c r="AG64" s="1">
        <f t="shared" si="67"/>
        <v>4.7191975321252723E-2</v>
      </c>
      <c r="AH64" s="1">
        <f t="shared" si="67"/>
        <v>1.7160718298637353E-2</v>
      </c>
      <c r="AI64" s="1">
        <f t="shared" si="67"/>
        <v>0.62636621790026337</v>
      </c>
      <c r="AJ64" s="1">
        <f t="shared" si="67"/>
        <v>0.51482154895912058</v>
      </c>
      <c r="AK64" s="1">
        <f t="shared" si="67"/>
        <v>0.36466526384604381</v>
      </c>
      <c r="AL64" s="1">
        <f t="shared" si="67"/>
        <v>0.31747328852479106</v>
      </c>
      <c r="AM64" s="1">
        <f t="shared" si="67"/>
        <v>0.27457149277819765</v>
      </c>
      <c r="AN64" s="1">
        <f t="shared" si="67"/>
        <v>0</v>
      </c>
      <c r="AO64" s="1">
        <f t="shared" si="67"/>
        <v>1.6788583763041133E-2</v>
      </c>
      <c r="AP64" s="1">
        <f t="shared" si="67"/>
        <v>0.57081184794339868</v>
      </c>
      <c r="AQ64" s="1">
        <f t="shared" si="67"/>
        <v>0.78486629092217286</v>
      </c>
      <c r="AR64" s="1">
        <f t="shared" si="67"/>
        <v>0.96534356637486529</v>
      </c>
      <c r="AS64" s="1">
        <f t="shared" si="67"/>
        <v>1.1374265499460368</v>
      </c>
      <c r="AT64" s="1">
        <f t="shared" si="67"/>
        <v>1.2381580525242837</v>
      </c>
    </row>
    <row r="65" spans="24:46" x14ac:dyDescent="0.35">
      <c r="X65" t="s">
        <v>344</v>
      </c>
      <c r="Y65" s="30" t="s">
        <v>459</v>
      </c>
      <c r="Z65" s="1">
        <f t="shared" ref="Z65:AT65" si="68">Y22</f>
        <v>0.81004916656673465</v>
      </c>
      <c r="AA65" s="1">
        <f t="shared" si="68"/>
        <v>0.72190910181076884</v>
      </c>
      <c r="AB65" s="1">
        <f t="shared" si="68"/>
        <v>0.68413478834392616</v>
      </c>
      <c r="AC65" s="1">
        <f t="shared" si="68"/>
        <v>0.62957189111404244</v>
      </c>
      <c r="AD65" s="1">
        <f t="shared" si="68"/>
        <v>0.67574049646240564</v>
      </c>
      <c r="AE65" s="1">
        <f t="shared" si="68"/>
        <v>0.67574049646240564</v>
      </c>
      <c r="AF65" s="1">
        <f t="shared" si="68"/>
        <v>0.77647199904065234</v>
      </c>
      <c r="AG65" s="1">
        <f t="shared" si="68"/>
        <v>0.17628012951193189</v>
      </c>
      <c r="AH65" s="1">
        <f t="shared" si="68"/>
        <v>0.52884038853579562</v>
      </c>
      <c r="AI65" s="1">
        <f t="shared" si="68"/>
        <v>0.52464324259503547</v>
      </c>
      <c r="AJ65" s="1">
        <f t="shared" si="68"/>
        <v>0.4365031778390695</v>
      </c>
      <c r="AK65" s="1">
        <f t="shared" si="68"/>
        <v>0.39033457249070641</v>
      </c>
      <c r="AL65" s="1">
        <f t="shared" si="68"/>
        <v>0.49946036695047374</v>
      </c>
      <c r="AM65" s="1">
        <f t="shared" si="68"/>
        <v>0.50785465883199421</v>
      </c>
      <c r="AN65" s="1">
        <f t="shared" si="68"/>
        <v>1.200383739057441</v>
      </c>
      <c r="AO65" s="1">
        <f t="shared" si="68"/>
        <v>1.2045808849982012</v>
      </c>
      <c r="AP65" s="1">
        <f t="shared" si="68"/>
        <v>1.1584122796498384</v>
      </c>
      <c r="AQ65" s="1">
        <f t="shared" si="68"/>
        <v>1.112243674301475</v>
      </c>
      <c r="AR65" s="1">
        <f t="shared" si="68"/>
        <v>1.0786665067753929</v>
      </c>
      <c r="AS65" s="1">
        <f t="shared" si="68"/>
        <v>1.1206379661829957</v>
      </c>
      <c r="AT65" s="1">
        <f t="shared" si="68"/>
        <v>1.1919894471759203</v>
      </c>
    </row>
    <row r="66" spans="24:46" x14ac:dyDescent="0.35">
      <c r="X66" t="s">
        <v>345</v>
      </c>
      <c r="Y66" s="30" t="s">
        <v>459</v>
      </c>
      <c r="Z66" s="1">
        <f t="shared" ref="Z66:AT66" si="69">Y25</f>
        <v>8.8140064755965947E-2</v>
      </c>
      <c r="AA66" s="1">
        <f t="shared" si="69"/>
        <v>0</v>
      </c>
      <c r="AB66" s="1">
        <f t="shared" si="69"/>
        <v>0</v>
      </c>
      <c r="AC66" s="1">
        <f t="shared" si="69"/>
        <v>0.10073150257824681</v>
      </c>
      <c r="AD66" s="1">
        <f t="shared" si="69"/>
        <v>2.0985729703801418E-2</v>
      </c>
      <c r="AE66" s="1">
        <f t="shared" si="69"/>
        <v>0.18887156733421279</v>
      </c>
      <c r="AF66" s="1">
        <f t="shared" si="69"/>
        <v>0.15529439980813045</v>
      </c>
      <c r="AG66" s="1">
        <f t="shared" si="69"/>
        <v>5.0365751289123406E-2</v>
      </c>
      <c r="AH66" s="1">
        <f t="shared" si="69"/>
        <v>3.3577167526082266E-2</v>
      </c>
      <c r="AI66" s="1">
        <f t="shared" si="69"/>
        <v>4.6168605348363118E-2</v>
      </c>
      <c r="AJ66" s="1">
        <f t="shared" si="69"/>
        <v>7.974577287444537E-2</v>
      </c>
      <c r="AK66" s="1">
        <f t="shared" si="69"/>
        <v>0.10912579445976738</v>
      </c>
      <c r="AL66" s="1">
        <f t="shared" si="69"/>
        <v>0.13850581604508938</v>
      </c>
      <c r="AM66" s="1">
        <f t="shared" si="69"/>
        <v>0.13850581604508938</v>
      </c>
      <c r="AN66" s="1">
        <f t="shared" si="69"/>
        <v>1.6788583763041133E-2</v>
      </c>
      <c r="AO66" s="1">
        <f t="shared" si="69"/>
        <v>0.14690010792660993</v>
      </c>
      <c r="AP66" s="1">
        <f t="shared" si="69"/>
        <v>0.22664588080105533</v>
      </c>
      <c r="AQ66" s="1">
        <f t="shared" si="69"/>
        <v>0.29799736179398006</v>
      </c>
      <c r="AR66" s="1">
        <f t="shared" si="69"/>
        <v>0.29380021585321986</v>
      </c>
      <c r="AS66" s="1">
        <f t="shared" si="69"/>
        <v>0.30219450773474033</v>
      </c>
      <c r="AT66" s="1">
        <f t="shared" si="69"/>
        <v>0.3063916536755007</v>
      </c>
    </row>
    <row r="67" spans="24:46" x14ac:dyDescent="0.35">
      <c r="X67" t="s">
        <v>346</v>
      </c>
      <c r="Y67" s="30" t="s">
        <v>459</v>
      </c>
      <c r="Z67" s="1">
        <f t="shared" ref="Z67:AT67" si="70">Y28</f>
        <v>0</v>
      </c>
      <c r="AA67" s="1">
        <f t="shared" si="70"/>
        <v>0.15109725386737016</v>
      </c>
      <c r="AB67" s="1">
        <f t="shared" si="70"/>
        <v>0.20146300515649362</v>
      </c>
      <c r="AC67" s="1">
        <f t="shared" si="70"/>
        <v>0.33157452932006237</v>
      </c>
      <c r="AD67" s="1">
        <f t="shared" si="70"/>
        <v>0.32737738337930206</v>
      </c>
      <c r="AE67" s="1">
        <f t="shared" si="70"/>
        <v>0.41551744813526814</v>
      </c>
      <c r="AF67" s="1">
        <f t="shared" si="70"/>
        <v>0.4365031778390695</v>
      </c>
      <c r="AG67" s="1">
        <f t="shared" si="70"/>
        <v>2.0985729703801418E-2</v>
      </c>
      <c r="AH67" s="1">
        <f t="shared" si="70"/>
        <v>0.11752008634128794</v>
      </c>
      <c r="AI67" s="1">
        <f t="shared" si="70"/>
        <v>0.23923731862333616</v>
      </c>
      <c r="AJ67" s="1">
        <f t="shared" si="70"/>
        <v>0.28540592397169934</v>
      </c>
      <c r="AK67" s="1">
        <f t="shared" si="70"/>
        <v>0.27701163209017876</v>
      </c>
      <c r="AL67" s="1">
        <f t="shared" si="70"/>
        <v>0.41132030219450777</v>
      </c>
      <c r="AM67" s="1">
        <f t="shared" si="70"/>
        <v>0.3105887996162609</v>
      </c>
      <c r="AN67" s="1">
        <f t="shared" si="70"/>
        <v>3.3577167526082266E-2</v>
      </c>
      <c r="AO67" s="1">
        <f t="shared" si="70"/>
        <v>0.53723468041731626</v>
      </c>
      <c r="AP67" s="1">
        <f t="shared" si="70"/>
        <v>0.67574049646240564</v>
      </c>
      <c r="AQ67" s="1">
        <f t="shared" si="70"/>
        <v>0.76388056121837167</v>
      </c>
      <c r="AR67" s="1">
        <f t="shared" si="70"/>
        <v>0.80165487468521401</v>
      </c>
      <c r="AS67" s="1">
        <f t="shared" si="70"/>
        <v>0.79745772874445386</v>
      </c>
      <c r="AT67" s="1">
        <f t="shared" si="70"/>
        <v>0.72190910181076884</v>
      </c>
    </row>
    <row r="68" spans="24:46" x14ac:dyDescent="0.35">
      <c r="X68" t="s">
        <v>344</v>
      </c>
      <c r="Y68" s="30" t="s">
        <v>460</v>
      </c>
      <c r="Z68" s="1">
        <f t="shared" ref="Z68:AT68" si="71">Y31</f>
        <v>1.1961865931166806</v>
      </c>
      <c r="AA68" s="1">
        <f t="shared" si="71"/>
        <v>1.1290322580645165</v>
      </c>
      <c r="AB68" s="1">
        <f t="shared" si="71"/>
        <v>0.93596354478954324</v>
      </c>
      <c r="AC68" s="1">
        <f t="shared" si="71"/>
        <v>0.91497781508574172</v>
      </c>
      <c r="AD68" s="1">
        <f t="shared" si="71"/>
        <v>0.86041491785585811</v>
      </c>
      <c r="AE68" s="1">
        <f t="shared" si="71"/>
        <v>0.74289483151457003</v>
      </c>
      <c r="AF68" s="1">
        <f t="shared" si="71"/>
        <v>0.6001918695287205</v>
      </c>
      <c r="AG68" s="1">
        <f t="shared" si="71"/>
        <v>0.10193143897259581</v>
      </c>
      <c r="AH68" s="1">
        <f t="shared" si="71"/>
        <v>0.98109010011123476</v>
      </c>
      <c r="AI68" s="1">
        <f t="shared" si="71"/>
        <v>0.80695722519971702</v>
      </c>
      <c r="AJ68" s="1">
        <f t="shared" si="71"/>
        <v>1.09151582566488</v>
      </c>
      <c r="AK68" s="1">
        <f t="shared" si="71"/>
        <v>1.2104358377995752</v>
      </c>
      <c r="AL68" s="1">
        <f t="shared" si="71"/>
        <v>1.2571544139953479</v>
      </c>
      <c r="AM68" s="1">
        <f t="shared" si="71"/>
        <v>1.2741429871574474</v>
      </c>
      <c r="AN68" s="1">
        <f t="shared" si="71"/>
        <v>1.8377938333163735</v>
      </c>
      <c r="AO68" s="1">
        <f t="shared" si="71"/>
        <v>0.7821308639462704</v>
      </c>
      <c r="AP68" s="1">
        <f t="shared" si="71"/>
        <v>0.82487025541874415</v>
      </c>
      <c r="AQ68" s="1">
        <f t="shared" si="71"/>
        <v>1.0086496387503816</v>
      </c>
      <c r="AR68" s="1">
        <f t="shared" si="71"/>
        <v>0.86333570774397084</v>
      </c>
      <c r="AS68" s="1">
        <f t="shared" si="71"/>
        <v>0.99582782130863956</v>
      </c>
      <c r="AT68" s="1">
        <f t="shared" si="71"/>
        <v>1.1625114480512875</v>
      </c>
    </row>
    <row r="69" spans="24:46" x14ac:dyDescent="0.35">
      <c r="X69" t="s">
        <v>345</v>
      </c>
      <c r="Y69" s="30" t="s">
        <v>460</v>
      </c>
      <c r="Z69" s="1">
        <f t="shared" ref="Z69:AT69" si="72">Y34</f>
        <v>4.6168605348363118E-2</v>
      </c>
      <c r="AA69" s="1">
        <f t="shared" si="72"/>
        <v>2.9380021585321985E-2</v>
      </c>
      <c r="AB69" s="1">
        <f t="shared" si="72"/>
        <v>0.15109725386737016</v>
      </c>
      <c r="AC69" s="1">
        <f t="shared" si="72"/>
        <v>0.15949154574889074</v>
      </c>
      <c r="AD69" s="1">
        <f t="shared" si="72"/>
        <v>0.16368869168965103</v>
      </c>
      <c r="AE69" s="1">
        <f t="shared" si="72"/>
        <v>0.15949154574889074</v>
      </c>
      <c r="AF69" s="1">
        <f t="shared" si="72"/>
        <v>0.12591437822280849</v>
      </c>
      <c r="AG69" s="1">
        <f t="shared" si="72"/>
        <v>3.3977146324198612E-2</v>
      </c>
      <c r="AH69" s="1">
        <f t="shared" si="72"/>
        <v>3.822428961472342E-2</v>
      </c>
      <c r="AI69" s="1">
        <f t="shared" si="72"/>
        <v>3.822428961472342E-2</v>
      </c>
      <c r="AJ69" s="1">
        <f t="shared" si="72"/>
        <v>0.17413287491151785</v>
      </c>
      <c r="AK69" s="1">
        <f t="shared" si="72"/>
        <v>0.15714430174941849</v>
      </c>
      <c r="AL69" s="1">
        <f t="shared" si="72"/>
        <v>0.29305288704621302</v>
      </c>
      <c r="AM69" s="1">
        <f t="shared" si="72"/>
        <v>0.49266862170087983</v>
      </c>
      <c r="AN69" s="1">
        <f t="shared" si="72"/>
        <v>1.709575658898952E-2</v>
      </c>
      <c r="AO69" s="1">
        <f t="shared" si="72"/>
        <v>0</v>
      </c>
      <c r="AP69" s="1">
        <f t="shared" si="72"/>
        <v>0.11112241782843187</v>
      </c>
      <c r="AQ69" s="1">
        <f t="shared" si="72"/>
        <v>0.11967029612292664</v>
      </c>
      <c r="AR69" s="1">
        <f t="shared" si="72"/>
        <v>0.13676605271191616</v>
      </c>
      <c r="AS69" s="1">
        <f t="shared" si="72"/>
        <v>0.30772361860181124</v>
      </c>
      <c r="AT69" s="1">
        <f t="shared" si="72"/>
        <v>0.17523150503714258</v>
      </c>
    </row>
    <row r="70" spans="24:46" x14ac:dyDescent="0.35">
      <c r="X70" t="s">
        <v>346</v>
      </c>
      <c r="Y70" s="30" t="s">
        <v>460</v>
      </c>
      <c r="Z70" s="1">
        <f t="shared" ref="Z70:AT70" si="73">Y37</f>
        <v>3.7774313466842541E-2</v>
      </c>
      <c r="AA70" s="1">
        <f t="shared" si="73"/>
        <v>0.18047727545269221</v>
      </c>
      <c r="AB70" s="1">
        <f t="shared" si="73"/>
        <v>0.55822041012111767</v>
      </c>
      <c r="AC70" s="1">
        <f t="shared" si="73"/>
        <v>0.533037534476556</v>
      </c>
      <c r="AD70" s="1">
        <f t="shared" si="73"/>
        <v>0.54143182635807663</v>
      </c>
      <c r="AE70" s="1">
        <f t="shared" si="73"/>
        <v>0.57500899388415883</v>
      </c>
      <c r="AF70" s="1">
        <f t="shared" si="73"/>
        <v>0.49526322100971343</v>
      </c>
      <c r="AG70" s="1">
        <f t="shared" si="73"/>
        <v>2.1235716452624124E-2</v>
      </c>
      <c r="AH70" s="1">
        <f t="shared" si="73"/>
        <v>4.6718576195773083E-2</v>
      </c>
      <c r="AI70" s="1">
        <f t="shared" si="73"/>
        <v>0.1826271614925675</v>
      </c>
      <c r="AJ70" s="1">
        <f t="shared" si="73"/>
        <v>0.41622004247143296</v>
      </c>
      <c r="AK70" s="1">
        <f t="shared" si="73"/>
        <v>0.60309434725452515</v>
      </c>
      <c r="AL70" s="1">
        <f t="shared" si="73"/>
        <v>0.7814743654565679</v>
      </c>
      <c r="AM70" s="1">
        <f t="shared" si="73"/>
        <v>0.95136009707756086</v>
      </c>
      <c r="AN70" s="1">
        <f t="shared" si="73"/>
        <v>0</v>
      </c>
      <c r="AO70" s="1">
        <f t="shared" si="73"/>
        <v>0</v>
      </c>
      <c r="AP70" s="1">
        <f t="shared" si="73"/>
        <v>9.8300600386689738E-2</v>
      </c>
      <c r="AQ70" s="1">
        <f t="shared" si="73"/>
        <v>8.5478782944947596E-2</v>
      </c>
      <c r="AR70" s="1">
        <f t="shared" si="73"/>
        <v>0.26071028798209012</v>
      </c>
      <c r="AS70" s="1">
        <f t="shared" si="73"/>
        <v>0.36328482751602725</v>
      </c>
      <c r="AT70" s="1">
        <f t="shared" si="73"/>
        <v>0.2521624096875954</v>
      </c>
    </row>
    <row r="71" spans="24:46" x14ac:dyDescent="0.35">
      <c r="X71" t="s">
        <v>344</v>
      </c>
      <c r="Y71" s="30" t="s">
        <v>461</v>
      </c>
      <c r="Z71" s="1">
        <f t="shared" ref="Z71:AT71" si="74">Y40</f>
        <v>2.207428170988087</v>
      </c>
      <c r="AA71" s="1">
        <f t="shared" si="74"/>
        <v>2.254899744557723</v>
      </c>
      <c r="AB71" s="1">
        <f t="shared" si="74"/>
        <v>2.1219793385627419</v>
      </c>
      <c r="AC71" s="1">
        <f t="shared" si="74"/>
        <v>2.0602662929222144</v>
      </c>
      <c r="AD71" s="1">
        <f t="shared" si="74"/>
        <v>2.2169224857020144</v>
      </c>
      <c r="AE71" s="1">
        <f t="shared" si="74"/>
        <v>2.2881298460564685</v>
      </c>
      <c r="AF71" s="1">
        <f t="shared" si="74"/>
        <v>2.440038881479305</v>
      </c>
      <c r="AG71" s="1">
        <f t="shared" si="74"/>
        <v>1.642516445509415</v>
      </c>
      <c r="AH71" s="1">
        <f t="shared" si="74"/>
        <v>2.1647037547754144</v>
      </c>
      <c r="AI71" s="1">
        <f t="shared" si="74"/>
        <v>2.4637746682641226</v>
      </c>
      <c r="AJ71" s="1">
        <f t="shared" si="74"/>
        <v>2.6773967493274857</v>
      </c>
      <c r="AK71" s="1">
        <f t="shared" si="74"/>
        <v>2.7818342111806857</v>
      </c>
      <c r="AL71" s="1">
        <f t="shared" si="74"/>
        <v>2.8103171553224673</v>
      </c>
      <c r="AM71" s="1">
        <f t="shared" si="74"/>
        <v>2.9907091348870858</v>
      </c>
      <c r="AN71" s="1">
        <f t="shared" si="74"/>
        <v>1.158306395099125</v>
      </c>
      <c r="AO71" s="1">
        <f t="shared" si="74"/>
        <v>1.1488120803851978</v>
      </c>
      <c r="AP71" s="1">
        <f t="shared" si="74"/>
        <v>1.0063973596762892</v>
      </c>
      <c r="AQ71" s="1">
        <f t="shared" si="74"/>
        <v>1.0491217758889619</v>
      </c>
      <c r="AR71" s="1">
        <f t="shared" si="74"/>
        <v>1.2010308113117978</v>
      </c>
      <c r="AS71" s="1">
        <f t="shared" si="74"/>
        <v>1.3766756335194521</v>
      </c>
      <c r="AT71" s="1">
        <f t="shared" si="74"/>
        <v>1.7801840088613605</v>
      </c>
    </row>
    <row r="72" spans="24:46" x14ac:dyDescent="0.35">
      <c r="X72" t="s">
        <v>345</v>
      </c>
      <c r="Y72" s="30" t="s">
        <v>461</v>
      </c>
      <c r="Z72" s="1">
        <f t="shared" ref="Z72:AT72" si="75">Y43</f>
        <v>9.4943147139272557E-2</v>
      </c>
      <c r="AA72" s="1">
        <f t="shared" si="75"/>
        <v>0.78328096389899859</v>
      </c>
      <c r="AB72" s="1">
        <f t="shared" si="75"/>
        <v>1.4241472070890882</v>
      </c>
      <c r="AC72" s="1">
        <f t="shared" si="75"/>
        <v>1.3956642629473064</v>
      </c>
      <c r="AD72" s="1">
        <f t="shared" si="75"/>
        <v>1.4241472070890882</v>
      </c>
      <c r="AE72" s="1">
        <f t="shared" si="75"/>
        <v>1.4478829938739066</v>
      </c>
      <c r="AF72" s="1">
        <f t="shared" si="75"/>
        <v>1.5713090851549609</v>
      </c>
      <c r="AG72" s="1">
        <f t="shared" si="75"/>
        <v>0.11867893392409072</v>
      </c>
      <c r="AH72" s="1">
        <f t="shared" si="75"/>
        <v>0.4177498474127993</v>
      </c>
      <c r="AI72" s="1">
        <f t="shared" si="75"/>
        <v>0.92094852725094389</v>
      </c>
      <c r="AJ72" s="1">
        <f t="shared" si="75"/>
        <v>1.3481926893776701</v>
      </c>
      <c r="AK72" s="1">
        <f t="shared" si="75"/>
        <v>1.5760562425119244</v>
      </c>
      <c r="AL72" s="1">
        <f t="shared" si="75"/>
        <v>1.6282749734385247</v>
      </c>
      <c r="AM72" s="1">
        <f t="shared" si="75"/>
        <v>1.7896783235752878</v>
      </c>
      <c r="AN72" s="1">
        <f t="shared" si="75"/>
        <v>6.1713045640527167E-2</v>
      </c>
      <c r="AO72" s="1">
        <f t="shared" si="75"/>
        <v>0.29432375613174488</v>
      </c>
      <c r="AP72" s="1">
        <f t="shared" si="75"/>
        <v>0.53168162397992635</v>
      </c>
      <c r="AQ72" s="1">
        <f t="shared" si="75"/>
        <v>0.5221873092659991</v>
      </c>
      <c r="AR72" s="1">
        <f t="shared" si="75"/>
        <v>0.46047426362547195</v>
      </c>
      <c r="AS72" s="1">
        <f t="shared" si="75"/>
        <v>0.55541741076474449</v>
      </c>
      <c r="AT72" s="1">
        <f t="shared" si="75"/>
        <v>0.73106223297239858</v>
      </c>
    </row>
    <row r="73" spans="24:46" x14ac:dyDescent="0.35">
      <c r="X73" t="s">
        <v>346</v>
      </c>
      <c r="Y73" s="30" t="s">
        <v>461</v>
      </c>
      <c r="Z73" s="1">
        <f t="shared" ref="Z73:AT73" si="76">Y46</f>
        <v>6.1713045640527167E-2</v>
      </c>
      <c r="AA73" s="1">
        <f t="shared" si="76"/>
        <v>0.90670705518005279</v>
      </c>
      <c r="AB73" s="1">
        <f t="shared" si="76"/>
        <v>1.7849311662183243</v>
      </c>
      <c r="AC73" s="1">
        <f t="shared" si="76"/>
        <v>1.9083572574993783</v>
      </c>
      <c r="AD73" s="1">
        <f t="shared" si="76"/>
        <v>1.8608856839297425</v>
      </c>
      <c r="AE73" s="1">
        <f t="shared" si="76"/>
        <v>2.0270361914234689</v>
      </c>
      <c r="AF73" s="1">
        <f t="shared" si="76"/>
        <v>2.1409679679905964</v>
      </c>
      <c r="AG73" s="1">
        <f t="shared" si="76"/>
        <v>9.4943147139272557E-2</v>
      </c>
      <c r="AH73" s="1">
        <f t="shared" si="76"/>
        <v>0.60288898433438087</v>
      </c>
      <c r="AI73" s="1">
        <f t="shared" si="76"/>
        <v>1.3909171055903429</v>
      </c>
      <c r="AJ73" s="1">
        <f t="shared" si="76"/>
        <v>2.1552094400614874</v>
      </c>
      <c r="AK73" s="1">
        <f t="shared" si="76"/>
        <v>2.378325835838778</v>
      </c>
      <c r="AL73" s="1">
        <f t="shared" si="76"/>
        <v>2.6299251757578501</v>
      </c>
      <c r="AM73" s="1">
        <f t="shared" si="76"/>
        <v>2.6489138051857046</v>
      </c>
      <c r="AN73" s="1">
        <f t="shared" si="76"/>
        <v>3.7977258855709024E-2</v>
      </c>
      <c r="AO73" s="1">
        <f t="shared" si="76"/>
        <v>0.81176390804078036</v>
      </c>
      <c r="AP73" s="1">
        <f t="shared" si="76"/>
        <v>1.0443746185319982</v>
      </c>
      <c r="AQ73" s="1">
        <f t="shared" si="76"/>
        <v>0.9256956846079073</v>
      </c>
      <c r="AR73" s="1">
        <f t="shared" si="76"/>
        <v>0.99690304496236182</v>
      </c>
      <c r="AS73" s="1">
        <f t="shared" si="76"/>
        <v>1.1155819788864525</v>
      </c>
      <c r="AT73" s="1">
        <f t="shared" si="76"/>
        <v>1.3007211158080341</v>
      </c>
    </row>
    <row r="74" spans="24:46" x14ac:dyDescent="0.35">
      <c r="X74" t="s">
        <v>344</v>
      </c>
      <c r="Y74" s="30" t="s">
        <v>462</v>
      </c>
      <c r="Z74" s="1">
        <f t="shared" ref="Z74:AT74" si="77">Y49</f>
        <v>3.522390758867012</v>
      </c>
      <c r="AA74" s="1">
        <f t="shared" si="77"/>
        <v>5.1744015190903552</v>
      </c>
      <c r="AB74" s="1">
        <f t="shared" si="77"/>
        <v>4.5335352759002649</v>
      </c>
      <c r="AC74" s="1">
        <f t="shared" si="77"/>
        <v>5.3120690824422994</v>
      </c>
      <c r="AD74" s="1">
        <f t="shared" si="77"/>
        <v>6.2947306553337716</v>
      </c>
      <c r="AE74" s="1">
        <f t="shared" si="77"/>
        <v>7.9230056287722954</v>
      </c>
      <c r="AF74" s="1">
        <f t="shared" si="77"/>
        <v>9.3898772520740543</v>
      </c>
      <c r="AG74" s="1">
        <f t="shared" si="77"/>
        <v>5.7250717724981346</v>
      </c>
      <c r="AH74" s="1">
        <f t="shared" si="77"/>
        <v>7.9324999434862224</v>
      </c>
      <c r="AI74" s="1">
        <f t="shared" si="77"/>
        <v>6.821665121956733</v>
      </c>
      <c r="AJ74" s="1">
        <f t="shared" si="77"/>
        <v>7.6856477609241143</v>
      </c>
      <c r="AK74" s="1">
        <f t="shared" si="77"/>
        <v>9.6889481655627634</v>
      </c>
      <c r="AL74" s="1">
        <f t="shared" si="77"/>
        <v>10.723828469380836</v>
      </c>
      <c r="AM74" s="1">
        <f t="shared" si="77"/>
        <v>11.355200397856997</v>
      </c>
      <c r="AN74" s="1">
        <f t="shared" si="77"/>
        <v>9.4371173438520923</v>
      </c>
      <c r="AO74" s="1">
        <f t="shared" si="77"/>
        <v>8.801877888827045</v>
      </c>
      <c r="AP74" s="1">
        <f t="shared" si="77"/>
        <v>8.5630278537376281</v>
      </c>
      <c r="AQ74" s="1">
        <f t="shared" si="77"/>
        <v>7.9023788205115801</v>
      </c>
      <c r="AR74" s="1">
        <f t="shared" si="77"/>
        <v>7.4653340754543471</v>
      </c>
      <c r="AS74" s="1">
        <f t="shared" si="77"/>
        <v>7.2722212811267335</v>
      </c>
      <c r="AT74" s="1">
        <f t="shared" si="77"/>
        <v>7.007961667836315</v>
      </c>
    </row>
    <row r="75" spans="24:46" x14ac:dyDescent="0.35">
      <c r="X75" t="s">
        <v>345</v>
      </c>
      <c r="Y75" s="30" t="s">
        <v>462</v>
      </c>
      <c r="Z75" s="1">
        <f t="shared" ref="Z75:AT75" si="78">Y52</f>
        <v>0</v>
      </c>
      <c r="AA75" s="1">
        <f t="shared" si="78"/>
        <v>0</v>
      </c>
      <c r="AB75" s="1">
        <f t="shared" si="78"/>
        <v>0</v>
      </c>
      <c r="AC75" s="1">
        <f t="shared" si="78"/>
        <v>0</v>
      </c>
      <c r="AD75" s="1">
        <f t="shared" si="78"/>
        <v>0</v>
      </c>
      <c r="AE75" s="1">
        <f t="shared" si="78"/>
        <v>0.22311639577729053</v>
      </c>
      <c r="AF75" s="1">
        <f t="shared" si="78"/>
        <v>0</v>
      </c>
      <c r="AG75" s="1">
        <f t="shared" si="78"/>
        <v>0</v>
      </c>
      <c r="AH75" s="1">
        <f t="shared" si="78"/>
        <v>0</v>
      </c>
      <c r="AI75" s="1">
        <f t="shared" si="78"/>
        <v>5.2218730926599913E-2</v>
      </c>
      <c r="AJ75" s="1">
        <f t="shared" si="78"/>
        <v>0</v>
      </c>
      <c r="AK75" s="1">
        <f t="shared" si="78"/>
        <v>0.60288898433438087</v>
      </c>
      <c r="AL75" s="1">
        <f t="shared" si="78"/>
        <v>1.9368402016411601</v>
      </c>
      <c r="AM75" s="1">
        <f t="shared" si="78"/>
        <v>2.9717205054592313</v>
      </c>
      <c r="AN75" s="1">
        <f t="shared" si="78"/>
        <v>0</v>
      </c>
      <c r="AO75" s="1">
        <f t="shared" si="78"/>
        <v>5.0819156402003726E-2</v>
      </c>
      <c r="AP75" s="1">
        <f t="shared" si="78"/>
        <v>5.0819156402003726E-2</v>
      </c>
      <c r="AQ75" s="1">
        <f t="shared" si="78"/>
        <v>0.3608160104542264</v>
      </c>
      <c r="AR75" s="1">
        <f t="shared" si="78"/>
        <v>0.89949906831546589</v>
      </c>
      <c r="AS75" s="1">
        <f t="shared" si="78"/>
        <v>1.2399874162088909</v>
      </c>
      <c r="AT75" s="1">
        <f t="shared" si="78"/>
        <v>1.2145778380078891</v>
      </c>
    </row>
    <row r="76" spans="24:46" x14ac:dyDescent="0.35">
      <c r="X76" t="s">
        <v>346</v>
      </c>
      <c r="Y76" s="30" t="s">
        <v>462</v>
      </c>
      <c r="Z76" s="1">
        <f t="shared" ref="Z76:AT76" si="79">Y55</f>
        <v>0</v>
      </c>
      <c r="AA76" s="1">
        <f t="shared" si="79"/>
        <v>1.8988629427854512E-2</v>
      </c>
      <c r="AB76" s="1">
        <f t="shared" si="79"/>
        <v>0</v>
      </c>
      <c r="AC76" s="1">
        <f t="shared" si="79"/>
        <v>0</v>
      </c>
      <c r="AD76" s="1">
        <f t="shared" si="79"/>
        <v>0.11867893392409072</v>
      </c>
      <c r="AE76" s="1">
        <f t="shared" si="79"/>
        <v>0.46047426362547195</v>
      </c>
      <c r="AF76" s="1">
        <f t="shared" si="79"/>
        <v>0.78328096389899859</v>
      </c>
      <c r="AG76" s="1">
        <f t="shared" si="79"/>
        <v>4.7471573569636279E-2</v>
      </c>
      <c r="AH76" s="1">
        <f t="shared" si="79"/>
        <v>0</v>
      </c>
      <c r="AI76" s="1">
        <f t="shared" si="79"/>
        <v>0</v>
      </c>
      <c r="AJ76" s="1">
        <f t="shared" si="79"/>
        <v>0</v>
      </c>
      <c r="AK76" s="1">
        <f t="shared" si="79"/>
        <v>1.0016502023193257</v>
      </c>
      <c r="AL76" s="1">
        <f t="shared" si="79"/>
        <v>2.5302348712616136</v>
      </c>
      <c r="AM76" s="1">
        <f t="shared" si="79"/>
        <v>4.0066008092773027</v>
      </c>
      <c r="AN76" s="1">
        <f t="shared" si="79"/>
        <v>0.20835854124821526</v>
      </c>
      <c r="AO76" s="1">
        <f t="shared" si="79"/>
        <v>0.3150787696924231</v>
      </c>
      <c r="AP76" s="1">
        <f t="shared" si="79"/>
        <v>0.50819156402003729</v>
      </c>
      <c r="AQ76" s="1">
        <f t="shared" si="79"/>
        <v>2.6883333736659978</v>
      </c>
      <c r="AR76" s="1">
        <f t="shared" si="79"/>
        <v>4.2738910534085131</v>
      </c>
      <c r="AS76" s="1">
        <f t="shared" si="79"/>
        <v>5.2597826876073848</v>
      </c>
      <c r="AT76" s="1">
        <f t="shared" si="79"/>
        <v>5.1683082060837782</v>
      </c>
    </row>
    <row r="79" spans="24:46" x14ac:dyDescent="0.35">
      <c r="X79" t="s">
        <v>530</v>
      </c>
    </row>
    <row r="80" spans="24:46" x14ac:dyDescent="0.35">
      <c r="X80" t="s">
        <v>529</v>
      </c>
      <c r="Y80" t="s">
        <v>528</v>
      </c>
    </row>
    <row r="81" spans="24:25" x14ac:dyDescent="0.35">
      <c r="X81">
        <v>0</v>
      </c>
      <c r="Y81" s="1">
        <f>AVERAGE(H52:H53)</f>
        <v>0</v>
      </c>
    </row>
    <row r="82" spans="24:25" x14ac:dyDescent="0.35">
      <c r="X82">
        <f t="shared" ref="X82:X87" si="80">X81+30</f>
        <v>30</v>
      </c>
      <c r="Y82" s="1">
        <f>AVERAGE(I51:I53)</f>
        <v>1.693971880066791E-2</v>
      </c>
    </row>
    <row r="83" spans="24:25" x14ac:dyDescent="0.35">
      <c r="X83">
        <f t="shared" si="80"/>
        <v>60</v>
      </c>
      <c r="Y83" s="1">
        <f>AVERAGE(J51:J53)</f>
        <v>3.4345962442867882E-2</v>
      </c>
    </row>
    <row r="84" spans="24:25" x14ac:dyDescent="0.35">
      <c r="X84">
        <f t="shared" si="80"/>
        <v>90</v>
      </c>
      <c r="Y84" s="1">
        <f>AVERAGE(K51:K53)</f>
        <v>0.12027200348474214</v>
      </c>
    </row>
    <row r="85" spans="24:25" x14ac:dyDescent="0.35">
      <c r="X85">
        <f t="shared" si="80"/>
        <v>120</v>
      </c>
      <c r="Y85" s="1">
        <f>AVERAGE(L51:L53)</f>
        <v>0.50079601754994896</v>
      </c>
    </row>
    <row r="86" spans="24:25" x14ac:dyDescent="0.35">
      <c r="X86">
        <f t="shared" si="80"/>
        <v>150</v>
      </c>
      <c r="Y86" s="1">
        <f>AVERAGE(M51:M53)</f>
        <v>1.1333146712091138</v>
      </c>
    </row>
    <row r="87" spans="24:25" x14ac:dyDescent="0.35">
      <c r="X87">
        <f t="shared" si="80"/>
        <v>180</v>
      </c>
      <c r="Y87" s="1">
        <f>AVERAGE(N51:N53)</f>
        <v>1.3954327811557068</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8ABEC2-B801-4122-91C2-BC76388BA28F}">
  <sheetPr codeName="Sheet16">
    <tabColor theme="8" tint="0.39997558519241921"/>
  </sheetPr>
  <dimension ref="A1:AT87"/>
  <sheetViews>
    <sheetView topLeftCell="F1" zoomScale="75" zoomScaleNormal="75" workbookViewId="0">
      <selection activeCell="Q1" sqref="Q1:Q1048576"/>
    </sheetView>
  </sheetViews>
  <sheetFormatPr defaultColWidth="11" defaultRowHeight="15.5" x14ac:dyDescent="0.35"/>
  <cols>
    <col min="1" max="1" width="14.6640625" style="65" customWidth="1"/>
    <col min="2" max="2" width="12.08203125" style="4" customWidth="1"/>
    <col min="3" max="3" width="41.33203125" style="4" customWidth="1"/>
    <col min="4" max="4" width="8.5" style="4" customWidth="1"/>
    <col min="5" max="22" width="11" style="4"/>
    <col min="24" max="24" width="17" customWidth="1"/>
  </cols>
  <sheetData>
    <row r="1" spans="1:45" ht="23.5" x14ac:dyDescent="0.35">
      <c r="A1" s="50" t="s">
        <v>467</v>
      </c>
      <c r="C1" s="26" t="s">
        <v>468</v>
      </c>
      <c r="F1" s="70" t="s">
        <v>20</v>
      </c>
      <c r="G1" s="26" t="s">
        <v>527</v>
      </c>
    </row>
    <row r="2" spans="1:45" ht="49.5" customHeight="1" x14ac:dyDescent="0.35">
      <c r="A2" s="18"/>
      <c r="B2" s="18" t="s">
        <v>433</v>
      </c>
      <c r="C2" s="18" t="s">
        <v>466</v>
      </c>
      <c r="D2" s="18" t="s">
        <v>497</v>
      </c>
      <c r="E2" s="18" t="s">
        <v>387</v>
      </c>
      <c r="F2" s="18" t="s">
        <v>404</v>
      </c>
      <c r="G2" s="18" t="s">
        <v>454</v>
      </c>
      <c r="H2" s="18">
        <v>0</v>
      </c>
      <c r="I2" s="18">
        <v>30</v>
      </c>
      <c r="J2" s="18">
        <v>60</v>
      </c>
      <c r="K2" s="18">
        <v>90</v>
      </c>
      <c r="L2" s="18">
        <v>120</v>
      </c>
      <c r="M2" s="18">
        <v>150</v>
      </c>
      <c r="N2" s="18">
        <v>180</v>
      </c>
      <c r="O2" s="19" t="s">
        <v>340</v>
      </c>
      <c r="P2" s="19" t="s">
        <v>547</v>
      </c>
      <c r="Q2" s="19" t="s">
        <v>340</v>
      </c>
      <c r="R2" s="19" t="s">
        <v>341</v>
      </c>
      <c r="S2" s="19" t="s">
        <v>342</v>
      </c>
      <c r="T2" s="19" t="s">
        <v>547</v>
      </c>
      <c r="U2" s="19" t="s">
        <v>475</v>
      </c>
      <c r="V2" s="19" t="s">
        <v>533</v>
      </c>
    </row>
    <row r="3" spans="1:45" x14ac:dyDescent="0.35">
      <c r="A3" s="41">
        <f>IFERROR(INDEX('Date Key'!$B$2:$B$19, MATCH(F3,'Date Key'!$A$2:$A$19, 0)), "")</f>
        <v>45175</v>
      </c>
      <c r="B3" s="4">
        <f>INT((ROW(A1)-1)/9)+1</f>
        <v>1</v>
      </c>
      <c r="C3" s="26" t="str">
        <f>IFERROR(INDEX('Date Key'!$G$57:$G$62, MATCH(B3,'Date Key'!$A$57:$A$62, 0)), "")</f>
        <v>Low HLR, Lower Outlet Height, No Plants</v>
      </c>
      <c r="D3" s="4" t="str">
        <f>IFERROR(INDEX('Date Key'!$G$2:$G$19, MATCH(F3, 'Date Key'!$A$2:$A$19, 0)), "")</f>
        <v>No</v>
      </c>
      <c r="E3" s="4" t="str">
        <f>CHOOSE(MOD(ROW(G3)-ROW($G$3), 9) + 1, "in", "in", "in", "tank 1", "tank 1", "tank 1", "tank 2", "tank 2", "tank 2")</f>
        <v>in</v>
      </c>
      <c r="F3" s="4">
        <f>MOD(ROW(G3)-ROW($G$3), 3) + 1 + 3 * INT((ROW(G3)-ROW($G$3))/9)</f>
        <v>1</v>
      </c>
      <c r="G3" s="4">
        <f>MOD(ROW(G3)-ROW($G$3), 3) + 1</f>
        <v>1</v>
      </c>
      <c r="H3" s="11" cm="1">
        <f t="array" ref="H3">IFERROR(INDEX('Master Data Sheet'!$1:$1048576, MATCH(1, ('Master Data Sheet'!$H:$H=H$2) * (INDEX('Master Data Sheet'!$1:$1, , MATCH($F$1, 'Master Data Sheet'!$1:$1, 0)) = $F$1) * ('Master Data Sheet'!$G:$G=$B3) * ('Master Data Sheet'!$F:$F=$E3) * ('Master Data Sheet'!$A:$A=$F3), 0), MATCH($F$1, 'Master Data Sheet'!$1:$1, 0)), "")</f>
        <v>5.5034274427791328</v>
      </c>
      <c r="I3" s="11" cm="1">
        <f t="array" ref="I3">IFERROR(INDEX('Master Data Sheet'!$1:$1048576, MATCH(1, ('Master Data Sheet'!$H:$H=I$2) * (INDEX('Master Data Sheet'!$1:$1, , MATCH($F$1, 'Master Data Sheet'!$1:$1, 0)) = $F$1) * ('Master Data Sheet'!$G:$G=$B3) * ('Master Data Sheet'!$F:$F=$E3) * ('Master Data Sheet'!$A:$A=$F3), 0), MATCH($F$1, 'Master Data Sheet'!$1:$1, 0)), "")</f>
        <v>1.8873010340420588</v>
      </c>
      <c r="J3" s="11" cm="1">
        <f t="array" ref="J3">IFERROR(INDEX('Master Data Sheet'!$1:$1048576, MATCH(1, ('Master Data Sheet'!$H:$H=J$2) * (INDEX('Master Data Sheet'!$1:$1, , MATCH($F$1, 'Master Data Sheet'!$1:$1, 0)) = $F$1) * ('Master Data Sheet'!$G:$G=$B3) * ('Master Data Sheet'!$F:$F=$E3) * ('Master Data Sheet'!$A:$A=$F3), 0), MATCH($F$1, 'Master Data Sheet'!$1:$1, 0)), "")</f>
        <v>2.5067967933077724</v>
      </c>
      <c r="K3" s="11" cm="1">
        <f t="array" ref="K3">IFERROR(INDEX('Master Data Sheet'!$1:$1048576, MATCH(1, ('Master Data Sheet'!$H:$H=K$2) * (INDEX('Master Data Sheet'!$1:$1, , MATCH($F$1, 'Master Data Sheet'!$1:$1, 0)) = $F$1) * ('Master Data Sheet'!$G:$G=$B3) * ('Master Data Sheet'!$F:$F=$E3) * ('Master Data Sheet'!$A:$A=$F3), 0), MATCH($F$1, 'Master Data Sheet'!$1:$1, 0)), "")</f>
        <v>2.4059486464505637</v>
      </c>
      <c r="L3" s="11" cm="1">
        <f t="array" ref="L3">IFERROR(INDEX('Master Data Sheet'!$1:$1048576, MATCH(1, ('Master Data Sheet'!$H:$H=L$2) * (INDEX('Master Data Sheet'!$1:$1, , MATCH($F$1, 'Master Data Sheet'!$1:$1, 0)) = $F$1) * ('Master Data Sheet'!$G:$G=$B3) * ('Master Data Sheet'!$F:$F=$E3) * ('Master Data Sheet'!$A:$A=$F3), 0), MATCH($F$1, 'Master Data Sheet'!$1:$1, 0)), "")</f>
        <v>2.8237481120018586</v>
      </c>
      <c r="M3" s="11" cm="1">
        <f t="array" ref="M3">IFERROR(INDEX('Master Data Sheet'!$1:$1048576, MATCH(1, ('Master Data Sheet'!$H:$H=M$2) * (INDEX('Master Data Sheet'!$1:$1, , MATCH($F$1, 'Master Data Sheet'!$1:$1, 0)) = $F$1) * ('Master Data Sheet'!$G:$G=$B3) * ('Master Data Sheet'!$F:$F=$E3) * ('Master Data Sheet'!$A:$A=$F3), 0), MATCH($F$1, 'Master Data Sheet'!$1:$1, 0)), "")</f>
        <v>3.0398512838387362</v>
      </c>
      <c r="N3" s="11" cm="1">
        <f t="array" ref="N3">IFERROR(INDEX('Master Data Sheet'!$1:$1048576, MATCH(1, ('Master Data Sheet'!$H:$H=N$2) * (INDEX('Master Data Sheet'!$1:$1, , MATCH($F$1, 'Master Data Sheet'!$1:$1, 0)) = $F$1) * ('Master Data Sheet'!$G:$G=$B3) * ('Master Data Sheet'!$F:$F=$E3) * ('Master Data Sheet'!$A:$A=$F3), 0), MATCH($F$1, 'Master Data Sheet'!$1:$1, 0)), "")</f>
        <v>3.7457883118392008</v>
      </c>
      <c r="O3" s="11">
        <f>AVERAGE(H3:N3)</f>
        <v>3.1304088034656172</v>
      </c>
      <c r="P3" s="11">
        <f>STDEV(H3:N3)</f>
        <v>1.1952128283714514</v>
      </c>
      <c r="Q3" s="11">
        <f>AVERAGE(O3,O5)</f>
        <v>2.2793739315175352</v>
      </c>
      <c r="S3" s="46">
        <f>AVERAGE(O3:O5)</f>
        <v>2.3215655031618785</v>
      </c>
      <c r="T3" s="46">
        <f>AVERAGE(P3:P5)</f>
        <v>0.79135007574094673</v>
      </c>
      <c r="V3" s="47">
        <f>AVERAGE(U6, U9)</f>
        <v>32.392776523702032</v>
      </c>
      <c r="X3" t="s">
        <v>343</v>
      </c>
    </row>
    <row r="4" spans="1:45" x14ac:dyDescent="0.35">
      <c r="A4" s="41">
        <f>IFERROR(INDEX('Date Key'!$B$2:$B$19, MATCH(F4,'Date Key'!$A$2:$A$19, 0)), "")</f>
        <v>45181</v>
      </c>
      <c r="B4" s="4">
        <f t="shared" ref="B4:B11" si="0">INT((ROW(B2)-1)/9)+1</f>
        <v>1</v>
      </c>
      <c r="C4" s="26" t="str">
        <f>IFERROR(INDEX('Date Key'!$G$57:$G$62, MATCH(B4,'Date Key'!$A$57:$A$62, 0)), "")</f>
        <v>Low HLR, Lower Outlet Height, No Plants</v>
      </c>
      <c r="D4" s="4" t="str">
        <f>IFERROR(INDEX('Date Key'!$G$2:$G$19, MATCH(F4, 'Date Key'!$A$2:$A$19, 0)), "")</f>
        <v>No</v>
      </c>
      <c r="E4" s="4" t="str">
        <f t="shared" ref="E4:E56" si="1">CHOOSE(MOD(ROW(G4)-ROW($G$3), 9) + 1, "in", "in", "in", "tank 1", "tank 1", "tank 1", "tank 2", "tank 2", "tank 2")</f>
        <v>in</v>
      </c>
      <c r="F4" s="4">
        <f t="shared" ref="F4:F56" si="2">MOD(ROW(G4)-ROW($G$3), 3) + 1 + 3 * INT((ROW(G4)-ROW($G$3))/9)</f>
        <v>2</v>
      </c>
      <c r="G4" s="4">
        <f t="shared" ref="G4:G15" si="3">MOD(ROW(G4)-ROW($G$3), 3) + 1</f>
        <v>2</v>
      </c>
      <c r="H4" s="11" cm="1">
        <f t="array" ref="H4">IFERROR(INDEX('Master Data Sheet'!$1:$1048576, MATCH(1, ('Master Data Sheet'!$H:$H=H$2) * (INDEX('Master Data Sheet'!$1:$1, , MATCH($F$1, 'Master Data Sheet'!$1:$1, 0)) = $F$1) * ('Master Data Sheet'!$G:$G=$B4) * ('Master Data Sheet'!$F:$F=$E4) * ('Master Data Sheet'!$A:$A=$F4), 0), MATCH($F$1, 'Master Data Sheet'!$1:$1, 0)), "")</f>
        <v>0.95085395608225864</v>
      </c>
      <c r="I4" s="11" cm="1">
        <f t="array" ref="I4">IFERROR(INDEX('Master Data Sheet'!$1:$1048576, MATCH(1, ('Master Data Sheet'!$H:$H=I$2) * (INDEX('Master Data Sheet'!$1:$1, , MATCH($F$1, 'Master Data Sheet'!$1:$1, 0)) = $F$1) * ('Master Data Sheet'!$G:$G=$B4) * ('Master Data Sheet'!$F:$F=$E4) * ('Master Data Sheet'!$A:$A=$F4), 0), MATCH($F$1, 'Master Data Sheet'!$1:$1, 0)), "")</f>
        <v>1.7576391309399326</v>
      </c>
      <c r="J4" s="11" cm="1">
        <f t="array" ref="J4">IFERROR(INDEX('Master Data Sheet'!$1:$1048576, MATCH(1, ('Master Data Sheet'!$H:$H=J$2) * (INDEX('Master Data Sheet'!$1:$1, , MATCH($F$1, 'Master Data Sheet'!$1:$1, 0)) = $F$1) * ('Master Data Sheet'!$G:$G=$B4) * ('Master Data Sheet'!$F:$F=$E4) * ('Master Data Sheet'!$A:$A=$F4), 0), MATCH($F$1, 'Master Data Sheet'!$1:$1, 0)), "")</f>
        <v>2.1034042058789355</v>
      </c>
      <c r="K4" s="11" cm="1">
        <f t="array" ref="K4">IFERROR(INDEX('Master Data Sheet'!$1:$1048576, MATCH(1, ('Master Data Sheet'!$H:$H=K$2) * (INDEX('Master Data Sheet'!$1:$1, , MATCH($F$1, 'Master Data Sheet'!$1:$1, 0)) = $F$1) * ('Master Data Sheet'!$G:$G=$B4) * ('Master Data Sheet'!$F:$F=$E4) * ('Master Data Sheet'!$A:$A=$F4), 0), MATCH($F$1, 'Master Data Sheet'!$1:$1, 0)), "")</f>
        <v>2.4203555245730222</v>
      </c>
      <c r="L4" s="11" cm="1">
        <f t="array" ref="L4">IFERROR(INDEX('Master Data Sheet'!$1:$1048576, MATCH(1, ('Master Data Sheet'!$H:$H=L$2) * (INDEX('Master Data Sheet'!$1:$1, , MATCH($F$1, 'Master Data Sheet'!$1:$1, 0)) = $F$1) * ('Master Data Sheet'!$G:$G=$B4) * ('Master Data Sheet'!$F:$F=$E4) * ('Master Data Sheet'!$A:$A=$F4), 0), MATCH($F$1, 'Master Data Sheet'!$1:$1, 0)), "")</f>
        <v>2.8525618682467764</v>
      </c>
      <c r="M4" s="11" cm="1">
        <f t="array" ref="M4">IFERROR(INDEX('Master Data Sheet'!$1:$1048576, MATCH(1, ('Master Data Sheet'!$H:$H=M$2) * (INDEX('Master Data Sheet'!$1:$1, , MATCH($F$1, 'Master Data Sheet'!$1:$1, 0)) = $F$1) * ('Master Data Sheet'!$G:$G=$B4) * ('Master Data Sheet'!$F:$F=$E4) * ('Master Data Sheet'!$A:$A=$F4), 0), MATCH($F$1, 'Master Data Sheet'!$1:$1, 0)), "")</f>
        <v>3.299175090042989</v>
      </c>
      <c r="N4" s="11" cm="1">
        <f t="array" ref="N4">IFERROR(INDEX('Master Data Sheet'!$1:$1048576, MATCH(1, ('Master Data Sheet'!$H:$H=N$2) * (INDEX('Master Data Sheet'!$1:$1, , MATCH($F$1, 'Master Data Sheet'!$1:$1, 0)) = $F$1) * ('Master Data Sheet'!$G:$G=$B4) * ('Master Data Sheet'!$F:$F=$E4) * ('Master Data Sheet'!$A:$A=$F4), 0), MATCH($F$1, 'Master Data Sheet'!$1:$1, 0)), "")</f>
        <v>3.457650749390031</v>
      </c>
      <c r="O4" s="11">
        <f>AVERAGE(H4:N4)</f>
        <v>2.4059486464505637</v>
      </c>
      <c r="P4" s="11">
        <f t="shared" ref="P4:P56" si="4">STDEV(H4:N4)</f>
        <v>0.88813856325472151</v>
      </c>
      <c r="Q4" s="11"/>
      <c r="X4" t="str">
        <f>IFERROR(INDEX('Date Key'!$G$57:$G$62, MATCH(B3,'Date Key'!$A$57:$A$62, 0)), "")</f>
        <v>Low HLR, Lower Outlet Height, No Plants</v>
      </c>
      <c r="Y4" s="1">
        <f t="shared" ref="Y4:AE4" si="5">H3</f>
        <v>5.5034274427791328</v>
      </c>
      <c r="Z4" s="1">
        <f t="shared" si="5"/>
        <v>1.8873010340420588</v>
      </c>
      <c r="AA4" s="1">
        <f t="shared" si="5"/>
        <v>2.5067967933077724</v>
      </c>
      <c r="AB4" s="1">
        <f t="shared" si="5"/>
        <v>2.4059486464505637</v>
      </c>
      <c r="AC4" s="1">
        <f t="shared" si="5"/>
        <v>2.8237481120018586</v>
      </c>
      <c r="AD4" s="1">
        <f t="shared" si="5"/>
        <v>3.0398512838387362</v>
      </c>
      <c r="AE4" s="1">
        <f t="shared" si="5"/>
        <v>3.7457883118392008</v>
      </c>
      <c r="AF4" s="1">
        <f t="shared" ref="AF4:AL4" si="6">H4</f>
        <v>0.95085395608225864</v>
      </c>
      <c r="AG4" s="1">
        <f t="shared" si="6"/>
        <v>1.7576391309399326</v>
      </c>
      <c r="AH4" s="1">
        <f t="shared" si="6"/>
        <v>2.1034042058789355</v>
      </c>
      <c r="AI4" s="1">
        <f t="shared" si="6"/>
        <v>2.4203555245730222</v>
      </c>
      <c r="AJ4" s="1">
        <f t="shared" si="6"/>
        <v>2.8525618682467764</v>
      </c>
      <c r="AK4" s="1">
        <f t="shared" si="6"/>
        <v>3.299175090042989</v>
      </c>
      <c r="AL4" s="1">
        <f t="shared" si="6"/>
        <v>3.457650749390031</v>
      </c>
      <c r="AM4" s="1">
        <f t="shared" ref="AM4:AS4" si="7">H5</f>
        <v>0.79237829673521554</v>
      </c>
      <c r="AN4" s="1">
        <f t="shared" si="7"/>
        <v>1.6279772278378064</v>
      </c>
      <c r="AO4" s="1">
        <f t="shared" si="7"/>
        <v>1.3974671778784711</v>
      </c>
      <c r="AP4" s="1">
        <f t="shared" si="7"/>
        <v>1.5271290809805973</v>
      </c>
      <c r="AQ4" s="1">
        <f t="shared" si="7"/>
        <v>1.49831532473568</v>
      </c>
      <c r="AR4" s="1">
        <f t="shared" si="7"/>
        <v>1.613570349715348</v>
      </c>
      <c r="AS4" s="1">
        <f t="shared" si="7"/>
        <v>1.5415359591030557</v>
      </c>
    </row>
    <row r="5" spans="1:45" x14ac:dyDescent="0.35">
      <c r="A5" s="41">
        <f>IFERROR(INDEX('Date Key'!$B$2:$B$19, MATCH(F5,'Date Key'!$A$2:$A$19, 0)), "")</f>
        <v>45195</v>
      </c>
      <c r="B5" s="4">
        <f t="shared" si="0"/>
        <v>1</v>
      </c>
      <c r="C5" s="26" t="str">
        <f>IFERROR(INDEX('Date Key'!$G$57:$G$62, MATCH(B5,'Date Key'!$A$57:$A$62, 0)), "")</f>
        <v>Low HLR, Lower Outlet Height, No Plants</v>
      </c>
      <c r="D5" s="4" t="str">
        <f>IFERROR(INDEX('Date Key'!$G$2:$G$19, MATCH(F5, 'Date Key'!$A$2:$A$19, 0)), "")</f>
        <v>No</v>
      </c>
      <c r="E5" s="4" t="str">
        <f t="shared" si="1"/>
        <v>in</v>
      </c>
      <c r="F5" s="4">
        <f t="shared" si="2"/>
        <v>3</v>
      </c>
      <c r="G5" s="4">
        <f t="shared" si="3"/>
        <v>3</v>
      </c>
      <c r="H5" s="11" cm="1">
        <f t="array" ref="H5">IFERROR(INDEX('Master Data Sheet'!$1:$1048576, MATCH(1, ('Master Data Sheet'!$H:$H=H$2) * (INDEX('Master Data Sheet'!$1:$1, , MATCH($F$1, 'Master Data Sheet'!$1:$1, 0)) = $F$1) * ('Master Data Sheet'!$G:$G=$B5) * ('Master Data Sheet'!$F:$F=$E5) * ('Master Data Sheet'!$A:$A=$F5), 0), MATCH($F$1, 'Master Data Sheet'!$1:$1, 0)), "")</f>
        <v>0.79237829673521554</v>
      </c>
      <c r="I5" s="11" cm="1">
        <f t="array" ref="I5">IFERROR(INDEX('Master Data Sheet'!$1:$1048576, MATCH(1, ('Master Data Sheet'!$H:$H=I$2) * (INDEX('Master Data Sheet'!$1:$1, , MATCH($F$1, 'Master Data Sheet'!$1:$1, 0)) = $F$1) * ('Master Data Sheet'!$G:$G=$B5) * ('Master Data Sheet'!$F:$F=$E5) * ('Master Data Sheet'!$A:$A=$F5), 0), MATCH($F$1, 'Master Data Sheet'!$1:$1, 0)), "")</f>
        <v>1.6279772278378064</v>
      </c>
      <c r="J5" s="11" cm="1">
        <f t="array" ref="J5">IFERROR(INDEX('Master Data Sheet'!$1:$1048576, MATCH(1, ('Master Data Sheet'!$H:$H=J$2) * (INDEX('Master Data Sheet'!$1:$1, , MATCH($F$1, 'Master Data Sheet'!$1:$1, 0)) = $F$1) * ('Master Data Sheet'!$G:$G=$B5) * ('Master Data Sheet'!$F:$F=$E5) * ('Master Data Sheet'!$A:$A=$F5), 0), MATCH($F$1, 'Master Data Sheet'!$1:$1, 0)), "")</f>
        <v>1.3974671778784711</v>
      </c>
      <c r="K5" s="11" cm="1">
        <f t="array" ref="K5">IFERROR(INDEX('Master Data Sheet'!$1:$1048576, MATCH(1, ('Master Data Sheet'!$H:$H=K$2) * (INDEX('Master Data Sheet'!$1:$1, , MATCH($F$1, 'Master Data Sheet'!$1:$1, 0)) = $F$1) * ('Master Data Sheet'!$G:$G=$B5) * ('Master Data Sheet'!$F:$F=$E5) * ('Master Data Sheet'!$A:$A=$F5), 0), MATCH($F$1, 'Master Data Sheet'!$1:$1, 0)), "")</f>
        <v>1.5271290809805973</v>
      </c>
      <c r="L5" s="11" cm="1">
        <f t="array" ref="L5">IFERROR(INDEX('Master Data Sheet'!$1:$1048576, MATCH(1, ('Master Data Sheet'!$H:$H=L$2) * (INDEX('Master Data Sheet'!$1:$1, , MATCH($F$1, 'Master Data Sheet'!$1:$1, 0)) = $F$1) * ('Master Data Sheet'!$G:$G=$B5) * ('Master Data Sheet'!$F:$F=$E5) * ('Master Data Sheet'!$A:$A=$F5), 0), MATCH($F$1, 'Master Data Sheet'!$1:$1, 0)), "")</f>
        <v>1.49831532473568</v>
      </c>
      <c r="M5" s="11" cm="1">
        <f t="array" ref="M5">IFERROR(INDEX('Master Data Sheet'!$1:$1048576, MATCH(1, ('Master Data Sheet'!$H:$H=M$2) * (INDEX('Master Data Sheet'!$1:$1, , MATCH($F$1, 'Master Data Sheet'!$1:$1, 0)) = $F$1) * ('Master Data Sheet'!$G:$G=$B5) * ('Master Data Sheet'!$F:$F=$E5) * ('Master Data Sheet'!$A:$A=$F5), 0), MATCH($F$1, 'Master Data Sheet'!$1:$1, 0)), "")</f>
        <v>1.613570349715348</v>
      </c>
      <c r="N5" s="11" cm="1">
        <f t="array" ref="N5">IFERROR(INDEX('Master Data Sheet'!$1:$1048576, MATCH(1, ('Master Data Sheet'!$H:$H=N$2) * (INDEX('Master Data Sheet'!$1:$1, , MATCH($F$1, 'Master Data Sheet'!$1:$1, 0)) = $F$1) * ('Master Data Sheet'!$G:$G=$B5) * ('Master Data Sheet'!$F:$F=$E5) * ('Master Data Sheet'!$A:$A=$F5), 0), MATCH($F$1, 'Master Data Sheet'!$1:$1, 0)), "")</f>
        <v>1.5415359591030557</v>
      </c>
      <c r="O5" s="11">
        <f>AVERAGE(H5:N5)</f>
        <v>1.4283390595694534</v>
      </c>
      <c r="P5" s="11">
        <f t="shared" si="4"/>
        <v>0.29069883559666748</v>
      </c>
      <c r="Q5" s="11"/>
      <c r="Y5" s="1"/>
      <c r="Z5" s="1"/>
      <c r="AA5" s="1"/>
      <c r="AB5" s="1"/>
      <c r="AC5" s="1"/>
      <c r="AD5" s="1"/>
      <c r="AE5" s="1"/>
      <c r="AF5" s="1"/>
      <c r="AG5" s="1"/>
      <c r="AH5" s="1"/>
      <c r="AI5" s="1"/>
      <c r="AJ5" s="1"/>
      <c r="AK5" s="1"/>
      <c r="AL5" s="1"/>
      <c r="AM5" s="1"/>
      <c r="AN5" s="1"/>
      <c r="AO5" s="1"/>
      <c r="AP5" s="1"/>
      <c r="AQ5" s="1"/>
      <c r="AR5" s="1"/>
      <c r="AS5" s="1"/>
    </row>
    <row r="6" spans="1:45" x14ac:dyDescent="0.35">
      <c r="A6" s="41">
        <f>IFERROR(INDEX('Date Key'!$B$2:$B$19, MATCH(F6,'Date Key'!$A$2:$A$19, 0)), "")</f>
        <v>45175</v>
      </c>
      <c r="B6" s="4">
        <f t="shared" si="0"/>
        <v>1</v>
      </c>
      <c r="C6" s="26" t="str">
        <f>IFERROR(INDEX('Date Key'!$G$57:$G$62, MATCH(B6,'Date Key'!$A$57:$A$62, 0)), "")</f>
        <v>Low HLR, Lower Outlet Height, No Plants</v>
      </c>
      <c r="D6" s="4" t="str">
        <f>IFERROR(INDEX('Date Key'!$G$2:$G$19, MATCH(F6, 'Date Key'!$A$2:$A$19, 0)), "")</f>
        <v>No</v>
      </c>
      <c r="E6" s="4" t="str">
        <f t="shared" si="1"/>
        <v>tank 1</v>
      </c>
      <c r="F6" s="4">
        <f t="shared" si="2"/>
        <v>1</v>
      </c>
      <c r="G6" s="4">
        <f t="shared" si="3"/>
        <v>1</v>
      </c>
      <c r="H6" s="11" cm="1">
        <f t="array" ref="H6">IFERROR(INDEX('Master Data Sheet'!$1:$1048576, MATCH(1, ('Master Data Sheet'!$H:$H=H$2) * (INDEX('Master Data Sheet'!$1:$1, , MATCH($F$1, 'Master Data Sheet'!$1:$1, 0)) = $F$1) * ('Master Data Sheet'!$G:$G=$B6) * ('Master Data Sheet'!$F:$F=$E6) * ('Master Data Sheet'!$A:$A=$F6), 0), MATCH($F$1, 'Master Data Sheet'!$1:$1, 0)), "")</f>
        <v>0.60508888114325554</v>
      </c>
      <c r="I6" s="11" cm="1">
        <f t="array" ref="I6">IFERROR(INDEX('Master Data Sheet'!$1:$1048576, MATCH(1, ('Master Data Sheet'!$H:$H=I$2) * (INDEX('Master Data Sheet'!$1:$1, , MATCH($F$1, 'Master Data Sheet'!$1:$1, 0)) = $F$1) * ('Master Data Sheet'!$G:$G=$B6) * ('Master Data Sheet'!$F:$F=$E6) * ('Master Data Sheet'!$A:$A=$F6), 0), MATCH($F$1, 'Master Data Sheet'!$1:$1, 0)), "")</f>
        <v>0.80678517485767398</v>
      </c>
      <c r="J6" s="11" cm="1">
        <f t="array" ref="J6">IFERROR(INDEX('Master Data Sheet'!$1:$1048576, MATCH(1, ('Master Data Sheet'!$H:$H=J$2) * (INDEX('Master Data Sheet'!$1:$1, , MATCH($F$1, 'Master Data Sheet'!$1:$1, 0)) = $F$1) * ('Master Data Sheet'!$G:$G=$B6) * ('Master Data Sheet'!$F:$F=$E6) * ('Master Data Sheet'!$A:$A=$F6), 0), MATCH($F$1, 'Master Data Sheet'!$1:$1, 0)), "")</f>
        <v>1.5271290809805973</v>
      </c>
      <c r="K6" s="11" cm="1">
        <f t="array" ref="K6">IFERROR(INDEX('Master Data Sheet'!$1:$1048576, MATCH(1, ('Master Data Sheet'!$H:$H=K$2) * (INDEX('Master Data Sheet'!$1:$1, , MATCH($F$1, 'Master Data Sheet'!$1:$1, 0)) = $F$1) * ('Master Data Sheet'!$G:$G=$B6) * ('Master Data Sheet'!$F:$F=$E6) * ('Master Data Sheet'!$A:$A=$F6), 0), MATCH($F$1, 'Master Data Sheet'!$1:$1, 0)), "")</f>
        <v>3.817822702451493</v>
      </c>
      <c r="L6" s="11" cm="1">
        <f t="array" ref="L6">IFERROR(INDEX('Master Data Sheet'!$1:$1048576, MATCH(1, ('Master Data Sheet'!$H:$H=L$2) * (INDEX('Master Data Sheet'!$1:$1, , MATCH($F$1, 'Master Data Sheet'!$1:$1, 0)) = $F$1) * ('Master Data Sheet'!$G:$G=$B6) * ('Master Data Sheet'!$F:$F=$E6) * ('Master Data Sheet'!$A:$A=$F6), 0), MATCH($F$1, 'Master Data Sheet'!$1:$1, 0)), "")</f>
        <v>0.69153014987800632</v>
      </c>
      <c r="M6" s="11" cm="1">
        <f t="array" ref="M6">IFERROR(INDEX('Master Data Sheet'!$1:$1048576, MATCH(1, ('Master Data Sheet'!$H:$H=M$2) * (INDEX('Master Data Sheet'!$1:$1, , MATCH($F$1, 'Master Data Sheet'!$1:$1, 0)) = $F$1) * ('Master Data Sheet'!$G:$G=$B6) * ('Master Data Sheet'!$F:$F=$E6) * ('Master Data Sheet'!$A:$A=$F6), 0), MATCH($F$1, 'Master Data Sheet'!$1:$1, 0)), "")</f>
        <v>4.1924015336354126</v>
      </c>
      <c r="N6" s="11" cm="1">
        <f t="array" ref="N6">IFERROR(INDEX('Master Data Sheet'!$1:$1048576, MATCH(1, ('Master Data Sheet'!$H:$H=N$2) * (INDEX('Master Data Sheet'!$1:$1, , MATCH($F$1, 'Master Data Sheet'!$1:$1, 0)) = $F$1) * ('Master Data Sheet'!$G:$G=$B6) * ('Master Data Sheet'!$F:$F=$E6) * ('Master Data Sheet'!$A:$A=$F6), 0), MATCH($F$1, 'Master Data Sheet'!$1:$1, 0)), "")</f>
        <v>2.1754385964912282</v>
      </c>
      <c r="O6" s="11">
        <f>AVERAGE(H6:N6)</f>
        <v>1.9737423027768095</v>
      </c>
      <c r="P6" s="11">
        <f t="shared" si="4"/>
        <v>1.4967907446662705</v>
      </c>
      <c r="Q6" s="11">
        <f>AVERAGE(O6,O8)</f>
        <v>1.4540656276452721</v>
      </c>
      <c r="R6" s="46">
        <f>(1-(O6/O3))*100</f>
        <v>36.949375410913866</v>
      </c>
      <c r="S6" s="46">
        <f>AVERAGE(R6:R8)</f>
        <v>39.6978422650864</v>
      </c>
      <c r="T6" s="46">
        <f>STDEV(R6:R8)</f>
        <v>6.9126633313330794</v>
      </c>
      <c r="U6" s="47">
        <f>(1-(AVERAGE(H6:N6,H8:N8)/AVERAGE(H3:N3,H5:N5)))*100</f>
        <v>36.207674943566595</v>
      </c>
      <c r="V6" s="47"/>
      <c r="W6" s="14"/>
      <c r="Y6" s="2"/>
      <c r="Z6" s="2"/>
      <c r="AA6" s="2"/>
      <c r="AB6" s="2"/>
      <c r="AC6" s="2"/>
      <c r="AD6" s="2"/>
      <c r="AE6" s="2"/>
      <c r="AF6" s="2"/>
      <c r="AG6" s="2"/>
    </row>
    <row r="7" spans="1:45" x14ac:dyDescent="0.35">
      <c r="A7" s="41">
        <f>IFERROR(INDEX('Date Key'!$B$2:$B$19, MATCH(F7,'Date Key'!$A$2:$A$19, 0)), "")</f>
        <v>45181</v>
      </c>
      <c r="B7" s="4">
        <f t="shared" si="0"/>
        <v>1</v>
      </c>
      <c r="C7" s="26" t="str">
        <f>IFERROR(INDEX('Date Key'!$G$57:$G$62, MATCH(B7,'Date Key'!$A$57:$A$62, 0)), "")</f>
        <v>Low HLR, Lower Outlet Height, No Plants</v>
      </c>
      <c r="D7" s="4" t="str">
        <f>IFERROR(INDEX('Date Key'!$G$2:$G$19, MATCH(F7, 'Date Key'!$A$2:$A$19, 0)), "")</f>
        <v>No</v>
      </c>
      <c r="E7" s="4" t="str">
        <f t="shared" si="1"/>
        <v>tank 1</v>
      </c>
      <c r="F7" s="4">
        <f t="shared" si="2"/>
        <v>2</v>
      </c>
      <c r="G7" s="4">
        <f t="shared" si="3"/>
        <v>2</v>
      </c>
      <c r="H7" s="11" cm="1">
        <f t="array" ref="H7">IFERROR(INDEX('Master Data Sheet'!$1:$1048576, MATCH(1, ('Master Data Sheet'!$H:$H=H$2) * (INDEX('Master Data Sheet'!$1:$1, , MATCH($F$1, 'Master Data Sheet'!$1:$1, 0)) = $F$1) * ('Master Data Sheet'!$G:$G=$B7) * ('Master Data Sheet'!$F:$F=$E7) * ('Master Data Sheet'!$A:$A=$F7), 0), MATCH($F$1, 'Master Data Sheet'!$1:$1, 0)), "")</f>
        <v>1.1957708841640526</v>
      </c>
      <c r="I7" s="11" cm="1">
        <f t="array" ref="I7">IFERROR(INDEX('Master Data Sheet'!$1:$1048576, MATCH(1, ('Master Data Sheet'!$H:$H=I$2) * (INDEX('Master Data Sheet'!$1:$1, , MATCH($F$1, 'Master Data Sheet'!$1:$1, 0)) = $F$1) * ('Master Data Sheet'!$G:$G=$B7) * ('Master Data Sheet'!$F:$F=$E7) * ('Master Data Sheet'!$A:$A=$F7), 0), MATCH($F$1, 'Master Data Sheet'!$1:$1, 0)), "")</f>
        <v>1.181364006041594</v>
      </c>
      <c r="J7" s="11" cm="1">
        <f t="array" ref="J7">IFERROR(INDEX('Master Data Sheet'!$1:$1048576, MATCH(1, ('Master Data Sheet'!$H:$H=J$2) * (INDEX('Master Data Sheet'!$1:$1, , MATCH($F$1, 'Master Data Sheet'!$1:$1, 0)) = $F$1) * ('Master Data Sheet'!$G:$G=$B7) * ('Master Data Sheet'!$F:$F=$E7) * ('Master Data Sheet'!$A:$A=$F7), 0), MATCH($F$1, 'Master Data Sheet'!$1:$1, 0)), "")</f>
        <v>1.0372952248170093</v>
      </c>
      <c r="K7" s="11" cm="1">
        <f t="array" ref="K7">IFERROR(INDEX('Master Data Sheet'!$1:$1048576, MATCH(1, ('Master Data Sheet'!$H:$H=K$2) * (INDEX('Master Data Sheet'!$1:$1, , MATCH($F$1, 'Master Data Sheet'!$1:$1, 0)) = $F$1) * ('Master Data Sheet'!$G:$G=$B7) * ('Master Data Sheet'!$F:$F=$E7) * ('Master Data Sheet'!$A:$A=$F7), 0), MATCH($F$1, 'Master Data Sheet'!$1:$1, 0)), "")</f>
        <v>1.1237364935517602</v>
      </c>
      <c r="L7" s="11" cm="1">
        <f t="array" ref="L7">IFERROR(INDEX('Master Data Sheet'!$1:$1048576, MATCH(1, ('Master Data Sheet'!$H:$H=L$2) * (INDEX('Master Data Sheet'!$1:$1, , MATCH($F$1, 'Master Data Sheet'!$1:$1, 0)) = $F$1) * ('Master Data Sheet'!$G:$G=$B7) * ('Master Data Sheet'!$F:$F=$E7) * ('Master Data Sheet'!$A:$A=$F7), 0), MATCH($F$1, 'Master Data Sheet'!$1:$1, 0)), "")</f>
        <v>1.7864528871848495</v>
      </c>
      <c r="M7" s="11" cm="1">
        <f t="array" ref="M7">IFERROR(INDEX('Master Data Sheet'!$1:$1048576, MATCH(1, ('Master Data Sheet'!$H:$H=M$2) * (INDEX('Master Data Sheet'!$1:$1, , MATCH($F$1, 'Master Data Sheet'!$1:$1, 0)) = $F$1) * ('Master Data Sheet'!$G:$G=$B7) * ('Master Data Sheet'!$F:$F=$E7) * ('Master Data Sheet'!$A:$A=$F7), 0), MATCH($F$1, 'Master Data Sheet'!$1:$1, 0)), "")</f>
        <v>1.1381433716742186</v>
      </c>
      <c r="N7" s="11" cm="1">
        <f t="array" ref="N7">IFERROR(INDEX('Master Data Sheet'!$1:$1048576, MATCH(1, ('Master Data Sheet'!$H:$H=N$2) * (INDEX('Master Data Sheet'!$1:$1, , MATCH($F$1, 'Master Data Sheet'!$1:$1, 0)) = $F$1) * ('Master Data Sheet'!$G:$G=$B7) * ('Master Data Sheet'!$F:$F=$E7) * ('Master Data Sheet'!$A:$A=$F7), 0), MATCH($F$1, 'Master Data Sheet'!$1:$1, 0)), "")</f>
        <v>1.368653421633554</v>
      </c>
      <c r="O7" s="11">
        <f t="shared" ref="O7:O56" si="8">AVERAGE(H7:N7)</f>
        <v>1.2616308984381486</v>
      </c>
      <c r="P7" s="11">
        <f t="shared" si="4"/>
        <v>0.25240931918302556</v>
      </c>
      <c r="Q7" s="11"/>
      <c r="R7" s="46">
        <f>(1-(O7/O4))*100</f>
        <v>47.562018819503848</v>
      </c>
      <c r="X7" t="str">
        <f>IFERROR(INDEX('Date Key'!$G$57:$G$62, MATCH(B6,'Date Key'!$A$57:$A$62, 0)), "")</f>
        <v>Low HLR, Lower Outlet Height, No Plants</v>
      </c>
      <c r="Y7" s="1">
        <f t="shared" ref="Y7:AE7" si="9">H6</f>
        <v>0.60508888114325554</v>
      </c>
      <c r="Z7" s="1">
        <f t="shared" si="9"/>
        <v>0.80678517485767398</v>
      </c>
      <c r="AA7" s="1">
        <f t="shared" si="9"/>
        <v>1.5271290809805973</v>
      </c>
      <c r="AB7" s="1">
        <f t="shared" si="9"/>
        <v>3.817822702451493</v>
      </c>
      <c r="AC7" s="1">
        <f t="shared" si="9"/>
        <v>0.69153014987800632</v>
      </c>
      <c r="AD7" s="1">
        <f t="shared" si="9"/>
        <v>4.1924015336354126</v>
      </c>
      <c r="AE7" s="1">
        <f t="shared" si="9"/>
        <v>2.1754385964912282</v>
      </c>
      <c r="AF7" s="1">
        <f t="shared" ref="AF7:AL7" si="10">H7</f>
        <v>1.1957708841640526</v>
      </c>
      <c r="AG7" s="1">
        <f t="shared" si="10"/>
        <v>1.181364006041594</v>
      </c>
      <c r="AH7" s="1">
        <f t="shared" si="10"/>
        <v>1.0372952248170093</v>
      </c>
      <c r="AI7" s="1">
        <f t="shared" si="10"/>
        <v>1.1237364935517602</v>
      </c>
      <c r="AJ7" s="1">
        <f t="shared" si="10"/>
        <v>1.7864528871848495</v>
      </c>
      <c r="AK7" s="1">
        <f t="shared" si="10"/>
        <v>1.1381433716742186</v>
      </c>
      <c r="AL7" s="1">
        <f t="shared" si="10"/>
        <v>1.368653421633554</v>
      </c>
      <c r="AM7" s="1">
        <f t="shared" ref="AM7:AS7" si="11">H8</f>
        <v>0.9364470779598002</v>
      </c>
      <c r="AN7" s="1">
        <f t="shared" si="11"/>
        <v>0.86441268734750776</v>
      </c>
      <c r="AO7" s="1">
        <f t="shared" si="11"/>
        <v>0.9364470779598002</v>
      </c>
      <c r="AP7" s="1">
        <f t="shared" si="11"/>
        <v>0.97966771232717553</v>
      </c>
      <c r="AQ7" s="1">
        <f t="shared" si="11"/>
        <v>0.86441268734750776</v>
      </c>
      <c r="AR7" s="1">
        <f t="shared" si="11"/>
        <v>0.9076333217148832</v>
      </c>
      <c r="AS7" s="1">
        <f t="shared" si="11"/>
        <v>1.0517021029394678</v>
      </c>
    </row>
    <row r="8" spans="1:45" x14ac:dyDescent="0.35">
      <c r="A8" s="41">
        <f>IFERROR(INDEX('Date Key'!$B$2:$B$19, MATCH(F8,'Date Key'!$A$2:$A$19, 0)), "")</f>
        <v>45195</v>
      </c>
      <c r="B8" s="4">
        <f t="shared" si="0"/>
        <v>1</v>
      </c>
      <c r="C8" s="26" t="str">
        <f>IFERROR(INDEX('Date Key'!$G$57:$G$62, MATCH(B8,'Date Key'!$A$57:$A$62, 0)), "")</f>
        <v>Low HLR, Lower Outlet Height, No Plants</v>
      </c>
      <c r="D8" s="4" t="str">
        <f>IFERROR(INDEX('Date Key'!$G$2:$G$19, MATCH(F8, 'Date Key'!$A$2:$A$19, 0)), "")</f>
        <v>No</v>
      </c>
      <c r="E8" s="4" t="str">
        <f t="shared" si="1"/>
        <v>tank 1</v>
      </c>
      <c r="F8" s="4">
        <f t="shared" si="2"/>
        <v>3</v>
      </c>
      <c r="G8" s="4">
        <f t="shared" si="3"/>
        <v>3</v>
      </c>
      <c r="H8" s="11" cm="1">
        <f t="array" ref="H8">IFERROR(INDEX('Master Data Sheet'!$1:$1048576, MATCH(1, ('Master Data Sheet'!$H:$H=H$2) * (INDEX('Master Data Sheet'!$1:$1, , MATCH($F$1, 'Master Data Sheet'!$1:$1, 0)) = $F$1) * ('Master Data Sheet'!$G:$G=$B8) * ('Master Data Sheet'!$F:$F=$E8) * ('Master Data Sheet'!$A:$A=$F8), 0), MATCH($F$1, 'Master Data Sheet'!$1:$1, 0)), "")</f>
        <v>0.9364470779598002</v>
      </c>
      <c r="I8" s="11" cm="1">
        <f t="array" ref="I8">IFERROR(INDEX('Master Data Sheet'!$1:$1048576, MATCH(1, ('Master Data Sheet'!$H:$H=I$2) * (INDEX('Master Data Sheet'!$1:$1, , MATCH($F$1, 'Master Data Sheet'!$1:$1, 0)) = $F$1) * ('Master Data Sheet'!$G:$G=$B8) * ('Master Data Sheet'!$F:$F=$E8) * ('Master Data Sheet'!$A:$A=$F8), 0), MATCH($F$1, 'Master Data Sheet'!$1:$1, 0)), "")</f>
        <v>0.86441268734750776</v>
      </c>
      <c r="J8" s="11" cm="1">
        <f t="array" ref="J8">IFERROR(INDEX('Master Data Sheet'!$1:$1048576, MATCH(1, ('Master Data Sheet'!$H:$H=J$2) * (INDEX('Master Data Sheet'!$1:$1, , MATCH($F$1, 'Master Data Sheet'!$1:$1, 0)) = $F$1) * ('Master Data Sheet'!$G:$G=$B8) * ('Master Data Sheet'!$F:$F=$E8) * ('Master Data Sheet'!$A:$A=$F8), 0), MATCH($F$1, 'Master Data Sheet'!$1:$1, 0)), "")</f>
        <v>0.9364470779598002</v>
      </c>
      <c r="K8" s="11" cm="1">
        <f t="array" ref="K8">IFERROR(INDEX('Master Data Sheet'!$1:$1048576, MATCH(1, ('Master Data Sheet'!$H:$H=K$2) * (INDEX('Master Data Sheet'!$1:$1, , MATCH($F$1, 'Master Data Sheet'!$1:$1, 0)) = $F$1) * ('Master Data Sheet'!$G:$G=$B8) * ('Master Data Sheet'!$F:$F=$E8) * ('Master Data Sheet'!$A:$A=$F8), 0), MATCH($F$1, 'Master Data Sheet'!$1:$1, 0)), "")</f>
        <v>0.97966771232717553</v>
      </c>
      <c r="L8" s="11" cm="1">
        <f t="array" ref="L8">IFERROR(INDEX('Master Data Sheet'!$1:$1048576, MATCH(1, ('Master Data Sheet'!$H:$H=L$2) * (INDEX('Master Data Sheet'!$1:$1, , MATCH($F$1, 'Master Data Sheet'!$1:$1, 0)) = $F$1) * ('Master Data Sheet'!$G:$G=$B8) * ('Master Data Sheet'!$F:$F=$E8) * ('Master Data Sheet'!$A:$A=$F8), 0), MATCH($F$1, 'Master Data Sheet'!$1:$1, 0)), "")</f>
        <v>0.86441268734750776</v>
      </c>
      <c r="M8" s="11" cm="1">
        <f t="array" ref="M8">IFERROR(INDEX('Master Data Sheet'!$1:$1048576, MATCH(1, ('Master Data Sheet'!$H:$H=M$2) * (INDEX('Master Data Sheet'!$1:$1, , MATCH($F$1, 'Master Data Sheet'!$1:$1, 0)) = $F$1) * ('Master Data Sheet'!$G:$G=$B8) * ('Master Data Sheet'!$F:$F=$E8) * ('Master Data Sheet'!$A:$A=$F8), 0), MATCH($F$1, 'Master Data Sheet'!$1:$1, 0)), "")</f>
        <v>0.9076333217148832</v>
      </c>
      <c r="N8" s="11" cm="1">
        <f t="array" ref="N8">IFERROR(INDEX('Master Data Sheet'!$1:$1048576, MATCH(1, ('Master Data Sheet'!$H:$H=N$2) * (INDEX('Master Data Sheet'!$1:$1, , MATCH($F$1, 'Master Data Sheet'!$1:$1, 0)) = $F$1) * ('Master Data Sheet'!$G:$G=$B8) * ('Master Data Sheet'!$F:$F=$E8) * ('Master Data Sheet'!$A:$A=$F8), 0), MATCH($F$1, 'Master Data Sheet'!$1:$1, 0)), "")</f>
        <v>1.0517021029394678</v>
      </c>
      <c r="O8" s="11">
        <f t="shared" si="8"/>
        <v>0.93438895251373466</v>
      </c>
      <c r="P8" s="11">
        <f t="shared" si="4"/>
        <v>6.6244788809422694E-2</v>
      </c>
      <c r="Q8" s="11"/>
      <c r="R8" s="46">
        <f>(1-(O8/O5))*100</f>
        <v>34.582132564841494</v>
      </c>
      <c r="Y8" s="2"/>
      <c r="Z8" s="2"/>
      <c r="AA8" s="2"/>
      <c r="AB8" s="2"/>
      <c r="AC8" s="2"/>
      <c r="AD8" s="2"/>
      <c r="AE8" s="2"/>
      <c r="AF8" s="2"/>
      <c r="AG8" s="2"/>
    </row>
    <row r="9" spans="1:45" x14ac:dyDescent="0.35">
      <c r="A9" s="41">
        <f>IFERROR(INDEX('Date Key'!$B$2:$B$19, MATCH(F9,'Date Key'!$A$2:$A$19, 0)), "")</f>
        <v>45175</v>
      </c>
      <c r="B9" s="4">
        <f t="shared" si="0"/>
        <v>1</v>
      </c>
      <c r="C9" s="26" t="str">
        <f>IFERROR(INDEX('Date Key'!$G$57:$G$62, MATCH(B9,'Date Key'!$A$57:$A$62, 0)), "")</f>
        <v>Low HLR, Lower Outlet Height, No Plants</v>
      </c>
      <c r="D9" s="4" t="str">
        <f>IFERROR(INDEX('Date Key'!$G$2:$G$19, MATCH(F9, 'Date Key'!$A$2:$A$19, 0)), "")</f>
        <v>No</v>
      </c>
      <c r="E9" s="4" t="str">
        <f t="shared" si="1"/>
        <v>tank 2</v>
      </c>
      <c r="F9" s="4">
        <f t="shared" si="2"/>
        <v>1</v>
      </c>
      <c r="G9" s="4">
        <f t="shared" si="3"/>
        <v>1</v>
      </c>
      <c r="H9" s="11" cm="1">
        <f t="array" ref="H9">IFERROR(INDEX('Master Data Sheet'!$1:$1048576, MATCH(1, ('Master Data Sheet'!$H:$H=H$2) * (INDEX('Master Data Sheet'!$1:$1, , MATCH($F$1, 'Master Data Sheet'!$1:$1, 0)) = $F$1) * ('Master Data Sheet'!$G:$G=$B9) * ('Master Data Sheet'!$F:$F=$E9) * ('Master Data Sheet'!$A:$A=$F9), 0), MATCH($F$1, 'Master Data Sheet'!$1:$1, 0)), "")</f>
        <v>1.5991634715928895</v>
      </c>
      <c r="I9" s="11" cm="1">
        <f t="array" ref="I9">IFERROR(INDEX('Master Data Sheet'!$1:$1048576, MATCH(1, ('Master Data Sheet'!$H:$H=I$2) * (INDEX('Master Data Sheet'!$1:$1, , MATCH($F$1, 'Master Data Sheet'!$1:$1, 0)) = $F$1) * ('Master Data Sheet'!$G:$G=$B9) * ('Master Data Sheet'!$F:$F=$E9) * ('Master Data Sheet'!$A:$A=$F9), 0), MATCH($F$1, 'Master Data Sheet'!$1:$1, 0)), "")</f>
        <v>1.97374230277681</v>
      </c>
      <c r="J9" s="11" cm="1">
        <f t="array" ref="J9">IFERROR(INDEX('Master Data Sheet'!$1:$1048576, MATCH(1, ('Master Data Sheet'!$H:$H=J$2) * (INDEX('Master Data Sheet'!$1:$1, , MATCH($F$1, 'Master Data Sheet'!$1:$1, 0)) = $F$1) * ('Master Data Sheet'!$G:$G=$B9) * ('Master Data Sheet'!$F:$F=$E9) * ('Master Data Sheet'!$A:$A=$F9), 0), MATCH($F$1, 'Master Data Sheet'!$1:$1, 0)), "")</f>
        <v>3.8034158243290346</v>
      </c>
      <c r="K9" s="11" cm="1">
        <f t="array" ref="K9">IFERROR(INDEX('Master Data Sheet'!$1:$1048576, MATCH(1, ('Master Data Sheet'!$H:$H=K$2) * (INDEX('Master Data Sheet'!$1:$1, , MATCH($F$1, 'Master Data Sheet'!$1:$1, 0)) = $F$1) * ('Master Data Sheet'!$G:$G=$B9) * ('Master Data Sheet'!$F:$F=$E9) * ('Master Data Sheet'!$A:$A=$F9), 0), MATCH($F$1, 'Master Data Sheet'!$1:$1, 0)), "")</f>
        <v>1.181364006041594</v>
      </c>
      <c r="L9" s="11" cm="1">
        <f t="array" ref="L9">IFERROR(INDEX('Master Data Sheet'!$1:$1048576, MATCH(1, ('Master Data Sheet'!$H:$H=L$2) * (INDEX('Master Data Sheet'!$1:$1, , MATCH($F$1, 'Master Data Sheet'!$1:$1, 0)) = $F$1) * ('Master Data Sheet'!$G:$G=$B9) * ('Master Data Sheet'!$F:$F=$E9) * ('Master Data Sheet'!$A:$A=$F9), 0), MATCH($F$1, 'Master Data Sheet'!$1:$1, 0)), "")</f>
        <v>1.0805158591843849</v>
      </c>
      <c r="M9" s="11" cm="1">
        <f t="array" ref="M9">IFERROR(INDEX('Master Data Sheet'!$1:$1048576, MATCH(1, ('Master Data Sheet'!$H:$H=M$2) * (INDEX('Master Data Sheet'!$1:$1, , MATCH($F$1, 'Master Data Sheet'!$1:$1, 0)) = $F$1) * ('Master Data Sheet'!$G:$G=$B9) * ('Master Data Sheet'!$F:$F=$E9) * ('Master Data Sheet'!$A:$A=$F9), 0), MATCH($F$1, 'Master Data Sheet'!$1:$1, 0)), "")</f>
        <v>1.6423841059602649</v>
      </c>
      <c r="N9" s="11" cm="1">
        <f t="array" ref="N9">IFERROR(INDEX('Master Data Sheet'!$1:$1048576, MATCH(1, ('Master Data Sheet'!$H:$H=N$2) * (INDEX('Master Data Sheet'!$1:$1, , MATCH($F$1, 'Master Data Sheet'!$1:$1, 0)) = $F$1) * ('Master Data Sheet'!$G:$G=$B9) * ('Master Data Sheet'!$F:$F=$E9) * ('Master Data Sheet'!$A:$A=$F9), 0), MATCH($F$1, 'Master Data Sheet'!$1:$1, 0)), "")</f>
        <v>1.483908446613222</v>
      </c>
      <c r="O9" s="11">
        <f t="shared" si="8"/>
        <v>1.8234991452140286</v>
      </c>
      <c r="P9" s="11">
        <f t="shared" si="4"/>
        <v>0.92244744722854644</v>
      </c>
      <c r="Q9" s="11">
        <f>AVERAGE(N9,N11)</f>
        <v>1.3470431044498665</v>
      </c>
      <c r="R9" s="46">
        <f>(1-(O9/O3))*100</f>
        <v>41.74884944115712</v>
      </c>
      <c r="S9" s="46">
        <f>AVERAGE(R9:R11)</f>
        <v>15.531085654018691</v>
      </c>
      <c r="T9" s="46">
        <f>STDEV(R9:R11)</f>
        <v>22.866450482861417</v>
      </c>
      <c r="U9" s="47">
        <f>(1-(AVERAGE(H9:N9,H11:N11)/AVERAGE(H3:N3,H5:N5)))*100</f>
        <v>28.577878103837474</v>
      </c>
      <c r="V9" s="47"/>
      <c r="Y9" s="2"/>
      <c r="Z9" s="2"/>
      <c r="AA9" s="2"/>
      <c r="AB9" s="2"/>
      <c r="AC9" s="2"/>
      <c r="AD9" s="2"/>
      <c r="AE9" s="2"/>
      <c r="AF9" s="2"/>
      <c r="AG9" s="2"/>
    </row>
    <row r="10" spans="1:45" x14ac:dyDescent="0.35">
      <c r="A10" s="41">
        <f>IFERROR(INDEX('Date Key'!$B$2:$B$19, MATCH(F10,'Date Key'!$A$2:$A$19, 0)), "")</f>
        <v>45181</v>
      </c>
      <c r="B10" s="4">
        <f t="shared" si="0"/>
        <v>1</v>
      </c>
      <c r="C10" s="26" t="str">
        <f>IFERROR(INDEX('Date Key'!$G$57:$G$62, MATCH(B10,'Date Key'!$A$57:$A$62, 0)), "")</f>
        <v>Low HLR, Lower Outlet Height, No Plants</v>
      </c>
      <c r="D10" s="4" t="str">
        <f>IFERROR(INDEX('Date Key'!$G$2:$G$19, MATCH(F10, 'Date Key'!$A$2:$A$19, 0)), "")</f>
        <v>No</v>
      </c>
      <c r="E10" s="4" t="str">
        <f t="shared" si="1"/>
        <v>tank 2</v>
      </c>
      <c r="F10" s="4">
        <f t="shared" si="2"/>
        <v>2</v>
      </c>
      <c r="G10" s="4">
        <f t="shared" si="3"/>
        <v>2</v>
      </c>
      <c r="H10" s="11" cm="1">
        <f t="array" ref="H10">IFERROR(INDEX('Master Data Sheet'!$1:$1048576, MATCH(1, ('Master Data Sheet'!$H:$H=H$2) * (INDEX('Master Data Sheet'!$1:$1, , MATCH($F$1, 'Master Data Sheet'!$1:$1, 0)) = $F$1) * ('Master Data Sheet'!$G:$G=$B10) * ('Master Data Sheet'!$F:$F=$E10) * ('Master Data Sheet'!$A:$A=$F10), 0), MATCH($F$1, 'Master Data Sheet'!$1:$1, 0)), "")</f>
        <v>2.9822237713489015</v>
      </c>
      <c r="I10" s="11" cm="1">
        <f t="array" ref="I10">IFERROR(INDEX('Master Data Sheet'!$1:$1048576, MATCH(1, ('Master Data Sheet'!$H:$H=I$2) * (INDEX('Master Data Sheet'!$1:$1, , MATCH($F$1, 'Master Data Sheet'!$1:$1, 0)) = $F$1) * ('Master Data Sheet'!$G:$G=$B10) * ('Master Data Sheet'!$F:$F=$E10) * ('Master Data Sheet'!$A:$A=$F10), 0), MATCH($F$1, 'Master Data Sheet'!$1:$1, 0)), "")</f>
        <v>2.0889973277564771</v>
      </c>
      <c r="J10" s="11" cm="1">
        <f t="array" ref="J10">IFERROR(INDEX('Master Data Sheet'!$1:$1048576, MATCH(1, ('Master Data Sheet'!$H:$H=J$2) * (INDEX('Master Data Sheet'!$1:$1, , MATCH($F$1, 'Master Data Sheet'!$1:$1, 0)) = $F$1) * ('Master Data Sheet'!$G:$G=$B10) * ('Master Data Sheet'!$F:$F=$E10) * ('Master Data Sheet'!$A:$A=$F10), 0), MATCH($F$1, 'Master Data Sheet'!$1:$1, 0)), "")</f>
        <v>2.0025560590217264</v>
      </c>
      <c r="K10" s="11" cm="1">
        <f t="array" ref="K10">IFERROR(INDEX('Master Data Sheet'!$1:$1048576, MATCH(1, ('Master Data Sheet'!$H:$H=K$2) * (INDEX('Master Data Sheet'!$1:$1, , MATCH($F$1, 'Master Data Sheet'!$1:$1, 0)) = $F$1) * ('Master Data Sheet'!$G:$G=$B10) * ('Master Data Sheet'!$F:$F=$E10) * ('Master Data Sheet'!$A:$A=$F10), 0), MATCH($F$1, 'Master Data Sheet'!$1:$1, 0)), "")</f>
        <v>2.1322179621238524</v>
      </c>
      <c r="L10" s="11" cm="1">
        <f t="array" ref="L10">IFERROR(INDEX('Master Data Sheet'!$1:$1048576, MATCH(1, ('Master Data Sheet'!$H:$H=L$2) * (INDEX('Master Data Sheet'!$1:$1, , MATCH($F$1, 'Master Data Sheet'!$1:$1, 0)) = $F$1) * ('Master Data Sheet'!$G:$G=$B10) * ('Master Data Sheet'!$F:$F=$E10) * ('Master Data Sheet'!$A:$A=$F10), 0), MATCH($F$1, 'Master Data Sheet'!$1:$1, 0)), "")</f>
        <v>2.1466248402463113</v>
      </c>
      <c r="M10" s="11" cm="1">
        <f t="array" ref="M10">IFERROR(INDEX('Master Data Sheet'!$1:$1048576, MATCH(1, ('Master Data Sheet'!$H:$H=M$2) * (INDEX('Master Data Sheet'!$1:$1, , MATCH($F$1, 'Master Data Sheet'!$1:$1, 0)) = $F$1) * ('Master Data Sheet'!$G:$G=$B10) * ('Master Data Sheet'!$F:$F=$E10) * ('Master Data Sheet'!$A:$A=$F10), 0), MATCH($F$1, 'Master Data Sheet'!$1:$1, 0)), "")</f>
        <v>2.4347624026954806</v>
      </c>
      <c r="N10" s="11" cm="1">
        <f t="array" ref="N10">IFERROR(INDEX('Master Data Sheet'!$1:$1048576, MATCH(1, ('Master Data Sheet'!$H:$H=N$2) * (INDEX('Master Data Sheet'!$1:$1, , MATCH($F$1, 'Master Data Sheet'!$1:$1, 0)) = $F$1) * ('Master Data Sheet'!$G:$G=$B10) * ('Master Data Sheet'!$F:$F=$E10) * ('Master Data Sheet'!$A:$A=$F10), 0), MATCH($F$1, 'Master Data Sheet'!$1:$1, 0)), "")</f>
        <v>2.1898454746136866</v>
      </c>
      <c r="O10" s="11">
        <f t="shared" si="8"/>
        <v>2.2824611196866336</v>
      </c>
      <c r="P10" s="11">
        <f t="shared" si="4"/>
        <v>0.3362143884885257</v>
      </c>
      <c r="Q10" s="11"/>
      <c r="R10" s="46">
        <f>(1-(O10/O4))*100</f>
        <v>5.1325919589392814</v>
      </c>
      <c r="X10" t="str">
        <f>IFERROR(INDEX('Date Key'!$G$57:$G$62, MATCH(B9,'Date Key'!$A$57:$A$62, 0)), "")</f>
        <v>Low HLR, Lower Outlet Height, No Plants</v>
      </c>
      <c r="Y10" s="1">
        <f t="shared" ref="Y10:AE10" si="12">H9</f>
        <v>1.5991634715928895</v>
      </c>
      <c r="Z10" s="1">
        <f t="shared" si="12"/>
        <v>1.97374230277681</v>
      </c>
      <c r="AA10" s="1">
        <f t="shared" si="12"/>
        <v>3.8034158243290346</v>
      </c>
      <c r="AB10" s="1">
        <f t="shared" si="12"/>
        <v>1.181364006041594</v>
      </c>
      <c r="AC10" s="1">
        <f t="shared" si="12"/>
        <v>1.0805158591843849</v>
      </c>
      <c r="AD10" s="1">
        <f t="shared" si="12"/>
        <v>1.6423841059602649</v>
      </c>
      <c r="AE10" s="1">
        <f t="shared" si="12"/>
        <v>1.483908446613222</v>
      </c>
      <c r="AF10" s="1">
        <f t="shared" ref="AF10:AL10" si="13">H10</f>
        <v>2.9822237713489015</v>
      </c>
      <c r="AG10" s="1">
        <f t="shared" si="13"/>
        <v>2.0889973277564771</v>
      </c>
      <c r="AH10" s="1">
        <f t="shared" si="13"/>
        <v>2.0025560590217264</v>
      </c>
      <c r="AI10" s="1">
        <f t="shared" si="13"/>
        <v>2.1322179621238524</v>
      </c>
      <c r="AJ10" s="1">
        <f t="shared" si="13"/>
        <v>2.1466248402463113</v>
      </c>
      <c r="AK10" s="1">
        <f t="shared" si="13"/>
        <v>2.4347624026954806</v>
      </c>
      <c r="AL10" s="1">
        <f t="shared" si="13"/>
        <v>2.1898454746136866</v>
      </c>
      <c r="AM10" s="1">
        <f t="shared" ref="AM10:AS10" si="14">H11</f>
        <v>1.4695015684907635</v>
      </c>
      <c r="AN10" s="1">
        <f t="shared" si="14"/>
        <v>1.6856047403276406</v>
      </c>
      <c r="AO10" s="1">
        <f t="shared" si="14"/>
        <v>1.4118740560009293</v>
      </c>
      <c r="AP10" s="1">
        <f t="shared" si="14"/>
        <v>1.4695015684907635</v>
      </c>
      <c r="AQ10" s="1">
        <f t="shared" si="14"/>
        <v>1.4118740560009293</v>
      </c>
      <c r="AR10" s="1">
        <f t="shared" si="14"/>
        <v>1.368653421633554</v>
      </c>
      <c r="AS10" s="1">
        <f t="shared" si="14"/>
        <v>1.2101777622865111</v>
      </c>
    </row>
    <row r="11" spans="1:45" x14ac:dyDescent="0.35">
      <c r="A11" s="42">
        <f>IFERROR(INDEX('Date Key'!$B$2:$B$19, MATCH(F11,'Date Key'!$A$2:$A$19, 0)), "")</f>
        <v>45195</v>
      </c>
      <c r="B11" s="27">
        <f t="shared" si="0"/>
        <v>1</v>
      </c>
      <c r="C11" s="51" t="str">
        <f>IFERROR(INDEX('Date Key'!$G$57:$G$62, MATCH(B11,'Date Key'!$A$57:$A$62, 0)), "")</f>
        <v>Low HLR, Lower Outlet Height, No Plants</v>
      </c>
      <c r="D11" s="27" t="str">
        <f>IFERROR(INDEX('Date Key'!$G$2:$G$19, MATCH(F11, 'Date Key'!$A$2:$A$19, 0)), "")</f>
        <v>No</v>
      </c>
      <c r="E11" s="27" t="str">
        <f t="shared" si="1"/>
        <v>tank 2</v>
      </c>
      <c r="F11" s="27">
        <f t="shared" si="2"/>
        <v>3</v>
      </c>
      <c r="G11" s="27">
        <f t="shared" si="3"/>
        <v>3</v>
      </c>
      <c r="H11" s="28" cm="1">
        <f t="array" ref="H11">IFERROR(INDEX('Master Data Sheet'!$1:$1048576, MATCH(1, ('Master Data Sheet'!$H:$H=H$2) * (INDEX('Master Data Sheet'!$1:$1, , MATCH($F$1, 'Master Data Sheet'!$1:$1, 0)) = $F$1) * ('Master Data Sheet'!$G:$G=$B11) * ('Master Data Sheet'!$F:$F=$E11) * ('Master Data Sheet'!$A:$A=$F11), 0), MATCH($F$1, 'Master Data Sheet'!$1:$1, 0)), "")</f>
        <v>1.4695015684907635</v>
      </c>
      <c r="I11" s="28" cm="1">
        <f t="array" ref="I11">IFERROR(INDEX('Master Data Sheet'!$1:$1048576, MATCH(1, ('Master Data Sheet'!$H:$H=I$2) * (INDEX('Master Data Sheet'!$1:$1, , MATCH($F$1, 'Master Data Sheet'!$1:$1, 0)) = $F$1) * ('Master Data Sheet'!$G:$G=$B11) * ('Master Data Sheet'!$F:$F=$E11) * ('Master Data Sheet'!$A:$A=$F11), 0), MATCH($F$1, 'Master Data Sheet'!$1:$1, 0)), "")</f>
        <v>1.6856047403276406</v>
      </c>
      <c r="J11" s="28" cm="1">
        <f t="array" ref="J11">IFERROR(INDEX('Master Data Sheet'!$1:$1048576, MATCH(1, ('Master Data Sheet'!$H:$H=J$2) * (INDEX('Master Data Sheet'!$1:$1, , MATCH($F$1, 'Master Data Sheet'!$1:$1, 0)) = $F$1) * ('Master Data Sheet'!$G:$G=$B11) * ('Master Data Sheet'!$F:$F=$E11) * ('Master Data Sheet'!$A:$A=$F11), 0), MATCH($F$1, 'Master Data Sheet'!$1:$1, 0)), "")</f>
        <v>1.4118740560009293</v>
      </c>
      <c r="K11" s="28" cm="1">
        <f t="array" ref="K11">IFERROR(INDEX('Master Data Sheet'!$1:$1048576, MATCH(1, ('Master Data Sheet'!$H:$H=K$2) * (INDEX('Master Data Sheet'!$1:$1, , MATCH($F$1, 'Master Data Sheet'!$1:$1, 0)) = $F$1) * ('Master Data Sheet'!$G:$G=$B11) * ('Master Data Sheet'!$F:$F=$E11) * ('Master Data Sheet'!$A:$A=$F11), 0), MATCH($F$1, 'Master Data Sheet'!$1:$1, 0)), "")</f>
        <v>1.4695015684907635</v>
      </c>
      <c r="L11" s="28" cm="1">
        <f t="array" ref="L11">IFERROR(INDEX('Master Data Sheet'!$1:$1048576, MATCH(1, ('Master Data Sheet'!$H:$H=L$2) * (INDEX('Master Data Sheet'!$1:$1, , MATCH($F$1, 'Master Data Sheet'!$1:$1, 0)) = $F$1) * ('Master Data Sheet'!$G:$G=$B11) * ('Master Data Sheet'!$F:$F=$E11) * ('Master Data Sheet'!$A:$A=$F11), 0), MATCH($F$1, 'Master Data Sheet'!$1:$1, 0)), "")</f>
        <v>1.4118740560009293</v>
      </c>
      <c r="M11" s="28" cm="1">
        <f t="array" ref="M11">IFERROR(INDEX('Master Data Sheet'!$1:$1048576, MATCH(1, ('Master Data Sheet'!$H:$H=M$2) * (INDEX('Master Data Sheet'!$1:$1, , MATCH($F$1, 'Master Data Sheet'!$1:$1, 0)) = $F$1) * ('Master Data Sheet'!$G:$G=$B11) * ('Master Data Sheet'!$F:$F=$E11) * ('Master Data Sheet'!$A:$A=$F11), 0), MATCH($F$1, 'Master Data Sheet'!$1:$1, 0)), "")</f>
        <v>1.368653421633554</v>
      </c>
      <c r="N11" s="28" cm="1">
        <f t="array" ref="N11">IFERROR(INDEX('Master Data Sheet'!$1:$1048576, MATCH(1, ('Master Data Sheet'!$H:$H=N$2) * (INDEX('Master Data Sheet'!$1:$1, , MATCH($F$1, 'Master Data Sheet'!$1:$1, 0)) = $F$1) * ('Master Data Sheet'!$G:$G=$B11) * ('Master Data Sheet'!$F:$F=$E11) * ('Master Data Sheet'!$A:$A=$F11), 0), MATCH($F$1, 'Master Data Sheet'!$1:$1, 0)), "")</f>
        <v>1.2101777622865111</v>
      </c>
      <c r="O11" s="28">
        <f t="shared" si="8"/>
        <v>1.4324553104615843</v>
      </c>
      <c r="P11" s="28">
        <f t="shared" si="4"/>
        <v>0.14210011131858952</v>
      </c>
      <c r="Q11" s="28"/>
      <c r="R11" s="48">
        <f>(1-(O11/O5))*100</f>
        <v>-0.28818443804032867</v>
      </c>
      <c r="S11" s="27"/>
      <c r="T11" s="27"/>
      <c r="U11" s="27"/>
      <c r="V11" s="27"/>
    </row>
    <row r="12" spans="1:45" x14ac:dyDescent="0.35">
      <c r="A12" s="41">
        <f>IFERROR(INDEX('Date Key'!$B$2:$B$19, MATCH(F12,'Date Key'!$A$2:$A$19, 0)), "")</f>
        <v>45217</v>
      </c>
      <c r="B12" s="4">
        <f>INT((ROW(B10)-1)/9)+1</f>
        <v>2</v>
      </c>
      <c r="C12" s="26" t="str">
        <f>IFERROR(INDEX('Date Key'!$G$57:$G$62, MATCH(B12,'Date Key'!$A$57:$A$62, 0)), "")</f>
        <v>Medium HLR, Lower Outlet Height, No Plants</v>
      </c>
      <c r="D12" s="4" t="str">
        <f>IFERROR(INDEX('Date Key'!$G$2:$G$19, MATCH(F12, 'Date Key'!$A$2:$A$19, 0)), "")</f>
        <v>No</v>
      </c>
      <c r="E12" s="4" t="str">
        <f t="shared" si="1"/>
        <v>in</v>
      </c>
      <c r="F12" s="4">
        <f t="shared" si="2"/>
        <v>4</v>
      </c>
      <c r="G12" s="4">
        <f t="shared" si="3"/>
        <v>1</v>
      </c>
      <c r="H12" s="11" cm="1">
        <f t="array" ref="H12">IFERROR(INDEX('Master Data Sheet'!$1:$1048576, MATCH(1, ('Master Data Sheet'!$H:$H=H$2) * (INDEX('Master Data Sheet'!$1:$1, , MATCH($F$1, 'Master Data Sheet'!$1:$1, 0)) = $F$1) * ('Master Data Sheet'!$G:$G=$B12) * ('Master Data Sheet'!$F:$F=$E12) * ('Master Data Sheet'!$A:$A=$F12), 0), MATCH($F$1, 'Master Data Sheet'!$1:$1, 0)), "")</f>
        <v>0.66595059076262086</v>
      </c>
      <c r="I12" s="11" cm="1">
        <f t="array" ref="I12">IFERROR(INDEX('Master Data Sheet'!$1:$1048576, MATCH(1, ('Master Data Sheet'!$H:$H=I$2) * (INDEX('Master Data Sheet'!$1:$1, , MATCH($F$1, 'Master Data Sheet'!$1:$1, 0)) = $F$1) * ('Master Data Sheet'!$G:$G=$B12) * ('Master Data Sheet'!$F:$F=$E12) * ('Master Data Sheet'!$A:$A=$F12), 0), MATCH($F$1, 'Master Data Sheet'!$1:$1, 0)), "")</f>
        <v>0.76584317937701396</v>
      </c>
      <c r="J12" s="11" cm="1">
        <f t="array" ref="J12">IFERROR(INDEX('Master Data Sheet'!$1:$1048576, MATCH(1, ('Master Data Sheet'!$H:$H=J$2) * (INDEX('Master Data Sheet'!$1:$1, , MATCH($F$1, 'Master Data Sheet'!$1:$1, 0)) = $F$1) * ('Master Data Sheet'!$G:$G=$B12) * ('Master Data Sheet'!$F:$F=$E12) * ('Master Data Sheet'!$A:$A=$F12), 0), MATCH($F$1, 'Master Data Sheet'!$1:$1, 0)), "")</f>
        <v>1.7203723594701037</v>
      </c>
      <c r="K12" s="11" cm="1">
        <f t="array" ref="K12">IFERROR(INDEX('Master Data Sheet'!$1:$1048576, MATCH(1, ('Master Data Sheet'!$H:$H=K$2) * (INDEX('Master Data Sheet'!$1:$1, , MATCH($F$1, 'Master Data Sheet'!$1:$1, 0)) = $F$1) * ('Master Data Sheet'!$G:$G=$B12) * ('Master Data Sheet'!$F:$F=$E12) * ('Master Data Sheet'!$A:$A=$F12), 0), MATCH($F$1, 'Master Data Sheet'!$1:$1, 0)), "")</f>
        <v>2.1643394199785173</v>
      </c>
      <c r="L12" s="11" cm="1">
        <f t="array" ref="L12">IFERROR(INDEX('Master Data Sheet'!$1:$1048576, MATCH(1, ('Master Data Sheet'!$H:$H=L$2) * (INDEX('Master Data Sheet'!$1:$1, , MATCH($F$1, 'Master Data Sheet'!$1:$1, 0)) = $F$1) * ('Master Data Sheet'!$G:$G=$B12) * ('Master Data Sheet'!$F:$F=$E12) * ('Master Data Sheet'!$A:$A=$F12), 0), MATCH($F$1, 'Master Data Sheet'!$1:$1, 0)), "")</f>
        <v>2.0866451843895457</v>
      </c>
      <c r="M12" s="11" cm="1">
        <f t="array" ref="M12">IFERROR(INDEX('Master Data Sheet'!$1:$1048576, MATCH(1, ('Master Data Sheet'!$H:$H=M$2) * (INDEX('Master Data Sheet'!$1:$1, , MATCH($F$1, 'Master Data Sheet'!$1:$1, 0)) = $F$1) * ('Master Data Sheet'!$G:$G=$B12) * ('Master Data Sheet'!$F:$F=$E12) * ('Master Data Sheet'!$A:$A=$F12), 0), MATCH($F$1, 'Master Data Sheet'!$1:$1, 0)), "")</f>
        <v>2.042248478338704</v>
      </c>
      <c r="N12" s="11" cm="1">
        <f t="array" ref="N12">IFERROR(INDEX('Master Data Sheet'!$1:$1048576, MATCH(1, ('Master Data Sheet'!$H:$H=N$2) * (INDEX('Master Data Sheet'!$1:$1, , MATCH($F$1, 'Master Data Sheet'!$1:$1, 0)) = $F$1) * ('Master Data Sheet'!$G:$G=$B12) * ('Master Data Sheet'!$F:$F=$E12) * ('Master Data Sheet'!$A:$A=$F12), 0), MATCH($F$1, 'Master Data Sheet'!$1:$1, 0)), "")</f>
        <v>2.1754385964912286</v>
      </c>
      <c r="O12" s="11">
        <f t="shared" si="8"/>
        <v>1.6601196869725336</v>
      </c>
      <c r="P12" s="11">
        <f t="shared" si="4"/>
        <v>0.66325844375038934</v>
      </c>
      <c r="Q12" s="11">
        <f>AVERAGE(O12:O14)</f>
        <v>1.6241794963599474</v>
      </c>
      <c r="S12" s="11">
        <f>AVERAGE(O12:O14)</f>
        <v>1.6241794963599474</v>
      </c>
      <c r="T12" s="11">
        <f>AVERAGE(P12:P14)</f>
        <v>0.82051478937130584</v>
      </c>
      <c r="V12" s="47">
        <f>AVERAGE(U15, U18)</f>
        <v>37.146111291897171</v>
      </c>
      <c r="X12" t="s">
        <v>343</v>
      </c>
    </row>
    <row r="13" spans="1:45" x14ac:dyDescent="0.35">
      <c r="A13" s="41">
        <f>IFERROR(INDEX('Date Key'!$B$2:$B$19, MATCH(F13,'Date Key'!$A$2:$A$19, 0)), "")</f>
        <v>45224</v>
      </c>
      <c r="B13" s="4">
        <f t="shared" ref="B13:B56" si="15">INT((ROW(B11)-1)/9)+1</f>
        <v>2</v>
      </c>
      <c r="C13" s="26" t="str">
        <f>IFERROR(INDEX('Date Key'!$G$57:$G$62, MATCH(B13,'Date Key'!$A$57:$A$62, 0)), "")</f>
        <v>Medium HLR, Lower Outlet Height, No Plants</v>
      </c>
      <c r="D13" s="4" t="str">
        <f>IFERROR(INDEX('Date Key'!$G$2:$G$19, MATCH(F13, 'Date Key'!$A$2:$A$19, 0)), "")</f>
        <v>No</v>
      </c>
      <c r="E13" s="4" t="str">
        <f t="shared" si="1"/>
        <v>in</v>
      </c>
      <c r="F13" s="4">
        <f t="shared" si="2"/>
        <v>5</v>
      </c>
      <c r="G13" s="4">
        <f t="shared" si="3"/>
        <v>2</v>
      </c>
      <c r="H13" s="11" cm="1">
        <f t="array" ref="H13">IFERROR(INDEX('Master Data Sheet'!$1:$1048576, MATCH(1, ('Master Data Sheet'!$H:$H=H$2) * (INDEX('Master Data Sheet'!$1:$1, , MATCH($F$1, 'Master Data Sheet'!$1:$1, 0)) = $F$1) * ('Master Data Sheet'!$G:$G=$B13) * ('Master Data Sheet'!$F:$F=$E13) * ('Master Data Sheet'!$A:$A=$F13), 0), MATCH($F$1, 'Master Data Sheet'!$1:$1, 0)), "")</f>
        <v>0.92123165055495881</v>
      </c>
      <c r="I13" s="11" cm="1">
        <f t="array" ref="I13">IFERROR(INDEX('Master Data Sheet'!$1:$1048576, MATCH(1, ('Master Data Sheet'!$H:$H=I$2) * (INDEX('Master Data Sheet'!$1:$1, , MATCH($F$1, 'Master Data Sheet'!$1:$1, 0)) = $F$1) * ('Master Data Sheet'!$G:$G=$B13) * ('Master Data Sheet'!$F:$F=$E13) * ('Master Data Sheet'!$A:$A=$F13), 0), MATCH($F$1, 'Master Data Sheet'!$1:$1, 0)), "")</f>
        <v>1.4428929466523452</v>
      </c>
      <c r="J13" s="11" cm="1">
        <f t="array" ref="J13">IFERROR(INDEX('Master Data Sheet'!$1:$1048576, MATCH(1, ('Master Data Sheet'!$H:$H=J$2) * (INDEX('Master Data Sheet'!$1:$1, , MATCH($F$1, 'Master Data Sheet'!$1:$1, 0)) = $F$1) * ('Master Data Sheet'!$G:$G=$B13) * ('Master Data Sheet'!$F:$F=$E13) * ('Master Data Sheet'!$A:$A=$F13), 0), MATCH($F$1, 'Master Data Sheet'!$1:$1, 0)), "")</f>
        <v>1.4983888292158969</v>
      </c>
      <c r="K13" s="11" cm="1">
        <f t="array" ref="K13">IFERROR(INDEX('Master Data Sheet'!$1:$1048576, MATCH(1, ('Master Data Sheet'!$H:$H=K$2) * (INDEX('Master Data Sheet'!$1:$1, , MATCH($F$1, 'Master Data Sheet'!$1:$1, 0)) = $F$1) * ('Master Data Sheet'!$G:$G=$B13) * ('Master Data Sheet'!$F:$F=$E13) * ('Master Data Sheet'!$A:$A=$F13), 0), MATCH($F$1, 'Master Data Sheet'!$1:$1, 0)), "")</f>
        <v>5.8492660221983526</v>
      </c>
      <c r="L13" s="11" cm="1">
        <f t="array" ref="L13">IFERROR(INDEX('Master Data Sheet'!$1:$1048576, MATCH(1, ('Master Data Sheet'!$H:$H=L$2) * (INDEX('Master Data Sheet'!$1:$1, , MATCH($F$1, 'Master Data Sheet'!$1:$1, 0)) = $F$1) * ('Master Data Sheet'!$G:$G=$B13) * ('Master Data Sheet'!$F:$F=$E13) * ('Master Data Sheet'!$A:$A=$F13), 0), MATCH($F$1, 'Master Data Sheet'!$1:$1, 0)), "")</f>
        <v>1.853562477622628</v>
      </c>
      <c r="M13" s="11" cm="1">
        <f t="array" ref="M13">IFERROR(INDEX('Master Data Sheet'!$1:$1048576, MATCH(1, ('Master Data Sheet'!$H:$H=M$2) * (INDEX('Master Data Sheet'!$1:$1, , MATCH($F$1, 'Master Data Sheet'!$1:$1, 0)) = $F$1) * ('Master Data Sheet'!$G:$G=$B13) * ('Master Data Sheet'!$F:$F=$E13) * ('Master Data Sheet'!$A:$A=$F13), 0), MATCH($F$1, 'Master Data Sheet'!$1:$1, 0)), "")</f>
        <v>1.9201575366988897</v>
      </c>
      <c r="N13" s="11" cm="1">
        <f t="array" ref="N13">IFERROR(INDEX('Master Data Sheet'!$1:$1048576, MATCH(1, ('Master Data Sheet'!$H:$H=N$2) * (INDEX('Master Data Sheet'!$1:$1, , MATCH($F$1, 'Master Data Sheet'!$1:$1, 0)) = $F$1) * ('Master Data Sheet'!$G:$G=$B13) * ('Master Data Sheet'!$F:$F=$E13) * ('Master Data Sheet'!$A:$A=$F13), 0), MATCH($F$1, 'Master Data Sheet'!$1:$1, 0)), "")</f>
        <v>2.4751163623344072</v>
      </c>
      <c r="O13" s="11">
        <f t="shared" si="8"/>
        <v>2.2800879750396397</v>
      </c>
      <c r="P13" s="11">
        <f t="shared" si="4"/>
        <v>1.6455486169912794</v>
      </c>
      <c r="Q13" s="11"/>
      <c r="X13" t="str">
        <f>IFERROR(INDEX('Date Key'!$G$57:$G$62, MATCH(B12,'Date Key'!$A$57:$A$62, 0)), "")</f>
        <v>Medium HLR, Lower Outlet Height, No Plants</v>
      </c>
      <c r="Y13" s="1">
        <f t="shared" ref="Y13:AE13" si="16">H12</f>
        <v>0.66595059076262086</v>
      </c>
      <c r="Z13" s="1">
        <f t="shared" si="16"/>
        <v>0.76584317937701396</v>
      </c>
      <c r="AA13" s="1">
        <f t="shared" si="16"/>
        <v>1.7203723594701037</v>
      </c>
      <c r="AB13" s="1">
        <f t="shared" si="16"/>
        <v>2.1643394199785173</v>
      </c>
      <c r="AC13" s="1">
        <f t="shared" si="16"/>
        <v>2.0866451843895457</v>
      </c>
      <c r="AD13" s="1">
        <f t="shared" si="16"/>
        <v>2.042248478338704</v>
      </c>
      <c r="AE13" s="1">
        <f t="shared" si="16"/>
        <v>2.1754385964912286</v>
      </c>
      <c r="AF13" s="1">
        <f t="shared" ref="AF13:AL13" si="17">H13</f>
        <v>0.92123165055495881</v>
      </c>
      <c r="AG13" s="1">
        <f t="shared" si="17"/>
        <v>1.4428929466523452</v>
      </c>
      <c r="AH13" s="1">
        <f t="shared" si="17"/>
        <v>1.4983888292158969</v>
      </c>
      <c r="AI13" s="1">
        <f t="shared" si="17"/>
        <v>5.8492660221983526</v>
      </c>
      <c r="AJ13" s="1">
        <f t="shared" si="17"/>
        <v>1.853562477622628</v>
      </c>
      <c r="AK13" s="1">
        <f t="shared" si="17"/>
        <v>1.9201575366988897</v>
      </c>
      <c r="AL13" s="1">
        <f t="shared" si="17"/>
        <v>2.4751163623344072</v>
      </c>
      <c r="AM13" s="1">
        <f t="shared" ref="AM13:AS13" si="18">H14</f>
        <v>0.84727608494921502</v>
      </c>
      <c r="AN13" s="1">
        <f t="shared" si="18"/>
        <v>0.90452446906740536</v>
      </c>
      <c r="AO13" s="1">
        <f t="shared" si="18"/>
        <v>1.2365650969529085</v>
      </c>
      <c r="AP13" s="1">
        <f t="shared" si="18"/>
        <v>1.0304709141274238</v>
      </c>
      <c r="AQ13" s="1">
        <f t="shared" si="18"/>
        <v>0.84727608494921502</v>
      </c>
      <c r="AR13" s="1">
        <f t="shared" si="18"/>
        <v>0.80147737765466298</v>
      </c>
      <c r="AS13" s="1">
        <f t="shared" si="18"/>
        <v>0.85872576177285309</v>
      </c>
    </row>
    <row r="14" spans="1:45" x14ac:dyDescent="0.35">
      <c r="A14" s="41">
        <f>IFERROR(INDEX('Date Key'!$B$2:$B$19, MATCH(F14,'Date Key'!$A$2:$A$19, 0)), "")</f>
        <v>45230</v>
      </c>
      <c r="B14" s="4">
        <f t="shared" si="15"/>
        <v>2</v>
      </c>
      <c r="C14" s="26" t="str">
        <f>IFERROR(INDEX('Date Key'!$G$57:$G$62, MATCH(B14,'Date Key'!$A$57:$A$62, 0)), "")</f>
        <v>Medium HLR, Lower Outlet Height, No Plants</v>
      </c>
      <c r="D14" s="4" t="str">
        <f>IFERROR(INDEX('Date Key'!$G$2:$G$19, MATCH(F14, 'Date Key'!$A$2:$A$19, 0)), "")</f>
        <v>Yes</v>
      </c>
      <c r="E14" s="4" t="str">
        <f t="shared" si="1"/>
        <v>in</v>
      </c>
      <c r="F14" s="4">
        <f t="shared" si="2"/>
        <v>6</v>
      </c>
      <c r="G14" s="4">
        <f t="shared" si="3"/>
        <v>3</v>
      </c>
      <c r="H14" s="11" cm="1">
        <f t="array" ref="H14">IFERROR(INDEX('Master Data Sheet'!$1:$1048576, MATCH(1, ('Master Data Sheet'!$H:$H=H$2) * (INDEX('Master Data Sheet'!$1:$1, , MATCH($F$1, 'Master Data Sheet'!$1:$1, 0)) = $F$1) * ('Master Data Sheet'!$G:$G=$B14) * ('Master Data Sheet'!$F:$F=$E14) * ('Master Data Sheet'!$A:$A=$F14), 0), MATCH($F$1, 'Master Data Sheet'!$1:$1, 0)), "")</f>
        <v>0.84727608494921502</v>
      </c>
      <c r="I14" s="11" cm="1">
        <f t="array" ref="I14">IFERROR(INDEX('Master Data Sheet'!$1:$1048576, MATCH(1, ('Master Data Sheet'!$H:$H=I$2) * (INDEX('Master Data Sheet'!$1:$1, , MATCH($F$1, 'Master Data Sheet'!$1:$1, 0)) = $F$1) * ('Master Data Sheet'!$G:$G=$B14) * ('Master Data Sheet'!$F:$F=$E14) * ('Master Data Sheet'!$A:$A=$F14), 0), MATCH($F$1, 'Master Data Sheet'!$1:$1, 0)), "")</f>
        <v>0.90452446906740536</v>
      </c>
      <c r="J14" s="11" cm="1">
        <f t="array" ref="J14">IFERROR(INDEX('Master Data Sheet'!$1:$1048576, MATCH(1, ('Master Data Sheet'!$H:$H=J$2) * (INDEX('Master Data Sheet'!$1:$1, , MATCH($F$1, 'Master Data Sheet'!$1:$1, 0)) = $F$1) * ('Master Data Sheet'!$G:$G=$B14) * ('Master Data Sheet'!$F:$F=$E14) * ('Master Data Sheet'!$A:$A=$F14), 0), MATCH($F$1, 'Master Data Sheet'!$1:$1, 0)), "")</f>
        <v>1.2365650969529085</v>
      </c>
      <c r="K14" s="11" cm="1">
        <f t="array" ref="K14">IFERROR(INDEX('Master Data Sheet'!$1:$1048576, MATCH(1, ('Master Data Sheet'!$H:$H=K$2) * (INDEX('Master Data Sheet'!$1:$1, , MATCH($F$1, 'Master Data Sheet'!$1:$1, 0)) = $F$1) * ('Master Data Sheet'!$G:$G=$B14) * ('Master Data Sheet'!$F:$F=$E14) * ('Master Data Sheet'!$A:$A=$F14), 0), MATCH($F$1, 'Master Data Sheet'!$1:$1, 0)), "")</f>
        <v>1.0304709141274238</v>
      </c>
      <c r="L14" s="11" cm="1">
        <f t="array" ref="L14">IFERROR(INDEX('Master Data Sheet'!$1:$1048576, MATCH(1, ('Master Data Sheet'!$H:$H=L$2) * (INDEX('Master Data Sheet'!$1:$1, , MATCH($F$1, 'Master Data Sheet'!$1:$1, 0)) = $F$1) * ('Master Data Sheet'!$G:$G=$B14) * ('Master Data Sheet'!$F:$F=$E14) * ('Master Data Sheet'!$A:$A=$F14), 0), MATCH($F$1, 'Master Data Sheet'!$1:$1, 0)), "")</f>
        <v>0.84727608494921502</v>
      </c>
      <c r="M14" s="11" cm="1">
        <f t="array" ref="M14">IFERROR(INDEX('Master Data Sheet'!$1:$1048576, MATCH(1, ('Master Data Sheet'!$H:$H=M$2) * (INDEX('Master Data Sheet'!$1:$1, , MATCH($F$1, 'Master Data Sheet'!$1:$1, 0)) = $F$1) * ('Master Data Sheet'!$G:$G=$B14) * ('Master Data Sheet'!$F:$F=$E14) * ('Master Data Sheet'!$A:$A=$F14), 0), MATCH($F$1, 'Master Data Sheet'!$1:$1, 0)), "")</f>
        <v>0.80147737765466298</v>
      </c>
      <c r="N14" s="11" cm="1">
        <f t="array" ref="N14">IFERROR(INDEX('Master Data Sheet'!$1:$1048576, MATCH(1, ('Master Data Sheet'!$H:$H=N$2) * (INDEX('Master Data Sheet'!$1:$1, , MATCH($F$1, 'Master Data Sheet'!$1:$1, 0)) = $F$1) * ('Master Data Sheet'!$G:$G=$B14) * ('Master Data Sheet'!$F:$F=$E14) * ('Master Data Sheet'!$A:$A=$F14), 0), MATCH($F$1, 'Master Data Sheet'!$1:$1, 0)), "")</f>
        <v>0.85872576177285309</v>
      </c>
      <c r="O14" s="11">
        <f t="shared" si="8"/>
        <v>0.93233082706766912</v>
      </c>
      <c r="P14" s="11">
        <f t="shared" si="4"/>
        <v>0.15273730737224886</v>
      </c>
      <c r="Q14" s="11"/>
      <c r="Y14" s="1"/>
      <c r="Z14" s="1"/>
      <c r="AA14" s="1"/>
      <c r="AB14" s="1"/>
      <c r="AC14" s="1"/>
      <c r="AD14" s="1"/>
      <c r="AE14" s="1"/>
      <c r="AF14" s="1"/>
      <c r="AG14" s="1"/>
      <c r="AH14" s="1"/>
      <c r="AI14" s="1"/>
      <c r="AJ14" s="1"/>
      <c r="AK14" s="1"/>
      <c r="AL14" s="1"/>
      <c r="AM14" s="1"/>
      <c r="AN14" s="1"/>
      <c r="AO14" s="1"/>
      <c r="AP14" s="1"/>
      <c r="AQ14" s="1"/>
      <c r="AR14" s="1"/>
      <c r="AS14" s="1"/>
    </row>
    <row r="15" spans="1:45" x14ac:dyDescent="0.35">
      <c r="A15" s="41">
        <f>IFERROR(INDEX('Date Key'!$B$2:$B$19, MATCH(F15,'Date Key'!$A$2:$A$19, 0)), "")</f>
        <v>45217</v>
      </c>
      <c r="B15" s="4">
        <f t="shared" si="15"/>
        <v>2</v>
      </c>
      <c r="C15" s="26" t="str">
        <f>IFERROR(INDEX('Date Key'!$G$57:$G$62, MATCH(B15,'Date Key'!$A$57:$A$62, 0)), "")</f>
        <v>Medium HLR, Lower Outlet Height, No Plants</v>
      </c>
      <c r="D15" s="4" t="str">
        <f>IFERROR(INDEX('Date Key'!$G$2:$G$19, MATCH(F15, 'Date Key'!$A$2:$A$19, 0)), "")</f>
        <v>No</v>
      </c>
      <c r="E15" s="4" t="str">
        <f t="shared" si="1"/>
        <v>tank 1</v>
      </c>
      <c r="F15" s="4">
        <f t="shared" si="2"/>
        <v>4</v>
      </c>
      <c r="G15" s="4">
        <f t="shared" si="3"/>
        <v>1</v>
      </c>
      <c r="H15" s="11" cm="1">
        <f t="array" ref="H15">IFERROR(INDEX('Master Data Sheet'!$1:$1048576, MATCH(1, ('Master Data Sheet'!$H:$H=H$2) * (INDEX('Master Data Sheet'!$1:$1, , MATCH($F$1, 'Master Data Sheet'!$1:$1, 0)) = $F$1) * ('Master Data Sheet'!$G:$G=$B15) * ('Master Data Sheet'!$F:$F=$E15) * ('Master Data Sheet'!$A:$A=$F15), 0), MATCH($F$1, 'Master Data Sheet'!$1:$1, 0)), "")</f>
        <v>0.79914070891514488</v>
      </c>
      <c r="I15" s="11" cm="1">
        <f t="array" ref="I15">IFERROR(INDEX('Master Data Sheet'!$1:$1048576, MATCH(1, ('Master Data Sheet'!$H:$H=I$2) * (INDEX('Master Data Sheet'!$1:$1, , MATCH($F$1, 'Master Data Sheet'!$1:$1, 0)) = $F$1) * ('Master Data Sheet'!$G:$G=$B15) * ('Master Data Sheet'!$F:$F=$E15) * ('Master Data Sheet'!$A:$A=$F15), 0), MATCH($F$1, 'Master Data Sheet'!$1:$1, 0)), "")</f>
        <v>0.68814894378804159</v>
      </c>
      <c r="J15" s="11" cm="1">
        <f t="array" ref="J15">IFERROR(INDEX('Master Data Sheet'!$1:$1048576, MATCH(1, ('Master Data Sheet'!$H:$H=J$2) * (INDEX('Master Data Sheet'!$1:$1, , MATCH($F$1, 'Master Data Sheet'!$1:$1, 0)) = $F$1) * ('Master Data Sheet'!$G:$G=$B15) * ('Master Data Sheet'!$F:$F=$E15) * ('Master Data Sheet'!$A:$A=$F15), 0), MATCH($F$1, 'Master Data Sheet'!$1:$1, 0)), "")</f>
        <v>0.5993555316863588</v>
      </c>
      <c r="K15" s="11" cm="1">
        <f t="array" ref="K15">IFERROR(INDEX('Master Data Sheet'!$1:$1048576, MATCH(1, ('Master Data Sheet'!$H:$H=K$2) * (INDEX('Master Data Sheet'!$1:$1, , MATCH($F$1, 'Master Data Sheet'!$1:$1, 0)) = $F$1) * ('Master Data Sheet'!$G:$G=$B15) * ('Master Data Sheet'!$F:$F=$E15) * ('Master Data Sheet'!$A:$A=$F15), 0), MATCH($F$1, 'Master Data Sheet'!$1:$1, 0)), "")</f>
        <v>0.71034729681346231</v>
      </c>
      <c r="L15" s="11" cm="1">
        <f t="array" ref="L15">IFERROR(INDEX('Master Data Sheet'!$1:$1048576, MATCH(1, ('Master Data Sheet'!$H:$H=L$2) * (INDEX('Master Data Sheet'!$1:$1, , MATCH($F$1, 'Master Data Sheet'!$1:$1, 0)) = $F$1) * ('Master Data Sheet'!$G:$G=$B15) * ('Master Data Sheet'!$F:$F=$E15) * ('Master Data Sheet'!$A:$A=$F15), 0), MATCH($F$1, 'Master Data Sheet'!$1:$1, 0)), "")</f>
        <v>0.71034729681346231</v>
      </c>
      <c r="M15" s="11" cm="1">
        <f t="array" ref="M15">IFERROR(INDEX('Master Data Sheet'!$1:$1048576, MATCH(1, ('Master Data Sheet'!$H:$H=M$2) * (INDEX('Master Data Sheet'!$1:$1, , MATCH($F$1, 'Master Data Sheet'!$1:$1, 0)) = $F$1) * ('Master Data Sheet'!$G:$G=$B15) * ('Master Data Sheet'!$F:$F=$E15) * ('Master Data Sheet'!$A:$A=$F15), 0), MATCH($F$1, 'Master Data Sheet'!$1:$1, 0)), "")</f>
        <v>0.79914070891514488</v>
      </c>
      <c r="N15" s="11" cm="1">
        <f t="array" ref="N15">IFERROR(INDEX('Master Data Sheet'!$1:$1048576, MATCH(1, ('Master Data Sheet'!$H:$H=N$2) * (INDEX('Master Data Sheet'!$1:$1, , MATCH($F$1, 'Master Data Sheet'!$1:$1, 0)) = $F$1) * ('Master Data Sheet'!$G:$G=$B15) * ('Master Data Sheet'!$F:$F=$E15) * ('Master Data Sheet'!$A:$A=$F15), 0), MATCH($F$1, 'Master Data Sheet'!$1:$1, 0)), "")</f>
        <v>1.1321160042964553</v>
      </c>
      <c r="O15" s="11">
        <f t="shared" si="8"/>
        <v>0.77694235588972427</v>
      </c>
      <c r="P15" s="11">
        <f t="shared" si="4"/>
        <v>0.17098976978495328</v>
      </c>
      <c r="Q15" s="11">
        <f>AVERAGE(O15:O17)</f>
        <v>0.87351353679580257</v>
      </c>
      <c r="R15" s="46">
        <f>(1-(O15/O12))*100</f>
        <v>53.199617956064962</v>
      </c>
      <c r="S15" s="46">
        <f>AVERAGE(R15:R17)</f>
        <v>41.339416690606754</v>
      </c>
      <c r="T15" s="46">
        <f>STDEV(R15:R17)</f>
        <v>20.002273562522994</v>
      </c>
      <c r="U15" s="47">
        <f>(1-(AVERAGE(H15:N17)/AVERAGE(H12:N14)))*100</f>
        <v>46.218165002483424</v>
      </c>
      <c r="Y15" s="2"/>
      <c r="Z15" s="2"/>
      <c r="AA15" s="2"/>
      <c r="AB15" s="2"/>
      <c r="AC15" s="2"/>
      <c r="AD15" s="2"/>
      <c r="AE15" s="2"/>
      <c r="AF15" s="2"/>
      <c r="AG15" s="2"/>
    </row>
    <row r="16" spans="1:45" x14ac:dyDescent="0.35">
      <c r="A16" s="41">
        <f>IFERROR(INDEX('Date Key'!$B$2:$B$19, MATCH(F16,'Date Key'!$A$2:$A$19, 0)), "")</f>
        <v>45224</v>
      </c>
      <c r="B16" s="4">
        <f t="shared" si="15"/>
        <v>2</v>
      </c>
      <c r="C16" s="26" t="str">
        <f>IFERROR(INDEX('Date Key'!$G$57:$G$62, MATCH(B16,'Date Key'!$A$57:$A$62, 0)), "")</f>
        <v>Medium HLR, Lower Outlet Height, No Plants</v>
      </c>
      <c r="D16" s="4" t="str">
        <f>IFERROR(INDEX('Date Key'!$G$2:$G$19, MATCH(F16, 'Date Key'!$A$2:$A$19, 0)), "")</f>
        <v>No</v>
      </c>
      <c r="E16" s="4" t="str">
        <f t="shared" si="1"/>
        <v>tank 1</v>
      </c>
      <c r="F16" s="4">
        <f t="shared" si="2"/>
        <v>5</v>
      </c>
      <c r="G16" s="4">
        <f>MOD(ROW(G16)-ROW($G$3), 3) + 1</f>
        <v>2</v>
      </c>
      <c r="H16" s="11" cm="1">
        <f t="array" ref="H16">IFERROR(INDEX('Master Data Sheet'!$1:$1048576, MATCH(1, ('Master Data Sheet'!$H:$H=H$2) * (INDEX('Master Data Sheet'!$1:$1, , MATCH($F$1, 'Master Data Sheet'!$1:$1, 0)) = $F$1) * ('Master Data Sheet'!$G:$G=$B16) * ('Master Data Sheet'!$F:$F=$E16) * ('Master Data Sheet'!$A:$A=$F16), 0), MATCH($F$1, 'Master Data Sheet'!$1:$1, 0)), "")</f>
        <v>1.0655209452201935</v>
      </c>
      <c r="I16" s="11" cm="1">
        <f t="array" ref="I16">IFERROR(INDEX('Master Data Sheet'!$1:$1048576, MATCH(1, ('Master Data Sheet'!$H:$H=I$2) * (INDEX('Master Data Sheet'!$1:$1, , MATCH($F$1, 'Master Data Sheet'!$1:$1, 0)) = $F$1) * ('Master Data Sheet'!$G:$G=$B16) * ('Master Data Sheet'!$F:$F=$E16) * ('Master Data Sheet'!$A:$A=$F16), 0), MATCH($F$1, 'Master Data Sheet'!$1:$1, 0)), "")</f>
        <v>1.3430003580379519</v>
      </c>
      <c r="J16" s="11" cm="1">
        <f t="array" ref="J16">IFERROR(INDEX('Master Data Sheet'!$1:$1048576, MATCH(1, ('Master Data Sheet'!$H:$H=J$2) * (INDEX('Master Data Sheet'!$1:$1, , MATCH($F$1, 'Master Data Sheet'!$1:$1, 0)) = $F$1) * ('Master Data Sheet'!$G:$G=$B16) * ('Master Data Sheet'!$F:$F=$E16) * ('Master Data Sheet'!$A:$A=$F16), 0), MATCH($F$1, 'Master Data Sheet'!$1:$1, 0)), "")</f>
        <v>0.8102398854278553</v>
      </c>
      <c r="K16" s="11" cm="1">
        <f t="array" ref="K16">IFERROR(INDEX('Master Data Sheet'!$1:$1048576, MATCH(1, ('Master Data Sheet'!$H:$H=K$2) * (INDEX('Master Data Sheet'!$1:$1, , MATCH($F$1, 'Master Data Sheet'!$1:$1, 0)) = $F$1) * ('Master Data Sheet'!$G:$G=$B16) * ('Master Data Sheet'!$F:$F=$E16) * ('Master Data Sheet'!$A:$A=$F16), 0), MATCH($F$1, 'Master Data Sheet'!$1:$1, 0)), "")</f>
        <v>1.1210168277837453</v>
      </c>
      <c r="L16" s="11" cm="1">
        <f t="array" ref="L16">IFERROR(INDEX('Master Data Sheet'!$1:$1048576, MATCH(1, ('Master Data Sheet'!$H:$H=L$2) * (INDEX('Master Data Sheet'!$1:$1, , MATCH($F$1, 'Master Data Sheet'!$1:$1, 0)) = $F$1) * ('Master Data Sheet'!$G:$G=$B16) * ('Master Data Sheet'!$F:$F=$E16) * ('Master Data Sheet'!$A:$A=$F16), 0), MATCH($F$1, 'Master Data Sheet'!$1:$1, 0)), "")</f>
        <v>1.0433225921947729</v>
      </c>
      <c r="M16" s="11" cm="1">
        <f t="array" ref="M16">IFERROR(INDEX('Master Data Sheet'!$1:$1048576, MATCH(1, ('Master Data Sheet'!$H:$H=M$2) * (INDEX('Master Data Sheet'!$1:$1, , MATCH($F$1, 'Master Data Sheet'!$1:$1, 0)) = $F$1) * ('Master Data Sheet'!$G:$G=$B16) * ('Master Data Sheet'!$F:$F=$E16) * ('Master Data Sheet'!$A:$A=$F16), 0), MATCH($F$1, 'Master Data Sheet'!$1:$1, 0)), "")</f>
        <v>1.0433225921947729</v>
      </c>
      <c r="N16" s="11" cm="1">
        <f t="array" ref="N16">IFERROR(INDEX('Master Data Sheet'!$1:$1048576, MATCH(1, ('Master Data Sheet'!$H:$H=N$2) * (INDEX('Master Data Sheet'!$1:$1, , MATCH($F$1, 'Master Data Sheet'!$1:$1, 0)) = $F$1) * ('Master Data Sheet'!$G:$G=$B16) * ('Master Data Sheet'!$F:$F=$E16) * ('Master Data Sheet'!$A:$A=$F16), 0), MATCH($F$1, 'Master Data Sheet'!$1:$1, 0)), "")</f>
        <v>1.1432151808091657</v>
      </c>
      <c r="O16" s="11">
        <f t="shared" si="8"/>
        <v>1.0813769116669225</v>
      </c>
      <c r="P16" s="11">
        <f t="shared" si="4"/>
        <v>0.15837986156811582</v>
      </c>
      <c r="Q16" s="11"/>
      <c r="R16" s="46">
        <f>(1-(O16/O13))*100</f>
        <v>52.573018080667588</v>
      </c>
      <c r="X16" t="str">
        <f>IFERROR(INDEX('Date Key'!$G$57:$G$62, MATCH(B15,'Date Key'!$A$57:$A$62, 0)), "")</f>
        <v>Medium HLR, Lower Outlet Height, No Plants</v>
      </c>
      <c r="Y16" s="1">
        <f t="shared" ref="Y16:AE16" si="19">H15</f>
        <v>0.79914070891514488</v>
      </c>
      <c r="Z16" s="1">
        <f t="shared" si="19"/>
        <v>0.68814894378804159</v>
      </c>
      <c r="AA16" s="1">
        <f t="shared" si="19"/>
        <v>0.5993555316863588</v>
      </c>
      <c r="AB16" s="1">
        <f t="shared" si="19"/>
        <v>0.71034729681346231</v>
      </c>
      <c r="AC16" s="1">
        <f t="shared" si="19"/>
        <v>0.71034729681346231</v>
      </c>
      <c r="AD16" s="1">
        <f t="shared" si="19"/>
        <v>0.79914070891514488</v>
      </c>
      <c r="AE16" s="1">
        <f t="shared" si="19"/>
        <v>1.1321160042964553</v>
      </c>
      <c r="AF16" s="1">
        <f t="shared" ref="AF16:AL16" si="20">H16</f>
        <v>1.0655209452201935</v>
      </c>
      <c r="AG16" s="1">
        <f t="shared" si="20"/>
        <v>1.3430003580379519</v>
      </c>
      <c r="AH16" s="1">
        <f t="shared" si="20"/>
        <v>0.8102398854278553</v>
      </c>
      <c r="AI16" s="1">
        <f t="shared" si="20"/>
        <v>1.1210168277837453</v>
      </c>
      <c r="AJ16" s="1">
        <f t="shared" si="20"/>
        <v>1.0433225921947729</v>
      </c>
      <c r="AK16" s="1">
        <f t="shared" si="20"/>
        <v>1.0433225921947729</v>
      </c>
      <c r="AL16" s="1">
        <f t="shared" si="20"/>
        <v>1.1432151808091657</v>
      </c>
      <c r="AM16" s="1">
        <f t="shared" ref="AM16:AS16" si="21">H17</f>
        <v>0.77857802400738685</v>
      </c>
      <c r="AN16" s="1">
        <f t="shared" si="21"/>
        <v>0.79002770083102491</v>
      </c>
      <c r="AO16" s="1">
        <f t="shared" si="21"/>
        <v>0.79002770083102491</v>
      </c>
      <c r="AP16" s="1">
        <f t="shared" si="21"/>
        <v>0.79002770083102491</v>
      </c>
      <c r="AQ16" s="1">
        <f t="shared" si="21"/>
        <v>0.73277931671283458</v>
      </c>
      <c r="AR16" s="1">
        <f t="shared" si="21"/>
        <v>0.72132963988919652</v>
      </c>
      <c r="AS16" s="1">
        <f t="shared" si="21"/>
        <v>0.73277931671283458</v>
      </c>
    </row>
    <row r="17" spans="1:45" x14ac:dyDescent="0.35">
      <c r="A17" s="41">
        <f>IFERROR(INDEX('Date Key'!$B$2:$B$19, MATCH(F17,'Date Key'!$A$2:$A$19, 0)), "")</f>
        <v>45230</v>
      </c>
      <c r="B17" s="4">
        <f t="shared" si="15"/>
        <v>2</v>
      </c>
      <c r="C17" s="26" t="str">
        <f>IFERROR(INDEX('Date Key'!$G$57:$G$62, MATCH(B17,'Date Key'!$A$57:$A$62, 0)), "")</f>
        <v>Medium HLR, Lower Outlet Height, No Plants</v>
      </c>
      <c r="D17" s="4" t="str">
        <f>IFERROR(INDEX('Date Key'!$G$2:$G$19, MATCH(F17, 'Date Key'!$A$2:$A$19, 0)), "")</f>
        <v>Yes</v>
      </c>
      <c r="E17" s="4" t="str">
        <f t="shared" si="1"/>
        <v>tank 1</v>
      </c>
      <c r="F17" s="4">
        <f t="shared" si="2"/>
        <v>6</v>
      </c>
      <c r="G17" s="4">
        <f t="shared" ref="G17:G56" si="22">MOD(ROW(G17)-ROW($G$3), 3) + 1</f>
        <v>3</v>
      </c>
      <c r="H17" s="11" cm="1">
        <f t="array" ref="H17">IFERROR(INDEX('Master Data Sheet'!$1:$1048576, MATCH(1, ('Master Data Sheet'!$H:$H=H$2) * (INDEX('Master Data Sheet'!$1:$1, , MATCH($F$1, 'Master Data Sheet'!$1:$1, 0)) = $F$1) * ('Master Data Sheet'!$G:$G=$B17) * ('Master Data Sheet'!$F:$F=$E17) * ('Master Data Sheet'!$A:$A=$F17), 0), MATCH($F$1, 'Master Data Sheet'!$1:$1, 0)), "")</f>
        <v>0.77857802400738685</v>
      </c>
      <c r="I17" s="11" cm="1">
        <f t="array" ref="I17">IFERROR(INDEX('Master Data Sheet'!$1:$1048576, MATCH(1, ('Master Data Sheet'!$H:$H=I$2) * (INDEX('Master Data Sheet'!$1:$1, , MATCH($F$1, 'Master Data Sheet'!$1:$1, 0)) = $F$1) * ('Master Data Sheet'!$G:$G=$B17) * ('Master Data Sheet'!$F:$F=$E17) * ('Master Data Sheet'!$A:$A=$F17), 0), MATCH($F$1, 'Master Data Sheet'!$1:$1, 0)), "")</f>
        <v>0.79002770083102491</v>
      </c>
      <c r="J17" s="11" cm="1">
        <f t="array" ref="J17">IFERROR(INDEX('Master Data Sheet'!$1:$1048576, MATCH(1, ('Master Data Sheet'!$H:$H=J$2) * (INDEX('Master Data Sheet'!$1:$1, , MATCH($F$1, 'Master Data Sheet'!$1:$1, 0)) = $F$1) * ('Master Data Sheet'!$G:$G=$B17) * ('Master Data Sheet'!$F:$F=$E17) * ('Master Data Sheet'!$A:$A=$F17), 0), MATCH($F$1, 'Master Data Sheet'!$1:$1, 0)), "")</f>
        <v>0.79002770083102491</v>
      </c>
      <c r="K17" s="11" cm="1">
        <f t="array" ref="K17">IFERROR(INDEX('Master Data Sheet'!$1:$1048576, MATCH(1, ('Master Data Sheet'!$H:$H=K$2) * (INDEX('Master Data Sheet'!$1:$1, , MATCH($F$1, 'Master Data Sheet'!$1:$1, 0)) = $F$1) * ('Master Data Sheet'!$G:$G=$B17) * ('Master Data Sheet'!$F:$F=$E17) * ('Master Data Sheet'!$A:$A=$F17), 0), MATCH($F$1, 'Master Data Sheet'!$1:$1, 0)), "")</f>
        <v>0.79002770083102491</v>
      </c>
      <c r="L17" s="11" cm="1">
        <f t="array" ref="L17">IFERROR(INDEX('Master Data Sheet'!$1:$1048576, MATCH(1, ('Master Data Sheet'!$H:$H=L$2) * (INDEX('Master Data Sheet'!$1:$1, , MATCH($F$1, 'Master Data Sheet'!$1:$1, 0)) = $F$1) * ('Master Data Sheet'!$G:$G=$B17) * ('Master Data Sheet'!$F:$F=$E17) * ('Master Data Sheet'!$A:$A=$F17), 0), MATCH($F$1, 'Master Data Sheet'!$1:$1, 0)), "")</f>
        <v>0.73277931671283458</v>
      </c>
      <c r="M17" s="11" cm="1">
        <f t="array" ref="M17">IFERROR(INDEX('Master Data Sheet'!$1:$1048576, MATCH(1, ('Master Data Sheet'!$H:$H=M$2) * (INDEX('Master Data Sheet'!$1:$1, , MATCH($F$1, 'Master Data Sheet'!$1:$1, 0)) = $F$1) * ('Master Data Sheet'!$G:$G=$B17) * ('Master Data Sheet'!$F:$F=$E17) * ('Master Data Sheet'!$A:$A=$F17), 0), MATCH($F$1, 'Master Data Sheet'!$1:$1, 0)), "")</f>
        <v>0.72132963988919652</v>
      </c>
      <c r="N17" s="11" cm="1">
        <f t="array" ref="N17">IFERROR(INDEX('Master Data Sheet'!$1:$1048576, MATCH(1, ('Master Data Sheet'!$H:$H=N$2) * (INDEX('Master Data Sheet'!$1:$1, , MATCH($F$1, 'Master Data Sheet'!$1:$1, 0)) = $F$1) * ('Master Data Sheet'!$G:$G=$B17) * ('Master Data Sheet'!$F:$F=$E17) * ('Master Data Sheet'!$A:$A=$F17), 0), MATCH($F$1, 'Master Data Sheet'!$1:$1, 0)), "")</f>
        <v>0.73277931671283458</v>
      </c>
      <c r="O17" s="11">
        <f t="shared" si="8"/>
        <v>0.76222134283076104</v>
      </c>
      <c r="P17" s="11">
        <f t="shared" si="4"/>
        <v>3.1604110566371961E-2</v>
      </c>
      <c r="Q17" s="11"/>
      <c r="R17" s="46">
        <f>(1-(O17/O14))*100</f>
        <v>18.245614035087719</v>
      </c>
      <c r="Y17" s="2"/>
      <c r="Z17" s="2"/>
      <c r="AA17" s="2"/>
      <c r="AB17" s="2"/>
      <c r="AC17" s="2"/>
      <c r="AD17" s="2"/>
      <c r="AE17" s="2"/>
      <c r="AF17" s="2"/>
      <c r="AG17" s="2"/>
    </row>
    <row r="18" spans="1:45" x14ac:dyDescent="0.35">
      <c r="A18" s="41">
        <f>IFERROR(INDEX('Date Key'!$B$2:$B$19, MATCH(F18,'Date Key'!$A$2:$A$19, 0)), "")</f>
        <v>45217</v>
      </c>
      <c r="B18" s="4">
        <f t="shared" si="15"/>
        <v>2</v>
      </c>
      <c r="C18" s="26" t="str">
        <f>IFERROR(INDEX('Date Key'!$G$57:$G$62, MATCH(B18,'Date Key'!$A$57:$A$62, 0)), "")</f>
        <v>Medium HLR, Lower Outlet Height, No Plants</v>
      </c>
      <c r="D18" s="4" t="str">
        <f>IFERROR(INDEX('Date Key'!$G$2:$G$19, MATCH(F18, 'Date Key'!$A$2:$A$19, 0)), "")</f>
        <v>No</v>
      </c>
      <c r="E18" s="4" t="str">
        <f t="shared" si="1"/>
        <v>tank 2</v>
      </c>
      <c r="F18" s="4">
        <f t="shared" si="2"/>
        <v>4</v>
      </c>
      <c r="G18" s="4">
        <f t="shared" si="22"/>
        <v>1</v>
      </c>
      <c r="H18" s="11" cm="1">
        <f t="array" ref="H18">IFERROR(INDEX('Master Data Sheet'!$1:$1048576, MATCH(1, ('Master Data Sheet'!$H:$H=H$2) * (INDEX('Master Data Sheet'!$1:$1, , MATCH($F$1, 'Master Data Sheet'!$1:$1, 0)) = $F$1) * ('Master Data Sheet'!$G:$G=$B18) * ('Master Data Sheet'!$F:$F=$E18) * ('Master Data Sheet'!$A:$A=$F18), 0), MATCH($F$1, 'Master Data Sheet'!$1:$1, 0)), "")</f>
        <v>1.2542069459362692</v>
      </c>
      <c r="I18" s="11" cm="1">
        <f t="array" ref="I18">IFERROR(INDEX('Master Data Sheet'!$1:$1048576, MATCH(1, ('Master Data Sheet'!$H:$H=I$2) * (INDEX('Master Data Sheet'!$1:$1, , MATCH($F$1, 'Master Data Sheet'!$1:$1, 0)) = $F$1) * ('Master Data Sheet'!$G:$G=$B18) * ('Master Data Sheet'!$F:$F=$E18) * ('Master Data Sheet'!$A:$A=$F18), 0), MATCH($F$1, 'Master Data Sheet'!$1:$1, 0)), "")</f>
        <v>1.1543143573218759</v>
      </c>
      <c r="J18" s="11" cm="1">
        <f t="array" ref="J18">IFERROR(INDEX('Master Data Sheet'!$1:$1048576, MATCH(1, ('Master Data Sheet'!$H:$H=J$2) * (INDEX('Master Data Sheet'!$1:$1, , MATCH($F$1, 'Master Data Sheet'!$1:$1, 0)) = $F$1) * ('Master Data Sheet'!$G:$G=$B18) * ('Master Data Sheet'!$F:$F=$E18) * ('Master Data Sheet'!$A:$A=$F18), 0), MATCH($F$1, 'Master Data Sheet'!$1:$1, 0)), "")</f>
        <v>1.0766201217329037</v>
      </c>
      <c r="K18" s="11" cm="1">
        <f t="array" ref="K18">IFERROR(INDEX('Master Data Sheet'!$1:$1048576, MATCH(1, ('Master Data Sheet'!$H:$H=K$2) * (INDEX('Master Data Sheet'!$1:$1, , MATCH($F$1, 'Master Data Sheet'!$1:$1, 0)) = $F$1) * ('Master Data Sheet'!$G:$G=$B18) * ('Master Data Sheet'!$F:$F=$E18) * ('Master Data Sheet'!$A:$A=$F18), 0), MATCH($F$1, 'Master Data Sheet'!$1:$1, 0)), "")</f>
        <v>0.9101324740422484</v>
      </c>
      <c r="L18" s="11" cm="1">
        <f t="array" ref="L18">IFERROR(INDEX('Master Data Sheet'!$1:$1048576, MATCH(1, ('Master Data Sheet'!$H:$H=L$2) * (INDEX('Master Data Sheet'!$1:$1, , MATCH($F$1, 'Master Data Sheet'!$1:$1, 0)) = $F$1) * ('Master Data Sheet'!$G:$G=$B18) * ('Master Data Sheet'!$F:$F=$E18) * ('Master Data Sheet'!$A:$A=$F18), 0), MATCH($F$1, 'Master Data Sheet'!$1:$1, 0)), "")</f>
        <v>0.79914070891514488</v>
      </c>
      <c r="M18" s="11" cm="1">
        <f t="array" ref="M18">IFERROR(INDEX('Master Data Sheet'!$1:$1048576, MATCH(1, ('Master Data Sheet'!$H:$H=M$2) * (INDEX('Master Data Sheet'!$1:$1, , MATCH($F$1, 'Master Data Sheet'!$1:$1, 0)) = $F$1) * ('Master Data Sheet'!$G:$G=$B18) * ('Master Data Sheet'!$F:$F=$E18) * ('Master Data Sheet'!$A:$A=$F18), 0), MATCH($F$1, 'Master Data Sheet'!$1:$1, 0)), "")</f>
        <v>0.85463659147869664</v>
      </c>
      <c r="N18" s="11" cm="1">
        <f t="array" ref="N18">IFERROR(INDEX('Master Data Sheet'!$1:$1048576, MATCH(1, ('Master Data Sheet'!$H:$H=N$2) * (INDEX('Master Data Sheet'!$1:$1, , MATCH($F$1, 'Master Data Sheet'!$1:$1, 0)) = $F$1) * ('Master Data Sheet'!$G:$G=$B18) * ('Master Data Sheet'!$F:$F=$E18) * ('Master Data Sheet'!$A:$A=$F18), 0), MATCH($F$1, 'Master Data Sheet'!$1:$1, 0)), "")</f>
        <v>1.1321160042964553</v>
      </c>
      <c r="O18" s="11">
        <f t="shared" si="8"/>
        <v>1.0258810291033706</v>
      </c>
      <c r="P18" s="11">
        <f t="shared" si="4"/>
        <v>0.17157201004495526</v>
      </c>
      <c r="Q18" s="11">
        <f>AVERAGE(N18:N20)</f>
        <v>0.99460304897582308</v>
      </c>
      <c r="R18" s="46">
        <f>(1-(O18/O12))*100</f>
        <v>38.204393505253122</v>
      </c>
      <c r="S18" s="46">
        <f>AVERAGE(R18:R20)</f>
        <v>19.865722039429262</v>
      </c>
      <c r="T18" s="46">
        <f>STDEV(R18:R20)</f>
        <v>33.013172175997184</v>
      </c>
      <c r="U18" s="47">
        <f>(1-(AVERAGE(H18:N20)/AVERAGE(H12:N14)))*100</f>
        <v>28.074057581310917</v>
      </c>
      <c r="V18" s="47"/>
      <c r="Y18" s="2"/>
      <c r="Z18" s="2"/>
      <c r="AA18" s="2"/>
      <c r="AB18" s="2"/>
      <c r="AC18" s="2"/>
      <c r="AD18" s="2"/>
      <c r="AE18" s="2"/>
      <c r="AF18" s="2"/>
      <c r="AG18" s="2"/>
    </row>
    <row r="19" spans="1:45" x14ac:dyDescent="0.35">
      <c r="A19" s="41">
        <f>IFERROR(INDEX('Date Key'!$B$2:$B$19, MATCH(F19,'Date Key'!$A$2:$A$19, 0)), "")</f>
        <v>45224</v>
      </c>
      <c r="B19" s="4">
        <f t="shared" si="15"/>
        <v>2</v>
      </c>
      <c r="C19" s="26" t="str">
        <f>IFERROR(INDEX('Date Key'!$G$57:$G$62, MATCH(B19,'Date Key'!$A$57:$A$62, 0)), "")</f>
        <v>Medium HLR, Lower Outlet Height, No Plants</v>
      </c>
      <c r="D19" s="4" t="str">
        <f>IFERROR(INDEX('Date Key'!$G$2:$G$19, MATCH(F19, 'Date Key'!$A$2:$A$19, 0)), "")</f>
        <v>No</v>
      </c>
      <c r="E19" s="4" t="str">
        <f t="shared" si="1"/>
        <v>tank 2</v>
      </c>
      <c r="F19" s="4">
        <f t="shared" si="2"/>
        <v>5</v>
      </c>
      <c r="G19" s="4">
        <f t="shared" si="22"/>
        <v>2</v>
      </c>
      <c r="H19" s="11" cm="1">
        <f t="array" ref="H19">IFERROR(INDEX('Master Data Sheet'!$1:$1048576, MATCH(1, ('Master Data Sheet'!$H:$H=H$2) * (INDEX('Master Data Sheet'!$1:$1, , MATCH($F$1, 'Master Data Sheet'!$1:$1, 0)) = $F$1) * ('Master Data Sheet'!$G:$G=$B19) * ('Master Data Sheet'!$F:$F=$E19) * ('Master Data Sheet'!$A:$A=$F19), 0), MATCH($F$1, 'Master Data Sheet'!$1:$1, 0)), "")</f>
        <v>1.6537773003938414</v>
      </c>
      <c r="I19" s="11" cm="1">
        <f t="array" ref="I19">IFERROR(INDEX('Master Data Sheet'!$1:$1048576, MATCH(1, ('Master Data Sheet'!$H:$H=I$2) * (INDEX('Master Data Sheet'!$1:$1, , MATCH($F$1, 'Master Data Sheet'!$1:$1, 0)) = $F$1) * ('Master Data Sheet'!$G:$G=$B19) * ('Master Data Sheet'!$F:$F=$E19) * ('Master Data Sheet'!$A:$A=$F19), 0), MATCH($F$1, 'Master Data Sheet'!$1:$1, 0)), "")</f>
        <v>1.8202649480844968</v>
      </c>
      <c r="J19" s="11" cm="1">
        <f t="array" ref="J19">IFERROR(INDEX('Master Data Sheet'!$1:$1048576, MATCH(1, ('Master Data Sheet'!$H:$H=J$2) * (INDEX('Master Data Sheet'!$1:$1, , MATCH($F$1, 'Master Data Sheet'!$1:$1, 0)) = $F$1) * ('Master Data Sheet'!$G:$G=$B19) * ('Master Data Sheet'!$F:$F=$E19) * ('Master Data Sheet'!$A:$A=$F19), 0), MATCH($F$1, 'Master Data Sheet'!$1:$1, 0)), "")</f>
        <v>1.3984962406015038</v>
      </c>
      <c r="K19" s="11" cm="1">
        <f t="array" ref="K19">IFERROR(INDEX('Master Data Sheet'!$1:$1048576, MATCH(1, ('Master Data Sheet'!$H:$H=K$2) * (INDEX('Master Data Sheet'!$1:$1, , MATCH($F$1, 'Master Data Sheet'!$1:$1, 0)) = $F$1) * ('Master Data Sheet'!$G:$G=$B19) * ('Master Data Sheet'!$F:$F=$E19) * ('Master Data Sheet'!$A:$A=$F19), 0), MATCH($F$1, 'Master Data Sheet'!$1:$1, 0)), "")</f>
        <v>1.209810239885428</v>
      </c>
      <c r="L19" s="11" cm="1">
        <f t="array" ref="L19">IFERROR(INDEX('Master Data Sheet'!$1:$1048576, MATCH(1, ('Master Data Sheet'!$H:$H=L$2) * (INDEX('Master Data Sheet'!$1:$1, , MATCH($F$1, 'Master Data Sheet'!$1:$1, 0)) = $F$1) * ('Master Data Sheet'!$G:$G=$B19) * ('Master Data Sheet'!$F:$F=$E19) * ('Master Data Sheet'!$A:$A=$F19), 0), MATCH($F$1, 'Master Data Sheet'!$1:$1, 0)), "")</f>
        <v>1.1876118868600072</v>
      </c>
      <c r="M19" s="11" cm="1">
        <f t="array" ref="M19">IFERROR(INDEX('Master Data Sheet'!$1:$1048576, MATCH(1, ('Master Data Sheet'!$H:$H=M$2) * (INDEX('Master Data Sheet'!$1:$1, , MATCH($F$1, 'Master Data Sheet'!$1:$1, 0)) = $F$1) * ('Master Data Sheet'!$G:$G=$B19) * ('Master Data Sheet'!$F:$F=$E19) * ('Master Data Sheet'!$A:$A=$F19), 0), MATCH($F$1, 'Master Data Sheet'!$1:$1, 0)), "")</f>
        <v>1.1765127103472968</v>
      </c>
      <c r="N19" s="11" cm="1">
        <f t="array" ref="N19">IFERROR(INDEX('Master Data Sheet'!$1:$1048576, MATCH(1, ('Master Data Sheet'!$H:$H=N$2) * (INDEX('Master Data Sheet'!$1:$1, , MATCH($F$1, 'Master Data Sheet'!$1:$1, 0)) = $F$1) * ('Master Data Sheet'!$G:$G=$B19) * ('Master Data Sheet'!$F:$F=$E19) * ('Master Data Sheet'!$A:$A=$F19), 0), MATCH($F$1, 'Master Data Sheet'!$1:$1, 0)), "")</f>
        <v>1.1876118868600072</v>
      </c>
      <c r="O19" s="11">
        <f t="shared" si="8"/>
        <v>1.376297887576083</v>
      </c>
      <c r="P19" s="11">
        <f t="shared" si="4"/>
        <v>0.26249806660798192</v>
      </c>
      <c r="Q19" s="11"/>
      <c r="R19" s="46">
        <f>(1-(O19/O13))*100</f>
        <v>39.638386648122392</v>
      </c>
      <c r="X19" t="str">
        <f>IFERROR(INDEX('Date Key'!$G$57:$G$62, MATCH(B18,'Date Key'!$A$57:$A$62, 0)), "")</f>
        <v>Medium HLR, Lower Outlet Height, No Plants</v>
      </c>
      <c r="Y19" s="1">
        <f t="shared" ref="Y19:AE19" si="23">H18</f>
        <v>1.2542069459362692</v>
      </c>
      <c r="Z19" s="1">
        <f t="shared" si="23"/>
        <v>1.1543143573218759</v>
      </c>
      <c r="AA19" s="1">
        <f t="shared" si="23"/>
        <v>1.0766201217329037</v>
      </c>
      <c r="AB19" s="1">
        <f t="shared" si="23"/>
        <v>0.9101324740422484</v>
      </c>
      <c r="AC19" s="1">
        <f t="shared" si="23"/>
        <v>0.79914070891514488</v>
      </c>
      <c r="AD19" s="1">
        <f t="shared" si="23"/>
        <v>0.85463659147869664</v>
      </c>
      <c r="AE19" s="1">
        <f t="shared" si="23"/>
        <v>1.1321160042964553</v>
      </c>
      <c r="AF19" s="1">
        <f t="shared" ref="AF19:AL19" si="24">H19</f>
        <v>1.6537773003938414</v>
      </c>
      <c r="AG19" s="1">
        <f t="shared" si="24"/>
        <v>1.8202649480844968</v>
      </c>
      <c r="AH19" s="1">
        <f t="shared" si="24"/>
        <v>1.3984962406015038</v>
      </c>
      <c r="AI19" s="1">
        <f t="shared" si="24"/>
        <v>1.209810239885428</v>
      </c>
      <c r="AJ19" s="1">
        <f t="shared" si="24"/>
        <v>1.1876118868600072</v>
      </c>
      <c r="AK19" s="1">
        <f t="shared" si="24"/>
        <v>1.1765127103472968</v>
      </c>
      <c r="AL19" s="1">
        <f t="shared" si="24"/>
        <v>1.1876118868600072</v>
      </c>
      <c r="AM19" s="1">
        <f t="shared" ref="AM19:AS19" si="25">H20</f>
        <v>1.5113573407202219</v>
      </c>
      <c r="AN19" s="1">
        <f t="shared" si="25"/>
        <v>1.4655586334256692</v>
      </c>
      <c r="AO19" s="1">
        <f t="shared" si="25"/>
        <v>1.3510618651892887</v>
      </c>
      <c r="AP19" s="1">
        <f t="shared" si="25"/>
        <v>1.0991689750692522</v>
      </c>
      <c r="AQ19" s="1">
        <f t="shared" si="25"/>
        <v>0.881625115420129</v>
      </c>
      <c r="AR19" s="1">
        <f t="shared" si="25"/>
        <v>0.74422899353647287</v>
      </c>
      <c r="AS19" s="1">
        <f t="shared" si="25"/>
        <v>0.66408125577100652</v>
      </c>
    </row>
    <row r="20" spans="1:45" x14ac:dyDescent="0.35">
      <c r="A20" s="42">
        <f>IFERROR(INDEX('Date Key'!$B$2:$B$19, MATCH(F20,'Date Key'!$A$2:$A$19, 0)), "")</f>
        <v>45230</v>
      </c>
      <c r="B20" s="27">
        <f t="shared" si="15"/>
        <v>2</v>
      </c>
      <c r="C20" s="51" t="str">
        <f>IFERROR(INDEX('Date Key'!$G$57:$G$62, MATCH(B20,'Date Key'!$A$57:$A$62, 0)), "")</f>
        <v>Medium HLR, Lower Outlet Height, No Plants</v>
      </c>
      <c r="D20" s="27" t="str">
        <f>IFERROR(INDEX('Date Key'!$G$2:$G$19, MATCH(F20, 'Date Key'!$A$2:$A$19, 0)), "")</f>
        <v>Yes</v>
      </c>
      <c r="E20" s="27" t="str">
        <f t="shared" si="1"/>
        <v>tank 2</v>
      </c>
      <c r="F20" s="27">
        <f t="shared" si="2"/>
        <v>6</v>
      </c>
      <c r="G20" s="27">
        <f t="shared" si="22"/>
        <v>3</v>
      </c>
      <c r="H20" s="28" cm="1">
        <f t="array" ref="H20">IFERROR(INDEX('Master Data Sheet'!$1:$1048576, MATCH(1, ('Master Data Sheet'!$H:$H=H$2) * (INDEX('Master Data Sheet'!$1:$1, , MATCH($F$1, 'Master Data Sheet'!$1:$1, 0)) = $F$1) * ('Master Data Sheet'!$G:$G=$B20) * ('Master Data Sheet'!$F:$F=$E20) * ('Master Data Sheet'!$A:$A=$F20), 0), MATCH($F$1, 'Master Data Sheet'!$1:$1, 0)), "")</f>
        <v>1.5113573407202219</v>
      </c>
      <c r="I20" s="28" cm="1">
        <f t="array" ref="I20">IFERROR(INDEX('Master Data Sheet'!$1:$1048576, MATCH(1, ('Master Data Sheet'!$H:$H=I$2) * (INDEX('Master Data Sheet'!$1:$1, , MATCH($F$1, 'Master Data Sheet'!$1:$1, 0)) = $F$1) * ('Master Data Sheet'!$G:$G=$B20) * ('Master Data Sheet'!$F:$F=$E20) * ('Master Data Sheet'!$A:$A=$F20), 0), MATCH($F$1, 'Master Data Sheet'!$1:$1, 0)), "")</f>
        <v>1.4655586334256692</v>
      </c>
      <c r="J20" s="28" cm="1">
        <f t="array" ref="J20">IFERROR(INDEX('Master Data Sheet'!$1:$1048576, MATCH(1, ('Master Data Sheet'!$H:$H=J$2) * (INDEX('Master Data Sheet'!$1:$1, , MATCH($F$1, 'Master Data Sheet'!$1:$1, 0)) = $F$1) * ('Master Data Sheet'!$G:$G=$B20) * ('Master Data Sheet'!$F:$F=$E20) * ('Master Data Sheet'!$A:$A=$F20), 0), MATCH($F$1, 'Master Data Sheet'!$1:$1, 0)), "")</f>
        <v>1.3510618651892887</v>
      </c>
      <c r="K20" s="28" cm="1">
        <f t="array" ref="K20">IFERROR(INDEX('Master Data Sheet'!$1:$1048576, MATCH(1, ('Master Data Sheet'!$H:$H=K$2) * (INDEX('Master Data Sheet'!$1:$1, , MATCH($F$1, 'Master Data Sheet'!$1:$1, 0)) = $F$1) * ('Master Data Sheet'!$G:$G=$B20) * ('Master Data Sheet'!$F:$F=$E20) * ('Master Data Sheet'!$A:$A=$F20), 0), MATCH($F$1, 'Master Data Sheet'!$1:$1, 0)), "")</f>
        <v>1.0991689750692522</v>
      </c>
      <c r="L20" s="28" cm="1">
        <f t="array" ref="L20">IFERROR(INDEX('Master Data Sheet'!$1:$1048576, MATCH(1, ('Master Data Sheet'!$H:$H=L$2) * (INDEX('Master Data Sheet'!$1:$1, , MATCH($F$1, 'Master Data Sheet'!$1:$1, 0)) = $F$1) * ('Master Data Sheet'!$G:$G=$B20) * ('Master Data Sheet'!$F:$F=$E20) * ('Master Data Sheet'!$A:$A=$F20), 0), MATCH($F$1, 'Master Data Sheet'!$1:$1, 0)), "")</f>
        <v>0.881625115420129</v>
      </c>
      <c r="M20" s="28" cm="1">
        <f t="array" ref="M20">IFERROR(INDEX('Master Data Sheet'!$1:$1048576, MATCH(1, ('Master Data Sheet'!$H:$H=M$2) * (INDEX('Master Data Sheet'!$1:$1, , MATCH($F$1, 'Master Data Sheet'!$1:$1, 0)) = $F$1) * ('Master Data Sheet'!$G:$G=$B20) * ('Master Data Sheet'!$F:$F=$E20) * ('Master Data Sheet'!$A:$A=$F20), 0), MATCH($F$1, 'Master Data Sheet'!$1:$1, 0)), "")</f>
        <v>0.74422899353647287</v>
      </c>
      <c r="N20" s="28" cm="1">
        <f t="array" ref="N20">IFERROR(INDEX('Master Data Sheet'!$1:$1048576, MATCH(1, ('Master Data Sheet'!$H:$H=N$2) * (INDEX('Master Data Sheet'!$1:$1, , MATCH($F$1, 'Master Data Sheet'!$1:$1, 0)) = $F$1) * ('Master Data Sheet'!$G:$G=$B20) * ('Master Data Sheet'!$F:$F=$E20) * ('Master Data Sheet'!$A:$A=$F20), 0), MATCH($F$1, 'Master Data Sheet'!$1:$1, 0)), "")</f>
        <v>0.66408125577100652</v>
      </c>
      <c r="O20" s="28">
        <f t="shared" si="8"/>
        <v>1.1024403113045773</v>
      </c>
      <c r="P20" s="28">
        <f t="shared" si="4"/>
        <v>0.34883730495793575</v>
      </c>
      <c r="Q20" s="28"/>
      <c r="R20" s="48">
        <f>(1-(O20/O14))*100</f>
        <v>-18.245614035087733</v>
      </c>
      <c r="S20" s="27"/>
      <c r="T20" s="27"/>
      <c r="U20" s="27"/>
      <c r="V20" s="27"/>
    </row>
    <row r="21" spans="1:45" x14ac:dyDescent="0.35">
      <c r="A21" s="41">
        <f>IFERROR(INDEX('Date Key'!$B$2:$B$19, MATCH(F21,'Date Key'!$A$2:$A$19, 0)), "")</f>
        <v>45233</v>
      </c>
      <c r="B21" s="4">
        <f t="shared" si="15"/>
        <v>3</v>
      </c>
      <c r="C21" s="26" t="str">
        <f>IFERROR(INDEX('Date Key'!$G$57:$G$62, MATCH(B21,'Date Key'!$A$57:$A$62, 0)), "")</f>
        <v>High HLR, Lower Outlet Height, No Plants</v>
      </c>
      <c r="D21" s="4" t="str">
        <f>IFERROR(INDEX('Date Key'!$G$2:$G$19, MATCH(F21, 'Date Key'!$A$2:$A$19, 0)), "")</f>
        <v>No</v>
      </c>
      <c r="E21" s="4" t="str">
        <f t="shared" si="1"/>
        <v>in</v>
      </c>
      <c r="F21" s="4">
        <f t="shared" si="2"/>
        <v>7</v>
      </c>
      <c r="G21" s="4">
        <f t="shared" si="22"/>
        <v>1</v>
      </c>
      <c r="H21" s="11" cm="1">
        <f t="array" ref="H21">IFERROR(INDEX('Master Data Sheet'!$1:$1048576, MATCH(1, ('Master Data Sheet'!$H:$H=H$2) * (INDEX('Master Data Sheet'!$1:$1, , MATCH($F$1, 'Master Data Sheet'!$1:$1, 0)) = $F$1) * ('Master Data Sheet'!$G:$G=$B21) * ('Master Data Sheet'!$F:$F=$E21) * ('Master Data Sheet'!$A:$A=$F21), 0), MATCH($F$1, 'Master Data Sheet'!$1:$1, 0)), "")</f>
        <v>1.1220683287165283</v>
      </c>
      <c r="I21" s="11" cm="1">
        <f t="array" ref="I21">IFERROR(INDEX('Master Data Sheet'!$1:$1048576, MATCH(1, ('Master Data Sheet'!$H:$H=I$2) * (INDEX('Master Data Sheet'!$1:$1, , MATCH($F$1, 'Master Data Sheet'!$1:$1, 0)) = $F$1) * ('Master Data Sheet'!$G:$G=$B21) * ('Master Data Sheet'!$F:$F=$E21) * ('Master Data Sheet'!$A:$A=$F21), 0), MATCH($F$1, 'Master Data Sheet'!$1:$1, 0)), "")</f>
        <v>1.5113573407202219</v>
      </c>
      <c r="J21" s="11" cm="1">
        <f t="array" ref="J21">IFERROR(INDEX('Master Data Sheet'!$1:$1048576, MATCH(1, ('Master Data Sheet'!$H:$H=J$2) * (INDEX('Master Data Sheet'!$1:$1, , MATCH($F$1, 'Master Data Sheet'!$1:$1, 0)) = $F$1) * ('Master Data Sheet'!$G:$G=$B21) * ('Master Data Sheet'!$F:$F=$E21) * ('Master Data Sheet'!$A:$A=$F21), 0), MATCH($F$1, 'Master Data Sheet'!$1:$1, 0)), "")</f>
        <v>1.5800554016620498</v>
      </c>
      <c r="K21" s="11" cm="1">
        <f t="array" ref="K21">IFERROR(INDEX('Master Data Sheet'!$1:$1048576, MATCH(1, ('Master Data Sheet'!$H:$H=K$2) * (INDEX('Master Data Sheet'!$1:$1, , MATCH($F$1, 'Master Data Sheet'!$1:$1, 0)) = $F$1) * ('Master Data Sheet'!$G:$G=$B21) * ('Master Data Sheet'!$F:$F=$E21) * ('Master Data Sheet'!$A:$A=$F21), 0), MATCH($F$1, 'Master Data Sheet'!$1:$1, 0)), "")</f>
        <v>2.9425669436749766</v>
      </c>
      <c r="L21" s="11" cm="1">
        <f t="array" ref="L21">IFERROR(INDEX('Master Data Sheet'!$1:$1048576, MATCH(1, ('Master Data Sheet'!$H:$H=L$2) * (INDEX('Master Data Sheet'!$1:$1, , MATCH($F$1, 'Master Data Sheet'!$1:$1, 0)) = $F$1) * ('Master Data Sheet'!$G:$G=$B21) * ('Master Data Sheet'!$F:$F=$E21) * ('Master Data Sheet'!$A:$A=$F21), 0), MATCH($F$1, 'Master Data Sheet'!$1:$1, 0)), "")</f>
        <v>2.0265927977839331</v>
      </c>
      <c r="M21" s="11" cm="1">
        <f t="array" ref="M21">IFERROR(INDEX('Master Data Sheet'!$1:$1048576, MATCH(1, ('Master Data Sheet'!$H:$H=M$2) * (INDEX('Master Data Sheet'!$1:$1, , MATCH($F$1, 'Master Data Sheet'!$1:$1, 0)) = $F$1) * ('Master Data Sheet'!$G:$G=$B21) * ('Master Data Sheet'!$F:$F=$E21) * ('Master Data Sheet'!$A:$A=$F21), 0), MATCH($F$1, 'Master Data Sheet'!$1:$1, 0)), "")</f>
        <v>2.1983379501385043</v>
      </c>
      <c r="N21" s="11" cm="1">
        <f t="array" ref="N21">IFERROR(INDEX('Master Data Sheet'!$1:$1048576, MATCH(1, ('Master Data Sheet'!$H:$H=N$2) * (INDEX('Master Data Sheet'!$1:$1, , MATCH($F$1, 'Master Data Sheet'!$1:$1, 0)) = $F$1) * ('Master Data Sheet'!$G:$G=$B21) * ('Master Data Sheet'!$F:$F=$E21) * ('Master Data Sheet'!$A:$A=$F21), 0), MATCH($F$1, 'Master Data Sheet'!$1:$1, 0)), "")</f>
        <v>2.5876269621421977</v>
      </c>
      <c r="O21" s="11">
        <f t="shared" si="8"/>
        <v>1.9955151035483447</v>
      </c>
      <c r="P21" s="11">
        <f t="shared" si="4"/>
        <v>0.64025142754167541</v>
      </c>
      <c r="Q21" s="11">
        <f>AVERAGE(O21:O23)</f>
        <v>1.4481115068372687</v>
      </c>
      <c r="S21" s="11">
        <f>AVERAGE(O21:O23)</f>
        <v>1.4481115068372687</v>
      </c>
      <c r="T21" s="11">
        <f>AVERAGE(P21:P23)</f>
        <v>0.43898244459211694</v>
      </c>
      <c r="V21" s="47">
        <f>AVERAGE(U24, U27)</f>
        <v>7.5112951807228985</v>
      </c>
      <c r="X21" t="s">
        <v>343</v>
      </c>
    </row>
    <row r="22" spans="1:45" x14ac:dyDescent="0.35">
      <c r="A22" s="41">
        <f>IFERROR(INDEX('Date Key'!$B$2:$B$19, MATCH(F22,'Date Key'!$A$2:$A$19, 0)), "")</f>
        <v>45238</v>
      </c>
      <c r="B22" s="4">
        <f t="shared" si="15"/>
        <v>3</v>
      </c>
      <c r="C22" s="26" t="str">
        <f>IFERROR(INDEX('Date Key'!$G$57:$G$62, MATCH(B22,'Date Key'!$A$57:$A$62, 0)), "")</f>
        <v>High HLR, Lower Outlet Height, No Plants</v>
      </c>
      <c r="D22" s="4" t="str">
        <f>IFERROR(INDEX('Date Key'!$G$2:$G$19, MATCH(F22, 'Date Key'!$A$2:$A$19, 0)), "")</f>
        <v>No</v>
      </c>
      <c r="E22" s="4" t="str">
        <f t="shared" si="1"/>
        <v>in</v>
      </c>
      <c r="F22" s="4">
        <f t="shared" si="2"/>
        <v>8</v>
      </c>
      <c r="G22" s="4">
        <f t="shared" si="22"/>
        <v>2</v>
      </c>
      <c r="H22" s="11" cm="1">
        <f t="array" ref="H22">IFERROR(INDEX('Master Data Sheet'!$1:$1048576, MATCH(1, ('Master Data Sheet'!$H:$H=H$2) * (INDEX('Master Data Sheet'!$1:$1, , MATCH($F$1, 'Master Data Sheet'!$1:$1, 0)) = $F$1) * ('Master Data Sheet'!$G:$G=$B22) * ('Master Data Sheet'!$F:$F=$E22) * ('Master Data Sheet'!$A:$A=$F22), 0), MATCH($F$1, 'Master Data Sheet'!$1:$1, 0)), "")</f>
        <v>0.54958448753462608</v>
      </c>
      <c r="I22" s="11" cm="1">
        <f t="array" ref="I22">IFERROR(INDEX('Master Data Sheet'!$1:$1048576, MATCH(1, ('Master Data Sheet'!$H:$H=I$2) * (INDEX('Master Data Sheet'!$1:$1, , MATCH($F$1, 'Master Data Sheet'!$1:$1, 0)) = $F$1) * ('Master Data Sheet'!$G:$G=$B22) * ('Master Data Sheet'!$F:$F=$E22) * ('Master Data Sheet'!$A:$A=$F22), 0), MATCH($F$1, 'Master Data Sheet'!$1:$1, 0)), "")</f>
        <v>1.2365650969529085</v>
      </c>
      <c r="J22" s="11" cm="1">
        <f t="array" ref="J22">IFERROR(INDEX('Master Data Sheet'!$1:$1048576, MATCH(1, ('Master Data Sheet'!$H:$H=J$2) * (INDEX('Master Data Sheet'!$1:$1, , MATCH($F$1, 'Master Data Sheet'!$1:$1, 0)) = $F$1) * ('Master Data Sheet'!$G:$G=$B22) * ('Master Data Sheet'!$F:$F=$E22) * ('Master Data Sheet'!$A:$A=$F22), 0), MATCH($F$1, 'Master Data Sheet'!$1:$1, 0)), "")</f>
        <v>1.5228070175438599</v>
      </c>
      <c r="K22" s="11" cm="1">
        <f t="array" ref="K22">IFERROR(INDEX('Master Data Sheet'!$1:$1048576, MATCH(1, ('Master Data Sheet'!$H:$H=K$2) * (INDEX('Master Data Sheet'!$1:$1, , MATCH($F$1, 'Master Data Sheet'!$1:$1, 0)) = $F$1) * ('Master Data Sheet'!$G:$G=$B22) * ('Master Data Sheet'!$F:$F=$E22) * ('Master Data Sheet'!$A:$A=$F22), 0), MATCH($F$1, 'Master Data Sheet'!$1:$1, 0)), "")</f>
        <v>1.683102493074792</v>
      </c>
      <c r="L22" s="11" cm="1">
        <f t="array" ref="L22">IFERROR(INDEX('Master Data Sheet'!$1:$1048576, MATCH(1, ('Master Data Sheet'!$H:$H=L$2) * (INDEX('Master Data Sheet'!$1:$1, , MATCH($F$1, 'Master Data Sheet'!$1:$1, 0)) = $F$1) * ('Master Data Sheet'!$G:$G=$B22) * ('Master Data Sheet'!$F:$F=$E22) * ('Master Data Sheet'!$A:$A=$F22), 0), MATCH($F$1, 'Master Data Sheet'!$1:$1, 0)), "")</f>
        <v>1.7060018467220681</v>
      </c>
      <c r="M22" s="11" cm="1">
        <f t="array" ref="M22">IFERROR(INDEX('Master Data Sheet'!$1:$1048576, MATCH(1, ('Master Data Sheet'!$H:$H=M$2) * (INDEX('Master Data Sheet'!$1:$1, , MATCH($F$1, 'Master Data Sheet'!$1:$1, 0)) = $F$1) * ('Master Data Sheet'!$G:$G=$B22) * ('Master Data Sheet'!$F:$F=$E22) * ('Master Data Sheet'!$A:$A=$F22), 0), MATCH($F$1, 'Master Data Sheet'!$1:$1, 0)), "")</f>
        <v>2.1754385964912282</v>
      </c>
      <c r="N22" s="11" cm="1">
        <f t="array" ref="N22">IFERROR(INDEX('Master Data Sheet'!$1:$1048576, MATCH(1, ('Master Data Sheet'!$H:$H=N$2) * (INDEX('Master Data Sheet'!$1:$1, , MATCH($F$1, 'Master Data Sheet'!$1:$1, 0)) = $F$1) * ('Master Data Sheet'!$G:$G=$B22) * ('Master Data Sheet'!$F:$F=$E22) * ('Master Data Sheet'!$A:$A=$F22), 0), MATCH($F$1, 'Master Data Sheet'!$1:$1, 0)), "")</f>
        <v>2.2784856879039701</v>
      </c>
      <c r="O22" s="11">
        <f t="shared" si="8"/>
        <v>1.5931407466033505</v>
      </c>
      <c r="P22" s="11">
        <f t="shared" si="4"/>
        <v>0.58462265771851374</v>
      </c>
      <c r="Q22" s="11"/>
      <c r="X22" t="str">
        <f>IFERROR(INDEX('Date Key'!$G$57:$G$62, MATCH(B21,'Date Key'!$A$57:$A$62, 0)), "")</f>
        <v>High HLR, Lower Outlet Height, No Plants</v>
      </c>
      <c r="Y22" s="1">
        <f t="shared" ref="Y22:AE22" si="26">H21</f>
        <v>1.1220683287165283</v>
      </c>
      <c r="Z22" s="1">
        <f t="shared" si="26"/>
        <v>1.5113573407202219</v>
      </c>
      <c r="AA22" s="1">
        <f t="shared" si="26"/>
        <v>1.5800554016620498</v>
      </c>
      <c r="AB22" s="1">
        <f t="shared" si="26"/>
        <v>2.9425669436749766</v>
      </c>
      <c r="AC22" s="1">
        <f t="shared" si="26"/>
        <v>2.0265927977839331</v>
      </c>
      <c r="AD22" s="1">
        <f t="shared" si="26"/>
        <v>2.1983379501385043</v>
      </c>
      <c r="AE22" s="1">
        <f t="shared" si="26"/>
        <v>2.5876269621421977</v>
      </c>
      <c r="AF22" s="1">
        <f t="shared" ref="AF22:AL22" si="27">H22</f>
        <v>0.54958448753462608</v>
      </c>
      <c r="AG22" s="1">
        <f t="shared" si="27"/>
        <v>1.2365650969529085</v>
      </c>
      <c r="AH22" s="1">
        <f t="shared" si="27"/>
        <v>1.5228070175438599</v>
      </c>
      <c r="AI22" s="1">
        <f t="shared" si="27"/>
        <v>1.683102493074792</v>
      </c>
      <c r="AJ22" s="1">
        <f t="shared" si="27"/>
        <v>1.7060018467220681</v>
      </c>
      <c r="AK22" s="1">
        <f t="shared" si="27"/>
        <v>2.1754385964912282</v>
      </c>
      <c r="AL22" s="1">
        <f t="shared" si="27"/>
        <v>2.2784856879039701</v>
      </c>
      <c r="AM22" s="1">
        <f t="shared" ref="AM22:AS22" si="28">H23</f>
        <v>0.93887349953831944</v>
      </c>
      <c r="AN22" s="1">
        <f t="shared" si="28"/>
        <v>0.79002770083102491</v>
      </c>
      <c r="AO22" s="1">
        <f t="shared" si="28"/>
        <v>0.77857802400738685</v>
      </c>
      <c r="AP22" s="1">
        <f t="shared" si="28"/>
        <v>0.72132963988919652</v>
      </c>
      <c r="AQ22" s="1">
        <f t="shared" si="28"/>
        <v>0.67553093259464436</v>
      </c>
      <c r="AR22" s="1">
        <f t="shared" si="28"/>
        <v>0.68698060941828243</v>
      </c>
      <c r="AS22" s="1">
        <f t="shared" si="28"/>
        <v>0.69843028624192049</v>
      </c>
    </row>
    <row r="23" spans="1:45" x14ac:dyDescent="0.35">
      <c r="A23" s="41">
        <f>IFERROR(INDEX('Date Key'!$B$2:$B$19, MATCH(F23,'Date Key'!$A$2:$A$19, 0)), "")</f>
        <v>45246</v>
      </c>
      <c r="B23" s="4">
        <f t="shared" si="15"/>
        <v>3</v>
      </c>
      <c r="C23" s="26" t="str">
        <f>IFERROR(INDEX('Date Key'!$G$57:$G$62, MATCH(B23,'Date Key'!$A$57:$A$62, 0)), "")</f>
        <v>High HLR, Lower Outlet Height, No Plants</v>
      </c>
      <c r="D23" s="4" t="str">
        <f>IFERROR(INDEX('Date Key'!$G$2:$G$19, MATCH(F23, 'Date Key'!$A$2:$A$19, 0)), "")</f>
        <v>Yes</v>
      </c>
      <c r="E23" s="4" t="str">
        <f t="shared" si="1"/>
        <v>in</v>
      </c>
      <c r="F23" s="4">
        <f t="shared" si="2"/>
        <v>9</v>
      </c>
      <c r="G23" s="4">
        <f t="shared" si="22"/>
        <v>3</v>
      </c>
      <c r="H23" s="11" cm="1">
        <f t="array" ref="H23">IFERROR(INDEX('Master Data Sheet'!$1:$1048576, MATCH(1, ('Master Data Sheet'!$H:$H=H$2) * (INDEX('Master Data Sheet'!$1:$1, , MATCH($F$1, 'Master Data Sheet'!$1:$1, 0)) = $F$1) * ('Master Data Sheet'!$G:$G=$B23) * ('Master Data Sheet'!$F:$F=$E23) * ('Master Data Sheet'!$A:$A=$F23), 0), MATCH($F$1, 'Master Data Sheet'!$1:$1, 0)), "")</f>
        <v>0.93887349953831944</v>
      </c>
      <c r="I23" s="11" cm="1">
        <f t="array" ref="I23">IFERROR(INDEX('Master Data Sheet'!$1:$1048576, MATCH(1, ('Master Data Sheet'!$H:$H=I$2) * (INDEX('Master Data Sheet'!$1:$1, , MATCH($F$1, 'Master Data Sheet'!$1:$1, 0)) = $F$1) * ('Master Data Sheet'!$G:$G=$B23) * ('Master Data Sheet'!$F:$F=$E23) * ('Master Data Sheet'!$A:$A=$F23), 0), MATCH($F$1, 'Master Data Sheet'!$1:$1, 0)), "")</f>
        <v>0.79002770083102491</v>
      </c>
      <c r="J23" s="11" cm="1">
        <f t="array" ref="J23">IFERROR(INDEX('Master Data Sheet'!$1:$1048576, MATCH(1, ('Master Data Sheet'!$H:$H=J$2) * (INDEX('Master Data Sheet'!$1:$1, , MATCH($F$1, 'Master Data Sheet'!$1:$1, 0)) = $F$1) * ('Master Data Sheet'!$G:$G=$B23) * ('Master Data Sheet'!$F:$F=$E23) * ('Master Data Sheet'!$A:$A=$F23), 0), MATCH($F$1, 'Master Data Sheet'!$1:$1, 0)), "")</f>
        <v>0.77857802400738685</v>
      </c>
      <c r="K23" s="11" cm="1">
        <f t="array" ref="K23">IFERROR(INDEX('Master Data Sheet'!$1:$1048576, MATCH(1, ('Master Data Sheet'!$H:$H=K$2) * (INDEX('Master Data Sheet'!$1:$1, , MATCH($F$1, 'Master Data Sheet'!$1:$1, 0)) = $F$1) * ('Master Data Sheet'!$G:$G=$B23) * ('Master Data Sheet'!$F:$F=$E23) * ('Master Data Sheet'!$A:$A=$F23), 0), MATCH($F$1, 'Master Data Sheet'!$1:$1, 0)), "")</f>
        <v>0.72132963988919652</v>
      </c>
      <c r="L23" s="11" cm="1">
        <f t="array" ref="L23">IFERROR(INDEX('Master Data Sheet'!$1:$1048576, MATCH(1, ('Master Data Sheet'!$H:$H=L$2) * (INDEX('Master Data Sheet'!$1:$1, , MATCH($F$1, 'Master Data Sheet'!$1:$1, 0)) = $F$1) * ('Master Data Sheet'!$G:$G=$B23) * ('Master Data Sheet'!$F:$F=$E23) * ('Master Data Sheet'!$A:$A=$F23), 0), MATCH($F$1, 'Master Data Sheet'!$1:$1, 0)), "")</f>
        <v>0.67553093259464436</v>
      </c>
      <c r="M23" s="11" cm="1">
        <f t="array" ref="M23">IFERROR(INDEX('Master Data Sheet'!$1:$1048576, MATCH(1, ('Master Data Sheet'!$H:$H=M$2) * (INDEX('Master Data Sheet'!$1:$1, , MATCH($F$1, 'Master Data Sheet'!$1:$1, 0)) = $F$1) * ('Master Data Sheet'!$G:$G=$B23) * ('Master Data Sheet'!$F:$F=$E23) * ('Master Data Sheet'!$A:$A=$F23), 0), MATCH($F$1, 'Master Data Sheet'!$1:$1, 0)), "")</f>
        <v>0.68698060941828243</v>
      </c>
      <c r="N23" s="11" cm="1">
        <f t="array" ref="N23">IFERROR(INDEX('Master Data Sheet'!$1:$1048576, MATCH(1, ('Master Data Sheet'!$H:$H=N$2) * (INDEX('Master Data Sheet'!$1:$1, , MATCH($F$1, 'Master Data Sheet'!$1:$1, 0)) = $F$1) * ('Master Data Sheet'!$G:$G=$B23) * ('Master Data Sheet'!$F:$F=$E23) * ('Master Data Sheet'!$A:$A=$F23), 0), MATCH($F$1, 'Master Data Sheet'!$1:$1, 0)), "")</f>
        <v>0.69843028624192049</v>
      </c>
      <c r="O23" s="11">
        <f t="shared" si="8"/>
        <v>0.75567867036011072</v>
      </c>
      <c r="P23" s="11">
        <f t="shared" si="4"/>
        <v>9.2073248516161749E-2</v>
      </c>
      <c r="Q23" s="11"/>
      <c r="Y23" s="1"/>
      <c r="Z23" s="1"/>
      <c r="AA23" s="1"/>
      <c r="AB23" s="1"/>
      <c r="AC23" s="1"/>
      <c r="AD23" s="1"/>
      <c r="AE23" s="1"/>
      <c r="AF23" s="1"/>
      <c r="AG23" s="1"/>
      <c r="AH23" s="1"/>
      <c r="AI23" s="1"/>
      <c r="AJ23" s="1"/>
      <c r="AK23" s="1"/>
      <c r="AL23" s="1"/>
      <c r="AM23" s="1"/>
      <c r="AN23" s="1"/>
      <c r="AO23" s="1"/>
      <c r="AP23" s="1"/>
      <c r="AQ23" s="1"/>
      <c r="AR23" s="1"/>
      <c r="AS23" s="1"/>
    </row>
    <row r="24" spans="1:45" x14ac:dyDescent="0.35">
      <c r="A24" s="41">
        <f>IFERROR(INDEX('Date Key'!$B$2:$B$19, MATCH(F24,'Date Key'!$A$2:$A$19, 0)), "")</f>
        <v>45233</v>
      </c>
      <c r="B24" s="4">
        <f t="shared" si="15"/>
        <v>3</v>
      </c>
      <c r="C24" s="26" t="str">
        <f>IFERROR(INDEX('Date Key'!$G$57:$G$62, MATCH(B24,'Date Key'!$A$57:$A$62, 0)), "")</f>
        <v>High HLR, Lower Outlet Height, No Plants</v>
      </c>
      <c r="D24" s="4" t="str">
        <f>IFERROR(INDEX('Date Key'!$G$2:$G$19, MATCH(F24, 'Date Key'!$A$2:$A$19, 0)), "")</f>
        <v>No</v>
      </c>
      <c r="E24" s="4" t="str">
        <f t="shared" si="1"/>
        <v>tank 1</v>
      </c>
      <c r="F24" s="4">
        <f t="shared" si="2"/>
        <v>7</v>
      </c>
      <c r="G24" s="4">
        <f t="shared" si="22"/>
        <v>1</v>
      </c>
      <c r="H24" s="11" cm="1">
        <f t="array" ref="H24">IFERROR(INDEX('Master Data Sheet'!$1:$1048576, MATCH(1, ('Master Data Sheet'!$H:$H=H$2) * (INDEX('Master Data Sheet'!$1:$1, , MATCH($F$1, 'Master Data Sheet'!$1:$1, 0)) = $F$1) * ('Master Data Sheet'!$G:$G=$B24) * ('Master Data Sheet'!$F:$F=$E24) * ('Master Data Sheet'!$A:$A=$F24), 0), MATCH($F$1, 'Master Data Sheet'!$1:$1, 0)), "")</f>
        <v>0.81292705447830083</v>
      </c>
      <c r="I24" s="11" cm="1">
        <f t="array" ref="I24">IFERROR(INDEX('Master Data Sheet'!$1:$1048576, MATCH(1, ('Master Data Sheet'!$H:$H=I$2) * (INDEX('Master Data Sheet'!$1:$1, , MATCH($F$1, 'Master Data Sheet'!$1:$1, 0)) = $F$1) * ('Master Data Sheet'!$G:$G=$B24) * ('Master Data Sheet'!$F:$F=$E24) * ('Master Data Sheet'!$A:$A=$F24), 0), MATCH($F$1, 'Master Data Sheet'!$1:$1, 0)), "")</f>
        <v>0.75567867036011094</v>
      </c>
      <c r="J24" s="11" cm="1">
        <f t="array" ref="J24">IFERROR(INDEX('Master Data Sheet'!$1:$1048576, MATCH(1, ('Master Data Sheet'!$H:$H=J$2) * (INDEX('Master Data Sheet'!$1:$1, , MATCH($F$1, 'Master Data Sheet'!$1:$1, 0)) = $F$1) * ('Master Data Sheet'!$G:$G=$B24) * ('Master Data Sheet'!$F:$F=$E24) * ('Master Data Sheet'!$A:$A=$F24), 0), MATCH($F$1, 'Master Data Sheet'!$1:$1, 0)), "")</f>
        <v>0.84727608494921502</v>
      </c>
      <c r="K24" s="11" cm="1">
        <f t="array" ref="K24">IFERROR(INDEX('Master Data Sheet'!$1:$1048576, MATCH(1, ('Master Data Sheet'!$H:$H=K$2) * (INDEX('Master Data Sheet'!$1:$1, , MATCH($F$1, 'Master Data Sheet'!$1:$1, 0)) = $F$1) * ('Master Data Sheet'!$G:$G=$B24) * ('Master Data Sheet'!$F:$F=$E24) * ('Master Data Sheet'!$A:$A=$F24), 0), MATCH($F$1, 'Master Data Sheet'!$1:$1, 0)), "")</f>
        <v>1.0991689750692522</v>
      </c>
      <c r="L24" s="11" cm="1">
        <f t="array" ref="L24">IFERROR(INDEX('Master Data Sheet'!$1:$1048576, MATCH(1, ('Master Data Sheet'!$H:$H=L$2) * (INDEX('Master Data Sheet'!$1:$1, , MATCH($F$1, 'Master Data Sheet'!$1:$1, 0)) = $F$1) * ('Master Data Sheet'!$G:$G=$B24) * ('Master Data Sheet'!$F:$F=$E24) * ('Master Data Sheet'!$A:$A=$F24), 0), MATCH($F$1, 'Master Data Sheet'!$1:$1, 0)), "")</f>
        <v>1.3052631578947369</v>
      </c>
      <c r="M24" s="11" cm="1">
        <f t="array" ref="M24">IFERROR(INDEX('Master Data Sheet'!$1:$1048576, MATCH(1, ('Master Data Sheet'!$H:$H=M$2) * (INDEX('Master Data Sheet'!$1:$1, , MATCH($F$1, 'Master Data Sheet'!$1:$1, 0)) = $F$1) * ('Master Data Sheet'!$G:$G=$B24) * ('Master Data Sheet'!$F:$F=$E24) * ('Master Data Sheet'!$A:$A=$F24), 0), MATCH($F$1, 'Master Data Sheet'!$1:$1, 0)), "")</f>
        <v>1.683102493074792</v>
      </c>
      <c r="N24" s="11" cm="1">
        <f t="array" ref="N24">IFERROR(INDEX('Master Data Sheet'!$1:$1048576, MATCH(1, ('Master Data Sheet'!$H:$H=N$2) * (INDEX('Master Data Sheet'!$1:$1, , MATCH($F$1, 'Master Data Sheet'!$1:$1, 0)) = $F$1) * ('Master Data Sheet'!$G:$G=$B24) * ('Master Data Sheet'!$F:$F=$E24) * ('Master Data Sheet'!$A:$A=$F24), 0), MATCH($F$1, 'Master Data Sheet'!$1:$1, 0)), "")</f>
        <v>1.8433979686057249</v>
      </c>
      <c r="O24" s="11">
        <f t="shared" si="8"/>
        <v>1.1924020577760188</v>
      </c>
      <c r="P24" s="11">
        <f t="shared" si="4"/>
        <v>0.4358618208243476</v>
      </c>
      <c r="Q24" s="11">
        <f>AVERAGE(O24:O26)</f>
        <v>1.1155256562458777</v>
      </c>
      <c r="R24" s="46">
        <f>(1-(O24/O21))*100</f>
        <v>40.245901639344275</v>
      </c>
      <c r="S24" s="46">
        <f>AVERAGE(R24:R26)</f>
        <v>14.719187168609865</v>
      </c>
      <c r="T24" s="46">
        <f>STDEV(R24:R26)</f>
        <v>28.355071982742473</v>
      </c>
      <c r="U24" s="47">
        <f>(1-(AVERAGE(H24:N26)/AVERAGE(H21:N23)))*100</f>
        <v>22.966867469879524</v>
      </c>
      <c r="V24" s="47"/>
      <c r="Y24" s="2"/>
      <c r="Z24" s="2"/>
      <c r="AA24" s="2"/>
      <c r="AB24" s="2"/>
      <c r="AC24" s="2"/>
      <c r="AD24" s="2"/>
      <c r="AE24" s="2"/>
      <c r="AF24" s="2"/>
      <c r="AG24" s="2"/>
    </row>
    <row r="25" spans="1:45" x14ac:dyDescent="0.35">
      <c r="A25" s="41">
        <f>IFERROR(INDEX('Date Key'!$B$2:$B$19, MATCH(F25,'Date Key'!$A$2:$A$19, 0)), "")</f>
        <v>45238</v>
      </c>
      <c r="B25" s="4">
        <f t="shared" si="15"/>
        <v>3</v>
      </c>
      <c r="C25" s="26" t="str">
        <f>IFERROR(INDEX('Date Key'!$G$57:$G$62, MATCH(B25,'Date Key'!$A$57:$A$62, 0)), "")</f>
        <v>High HLR, Lower Outlet Height, No Plants</v>
      </c>
      <c r="D25" s="4" t="str">
        <f>IFERROR(INDEX('Date Key'!$G$2:$G$19, MATCH(F25, 'Date Key'!$A$2:$A$19, 0)), "")</f>
        <v>No</v>
      </c>
      <c r="E25" s="4" t="str">
        <f t="shared" si="1"/>
        <v>tank 1</v>
      </c>
      <c r="F25" s="4">
        <f t="shared" si="2"/>
        <v>8</v>
      </c>
      <c r="G25" s="4">
        <f t="shared" si="22"/>
        <v>2</v>
      </c>
      <c r="H25" s="11" cm="1">
        <f t="array" ref="H25">IFERROR(INDEX('Master Data Sheet'!$1:$1048576, MATCH(1, ('Master Data Sheet'!$H:$H=H$2) * (INDEX('Master Data Sheet'!$1:$1, , MATCH($F$1, 'Master Data Sheet'!$1:$1, 0)) = $F$1) * ('Master Data Sheet'!$G:$G=$B25) * ('Master Data Sheet'!$F:$F=$E25) * ('Master Data Sheet'!$A:$A=$F25), 0), MATCH($F$1, 'Master Data Sheet'!$1:$1, 0)), "")</f>
        <v>1.1907663896583562</v>
      </c>
      <c r="I25" s="11" cm="1">
        <f t="array" ref="I25">IFERROR(INDEX('Master Data Sheet'!$1:$1048576, MATCH(1, ('Master Data Sheet'!$H:$H=I$2) * (INDEX('Master Data Sheet'!$1:$1, , MATCH($F$1, 'Master Data Sheet'!$1:$1, 0)) = $F$1) * ('Master Data Sheet'!$G:$G=$B25) * ('Master Data Sheet'!$F:$F=$E25) * ('Master Data Sheet'!$A:$A=$F25), 0), MATCH($F$1, 'Master Data Sheet'!$1:$1, 0)), "")</f>
        <v>1.076269621421976</v>
      </c>
      <c r="J25" s="11" cm="1">
        <f t="array" ref="J25">IFERROR(INDEX('Master Data Sheet'!$1:$1048576, MATCH(1, ('Master Data Sheet'!$H:$H=J$2) * (INDEX('Master Data Sheet'!$1:$1, , MATCH($F$1, 'Master Data Sheet'!$1:$1, 0)) = $F$1) * ('Master Data Sheet'!$G:$G=$B25) * ('Master Data Sheet'!$F:$F=$E25) * ('Master Data Sheet'!$A:$A=$F25), 0), MATCH($F$1, 'Master Data Sheet'!$1:$1, 0)), "")</f>
        <v>1.076269621421976</v>
      </c>
      <c r="K25" s="11" cm="1">
        <f t="array" ref="K25">IFERROR(INDEX('Master Data Sheet'!$1:$1048576, MATCH(1, ('Master Data Sheet'!$H:$H=K$2) * (INDEX('Master Data Sheet'!$1:$1, , MATCH($F$1, 'Master Data Sheet'!$1:$1, 0)) = $F$1) * ('Master Data Sheet'!$G:$G=$B25) * ('Master Data Sheet'!$F:$F=$E25) * ('Master Data Sheet'!$A:$A=$F25), 0), MATCH($F$1, 'Master Data Sheet'!$1:$1, 0)), "")</f>
        <v>1.1335180055401664</v>
      </c>
      <c r="L25" s="11" cm="1">
        <f t="array" ref="L25">IFERROR(INDEX('Master Data Sheet'!$1:$1048576, MATCH(1, ('Master Data Sheet'!$H:$H=L$2) * (INDEX('Master Data Sheet'!$1:$1, , MATCH($F$1, 'Master Data Sheet'!$1:$1, 0)) = $F$1) * ('Master Data Sheet'!$G:$G=$B25) * ('Master Data Sheet'!$F:$F=$E25) * ('Master Data Sheet'!$A:$A=$F25), 0), MATCH($F$1, 'Master Data Sheet'!$1:$1, 0)), "")</f>
        <v>1.2594644506001846</v>
      </c>
      <c r="M25" s="11" cm="1">
        <f t="array" ref="M25">IFERROR(INDEX('Master Data Sheet'!$1:$1048576, MATCH(1, ('Master Data Sheet'!$H:$H=M$2) * (INDEX('Master Data Sheet'!$1:$1, , MATCH($F$1, 'Master Data Sheet'!$1:$1, 0)) = $F$1) * ('Master Data Sheet'!$G:$G=$B25) * ('Master Data Sheet'!$F:$F=$E25) * ('Master Data Sheet'!$A:$A=$F25), 0), MATCH($F$1, 'Master Data Sheet'!$1:$1, 0)), "")</f>
        <v>1.5342566943674976</v>
      </c>
      <c r="N25" s="11" cm="1">
        <f t="array" ref="N25">IFERROR(INDEX('Master Data Sheet'!$1:$1048576, MATCH(1, ('Master Data Sheet'!$H:$H=N$2) * (INDEX('Master Data Sheet'!$1:$1, , MATCH($F$1, 'Master Data Sheet'!$1:$1, 0)) = $F$1) * ('Master Data Sheet'!$G:$G=$B25) * ('Master Data Sheet'!$F:$F=$E25) * ('Master Data Sheet'!$A:$A=$F25), 0), MATCH($F$1, 'Master Data Sheet'!$1:$1, 0)), "")</f>
        <v>1.683102493074792</v>
      </c>
      <c r="O25" s="11">
        <f t="shared" si="8"/>
        <v>1.2790924680121356</v>
      </c>
      <c r="P25" s="11">
        <f t="shared" si="4"/>
        <v>0.23804263493101813</v>
      </c>
      <c r="Q25" s="11"/>
      <c r="R25" s="46">
        <f>(1-(O25/O22))*100</f>
        <v>19.712525667351134</v>
      </c>
      <c r="X25" t="str">
        <f>IFERROR(INDEX('Date Key'!$G$57:$G$62, MATCH(B24,'Date Key'!$A$57:$A$62, 0)), "")</f>
        <v>High HLR, Lower Outlet Height, No Plants</v>
      </c>
      <c r="Y25" s="1">
        <f t="shared" ref="Y25:AE25" si="29">H24</f>
        <v>0.81292705447830083</v>
      </c>
      <c r="Z25" s="1">
        <f t="shared" si="29"/>
        <v>0.75567867036011094</v>
      </c>
      <c r="AA25" s="1">
        <f t="shared" si="29"/>
        <v>0.84727608494921502</v>
      </c>
      <c r="AB25" s="1">
        <f t="shared" si="29"/>
        <v>1.0991689750692522</v>
      </c>
      <c r="AC25" s="1">
        <f t="shared" si="29"/>
        <v>1.3052631578947369</v>
      </c>
      <c r="AD25" s="1">
        <f t="shared" si="29"/>
        <v>1.683102493074792</v>
      </c>
      <c r="AE25" s="1">
        <f t="shared" si="29"/>
        <v>1.8433979686057249</v>
      </c>
      <c r="AF25" s="1">
        <f t="shared" ref="AF25:AL25" si="30">H25</f>
        <v>1.1907663896583562</v>
      </c>
      <c r="AG25" s="1">
        <f t="shared" si="30"/>
        <v>1.076269621421976</v>
      </c>
      <c r="AH25" s="1">
        <f t="shared" si="30"/>
        <v>1.076269621421976</v>
      </c>
      <c r="AI25" s="1">
        <f t="shared" si="30"/>
        <v>1.1335180055401664</v>
      </c>
      <c r="AJ25" s="1">
        <f t="shared" si="30"/>
        <v>1.2594644506001846</v>
      </c>
      <c r="AK25" s="1">
        <f t="shared" si="30"/>
        <v>1.5342566943674976</v>
      </c>
      <c r="AL25" s="1">
        <f t="shared" si="30"/>
        <v>1.683102493074792</v>
      </c>
      <c r="AM25" s="1">
        <f t="shared" ref="AM25:AS25" si="31">H26</f>
        <v>1.328162511542013</v>
      </c>
      <c r="AN25" s="1">
        <f t="shared" si="31"/>
        <v>0.97322253000923364</v>
      </c>
      <c r="AO25" s="1">
        <f t="shared" si="31"/>
        <v>0.881625115420129</v>
      </c>
      <c r="AP25" s="1">
        <f t="shared" si="31"/>
        <v>0.77857802400738685</v>
      </c>
      <c r="AQ25" s="1">
        <f t="shared" si="31"/>
        <v>0.76712834718374878</v>
      </c>
      <c r="AR25" s="1">
        <f t="shared" si="31"/>
        <v>0.68698060941828243</v>
      </c>
      <c r="AS25" s="1">
        <f t="shared" si="31"/>
        <v>0.70987996306555845</v>
      </c>
    </row>
    <row r="26" spans="1:45" x14ac:dyDescent="0.35">
      <c r="A26" s="41">
        <f>IFERROR(INDEX('Date Key'!$B$2:$B$19, MATCH(F26,'Date Key'!$A$2:$A$19, 0)), "")</f>
        <v>45246</v>
      </c>
      <c r="B26" s="4">
        <f t="shared" si="15"/>
        <v>3</v>
      </c>
      <c r="C26" s="26" t="str">
        <f>IFERROR(INDEX('Date Key'!$G$57:$G$62, MATCH(B26,'Date Key'!$A$57:$A$62, 0)), "")</f>
        <v>High HLR, Lower Outlet Height, No Plants</v>
      </c>
      <c r="D26" s="4" t="str">
        <f>IFERROR(INDEX('Date Key'!$G$2:$G$19, MATCH(F26, 'Date Key'!$A$2:$A$19, 0)), "")</f>
        <v>Yes</v>
      </c>
      <c r="E26" s="4" t="str">
        <f t="shared" si="1"/>
        <v>tank 1</v>
      </c>
      <c r="F26" s="4">
        <f t="shared" si="2"/>
        <v>9</v>
      </c>
      <c r="G26" s="4">
        <f t="shared" si="22"/>
        <v>3</v>
      </c>
      <c r="H26" s="11" cm="1">
        <f t="array" ref="H26">IFERROR(INDEX('Master Data Sheet'!$1:$1048576, MATCH(1, ('Master Data Sheet'!$H:$H=H$2) * (INDEX('Master Data Sheet'!$1:$1, , MATCH($F$1, 'Master Data Sheet'!$1:$1, 0)) = $F$1) * ('Master Data Sheet'!$G:$G=$B26) * ('Master Data Sheet'!$F:$F=$E26) * ('Master Data Sheet'!$A:$A=$F26), 0), MATCH($F$1, 'Master Data Sheet'!$1:$1, 0)), "")</f>
        <v>1.328162511542013</v>
      </c>
      <c r="I26" s="11" cm="1">
        <f t="array" ref="I26">IFERROR(INDEX('Master Data Sheet'!$1:$1048576, MATCH(1, ('Master Data Sheet'!$H:$H=I$2) * (INDEX('Master Data Sheet'!$1:$1, , MATCH($F$1, 'Master Data Sheet'!$1:$1, 0)) = $F$1) * ('Master Data Sheet'!$G:$G=$B26) * ('Master Data Sheet'!$F:$F=$E26) * ('Master Data Sheet'!$A:$A=$F26), 0), MATCH($F$1, 'Master Data Sheet'!$1:$1, 0)), "")</f>
        <v>0.97322253000923364</v>
      </c>
      <c r="J26" s="11" cm="1">
        <f t="array" ref="J26">IFERROR(INDEX('Master Data Sheet'!$1:$1048576, MATCH(1, ('Master Data Sheet'!$H:$H=J$2) * (INDEX('Master Data Sheet'!$1:$1, , MATCH($F$1, 'Master Data Sheet'!$1:$1, 0)) = $F$1) * ('Master Data Sheet'!$G:$G=$B26) * ('Master Data Sheet'!$F:$F=$E26) * ('Master Data Sheet'!$A:$A=$F26), 0), MATCH($F$1, 'Master Data Sheet'!$1:$1, 0)), "")</f>
        <v>0.881625115420129</v>
      </c>
      <c r="K26" s="11" cm="1">
        <f t="array" ref="K26">IFERROR(INDEX('Master Data Sheet'!$1:$1048576, MATCH(1, ('Master Data Sheet'!$H:$H=K$2) * (INDEX('Master Data Sheet'!$1:$1, , MATCH($F$1, 'Master Data Sheet'!$1:$1, 0)) = $F$1) * ('Master Data Sheet'!$G:$G=$B26) * ('Master Data Sheet'!$F:$F=$E26) * ('Master Data Sheet'!$A:$A=$F26), 0), MATCH($F$1, 'Master Data Sheet'!$1:$1, 0)), "")</f>
        <v>0.77857802400738685</v>
      </c>
      <c r="L26" s="11" cm="1">
        <f t="array" ref="L26">IFERROR(INDEX('Master Data Sheet'!$1:$1048576, MATCH(1, ('Master Data Sheet'!$H:$H=L$2) * (INDEX('Master Data Sheet'!$1:$1, , MATCH($F$1, 'Master Data Sheet'!$1:$1, 0)) = $F$1) * ('Master Data Sheet'!$G:$G=$B26) * ('Master Data Sheet'!$F:$F=$E26) * ('Master Data Sheet'!$A:$A=$F26), 0), MATCH($F$1, 'Master Data Sheet'!$1:$1, 0)), "")</f>
        <v>0.76712834718374878</v>
      </c>
      <c r="M26" s="11" cm="1">
        <f t="array" ref="M26">IFERROR(INDEX('Master Data Sheet'!$1:$1048576, MATCH(1, ('Master Data Sheet'!$H:$H=M$2) * (INDEX('Master Data Sheet'!$1:$1, , MATCH($F$1, 'Master Data Sheet'!$1:$1, 0)) = $F$1) * ('Master Data Sheet'!$G:$G=$B26) * ('Master Data Sheet'!$F:$F=$E26) * ('Master Data Sheet'!$A:$A=$F26), 0), MATCH($F$1, 'Master Data Sheet'!$1:$1, 0)), "")</f>
        <v>0.68698060941828243</v>
      </c>
      <c r="N26" s="11" cm="1">
        <f t="array" ref="N26">IFERROR(INDEX('Master Data Sheet'!$1:$1048576, MATCH(1, ('Master Data Sheet'!$H:$H=N$2) * (INDEX('Master Data Sheet'!$1:$1, , MATCH($F$1, 'Master Data Sheet'!$1:$1, 0)) = $F$1) * ('Master Data Sheet'!$G:$G=$B26) * ('Master Data Sheet'!$F:$F=$E26) * ('Master Data Sheet'!$A:$A=$F26), 0), MATCH($F$1, 'Master Data Sheet'!$1:$1, 0)), "")</f>
        <v>0.70987996306555845</v>
      </c>
      <c r="O26" s="11">
        <f t="shared" si="8"/>
        <v>0.8750824429494789</v>
      </c>
      <c r="P26" s="11">
        <f t="shared" si="4"/>
        <v>0.2230833852368925</v>
      </c>
      <c r="Q26" s="11"/>
      <c r="R26" s="46">
        <f>(1-(O26/O23))*100</f>
        <v>-15.800865800865814</v>
      </c>
      <c r="Y26" s="2"/>
      <c r="Z26" s="2"/>
      <c r="AA26" s="2"/>
      <c r="AB26" s="2"/>
      <c r="AC26" s="2"/>
      <c r="AD26" s="2"/>
      <c r="AE26" s="2"/>
      <c r="AF26" s="2"/>
      <c r="AG26" s="2"/>
    </row>
    <row r="27" spans="1:45" x14ac:dyDescent="0.35">
      <c r="A27" s="41">
        <f>IFERROR(INDEX('Date Key'!$B$2:$B$19, MATCH(F27,'Date Key'!$A$2:$A$19, 0)), "")</f>
        <v>45233</v>
      </c>
      <c r="B27" s="4">
        <f t="shared" si="15"/>
        <v>3</v>
      </c>
      <c r="C27" s="26" t="str">
        <f>IFERROR(INDEX('Date Key'!$G$57:$G$62, MATCH(B27,'Date Key'!$A$57:$A$62, 0)), "")</f>
        <v>High HLR, Lower Outlet Height, No Plants</v>
      </c>
      <c r="D27" s="4" t="str">
        <f>IFERROR(INDEX('Date Key'!$G$2:$G$19, MATCH(F27, 'Date Key'!$A$2:$A$19, 0)), "")</f>
        <v>No</v>
      </c>
      <c r="E27" s="4" t="str">
        <f t="shared" si="1"/>
        <v>tank 2</v>
      </c>
      <c r="F27" s="4">
        <f t="shared" si="2"/>
        <v>7</v>
      </c>
      <c r="G27" s="4">
        <f t="shared" si="22"/>
        <v>1</v>
      </c>
      <c r="H27" s="11" cm="1">
        <f t="array" ref="H27">IFERROR(INDEX('Master Data Sheet'!$1:$1048576, MATCH(1, ('Master Data Sheet'!$H:$H=H$2) * (INDEX('Master Data Sheet'!$1:$1, , MATCH($F$1, 'Master Data Sheet'!$1:$1, 0)) = $F$1) * ('Master Data Sheet'!$G:$G=$B27) * ('Master Data Sheet'!$F:$F=$E27) * ('Master Data Sheet'!$A:$A=$F27), 0), MATCH($F$1, 'Master Data Sheet'!$1:$1, 0)), "")</f>
        <v>1.2594644506001846</v>
      </c>
      <c r="I27" s="11" cm="1">
        <f t="array" ref="I27">IFERROR(INDEX('Master Data Sheet'!$1:$1048576, MATCH(1, ('Master Data Sheet'!$H:$H=I$2) * (INDEX('Master Data Sheet'!$1:$1, , MATCH($F$1, 'Master Data Sheet'!$1:$1, 0)) = $F$1) * ('Master Data Sheet'!$G:$G=$B27) * ('Master Data Sheet'!$F:$F=$E27) * ('Master Data Sheet'!$A:$A=$F27), 0), MATCH($F$1, 'Master Data Sheet'!$1:$1, 0)), "")</f>
        <v>1.1335180055401664</v>
      </c>
      <c r="J27" s="11" cm="1">
        <f t="array" ref="J27">IFERROR(INDEX('Master Data Sheet'!$1:$1048576, MATCH(1, ('Master Data Sheet'!$H:$H=J$2) * (INDEX('Master Data Sheet'!$1:$1, , MATCH($F$1, 'Master Data Sheet'!$1:$1, 0)) = $F$1) * ('Master Data Sheet'!$G:$G=$B27) * ('Master Data Sheet'!$F:$F=$E27) * ('Master Data Sheet'!$A:$A=$F27), 0), MATCH($F$1, 'Master Data Sheet'!$1:$1, 0)), "")</f>
        <v>1.0533702677746999</v>
      </c>
      <c r="K27" s="11" cm="1">
        <f t="array" ref="K27">IFERROR(INDEX('Master Data Sheet'!$1:$1048576, MATCH(1, ('Master Data Sheet'!$H:$H=K$2) * (INDEX('Master Data Sheet'!$1:$1, , MATCH($F$1, 'Master Data Sheet'!$1:$1, 0)) = $F$1) * ('Master Data Sheet'!$G:$G=$B27) * ('Master Data Sheet'!$F:$F=$E27) * ('Master Data Sheet'!$A:$A=$F27), 0), MATCH($F$1, 'Master Data Sheet'!$1:$1, 0)), "")</f>
        <v>1.1793167128347182</v>
      </c>
      <c r="L27" s="11" cm="1">
        <f t="array" ref="L27">IFERROR(INDEX('Master Data Sheet'!$1:$1048576, MATCH(1, ('Master Data Sheet'!$H:$H=L$2) * (INDEX('Master Data Sheet'!$1:$1, , MATCH($F$1, 'Master Data Sheet'!$1:$1, 0)) = $F$1) * ('Master Data Sheet'!$G:$G=$B27) * ('Master Data Sheet'!$F:$F=$E27) * ('Master Data Sheet'!$A:$A=$F27), 0), MATCH($F$1, 'Master Data Sheet'!$1:$1, 0)), "")</f>
        <v>1.1564173591874425</v>
      </c>
      <c r="M27" s="11" cm="1">
        <f t="array" ref="M27">IFERROR(INDEX('Master Data Sheet'!$1:$1048576, MATCH(1, ('Master Data Sheet'!$H:$H=M$2) * (INDEX('Master Data Sheet'!$1:$1, , MATCH($F$1, 'Master Data Sheet'!$1:$1, 0)) = $F$1) * ('Master Data Sheet'!$G:$G=$B27) * ('Master Data Sheet'!$F:$F=$E27) * ('Master Data Sheet'!$A:$A=$F27), 0), MATCH($F$1, 'Master Data Sheet'!$1:$1, 0)), "")</f>
        <v>1.4770083102493077</v>
      </c>
      <c r="N27" s="11" cm="1">
        <f t="array" ref="N27">IFERROR(INDEX('Master Data Sheet'!$1:$1048576, MATCH(1, ('Master Data Sheet'!$H:$H=N$2) * (INDEX('Master Data Sheet'!$1:$1, , MATCH($F$1, 'Master Data Sheet'!$1:$1, 0)) = $F$1) * ('Master Data Sheet'!$G:$G=$B27) * ('Master Data Sheet'!$F:$F=$E27) * ('Master Data Sheet'!$A:$A=$F27), 0), MATCH($F$1, 'Master Data Sheet'!$1:$1, 0)), "")</f>
        <v>1.5800554016620498</v>
      </c>
      <c r="O27" s="11">
        <f t="shared" si="8"/>
        <v>1.2627357868355098</v>
      </c>
      <c r="P27" s="11">
        <f t="shared" si="4"/>
        <v>0.19382494654702709</v>
      </c>
      <c r="Q27" s="11">
        <f>AVERAGE(N27:N29)</f>
        <v>1.2709141274238225</v>
      </c>
      <c r="R27" s="46">
        <f>(1-(O27/O21))*100</f>
        <v>36.721311475409848</v>
      </c>
      <c r="S27" s="46">
        <f>AVERAGE(R27:R29)</f>
        <v>-28.327903923218155</v>
      </c>
      <c r="T27" s="46">
        <f>STDEV(R27:R29)</f>
        <v>70.244604579691753</v>
      </c>
      <c r="U27" s="47">
        <f>(1-(AVERAGE(H27:N29)/AVERAGE(H21:N23)))*100</f>
        <v>-7.9442771084337283</v>
      </c>
      <c r="V27" s="47"/>
      <c r="Y27" s="2"/>
      <c r="Z27" s="2"/>
      <c r="AA27" s="2"/>
      <c r="AB27" s="2"/>
      <c r="AC27" s="2"/>
      <c r="AD27" s="2"/>
      <c r="AE27" s="2"/>
      <c r="AF27" s="2"/>
      <c r="AG27" s="2"/>
    </row>
    <row r="28" spans="1:45" x14ac:dyDescent="0.35">
      <c r="A28" s="41">
        <f>IFERROR(INDEX('Date Key'!$B$2:$B$19, MATCH(F28,'Date Key'!$A$2:$A$19, 0)), "")</f>
        <v>45238</v>
      </c>
      <c r="B28" s="4">
        <f t="shared" si="15"/>
        <v>3</v>
      </c>
      <c r="C28" s="26" t="str">
        <f>IFERROR(INDEX('Date Key'!$G$57:$G$62, MATCH(B28,'Date Key'!$A$57:$A$62, 0)), "")</f>
        <v>High HLR, Lower Outlet Height, No Plants</v>
      </c>
      <c r="D28" s="4" t="str">
        <f>IFERROR(INDEX('Date Key'!$G$2:$G$19, MATCH(F28, 'Date Key'!$A$2:$A$19, 0)), "")</f>
        <v>No</v>
      </c>
      <c r="E28" s="4" t="str">
        <f t="shared" si="1"/>
        <v>tank 2</v>
      </c>
      <c r="F28" s="4">
        <f t="shared" si="2"/>
        <v>8</v>
      </c>
      <c r="G28" s="4">
        <f t="shared" si="22"/>
        <v>2</v>
      </c>
      <c r="H28" s="11" cm="1">
        <f t="array" ref="H28">IFERROR(INDEX('Master Data Sheet'!$1:$1048576, MATCH(1, ('Master Data Sheet'!$H:$H=H$2) * (INDEX('Master Data Sheet'!$1:$1, , MATCH($F$1, 'Master Data Sheet'!$1:$1, 0)) = $F$1) * ('Master Data Sheet'!$G:$G=$B28) * ('Master Data Sheet'!$F:$F=$E28) * ('Master Data Sheet'!$A:$A=$F28), 0), MATCH($F$1, 'Master Data Sheet'!$1:$1, 0)), "")</f>
        <v>3.7554939981532778</v>
      </c>
      <c r="I28" s="11" cm="1">
        <f t="array" ref="I28">IFERROR(INDEX('Master Data Sheet'!$1:$1048576, MATCH(1, ('Master Data Sheet'!$H:$H=I$2) * (INDEX('Master Data Sheet'!$1:$1, , MATCH($F$1, 'Master Data Sheet'!$1:$1, 0)) = $F$1) * ('Master Data Sheet'!$G:$G=$B28) * ('Master Data Sheet'!$F:$F=$E28) * ('Master Data Sheet'!$A:$A=$F28), 0), MATCH($F$1, 'Master Data Sheet'!$1:$1, 0)), "")</f>
        <v>2.1868882733148656</v>
      </c>
      <c r="J28" s="11" cm="1">
        <f t="array" ref="J28">IFERROR(INDEX('Master Data Sheet'!$1:$1048576, MATCH(1, ('Master Data Sheet'!$H:$H=J$2) * (INDEX('Master Data Sheet'!$1:$1, , MATCH($F$1, 'Master Data Sheet'!$1:$1, 0)) = $F$1) * ('Master Data Sheet'!$G:$G=$B28) * ('Master Data Sheet'!$F:$F=$E28) * ('Master Data Sheet'!$A:$A=$F28), 0), MATCH($F$1, 'Master Data Sheet'!$1:$1, 0)), "")</f>
        <v>1.4197599261311169</v>
      </c>
      <c r="K28" s="11" cm="1">
        <f t="array" ref="K28">IFERROR(INDEX('Master Data Sheet'!$1:$1048576, MATCH(1, ('Master Data Sheet'!$H:$H=K$2) * (INDEX('Master Data Sheet'!$1:$1, , MATCH($F$1, 'Master Data Sheet'!$1:$1, 0)) = $F$1) * ('Master Data Sheet'!$G:$G=$B28) * ('Master Data Sheet'!$F:$F=$E28) * ('Master Data Sheet'!$A:$A=$F28), 0), MATCH($F$1, 'Master Data Sheet'!$1:$1, 0)), "")</f>
        <v>1.3052631578947369</v>
      </c>
      <c r="L28" s="11" cm="1">
        <f t="array" ref="L28">IFERROR(INDEX('Master Data Sheet'!$1:$1048576, MATCH(1, ('Master Data Sheet'!$H:$H=L$2) * (INDEX('Master Data Sheet'!$1:$1, , MATCH($F$1, 'Master Data Sheet'!$1:$1, 0)) = $F$1) * ('Master Data Sheet'!$G:$G=$B28) * ('Master Data Sheet'!$F:$F=$E28) * ('Master Data Sheet'!$A:$A=$F28), 0), MATCH($F$1, 'Master Data Sheet'!$1:$1, 0)), "")</f>
        <v>1.2594644506001846</v>
      </c>
      <c r="M28" s="11" cm="1">
        <f t="array" ref="M28">IFERROR(INDEX('Master Data Sheet'!$1:$1048576, MATCH(1, ('Master Data Sheet'!$H:$H=M$2) * (INDEX('Master Data Sheet'!$1:$1, , MATCH($F$1, 'Master Data Sheet'!$1:$1, 0)) = $F$1) * ('Master Data Sheet'!$G:$G=$B28) * ('Master Data Sheet'!$F:$F=$E28) * ('Master Data Sheet'!$A:$A=$F28), 0), MATCH($F$1, 'Master Data Sheet'!$1:$1, 0)), "")</f>
        <v>1.900646352723915</v>
      </c>
      <c r="N28" s="11" cm="1">
        <f t="array" ref="N28">IFERROR(INDEX('Master Data Sheet'!$1:$1048576, MATCH(1, ('Master Data Sheet'!$H:$H=N$2) * (INDEX('Master Data Sheet'!$1:$1, , MATCH($F$1, 'Master Data Sheet'!$1:$1, 0)) = $F$1) * ('Master Data Sheet'!$G:$G=$B28) * ('Master Data Sheet'!$F:$F=$E28) * ('Master Data Sheet'!$A:$A=$F28), 0), MATCH($F$1, 'Master Data Sheet'!$1:$1, 0)), "")</f>
        <v>1.431209602954755</v>
      </c>
      <c r="O28" s="11">
        <f t="shared" si="8"/>
        <v>1.8941036802532645</v>
      </c>
      <c r="P28" s="11">
        <f t="shared" si="4"/>
        <v>0.88875498840869782</v>
      </c>
      <c r="Q28" s="11"/>
      <c r="R28" s="46">
        <f>(1-(O28/O22))*100</f>
        <v>-18.891170431211492</v>
      </c>
      <c r="X28" t="str">
        <f>IFERROR(INDEX('Date Key'!$G$57:$G$62, MATCH(B27,'Date Key'!$A$57:$A$62, 0)), "")</f>
        <v>High HLR, Lower Outlet Height, No Plants</v>
      </c>
      <c r="Y28" s="1">
        <f t="shared" ref="Y28:AE28" si="32">H27</f>
        <v>1.2594644506001846</v>
      </c>
      <c r="Z28" s="1">
        <f t="shared" si="32"/>
        <v>1.1335180055401664</v>
      </c>
      <c r="AA28" s="1">
        <f t="shared" si="32"/>
        <v>1.0533702677746999</v>
      </c>
      <c r="AB28" s="1">
        <f t="shared" si="32"/>
        <v>1.1793167128347182</v>
      </c>
      <c r="AC28" s="1">
        <f t="shared" si="32"/>
        <v>1.1564173591874425</v>
      </c>
      <c r="AD28" s="1">
        <f t="shared" si="32"/>
        <v>1.4770083102493077</v>
      </c>
      <c r="AE28" s="1">
        <f t="shared" si="32"/>
        <v>1.5800554016620498</v>
      </c>
      <c r="AF28" s="1">
        <f t="shared" ref="AF28:AL28" si="33">H28</f>
        <v>3.7554939981532778</v>
      </c>
      <c r="AG28" s="1">
        <f t="shared" si="33"/>
        <v>2.1868882733148656</v>
      </c>
      <c r="AH28" s="1">
        <f t="shared" si="33"/>
        <v>1.4197599261311169</v>
      </c>
      <c r="AI28" s="1">
        <f t="shared" si="33"/>
        <v>1.3052631578947369</v>
      </c>
      <c r="AJ28" s="1">
        <f t="shared" si="33"/>
        <v>1.2594644506001846</v>
      </c>
      <c r="AK28" s="1">
        <f t="shared" si="33"/>
        <v>1.900646352723915</v>
      </c>
      <c r="AL28" s="1">
        <f t="shared" si="33"/>
        <v>1.431209602954755</v>
      </c>
      <c r="AM28" s="1">
        <f t="shared" ref="AM28:AS28" si="34">H29</f>
        <v>4.5111726685133879</v>
      </c>
      <c r="AN28" s="1">
        <f t="shared" si="34"/>
        <v>2.2097876269621417</v>
      </c>
      <c r="AO28" s="1">
        <f t="shared" si="34"/>
        <v>1.1335180055401664</v>
      </c>
      <c r="AP28" s="1">
        <f t="shared" si="34"/>
        <v>0.85872576177285309</v>
      </c>
      <c r="AQ28" s="1">
        <f t="shared" si="34"/>
        <v>0.61828254847645425</v>
      </c>
      <c r="AR28" s="1">
        <f t="shared" si="34"/>
        <v>0.59538319482917812</v>
      </c>
      <c r="AS28" s="1">
        <f t="shared" si="34"/>
        <v>0.80147737765466298</v>
      </c>
    </row>
    <row r="29" spans="1:45" x14ac:dyDescent="0.35">
      <c r="A29" s="42">
        <f>IFERROR(INDEX('Date Key'!$B$2:$B$19, MATCH(F29,'Date Key'!$A$2:$A$19, 0)), "")</f>
        <v>45246</v>
      </c>
      <c r="B29" s="27">
        <f t="shared" si="15"/>
        <v>3</v>
      </c>
      <c r="C29" s="51" t="str">
        <f>IFERROR(INDEX('Date Key'!$G$57:$G$62, MATCH(B29,'Date Key'!$A$57:$A$62, 0)), "")</f>
        <v>High HLR, Lower Outlet Height, No Plants</v>
      </c>
      <c r="D29" s="27" t="str">
        <f>IFERROR(INDEX('Date Key'!$G$2:$G$19, MATCH(F29, 'Date Key'!$A$2:$A$19, 0)), "")</f>
        <v>Yes</v>
      </c>
      <c r="E29" s="27" t="str">
        <f t="shared" si="1"/>
        <v>tank 2</v>
      </c>
      <c r="F29" s="27">
        <f t="shared" si="2"/>
        <v>9</v>
      </c>
      <c r="G29" s="27">
        <f t="shared" si="22"/>
        <v>3</v>
      </c>
      <c r="H29" s="28" cm="1">
        <f t="array" ref="H29">IFERROR(INDEX('Master Data Sheet'!$1:$1048576, MATCH(1, ('Master Data Sheet'!$H:$H=H$2) * (INDEX('Master Data Sheet'!$1:$1, , MATCH($F$1, 'Master Data Sheet'!$1:$1, 0)) = $F$1) * ('Master Data Sheet'!$G:$G=$B29) * ('Master Data Sheet'!$F:$F=$E29) * ('Master Data Sheet'!$A:$A=$F29), 0), MATCH($F$1, 'Master Data Sheet'!$1:$1, 0)), "")</f>
        <v>4.5111726685133879</v>
      </c>
      <c r="I29" s="28" cm="1">
        <f t="array" ref="I29">IFERROR(INDEX('Master Data Sheet'!$1:$1048576, MATCH(1, ('Master Data Sheet'!$H:$H=I$2) * (INDEX('Master Data Sheet'!$1:$1, , MATCH($F$1, 'Master Data Sheet'!$1:$1, 0)) = $F$1) * ('Master Data Sheet'!$G:$G=$B29) * ('Master Data Sheet'!$F:$F=$E29) * ('Master Data Sheet'!$A:$A=$F29), 0), MATCH($F$1, 'Master Data Sheet'!$1:$1, 0)), "")</f>
        <v>2.2097876269621417</v>
      </c>
      <c r="J29" s="28" cm="1">
        <f t="array" ref="J29">IFERROR(INDEX('Master Data Sheet'!$1:$1048576, MATCH(1, ('Master Data Sheet'!$H:$H=J$2) * (INDEX('Master Data Sheet'!$1:$1, , MATCH($F$1, 'Master Data Sheet'!$1:$1, 0)) = $F$1) * ('Master Data Sheet'!$G:$G=$B29) * ('Master Data Sheet'!$F:$F=$E29) * ('Master Data Sheet'!$A:$A=$F29), 0), MATCH($F$1, 'Master Data Sheet'!$1:$1, 0)), "")</f>
        <v>1.1335180055401664</v>
      </c>
      <c r="K29" s="28" cm="1">
        <f t="array" ref="K29">IFERROR(INDEX('Master Data Sheet'!$1:$1048576, MATCH(1, ('Master Data Sheet'!$H:$H=K$2) * (INDEX('Master Data Sheet'!$1:$1, , MATCH($F$1, 'Master Data Sheet'!$1:$1, 0)) = $F$1) * ('Master Data Sheet'!$G:$G=$B29) * ('Master Data Sheet'!$F:$F=$E29) * ('Master Data Sheet'!$A:$A=$F29), 0), MATCH($F$1, 'Master Data Sheet'!$1:$1, 0)), "")</f>
        <v>0.85872576177285309</v>
      </c>
      <c r="L29" s="28" cm="1">
        <f t="array" ref="L29">IFERROR(INDEX('Master Data Sheet'!$1:$1048576, MATCH(1, ('Master Data Sheet'!$H:$H=L$2) * (INDEX('Master Data Sheet'!$1:$1, , MATCH($F$1, 'Master Data Sheet'!$1:$1, 0)) = $F$1) * ('Master Data Sheet'!$G:$G=$B29) * ('Master Data Sheet'!$F:$F=$E29) * ('Master Data Sheet'!$A:$A=$F29), 0), MATCH($F$1, 'Master Data Sheet'!$1:$1, 0)), "")</f>
        <v>0.61828254847645425</v>
      </c>
      <c r="M29" s="28" cm="1">
        <f t="array" ref="M29">IFERROR(INDEX('Master Data Sheet'!$1:$1048576, MATCH(1, ('Master Data Sheet'!$H:$H=M$2) * (INDEX('Master Data Sheet'!$1:$1, , MATCH($F$1, 'Master Data Sheet'!$1:$1, 0)) = $F$1) * ('Master Data Sheet'!$G:$G=$B29) * ('Master Data Sheet'!$F:$F=$E29) * ('Master Data Sheet'!$A:$A=$F29), 0), MATCH($F$1, 'Master Data Sheet'!$1:$1, 0)), "")</f>
        <v>0.59538319482917812</v>
      </c>
      <c r="N29" s="28" cm="1">
        <f t="array" ref="N29">IFERROR(INDEX('Master Data Sheet'!$1:$1048576, MATCH(1, ('Master Data Sheet'!$H:$H=N$2) * (INDEX('Master Data Sheet'!$1:$1, , MATCH($F$1, 'Master Data Sheet'!$1:$1, 0)) = $F$1) * ('Master Data Sheet'!$G:$G=$B29) * ('Master Data Sheet'!$F:$F=$E29) * ('Master Data Sheet'!$A:$A=$F29), 0), MATCH($F$1, 'Master Data Sheet'!$1:$1, 0)), "")</f>
        <v>0.80147737765466298</v>
      </c>
      <c r="O29" s="28">
        <f t="shared" si="8"/>
        <v>1.532621026249835</v>
      </c>
      <c r="P29" s="28">
        <f t="shared" si="4"/>
        <v>1.4255258198783671</v>
      </c>
      <c r="Q29" s="28"/>
      <c r="R29" s="48">
        <f>(1-(O29/O23))*100</f>
        <v>-102.81385281385282</v>
      </c>
      <c r="S29" s="27"/>
      <c r="T29" s="27"/>
      <c r="U29" s="27"/>
      <c r="V29" s="27"/>
    </row>
    <row r="30" spans="1:45" x14ac:dyDescent="0.35">
      <c r="A30" s="41">
        <f>IFERROR(INDEX('Date Key'!$B$2:$B$19, MATCH(F30,'Date Key'!$A$2:$A$19, 0)), "")</f>
        <v>45250</v>
      </c>
      <c r="B30" s="4">
        <f t="shared" si="15"/>
        <v>4</v>
      </c>
      <c r="C30" s="26" t="str">
        <f>IFERROR(INDEX('Date Key'!$G$57:$G$62, MATCH(B30,'Date Key'!$A$57:$A$62, 0)), "")</f>
        <v>High HLR, Upper Outlet Height, No Plants</v>
      </c>
      <c r="D30" s="4" t="str">
        <f>IFERROR(INDEX('Date Key'!$G$2:$G$19, MATCH(F30, 'Date Key'!$A$2:$A$19, 0)), "")</f>
        <v>Yes</v>
      </c>
      <c r="E30" s="4" t="str">
        <f t="shared" si="1"/>
        <v>in</v>
      </c>
      <c r="F30" s="4">
        <f t="shared" si="2"/>
        <v>10</v>
      </c>
      <c r="G30" s="4">
        <f t="shared" si="22"/>
        <v>1</v>
      </c>
      <c r="H30" s="11" cm="1">
        <f t="array" ref="H30">IFERROR(INDEX('Master Data Sheet'!$1:$1048576, MATCH(1, ('Master Data Sheet'!$H:$H=H$2) * (INDEX('Master Data Sheet'!$1:$1, , MATCH($F$1, 'Master Data Sheet'!$1:$1, 0)) = $F$1) * ('Master Data Sheet'!$G:$G=$B30) * ('Master Data Sheet'!$F:$F=$E30) * ('Master Data Sheet'!$A:$A=$F30), 0), MATCH($F$1, 'Master Data Sheet'!$1:$1, 0)), "")</f>
        <v>0.73277931671283458</v>
      </c>
      <c r="I30" s="11" cm="1">
        <f t="array" ref="I30">IFERROR(INDEX('Master Data Sheet'!$1:$1048576, MATCH(1, ('Master Data Sheet'!$H:$H=I$2) * (INDEX('Master Data Sheet'!$1:$1, , MATCH($F$1, 'Master Data Sheet'!$1:$1, 0)) = $F$1) * ('Master Data Sheet'!$G:$G=$B30) * ('Master Data Sheet'!$F:$F=$E30) * ('Master Data Sheet'!$A:$A=$F30), 0), MATCH($F$1, 'Master Data Sheet'!$1:$1, 0)), "")</f>
        <v>0.72132963988919652</v>
      </c>
      <c r="J30" s="11" cm="1">
        <f t="array" ref="J30">IFERROR(INDEX('Master Data Sheet'!$1:$1048576, MATCH(1, ('Master Data Sheet'!$H:$H=J$2) * (INDEX('Master Data Sheet'!$1:$1, , MATCH($F$1, 'Master Data Sheet'!$1:$1, 0)) = $F$1) * ('Master Data Sheet'!$G:$G=$B30) * ('Master Data Sheet'!$F:$F=$E30) * ('Master Data Sheet'!$A:$A=$F30), 0), MATCH($F$1, 'Master Data Sheet'!$1:$1, 0)), "")</f>
        <v>0.76712834718374878</v>
      </c>
      <c r="K30" s="11" cm="1">
        <f t="array" ref="K30">IFERROR(INDEX('Master Data Sheet'!$1:$1048576, MATCH(1, ('Master Data Sheet'!$H:$H=K$2) * (INDEX('Master Data Sheet'!$1:$1, , MATCH($F$1, 'Master Data Sheet'!$1:$1, 0)) = $F$1) * ('Master Data Sheet'!$G:$G=$B30) * ('Master Data Sheet'!$F:$F=$E30) * ('Master Data Sheet'!$A:$A=$F30), 0), MATCH($F$1, 'Master Data Sheet'!$1:$1, 0)), "")</f>
        <v>0.76712834718374878</v>
      </c>
      <c r="L30" s="11" cm="1">
        <f t="array" ref="L30">IFERROR(INDEX('Master Data Sheet'!$1:$1048576, MATCH(1, ('Master Data Sheet'!$H:$H=L$2) * (INDEX('Master Data Sheet'!$1:$1, , MATCH($F$1, 'Master Data Sheet'!$1:$1, 0)) = $F$1) * ('Master Data Sheet'!$G:$G=$B30) * ('Master Data Sheet'!$F:$F=$E30) * ('Master Data Sheet'!$A:$A=$F30), 0), MATCH($F$1, 'Master Data Sheet'!$1:$1, 0)), "")</f>
        <v>0.80147737765466298</v>
      </c>
      <c r="M30" s="11" cm="1">
        <f t="array" ref="M30">IFERROR(INDEX('Master Data Sheet'!$1:$1048576, MATCH(1, ('Master Data Sheet'!$H:$H=M$2) * (INDEX('Master Data Sheet'!$1:$1, , MATCH($F$1, 'Master Data Sheet'!$1:$1, 0)) = $F$1) * ('Master Data Sheet'!$G:$G=$B30) * ('Master Data Sheet'!$F:$F=$E30) * ('Master Data Sheet'!$A:$A=$F30), 0), MATCH($F$1, 'Master Data Sheet'!$1:$1, 0)), "")</f>
        <v>0.95032317636195751</v>
      </c>
      <c r="N30" s="11" cm="1">
        <f t="array" ref="N30">IFERROR(INDEX('Master Data Sheet'!$1:$1048576, MATCH(1, ('Master Data Sheet'!$H:$H=N$2) * (INDEX('Master Data Sheet'!$1:$1, , MATCH($F$1, 'Master Data Sheet'!$1:$1, 0)) = $F$1) * ('Master Data Sheet'!$G:$G=$B30) * ('Master Data Sheet'!$F:$F=$E30) * ('Master Data Sheet'!$A:$A=$F30), 0), MATCH($F$1, 'Master Data Sheet'!$1:$1, 0)), "")</f>
        <v>0.74422899353647287</v>
      </c>
      <c r="O30" s="11">
        <f t="shared" si="8"/>
        <v>0.78348502836037459</v>
      </c>
      <c r="P30" s="11">
        <f t="shared" si="4"/>
        <v>7.8176266730740449E-2</v>
      </c>
      <c r="Q30" s="11">
        <f>AVERAGE(O30:O32)</f>
        <v>3.7710452666639025</v>
      </c>
      <c r="S30" s="11">
        <f>AVERAGE(O30:O32)</f>
        <v>3.7710452666639025</v>
      </c>
      <c r="T30" s="11">
        <f>AVERAGE(P30:P32)</f>
        <v>0.65705909084680048</v>
      </c>
      <c r="V30" s="47">
        <f>AVERAGE(U33, U36)</f>
        <v>-1.0922286202183109</v>
      </c>
      <c r="X30" t="s">
        <v>343</v>
      </c>
    </row>
    <row r="31" spans="1:45" x14ac:dyDescent="0.35">
      <c r="A31" s="41">
        <f>IFERROR(INDEX('Date Key'!$B$2:$B$19, MATCH(F31,'Date Key'!$A$2:$A$19, 0)), "")</f>
        <v>45259</v>
      </c>
      <c r="B31" s="4">
        <f t="shared" si="15"/>
        <v>4</v>
      </c>
      <c r="C31" s="26" t="str">
        <f>IFERROR(INDEX('Date Key'!$G$57:$G$62, MATCH(B31,'Date Key'!$A$57:$A$62, 0)), "")</f>
        <v>High HLR, Upper Outlet Height, No Plants</v>
      </c>
      <c r="D31" s="4" t="str">
        <f>IFERROR(INDEX('Date Key'!$G$2:$G$19, MATCH(F31, 'Date Key'!$A$2:$A$19, 0)), "")</f>
        <v>No</v>
      </c>
      <c r="E31" s="4" t="str">
        <f t="shared" si="1"/>
        <v>in</v>
      </c>
      <c r="F31" s="4">
        <f t="shared" si="2"/>
        <v>11</v>
      </c>
      <c r="G31" s="4">
        <f t="shared" si="22"/>
        <v>2</v>
      </c>
      <c r="H31" s="11" cm="1">
        <f t="array" ref="H31">IFERROR(INDEX('Master Data Sheet'!$1:$1048576, MATCH(1, ('Master Data Sheet'!$H:$H=H$2) * (INDEX('Master Data Sheet'!$1:$1, , MATCH($F$1, 'Master Data Sheet'!$1:$1, 0)) = $F$1) * ('Master Data Sheet'!$G:$G=$B31) * ('Master Data Sheet'!$F:$F=$E31) * ('Master Data Sheet'!$A:$A=$F31), 0), MATCH($F$1, 'Master Data Sheet'!$1:$1, 0)), "")</f>
        <v>11.697890936728104</v>
      </c>
      <c r="I31" s="11" cm="1">
        <f t="array" ref="I31">IFERROR(INDEX('Master Data Sheet'!$1:$1048576, MATCH(1, ('Master Data Sheet'!$H:$H=I$2) * (INDEX('Master Data Sheet'!$1:$1, , MATCH($F$1, 'Master Data Sheet'!$1:$1, 0)) = $F$1) * ('Master Data Sheet'!$G:$G=$B31) * ('Master Data Sheet'!$F:$F=$E31) * ('Master Data Sheet'!$A:$A=$F31), 0), MATCH($F$1, 'Master Data Sheet'!$1:$1, 0)), "")</f>
        <v>7.704351130533917</v>
      </c>
      <c r="J31" s="11" cm="1">
        <f t="array" ref="J31">IFERROR(INDEX('Master Data Sheet'!$1:$1048576, MATCH(1, ('Master Data Sheet'!$H:$H=J$2) * (INDEX('Master Data Sheet'!$1:$1, , MATCH($F$1, 'Master Data Sheet'!$1:$1, 0)) = $F$1) * ('Master Data Sheet'!$G:$G=$B31) * ('Master Data Sheet'!$F:$F=$E31) * ('Master Data Sheet'!$A:$A=$F31), 0), MATCH($F$1, 'Master Data Sheet'!$1:$1, 0)), "")</f>
        <v>7.2684780543416307</v>
      </c>
      <c r="K31" s="11" cm="1">
        <f t="array" ref="K31">IFERROR(INDEX('Master Data Sheet'!$1:$1048576, MATCH(1, ('Master Data Sheet'!$H:$H=K$2) * (INDEX('Master Data Sheet'!$1:$1, , MATCH($F$1, 'Master Data Sheet'!$1:$1, 0)) = $F$1) * ('Master Data Sheet'!$G:$G=$B31) * ('Master Data Sheet'!$F:$F=$E31) * ('Master Data Sheet'!$A:$A=$F31), 0), MATCH($F$1, 'Master Data Sheet'!$1:$1, 0)), "")</f>
        <v>8.364050921527646</v>
      </c>
      <c r="L31" s="11" cm="1">
        <f t="array" ref="L31">IFERROR(INDEX('Master Data Sheet'!$1:$1048576, MATCH(1, ('Master Data Sheet'!$H:$H=L$2) * (INDEX('Master Data Sheet'!$1:$1, , MATCH($F$1, 'Master Data Sheet'!$1:$1, 0)) = $F$1) * ('Master Data Sheet'!$G:$G=$B31) * ('Master Data Sheet'!$F:$F=$E31) * ('Master Data Sheet'!$A:$A=$F31), 0), MATCH($F$1, 'Master Data Sheet'!$1:$1, 0)), "")</f>
        <v>8.0577617328519864</v>
      </c>
      <c r="M31" s="11" cm="1">
        <f t="array" ref="M31">IFERROR(INDEX('Master Data Sheet'!$1:$1048576, MATCH(1, ('Master Data Sheet'!$H:$H=M$2) * (INDEX('Master Data Sheet'!$1:$1, , MATCH($F$1, 'Master Data Sheet'!$1:$1, 0)) = $F$1) * ('Master Data Sheet'!$G:$G=$B31) * ('Master Data Sheet'!$F:$F=$E31) * ('Master Data Sheet'!$A:$A=$F31), 0), MATCH($F$1, 'Master Data Sheet'!$1:$1, 0)), "")</f>
        <v>8.4111723351700558</v>
      </c>
      <c r="N31" s="11" cm="1">
        <f t="array" ref="N31">IFERROR(INDEX('Master Data Sheet'!$1:$1048576, MATCH(1, ('Master Data Sheet'!$H:$H=N$2) * (INDEX('Master Data Sheet'!$1:$1, , MATCH($F$1, 'Master Data Sheet'!$1:$1, 0)) = $F$1) * ('Master Data Sheet'!$G:$G=$B31) * ('Master Data Sheet'!$F:$F=$E31) * ('Master Data Sheet'!$A:$A=$F31), 0), MATCH($F$1, 'Master Data Sheet'!$1:$1, 0)), "")</f>
        <v>8.4700741022230677</v>
      </c>
      <c r="O31" s="11">
        <f t="shared" si="8"/>
        <v>8.5676827447680584</v>
      </c>
      <c r="P31" s="11">
        <f t="shared" si="4"/>
        <v>1.4472379407004685</v>
      </c>
      <c r="Q31" s="11"/>
      <c r="X31" t="str">
        <f>IFERROR(INDEX('Date Key'!$G$57:$G$62, MATCH(B30,'Date Key'!$A$57:$A$62, 0)), "")</f>
        <v>High HLR, Upper Outlet Height, No Plants</v>
      </c>
      <c r="Y31" s="1">
        <f t="shared" ref="Y31:AE31" si="35">H30</f>
        <v>0.73277931671283458</v>
      </c>
      <c r="Z31" s="1">
        <f t="shared" si="35"/>
        <v>0.72132963988919652</v>
      </c>
      <c r="AA31" s="1">
        <f t="shared" si="35"/>
        <v>0.76712834718374878</v>
      </c>
      <c r="AB31" s="1">
        <f t="shared" si="35"/>
        <v>0.76712834718374878</v>
      </c>
      <c r="AC31" s="1">
        <f t="shared" si="35"/>
        <v>0.80147737765466298</v>
      </c>
      <c r="AD31" s="1">
        <f t="shared" si="35"/>
        <v>0.95032317636195751</v>
      </c>
      <c r="AE31" s="1">
        <f t="shared" si="35"/>
        <v>0.74422899353647287</v>
      </c>
      <c r="AF31" s="1">
        <f t="shared" ref="AF31:AL31" si="36">H31</f>
        <v>11.697890936728104</v>
      </c>
      <c r="AG31" s="1">
        <f t="shared" si="36"/>
        <v>7.704351130533917</v>
      </c>
      <c r="AH31" s="1">
        <f t="shared" si="36"/>
        <v>7.2684780543416307</v>
      </c>
      <c r="AI31" s="1">
        <f t="shared" si="36"/>
        <v>8.364050921527646</v>
      </c>
      <c r="AJ31" s="1">
        <f t="shared" si="36"/>
        <v>8.0577617328519864</v>
      </c>
      <c r="AK31" s="1">
        <f t="shared" si="36"/>
        <v>8.4111723351700558</v>
      </c>
      <c r="AL31" s="1">
        <f t="shared" si="36"/>
        <v>8.4700741022230677</v>
      </c>
      <c r="AM31" s="1">
        <f t="shared" ref="AM31:AS31" si="37">H32</f>
        <v>1.4850536535513541</v>
      </c>
      <c r="AN31" s="1">
        <f t="shared" si="37"/>
        <v>1.3662493612672457</v>
      </c>
      <c r="AO31" s="1">
        <f t="shared" si="37"/>
        <v>1.7939448134900355</v>
      </c>
      <c r="AP31" s="1">
        <f t="shared" si="37"/>
        <v>2.0671946857434853</v>
      </c>
      <c r="AQ31" s="1">
        <f t="shared" si="37"/>
        <v>2.0434338272866635</v>
      </c>
      <c r="AR31" s="1">
        <f t="shared" si="37"/>
        <v>2.42360756259581</v>
      </c>
      <c r="AS31" s="1">
        <f t="shared" si="37"/>
        <v>2.5542922841083291</v>
      </c>
    </row>
    <row r="32" spans="1:45" x14ac:dyDescent="0.35">
      <c r="A32" s="41">
        <f>IFERROR(INDEX('Date Key'!$B$2:$B$19, MATCH(F32,'Date Key'!$A$2:$A$19, 0)), "")</f>
        <v>45266</v>
      </c>
      <c r="B32" s="4">
        <f t="shared" si="15"/>
        <v>4</v>
      </c>
      <c r="C32" s="26" t="str">
        <f>IFERROR(INDEX('Date Key'!$G$57:$G$62, MATCH(B32,'Date Key'!$A$57:$A$62, 0)), "")</f>
        <v>High HLR, Upper Outlet Height, No Plants</v>
      </c>
      <c r="D32" s="4" t="str">
        <f>IFERROR(INDEX('Date Key'!$G$2:$G$19, MATCH(F32, 'Date Key'!$A$2:$A$19, 0)), "")</f>
        <v>No</v>
      </c>
      <c r="E32" s="4" t="str">
        <f t="shared" si="1"/>
        <v>in</v>
      </c>
      <c r="F32" s="4">
        <f t="shared" si="2"/>
        <v>12</v>
      </c>
      <c r="G32" s="4">
        <f t="shared" si="22"/>
        <v>3</v>
      </c>
      <c r="H32" s="11" cm="1">
        <f t="array" ref="H32">IFERROR(INDEX('Master Data Sheet'!$1:$1048576, MATCH(1, ('Master Data Sheet'!$H:$H=H$2) * (INDEX('Master Data Sheet'!$1:$1, , MATCH($F$1, 'Master Data Sheet'!$1:$1, 0)) = $F$1) * ('Master Data Sheet'!$G:$G=$B32) * ('Master Data Sheet'!$F:$F=$E32) * ('Master Data Sheet'!$A:$A=$F32), 0), MATCH($F$1, 'Master Data Sheet'!$1:$1, 0)), "")</f>
        <v>1.4850536535513541</v>
      </c>
      <c r="I32" s="11" cm="1">
        <f t="array" ref="I32">IFERROR(INDEX('Master Data Sheet'!$1:$1048576, MATCH(1, ('Master Data Sheet'!$H:$H=I$2) * (INDEX('Master Data Sheet'!$1:$1, , MATCH($F$1, 'Master Data Sheet'!$1:$1, 0)) = $F$1) * ('Master Data Sheet'!$G:$G=$B32) * ('Master Data Sheet'!$F:$F=$E32) * ('Master Data Sheet'!$A:$A=$F32), 0), MATCH($F$1, 'Master Data Sheet'!$1:$1, 0)), "")</f>
        <v>1.3662493612672457</v>
      </c>
      <c r="J32" s="11" cm="1">
        <f t="array" ref="J32">IFERROR(INDEX('Master Data Sheet'!$1:$1048576, MATCH(1, ('Master Data Sheet'!$H:$H=J$2) * (INDEX('Master Data Sheet'!$1:$1, , MATCH($F$1, 'Master Data Sheet'!$1:$1, 0)) = $F$1) * ('Master Data Sheet'!$G:$G=$B32) * ('Master Data Sheet'!$F:$F=$E32) * ('Master Data Sheet'!$A:$A=$F32), 0), MATCH($F$1, 'Master Data Sheet'!$1:$1, 0)), "")</f>
        <v>1.7939448134900355</v>
      </c>
      <c r="K32" s="11" cm="1">
        <f t="array" ref="K32">IFERROR(INDEX('Master Data Sheet'!$1:$1048576, MATCH(1, ('Master Data Sheet'!$H:$H=K$2) * (INDEX('Master Data Sheet'!$1:$1, , MATCH($F$1, 'Master Data Sheet'!$1:$1, 0)) = $F$1) * ('Master Data Sheet'!$G:$G=$B32) * ('Master Data Sheet'!$F:$F=$E32) * ('Master Data Sheet'!$A:$A=$F32), 0), MATCH($F$1, 'Master Data Sheet'!$1:$1, 0)), "")</f>
        <v>2.0671946857434853</v>
      </c>
      <c r="L32" s="11" cm="1">
        <f t="array" ref="L32">IFERROR(INDEX('Master Data Sheet'!$1:$1048576, MATCH(1, ('Master Data Sheet'!$H:$H=L$2) * (INDEX('Master Data Sheet'!$1:$1, , MATCH($F$1, 'Master Data Sheet'!$1:$1, 0)) = $F$1) * ('Master Data Sheet'!$G:$G=$B32) * ('Master Data Sheet'!$F:$F=$E32) * ('Master Data Sheet'!$A:$A=$F32), 0), MATCH($F$1, 'Master Data Sheet'!$1:$1, 0)), "")</f>
        <v>2.0434338272866635</v>
      </c>
      <c r="M32" s="11" cm="1">
        <f t="array" ref="M32">IFERROR(INDEX('Master Data Sheet'!$1:$1048576, MATCH(1, ('Master Data Sheet'!$H:$H=M$2) * (INDEX('Master Data Sheet'!$1:$1, , MATCH($F$1, 'Master Data Sheet'!$1:$1, 0)) = $F$1) * ('Master Data Sheet'!$G:$G=$B32) * ('Master Data Sheet'!$F:$F=$E32) * ('Master Data Sheet'!$A:$A=$F32), 0), MATCH($F$1, 'Master Data Sheet'!$1:$1, 0)), "")</f>
        <v>2.42360756259581</v>
      </c>
      <c r="N32" s="11" cm="1">
        <f t="array" ref="N32">IFERROR(INDEX('Master Data Sheet'!$1:$1048576, MATCH(1, ('Master Data Sheet'!$H:$H=N$2) * (INDEX('Master Data Sheet'!$1:$1, , MATCH($F$1, 'Master Data Sheet'!$1:$1, 0)) = $F$1) * ('Master Data Sheet'!$G:$G=$B32) * ('Master Data Sheet'!$F:$F=$E32) * ('Master Data Sheet'!$A:$A=$F32), 0), MATCH($F$1, 'Master Data Sheet'!$1:$1, 0)), "")</f>
        <v>2.5542922841083291</v>
      </c>
      <c r="O32" s="11">
        <f t="shared" si="8"/>
        <v>1.9619680268632749</v>
      </c>
      <c r="P32" s="11">
        <f t="shared" si="4"/>
        <v>0.44576306510919228</v>
      </c>
      <c r="Q32" s="11"/>
      <c r="Y32" s="1"/>
      <c r="Z32" s="1"/>
      <c r="AA32" s="1"/>
      <c r="AB32" s="1"/>
      <c r="AC32" s="1"/>
      <c r="AD32" s="1"/>
      <c r="AE32" s="1"/>
      <c r="AF32" s="1"/>
      <c r="AG32" s="1"/>
      <c r="AH32" s="1"/>
      <c r="AI32" s="1"/>
      <c r="AJ32" s="1"/>
      <c r="AK32" s="1"/>
      <c r="AL32" s="1"/>
      <c r="AM32" s="1"/>
      <c r="AN32" s="1"/>
      <c r="AO32" s="1"/>
      <c r="AP32" s="1"/>
      <c r="AQ32" s="1"/>
      <c r="AR32" s="1"/>
      <c r="AS32" s="1"/>
    </row>
    <row r="33" spans="1:45" x14ac:dyDescent="0.35">
      <c r="A33" s="41">
        <f>IFERROR(INDEX('Date Key'!$B$2:$B$19, MATCH(F33,'Date Key'!$A$2:$A$19, 0)), "")</f>
        <v>45250</v>
      </c>
      <c r="B33" s="4">
        <f t="shared" si="15"/>
        <v>4</v>
      </c>
      <c r="C33" s="26" t="str">
        <f>IFERROR(INDEX('Date Key'!$G$57:$G$62, MATCH(B33,'Date Key'!$A$57:$A$62, 0)), "")</f>
        <v>High HLR, Upper Outlet Height, No Plants</v>
      </c>
      <c r="D33" s="4" t="str">
        <f>IFERROR(INDEX('Date Key'!$G$2:$G$19, MATCH(F33, 'Date Key'!$A$2:$A$19, 0)), "")</f>
        <v>Yes</v>
      </c>
      <c r="E33" s="4" t="str">
        <f t="shared" si="1"/>
        <v>tank 1</v>
      </c>
      <c r="F33" s="4">
        <f t="shared" si="2"/>
        <v>10</v>
      </c>
      <c r="G33" s="4">
        <f t="shared" si="22"/>
        <v>1</v>
      </c>
      <c r="H33" s="11" cm="1">
        <f t="array" ref="H33">IFERROR(INDEX('Master Data Sheet'!$1:$1048576, MATCH(1, ('Master Data Sheet'!$H:$H=H$2) * (INDEX('Master Data Sheet'!$1:$1, , MATCH($F$1, 'Master Data Sheet'!$1:$1, 0)) = $F$1) * ('Master Data Sheet'!$G:$G=$B33) * ('Master Data Sheet'!$F:$F=$E33) * ('Master Data Sheet'!$A:$A=$F33), 0), MATCH($F$1, 'Master Data Sheet'!$1:$1, 0)), "")</f>
        <v>0.97322253000923364</v>
      </c>
      <c r="I33" s="11" cm="1">
        <f t="array" ref="I33">IFERROR(INDEX('Master Data Sheet'!$1:$1048576, MATCH(1, ('Master Data Sheet'!$H:$H=I$2) * (INDEX('Master Data Sheet'!$1:$1, , MATCH($F$1, 'Master Data Sheet'!$1:$1, 0)) = $F$1) * ('Master Data Sheet'!$G:$G=$B33) * ('Master Data Sheet'!$F:$F=$E33) * ('Master Data Sheet'!$A:$A=$F33), 0), MATCH($F$1, 'Master Data Sheet'!$1:$1, 0)), "")</f>
        <v>0.92742382271468127</v>
      </c>
      <c r="J33" s="11" cm="1">
        <f t="array" ref="J33">IFERROR(INDEX('Master Data Sheet'!$1:$1048576, MATCH(1, ('Master Data Sheet'!$H:$H=J$2) * (INDEX('Master Data Sheet'!$1:$1, , MATCH($F$1, 'Master Data Sheet'!$1:$1, 0)) = $F$1) * ('Master Data Sheet'!$G:$G=$B33) * ('Master Data Sheet'!$F:$F=$E33) * ('Master Data Sheet'!$A:$A=$F33), 0), MATCH($F$1, 'Master Data Sheet'!$1:$1, 0)), "")</f>
        <v>0.81292705447830083</v>
      </c>
      <c r="K33" s="11" cm="1">
        <f t="array" ref="K33">IFERROR(INDEX('Master Data Sheet'!$1:$1048576, MATCH(1, ('Master Data Sheet'!$H:$H=K$2) * (INDEX('Master Data Sheet'!$1:$1, , MATCH($F$1, 'Master Data Sheet'!$1:$1, 0)) = $F$1) * ('Master Data Sheet'!$G:$G=$B33) * ('Master Data Sheet'!$F:$F=$E33) * ('Master Data Sheet'!$A:$A=$F33), 0), MATCH($F$1, 'Master Data Sheet'!$1:$1, 0)), "")</f>
        <v>0.75567867036011094</v>
      </c>
      <c r="L33" s="11" cm="1">
        <f t="array" ref="L33">IFERROR(INDEX('Master Data Sheet'!$1:$1048576, MATCH(1, ('Master Data Sheet'!$H:$H=L$2) * (INDEX('Master Data Sheet'!$1:$1, , MATCH($F$1, 'Master Data Sheet'!$1:$1, 0)) = $F$1) * ('Master Data Sheet'!$G:$G=$B33) * ('Master Data Sheet'!$F:$F=$E33) * ('Master Data Sheet'!$A:$A=$F33), 0), MATCH($F$1, 'Master Data Sheet'!$1:$1, 0)), "")</f>
        <v>0.74422899353647287</v>
      </c>
      <c r="M33" s="11" cm="1">
        <f t="array" ref="M33">IFERROR(INDEX('Master Data Sheet'!$1:$1048576, MATCH(1, ('Master Data Sheet'!$H:$H=M$2) * (INDEX('Master Data Sheet'!$1:$1, , MATCH($F$1, 'Master Data Sheet'!$1:$1, 0)) = $F$1) * ('Master Data Sheet'!$G:$G=$B33) * ('Master Data Sheet'!$F:$F=$E33) * ('Master Data Sheet'!$A:$A=$F33), 0), MATCH($F$1, 'Master Data Sheet'!$1:$1, 0)), "")</f>
        <v>0.73277931671283458</v>
      </c>
      <c r="N33" s="11" cm="1">
        <f t="array" ref="N33">IFERROR(INDEX('Master Data Sheet'!$1:$1048576, MATCH(1, ('Master Data Sheet'!$H:$H=N$2) * (INDEX('Master Data Sheet'!$1:$1, , MATCH($F$1, 'Master Data Sheet'!$1:$1, 0)) = $F$1) * ('Master Data Sheet'!$G:$G=$B33) * ('Master Data Sheet'!$F:$F=$E33) * ('Master Data Sheet'!$A:$A=$F33), 0), MATCH($F$1, 'Master Data Sheet'!$1:$1, 0)), "")</f>
        <v>0.73277931671283458</v>
      </c>
      <c r="O33" s="11">
        <f t="shared" si="8"/>
        <v>0.81129138636063836</v>
      </c>
      <c r="P33" s="11">
        <f t="shared" si="4"/>
        <v>9.9690807282718355E-2</v>
      </c>
      <c r="Q33" s="11">
        <f>AVERAGE(O33:O35)</f>
        <v>2.9884188718603464</v>
      </c>
      <c r="R33" s="46">
        <f>(1-(O33/O30))*100</f>
        <v>-3.5490605427974886</v>
      </c>
      <c r="S33" s="46">
        <f>AVERAGE(R33:R35)</f>
        <v>20.242898910518889</v>
      </c>
      <c r="T33" s="46">
        <f>STDEV(R33:R35)</f>
        <v>25.643570506160604</v>
      </c>
      <c r="U33" s="47">
        <f>(1-(AVERAGE(H33:N35)/AVERAGE(H30:N32)))*100</f>
        <v>20.753566702632455</v>
      </c>
      <c r="V33" s="47"/>
      <c r="Y33" s="2"/>
      <c r="Z33" s="2"/>
      <c r="AA33" s="2"/>
      <c r="AB33" s="2"/>
      <c r="AC33" s="2"/>
      <c r="AD33" s="2"/>
      <c r="AE33" s="2"/>
      <c r="AF33" s="2"/>
      <c r="AG33" s="2"/>
    </row>
    <row r="34" spans="1:45" x14ac:dyDescent="0.35">
      <c r="A34" s="41">
        <f>IFERROR(INDEX('Date Key'!$B$2:$B$19, MATCH(F34,'Date Key'!$A$2:$A$19, 0)), "")</f>
        <v>45259</v>
      </c>
      <c r="B34" s="4">
        <f t="shared" si="15"/>
        <v>4</v>
      </c>
      <c r="C34" s="26" t="str">
        <f>IFERROR(INDEX('Date Key'!$G$57:$G$62, MATCH(B34,'Date Key'!$A$57:$A$62, 0)), "")</f>
        <v>High HLR, Upper Outlet Height, No Plants</v>
      </c>
      <c r="D34" s="4" t="str">
        <f>IFERROR(INDEX('Date Key'!$G$2:$G$19, MATCH(F34, 'Date Key'!$A$2:$A$19, 0)), "")</f>
        <v>No</v>
      </c>
      <c r="E34" s="4" t="str">
        <f t="shared" si="1"/>
        <v>tank 1</v>
      </c>
      <c r="F34" s="4">
        <f t="shared" si="2"/>
        <v>11</v>
      </c>
      <c r="G34" s="4">
        <f t="shared" si="22"/>
        <v>2</v>
      </c>
      <c r="H34" s="11" cm="1">
        <f t="array" ref="H34">IFERROR(INDEX('Master Data Sheet'!$1:$1048576, MATCH(1, ('Master Data Sheet'!$H:$H=H$2) * (INDEX('Master Data Sheet'!$1:$1, , MATCH($F$1, 'Master Data Sheet'!$1:$1, 0)) = $F$1) * ('Master Data Sheet'!$G:$G=$B34) * ('Master Data Sheet'!$F:$F=$E34) * ('Master Data Sheet'!$A:$A=$F34), 0), MATCH($F$1, 'Master Data Sheet'!$1:$1, 0)), "")</f>
        <v>6.6087782633479017</v>
      </c>
      <c r="I34" s="11" cm="1">
        <f t="array" ref="I34">IFERROR(INDEX('Master Data Sheet'!$1:$1048576, MATCH(1, ('Master Data Sheet'!$H:$H=I$2) * (INDEX('Master Data Sheet'!$1:$1, , MATCH($F$1, 'Master Data Sheet'!$1:$1, 0)) = $F$1) * ('Master Data Sheet'!$G:$G=$B34) * ('Master Data Sheet'!$F:$F=$E34) * ('Master Data Sheet'!$A:$A=$F34), 0), MATCH($F$1, 'Master Data Sheet'!$1:$1, 0)), "")</f>
        <v>7.3391601748052455</v>
      </c>
      <c r="J34" s="11" cm="1">
        <f t="array" ref="J34">IFERROR(INDEX('Master Data Sheet'!$1:$1048576, MATCH(1, ('Master Data Sheet'!$H:$H=J$2) * (INDEX('Master Data Sheet'!$1:$1, , MATCH($F$1, 'Master Data Sheet'!$1:$1, 0)) = $F$1) * ('Master Data Sheet'!$G:$G=$B34) * ('Master Data Sheet'!$F:$F=$E34) * ('Master Data Sheet'!$A:$A=$F34), 0), MATCH($F$1, 'Master Data Sheet'!$1:$1, 0)), "")</f>
        <v>6.9268478054341633</v>
      </c>
      <c r="K34" s="11" cm="1">
        <f t="array" ref="K34">IFERROR(INDEX('Master Data Sheet'!$1:$1048576, MATCH(1, ('Master Data Sheet'!$H:$H=K$2) * (INDEX('Master Data Sheet'!$1:$1, , MATCH($F$1, 'Master Data Sheet'!$1:$1, 0)) = $F$1) * ('Master Data Sheet'!$G:$G=$B34) * ('Master Data Sheet'!$F:$F=$E34) * ('Master Data Sheet'!$A:$A=$F34), 0), MATCH($F$1, 'Master Data Sheet'!$1:$1, 0)), "")</f>
        <v>6.4438533155994699</v>
      </c>
      <c r="L34" s="11" cm="1">
        <f t="array" ref="L34">IFERROR(INDEX('Master Data Sheet'!$1:$1048576, MATCH(1, ('Master Data Sheet'!$H:$H=L$2) * (INDEX('Master Data Sheet'!$1:$1, , MATCH($F$1, 'Master Data Sheet'!$1:$1, 0)) = $F$1) * ('Master Data Sheet'!$G:$G=$B34) * ('Master Data Sheet'!$F:$F=$E34) * ('Master Data Sheet'!$A:$A=$F34), 0), MATCH($F$1, 'Master Data Sheet'!$1:$1, 0)), "")</f>
        <v>7.1271138134144021</v>
      </c>
      <c r="M34" s="11" cm="1">
        <f t="array" ref="M34">IFERROR(INDEX('Master Data Sheet'!$1:$1048576, MATCH(1, ('Master Data Sheet'!$H:$H=M$2) * (INDEX('Master Data Sheet'!$1:$1, , MATCH($F$1, 'Master Data Sheet'!$1:$1, 0)) = $F$1) * ('Master Data Sheet'!$G:$G=$B34) * ('Master Data Sheet'!$F:$F=$E34) * ('Master Data Sheet'!$A:$A=$F34), 0), MATCH($F$1, 'Master Data Sheet'!$1:$1, 0)), "")</f>
        <v>7.5394261827854843</v>
      </c>
      <c r="N34" s="11" cm="1">
        <f t="array" ref="N34">IFERROR(INDEX('Master Data Sheet'!$1:$1048576, MATCH(1, ('Master Data Sheet'!$H:$H=N$2) * (INDEX('Master Data Sheet'!$1:$1, , MATCH($F$1, 'Master Data Sheet'!$1:$1, 0)) = $F$1) * ('Master Data Sheet'!$G:$G=$B34) * ('Master Data Sheet'!$F:$F=$E34) * ('Master Data Sheet'!$A:$A=$F34), 0), MATCH($F$1, 'Master Data Sheet'!$1:$1, 0)), "")</f>
        <v>7.8692760782823488</v>
      </c>
      <c r="O34" s="11">
        <f t="shared" si="8"/>
        <v>7.1220650905241447</v>
      </c>
      <c r="P34" s="11">
        <f t="shared" si="4"/>
        <v>0.50682256490462962</v>
      </c>
      <c r="Q34" s="11"/>
      <c r="R34" s="46">
        <f>(1-(O34/O31))*100</f>
        <v>16.872912983696718</v>
      </c>
      <c r="X34" t="str">
        <f>IFERROR(INDEX('Date Key'!$G$57:$G$62, MATCH(B33,'Date Key'!$A$57:$A$62, 0)), "")</f>
        <v>High HLR, Upper Outlet Height, No Plants</v>
      </c>
      <c r="Y34" s="1">
        <f t="shared" ref="Y34:AE34" si="38">H33</f>
        <v>0.97322253000923364</v>
      </c>
      <c r="Z34" s="1">
        <f t="shared" si="38"/>
        <v>0.92742382271468127</v>
      </c>
      <c r="AA34" s="1">
        <f t="shared" si="38"/>
        <v>0.81292705447830083</v>
      </c>
      <c r="AB34" s="1">
        <f t="shared" si="38"/>
        <v>0.75567867036011094</v>
      </c>
      <c r="AC34" s="1">
        <f t="shared" si="38"/>
        <v>0.74422899353647287</v>
      </c>
      <c r="AD34" s="1">
        <f t="shared" si="38"/>
        <v>0.73277931671283458</v>
      </c>
      <c r="AE34" s="1">
        <f t="shared" si="38"/>
        <v>0.73277931671283458</v>
      </c>
      <c r="AF34" s="1">
        <f t="shared" ref="AF34:AL34" si="39">H34</f>
        <v>6.6087782633479017</v>
      </c>
      <c r="AG34" s="1">
        <f t="shared" si="39"/>
        <v>7.3391601748052455</v>
      </c>
      <c r="AH34" s="1">
        <f t="shared" si="39"/>
        <v>6.9268478054341633</v>
      </c>
      <c r="AI34" s="1">
        <f t="shared" si="39"/>
        <v>6.4438533155994699</v>
      </c>
      <c r="AJ34" s="1">
        <f t="shared" si="39"/>
        <v>7.1271138134144021</v>
      </c>
      <c r="AK34" s="1">
        <f t="shared" si="39"/>
        <v>7.5394261827854843</v>
      </c>
      <c r="AL34" s="1">
        <f t="shared" si="39"/>
        <v>7.8692760782823488</v>
      </c>
      <c r="AM34" s="1">
        <f t="shared" ref="AM34:AS34" si="40">H35</f>
        <v>1.0454777721001534</v>
      </c>
      <c r="AN34" s="1">
        <f t="shared" si="40"/>
        <v>0.98607562595809906</v>
      </c>
      <c r="AO34" s="1">
        <f t="shared" si="40"/>
        <v>1.152401635155851</v>
      </c>
      <c r="AP34" s="1">
        <f t="shared" si="40"/>
        <v>0.79598875830352589</v>
      </c>
      <c r="AQ34" s="1">
        <f t="shared" si="40"/>
        <v>0.95043433827286672</v>
      </c>
      <c r="AR34" s="1">
        <f t="shared" si="40"/>
        <v>1.3187276443536025</v>
      </c>
      <c r="AS34" s="1">
        <f t="shared" si="40"/>
        <v>0.97419519672968824</v>
      </c>
    </row>
    <row r="35" spans="1:45" x14ac:dyDescent="0.35">
      <c r="A35" s="41">
        <f>IFERROR(INDEX('Date Key'!$B$2:$B$19, MATCH(F35,'Date Key'!$A$2:$A$19, 0)), "")</f>
        <v>45266</v>
      </c>
      <c r="B35" s="4">
        <f t="shared" si="15"/>
        <v>4</v>
      </c>
      <c r="C35" s="26" t="str">
        <f>IFERROR(INDEX('Date Key'!$G$57:$G$62, MATCH(B35,'Date Key'!$A$57:$A$62, 0)), "")</f>
        <v>High HLR, Upper Outlet Height, No Plants</v>
      </c>
      <c r="D35" s="4" t="str">
        <f>IFERROR(INDEX('Date Key'!$G$2:$G$19, MATCH(F35, 'Date Key'!$A$2:$A$19, 0)), "")</f>
        <v>No</v>
      </c>
      <c r="E35" s="4" t="str">
        <f t="shared" si="1"/>
        <v>tank 1</v>
      </c>
      <c r="F35" s="4">
        <f t="shared" si="2"/>
        <v>12</v>
      </c>
      <c r="G35" s="4">
        <f t="shared" si="22"/>
        <v>3</v>
      </c>
      <c r="H35" s="11" cm="1">
        <f t="array" ref="H35">IFERROR(INDEX('Master Data Sheet'!$1:$1048576, MATCH(1, ('Master Data Sheet'!$H:$H=H$2) * (INDEX('Master Data Sheet'!$1:$1, , MATCH($F$1, 'Master Data Sheet'!$1:$1, 0)) = $F$1) * ('Master Data Sheet'!$G:$G=$B35) * ('Master Data Sheet'!$F:$F=$E35) * ('Master Data Sheet'!$A:$A=$F35), 0), MATCH($F$1, 'Master Data Sheet'!$1:$1, 0)), "")</f>
        <v>1.0454777721001534</v>
      </c>
      <c r="I35" s="11" cm="1">
        <f t="array" ref="I35">IFERROR(INDEX('Master Data Sheet'!$1:$1048576, MATCH(1, ('Master Data Sheet'!$H:$H=I$2) * (INDEX('Master Data Sheet'!$1:$1, , MATCH($F$1, 'Master Data Sheet'!$1:$1, 0)) = $F$1) * ('Master Data Sheet'!$G:$G=$B35) * ('Master Data Sheet'!$F:$F=$E35) * ('Master Data Sheet'!$A:$A=$F35), 0), MATCH($F$1, 'Master Data Sheet'!$1:$1, 0)), "")</f>
        <v>0.98607562595809906</v>
      </c>
      <c r="J35" s="11" cm="1">
        <f t="array" ref="J35">IFERROR(INDEX('Master Data Sheet'!$1:$1048576, MATCH(1, ('Master Data Sheet'!$H:$H=J$2) * (INDEX('Master Data Sheet'!$1:$1, , MATCH($F$1, 'Master Data Sheet'!$1:$1, 0)) = $F$1) * ('Master Data Sheet'!$G:$G=$B35) * ('Master Data Sheet'!$F:$F=$E35) * ('Master Data Sheet'!$A:$A=$F35), 0), MATCH($F$1, 'Master Data Sheet'!$1:$1, 0)), "")</f>
        <v>1.152401635155851</v>
      </c>
      <c r="K35" s="11" cm="1">
        <f t="array" ref="K35">IFERROR(INDEX('Master Data Sheet'!$1:$1048576, MATCH(1, ('Master Data Sheet'!$H:$H=K$2) * (INDEX('Master Data Sheet'!$1:$1, , MATCH($F$1, 'Master Data Sheet'!$1:$1, 0)) = $F$1) * ('Master Data Sheet'!$G:$G=$B35) * ('Master Data Sheet'!$F:$F=$E35) * ('Master Data Sheet'!$A:$A=$F35), 0), MATCH($F$1, 'Master Data Sheet'!$1:$1, 0)), "")</f>
        <v>0.79598875830352589</v>
      </c>
      <c r="L35" s="11" cm="1">
        <f t="array" ref="L35">IFERROR(INDEX('Master Data Sheet'!$1:$1048576, MATCH(1, ('Master Data Sheet'!$H:$H=L$2) * (INDEX('Master Data Sheet'!$1:$1, , MATCH($F$1, 'Master Data Sheet'!$1:$1, 0)) = $F$1) * ('Master Data Sheet'!$G:$G=$B35) * ('Master Data Sheet'!$F:$F=$E35) * ('Master Data Sheet'!$A:$A=$F35), 0), MATCH($F$1, 'Master Data Sheet'!$1:$1, 0)), "")</f>
        <v>0.95043433827286672</v>
      </c>
      <c r="M35" s="11" cm="1">
        <f t="array" ref="M35">IFERROR(INDEX('Master Data Sheet'!$1:$1048576, MATCH(1, ('Master Data Sheet'!$H:$H=M$2) * (INDEX('Master Data Sheet'!$1:$1, , MATCH($F$1, 'Master Data Sheet'!$1:$1, 0)) = $F$1) * ('Master Data Sheet'!$G:$G=$B35) * ('Master Data Sheet'!$F:$F=$E35) * ('Master Data Sheet'!$A:$A=$F35), 0), MATCH($F$1, 'Master Data Sheet'!$1:$1, 0)), "")</f>
        <v>1.3187276443536025</v>
      </c>
      <c r="N35" s="11" cm="1">
        <f t="array" ref="N35">IFERROR(INDEX('Master Data Sheet'!$1:$1048576, MATCH(1, ('Master Data Sheet'!$H:$H=N$2) * (INDEX('Master Data Sheet'!$1:$1, , MATCH($F$1, 'Master Data Sheet'!$1:$1, 0)) = $F$1) * ('Master Data Sheet'!$G:$G=$B35) * ('Master Data Sheet'!$F:$F=$E35) * ('Master Data Sheet'!$A:$A=$F35), 0), MATCH($F$1, 'Master Data Sheet'!$1:$1, 0)), "")</f>
        <v>0.97419519672968824</v>
      </c>
      <c r="O35" s="11">
        <f t="shared" si="8"/>
        <v>1.0319001386962554</v>
      </c>
      <c r="P35" s="11">
        <f t="shared" si="4"/>
        <v>0.16567819365260839</v>
      </c>
      <c r="Q35" s="11"/>
      <c r="R35" s="46">
        <f>(1-(O35/O32))*100</f>
        <v>47.404844290657437</v>
      </c>
      <c r="Y35" s="2"/>
      <c r="Z35" s="2"/>
      <c r="AA35" s="2"/>
      <c r="AB35" s="2"/>
      <c r="AC35" s="2"/>
      <c r="AD35" s="2"/>
      <c r="AE35" s="2"/>
      <c r="AF35" s="2"/>
      <c r="AG35" s="2"/>
    </row>
    <row r="36" spans="1:45" x14ac:dyDescent="0.35">
      <c r="A36" s="41">
        <f>IFERROR(INDEX('Date Key'!$B$2:$B$19, MATCH(F36,'Date Key'!$A$2:$A$19, 0)), "")</f>
        <v>45250</v>
      </c>
      <c r="B36" s="4">
        <f t="shared" si="15"/>
        <v>4</v>
      </c>
      <c r="C36" s="26" t="str">
        <f>IFERROR(INDEX('Date Key'!$G$57:$G$62, MATCH(B36,'Date Key'!$A$57:$A$62, 0)), "")</f>
        <v>High HLR, Upper Outlet Height, No Plants</v>
      </c>
      <c r="D36" s="4" t="str">
        <f>IFERROR(INDEX('Date Key'!$G$2:$G$19, MATCH(F36, 'Date Key'!$A$2:$A$19, 0)), "")</f>
        <v>Yes</v>
      </c>
      <c r="E36" s="4" t="str">
        <f t="shared" si="1"/>
        <v>tank 2</v>
      </c>
      <c r="F36" s="4">
        <f t="shared" si="2"/>
        <v>10</v>
      </c>
      <c r="G36" s="4">
        <f t="shared" si="22"/>
        <v>1</v>
      </c>
      <c r="H36" s="11" cm="1">
        <f t="array" ref="H36">IFERROR(INDEX('Master Data Sheet'!$1:$1048576, MATCH(1, ('Master Data Sheet'!$H:$H=H$2) * (INDEX('Master Data Sheet'!$1:$1, , MATCH($F$1, 'Master Data Sheet'!$1:$1, 0)) = $F$1) * ('Master Data Sheet'!$G:$G=$B36) * ('Master Data Sheet'!$F:$F=$E36) * ('Master Data Sheet'!$A:$A=$F36), 0), MATCH($F$1, 'Master Data Sheet'!$1:$1, 0)), "")</f>
        <v>1.9120960295475531</v>
      </c>
      <c r="I36" s="11" cm="1">
        <f t="array" ref="I36">IFERROR(INDEX('Master Data Sheet'!$1:$1048576, MATCH(1, ('Master Data Sheet'!$H:$H=I$2) * (INDEX('Master Data Sheet'!$1:$1, , MATCH($F$1, 'Master Data Sheet'!$1:$1, 0)) = $F$1) * ('Master Data Sheet'!$G:$G=$B36) * ('Master Data Sheet'!$F:$F=$E36) * ('Master Data Sheet'!$A:$A=$F36), 0), MATCH($F$1, 'Master Data Sheet'!$1:$1, 0)), "")</f>
        <v>1.9120960295475531</v>
      </c>
      <c r="J36" s="11" cm="1">
        <f t="array" ref="J36">IFERROR(INDEX('Master Data Sheet'!$1:$1048576, MATCH(1, ('Master Data Sheet'!$H:$H=J$2) * (INDEX('Master Data Sheet'!$1:$1, , MATCH($F$1, 'Master Data Sheet'!$1:$1, 0)) = $F$1) * ('Master Data Sheet'!$G:$G=$B36) * ('Master Data Sheet'!$F:$F=$E36) * ('Master Data Sheet'!$A:$A=$F36), 0), MATCH($F$1, 'Master Data Sheet'!$1:$1, 0)), "")</f>
        <v>1.2709141274238227</v>
      </c>
      <c r="K36" s="11" cm="1">
        <f t="array" ref="K36">IFERROR(INDEX('Master Data Sheet'!$1:$1048576, MATCH(1, ('Master Data Sheet'!$H:$H=K$2) * (INDEX('Master Data Sheet'!$1:$1, , MATCH($F$1, 'Master Data Sheet'!$1:$1, 0)) = $F$1) * ('Master Data Sheet'!$G:$G=$B36) * ('Master Data Sheet'!$F:$F=$E36) * ('Master Data Sheet'!$A:$A=$F36), 0), MATCH($F$1, 'Master Data Sheet'!$1:$1, 0)), "")</f>
        <v>0.95032317636195751</v>
      </c>
      <c r="L36" s="11" cm="1">
        <f t="array" ref="L36">IFERROR(INDEX('Master Data Sheet'!$1:$1048576, MATCH(1, ('Master Data Sheet'!$H:$H=L$2) * (INDEX('Master Data Sheet'!$1:$1, , MATCH($F$1, 'Master Data Sheet'!$1:$1, 0)) = $F$1) * ('Master Data Sheet'!$G:$G=$B36) * ('Master Data Sheet'!$F:$F=$E36) * ('Master Data Sheet'!$A:$A=$F36), 0), MATCH($F$1, 'Master Data Sheet'!$1:$1, 0)), "")</f>
        <v>0.90452446906740536</v>
      </c>
      <c r="M36" s="11" cm="1">
        <f t="array" ref="M36">IFERROR(INDEX('Master Data Sheet'!$1:$1048576, MATCH(1, ('Master Data Sheet'!$H:$H=M$2) * (INDEX('Master Data Sheet'!$1:$1, , MATCH($F$1, 'Master Data Sheet'!$1:$1, 0)) = $F$1) * ('Master Data Sheet'!$G:$G=$B36) * ('Master Data Sheet'!$F:$F=$E36) * ('Master Data Sheet'!$A:$A=$F36), 0), MATCH($F$1, 'Master Data Sheet'!$1:$1, 0)), "")</f>
        <v>0.76712834718374878</v>
      </c>
      <c r="N36" s="11" cm="1">
        <f t="array" ref="N36">IFERROR(INDEX('Master Data Sheet'!$1:$1048576, MATCH(1, ('Master Data Sheet'!$H:$H=N$2) * (INDEX('Master Data Sheet'!$1:$1, , MATCH($F$1, 'Master Data Sheet'!$1:$1, 0)) = $F$1) * ('Master Data Sheet'!$G:$G=$B36) * ('Master Data Sheet'!$F:$F=$E36) * ('Master Data Sheet'!$A:$A=$F36), 0), MATCH($F$1, 'Master Data Sheet'!$1:$1, 0)), "")</f>
        <v>0.81292705447830083</v>
      </c>
      <c r="O36" s="11">
        <f t="shared" si="8"/>
        <v>1.2185727476586201</v>
      </c>
      <c r="P36" s="11">
        <f t="shared" si="4"/>
        <v>0.50060352475495762</v>
      </c>
      <c r="Q36" s="11">
        <f>AVERAGE(N36:N38)</f>
        <v>3.0417271973391133</v>
      </c>
      <c r="R36" s="46">
        <f>(1-(O36/O30))*100</f>
        <v>-55.532359081419628</v>
      </c>
      <c r="S36" s="46">
        <f>AVERAGE(R36:R38)</f>
        <v>-14.997836239525661</v>
      </c>
      <c r="T36" s="46">
        <f>STDEV(R36:R38)</f>
        <v>54.048851926358395</v>
      </c>
      <c r="U36" s="47">
        <f>(1-(AVERAGE(H36:N38)/AVERAGE(H30:N32)))*100</f>
        <v>-22.938023943069076</v>
      </c>
      <c r="V36" s="47"/>
      <c r="Y36" s="2"/>
      <c r="Z36" s="2"/>
      <c r="AA36" s="2"/>
      <c r="AB36" s="2"/>
      <c r="AC36" s="2"/>
      <c r="AD36" s="2"/>
      <c r="AE36" s="2"/>
      <c r="AF36" s="2"/>
      <c r="AG36" s="2"/>
    </row>
    <row r="37" spans="1:45" x14ac:dyDescent="0.35">
      <c r="A37" s="41">
        <f>IFERROR(INDEX('Date Key'!$B$2:$B$19, MATCH(F37,'Date Key'!$A$2:$A$19, 0)), "")</f>
        <v>45259</v>
      </c>
      <c r="B37" s="4">
        <f t="shared" si="15"/>
        <v>4</v>
      </c>
      <c r="C37" s="26" t="str">
        <f>IFERROR(INDEX('Date Key'!$G$57:$G$62, MATCH(B37,'Date Key'!$A$57:$A$62, 0)), "")</f>
        <v>High HLR, Upper Outlet Height, No Plants</v>
      </c>
      <c r="D37" s="4" t="str">
        <f>IFERROR(INDEX('Date Key'!$G$2:$G$19, MATCH(F37, 'Date Key'!$A$2:$A$19, 0)), "")</f>
        <v>No</v>
      </c>
      <c r="E37" s="4" t="str">
        <f t="shared" si="1"/>
        <v>tank 2</v>
      </c>
      <c r="F37" s="4">
        <f t="shared" si="2"/>
        <v>11</v>
      </c>
      <c r="G37" s="4">
        <f t="shared" si="22"/>
        <v>2</v>
      </c>
      <c r="H37" s="11" cm="1">
        <f t="array" ref="H37">IFERROR(INDEX('Master Data Sheet'!$1:$1048576, MATCH(1, ('Master Data Sheet'!$H:$H=H$2) * (INDEX('Master Data Sheet'!$1:$1, , MATCH($F$1, 'Master Data Sheet'!$1:$1, 0)) = $F$1) * ('Master Data Sheet'!$G:$G=$B37) * ('Master Data Sheet'!$F:$F=$E37) * ('Master Data Sheet'!$A:$A=$F37), 0), MATCH($F$1, 'Master Data Sheet'!$1:$1, 0)), "")</f>
        <v>35.129013870416124</v>
      </c>
      <c r="I37" s="11" cm="1">
        <f t="array" ref="I37">IFERROR(INDEX('Master Data Sheet'!$1:$1048576, MATCH(1, ('Master Data Sheet'!$H:$H=I$2) * (INDEX('Master Data Sheet'!$1:$1, , MATCH($F$1, 'Master Data Sheet'!$1:$1, 0)) = $F$1) * ('Master Data Sheet'!$G:$G=$B37) * ('Master Data Sheet'!$F:$F=$E37) * ('Master Data Sheet'!$A:$A=$F37), 0), MATCH($F$1, 'Master Data Sheet'!$1:$1, 0)), "")</f>
        <v>7.716131483944519</v>
      </c>
      <c r="J37" s="11" cm="1">
        <f t="array" ref="J37">IFERROR(INDEX('Master Data Sheet'!$1:$1048576, MATCH(1, ('Master Data Sheet'!$H:$H=J$2) * (INDEX('Master Data Sheet'!$1:$1, , MATCH($F$1, 'Master Data Sheet'!$1:$1, 0)) = $F$1) * ('Master Data Sheet'!$G:$G=$B37) * ('Master Data Sheet'!$F:$F=$E37) * ('Master Data Sheet'!$A:$A=$F37), 0), MATCH($F$1, 'Master Data Sheet'!$1:$1, 0)), "")</f>
        <v>11.144214326429793</v>
      </c>
      <c r="K37" s="11" cm="1">
        <f t="array" ref="K37">IFERROR(INDEX('Master Data Sheet'!$1:$1048576, MATCH(1, ('Master Data Sheet'!$H:$H=K$2) * (INDEX('Master Data Sheet'!$1:$1, , MATCH($F$1, 'Master Data Sheet'!$1:$1, 0)) = $F$1) * ('Master Data Sheet'!$G:$G=$B37) * ('Master Data Sheet'!$F:$F=$E37) * ('Master Data Sheet'!$A:$A=$F37), 0), MATCH($F$1, 'Master Data Sheet'!$1:$1, 0)), "")</f>
        <v>6.5263157894736858</v>
      </c>
      <c r="L37" s="11" cm="1">
        <f t="array" ref="L37">IFERROR(INDEX('Master Data Sheet'!$1:$1048576, MATCH(1, ('Master Data Sheet'!$H:$H=L$2) * (INDEX('Master Data Sheet'!$1:$1, , MATCH($F$1, 'Master Data Sheet'!$1:$1, 0)) = $F$1) * ('Master Data Sheet'!$G:$G=$B37) * ('Master Data Sheet'!$F:$F=$E37) * ('Master Data Sheet'!$A:$A=$F37), 0), MATCH($F$1, 'Master Data Sheet'!$1:$1, 0)), "")</f>
        <v>6.5263157894736858</v>
      </c>
      <c r="M37" s="11" cm="1">
        <f t="array" ref="M37">IFERROR(INDEX('Master Data Sheet'!$1:$1048576, MATCH(1, ('Master Data Sheet'!$H:$H=M$2) * (INDEX('Master Data Sheet'!$1:$1, , MATCH($F$1, 'Master Data Sheet'!$1:$1, 0)) = $F$1) * ('Master Data Sheet'!$G:$G=$B37) * ('Master Data Sheet'!$F:$F=$E37) * ('Master Data Sheet'!$A:$A=$F37), 0), MATCH($F$1, 'Master Data Sheet'!$1:$1, 0)), "")</f>
        <v>6.9504085122553674</v>
      </c>
      <c r="N37" s="11" cm="1">
        <f t="array" ref="N37">IFERROR(INDEX('Master Data Sheet'!$1:$1048576, MATCH(1, ('Master Data Sheet'!$H:$H=N$2) * (INDEX('Master Data Sheet'!$1:$1, , MATCH($F$1, 'Master Data Sheet'!$1:$1, 0)) = $F$1) * ('Master Data Sheet'!$G:$G=$B37) * ('Master Data Sheet'!$F:$F=$E37) * ('Master Data Sheet'!$A:$A=$F37), 0), MATCH($F$1, 'Master Data Sheet'!$1:$1, 0)), "")</f>
        <v>7.4687440623218695</v>
      </c>
      <c r="O37" s="11">
        <f t="shared" si="8"/>
        <v>11.637306262045005</v>
      </c>
      <c r="P37" s="11">
        <f t="shared" si="4"/>
        <v>10.480676236181479</v>
      </c>
      <c r="Q37" s="11"/>
      <c r="R37" s="46">
        <f>(1-(O37/O31))*100</f>
        <v>-35.827931644077779</v>
      </c>
      <c r="X37" t="str">
        <f>IFERROR(INDEX('Date Key'!$G$57:$G$62, MATCH(B36,'Date Key'!$A$57:$A$62, 0)), "")</f>
        <v>High HLR, Upper Outlet Height, No Plants</v>
      </c>
      <c r="Y37" s="1">
        <f t="shared" ref="Y37:AE37" si="41">H36</f>
        <v>1.9120960295475531</v>
      </c>
      <c r="Z37" s="1">
        <f t="shared" si="41"/>
        <v>1.9120960295475531</v>
      </c>
      <c r="AA37" s="1">
        <f t="shared" si="41"/>
        <v>1.2709141274238227</v>
      </c>
      <c r="AB37" s="1">
        <f t="shared" si="41"/>
        <v>0.95032317636195751</v>
      </c>
      <c r="AC37" s="1">
        <f t="shared" si="41"/>
        <v>0.90452446906740536</v>
      </c>
      <c r="AD37" s="1">
        <f t="shared" si="41"/>
        <v>0.76712834718374878</v>
      </c>
      <c r="AE37" s="1">
        <f t="shared" si="41"/>
        <v>0.81292705447830083</v>
      </c>
      <c r="AF37" s="1">
        <f t="shared" ref="AF37:AL37" si="42">H37</f>
        <v>35.129013870416124</v>
      </c>
      <c r="AG37" s="1">
        <f t="shared" si="42"/>
        <v>7.716131483944519</v>
      </c>
      <c r="AH37" s="1">
        <f t="shared" si="42"/>
        <v>11.144214326429793</v>
      </c>
      <c r="AI37" s="1">
        <f t="shared" si="42"/>
        <v>6.5263157894736858</v>
      </c>
      <c r="AJ37" s="1">
        <f t="shared" si="42"/>
        <v>6.5263157894736858</v>
      </c>
      <c r="AK37" s="1">
        <f t="shared" si="42"/>
        <v>6.9504085122553674</v>
      </c>
      <c r="AL37" s="1">
        <f t="shared" si="42"/>
        <v>7.4687440623218695</v>
      </c>
      <c r="AM37" s="1">
        <f t="shared" ref="AM37:AS37" si="43">H38</f>
        <v>1.2236842105263157</v>
      </c>
      <c r="AN37" s="1">
        <f t="shared" si="43"/>
        <v>1.6870209504343381</v>
      </c>
      <c r="AO37" s="1">
        <f t="shared" si="43"/>
        <v>1.1999233520694945</v>
      </c>
      <c r="AP37" s="1">
        <f t="shared" si="43"/>
        <v>0.57026060296372005</v>
      </c>
      <c r="AQ37" s="1">
        <f t="shared" si="43"/>
        <v>0.87915176290240138</v>
      </c>
      <c r="AR37" s="1">
        <f t="shared" si="43"/>
        <v>0.96231476750127742</v>
      </c>
      <c r="AS37" s="1">
        <f t="shared" si="43"/>
        <v>0.84351047521716904</v>
      </c>
    </row>
    <row r="38" spans="1:45" x14ac:dyDescent="0.35">
      <c r="A38" s="42">
        <f>IFERROR(INDEX('Date Key'!$B$2:$B$19, MATCH(F38,'Date Key'!$A$2:$A$19, 0)), "")</f>
        <v>45266</v>
      </c>
      <c r="B38" s="27">
        <f t="shared" si="15"/>
        <v>4</v>
      </c>
      <c r="C38" s="51" t="str">
        <f>IFERROR(INDEX('Date Key'!$G$57:$G$62, MATCH(B38,'Date Key'!$A$57:$A$62, 0)), "")</f>
        <v>High HLR, Upper Outlet Height, No Plants</v>
      </c>
      <c r="D38" s="27" t="str">
        <f>IFERROR(INDEX('Date Key'!$G$2:$G$19, MATCH(F38, 'Date Key'!$A$2:$A$19, 0)), "")</f>
        <v>No</v>
      </c>
      <c r="E38" s="27" t="str">
        <f t="shared" si="1"/>
        <v>tank 2</v>
      </c>
      <c r="F38" s="27">
        <f t="shared" si="2"/>
        <v>12</v>
      </c>
      <c r="G38" s="27">
        <f t="shared" si="22"/>
        <v>3</v>
      </c>
      <c r="H38" s="28" cm="1">
        <f t="array" ref="H38">IFERROR(INDEX('Master Data Sheet'!$1:$1048576, MATCH(1, ('Master Data Sheet'!$H:$H=H$2) * (INDEX('Master Data Sheet'!$1:$1, , MATCH($F$1, 'Master Data Sheet'!$1:$1, 0)) = $F$1) * ('Master Data Sheet'!$G:$G=$B38) * ('Master Data Sheet'!$F:$F=$E38) * ('Master Data Sheet'!$A:$A=$F38), 0), MATCH($F$1, 'Master Data Sheet'!$1:$1, 0)), "")</f>
        <v>1.2236842105263157</v>
      </c>
      <c r="I38" s="28" cm="1">
        <f t="array" ref="I38">IFERROR(INDEX('Master Data Sheet'!$1:$1048576, MATCH(1, ('Master Data Sheet'!$H:$H=I$2) * (INDEX('Master Data Sheet'!$1:$1, , MATCH($F$1, 'Master Data Sheet'!$1:$1, 0)) = $F$1) * ('Master Data Sheet'!$G:$G=$B38) * ('Master Data Sheet'!$F:$F=$E38) * ('Master Data Sheet'!$A:$A=$F38), 0), MATCH($F$1, 'Master Data Sheet'!$1:$1, 0)), "")</f>
        <v>1.6870209504343381</v>
      </c>
      <c r="J38" s="28" cm="1">
        <f t="array" ref="J38">IFERROR(INDEX('Master Data Sheet'!$1:$1048576, MATCH(1, ('Master Data Sheet'!$H:$H=J$2) * (INDEX('Master Data Sheet'!$1:$1, , MATCH($F$1, 'Master Data Sheet'!$1:$1, 0)) = $F$1) * ('Master Data Sheet'!$G:$G=$B38) * ('Master Data Sheet'!$F:$F=$E38) * ('Master Data Sheet'!$A:$A=$F38), 0), MATCH($F$1, 'Master Data Sheet'!$1:$1, 0)), "")</f>
        <v>1.1999233520694945</v>
      </c>
      <c r="K38" s="28" cm="1">
        <f t="array" ref="K38">IFERROR(INDEX('Master Data Sheet'!$1:$1048576, MATCH(1, ('Master Data Sheet'!$H:$H=K$2) * (INDEX('Master Data Sheet'!$1:$1, , MATCH($F$1, 'Master Data Sheet'!$1:$1, 0)) = $F$1) * ('Master Data Sheet'!$G:$G=$B38) * ('Master Data Sheet'!$F:$F=$E38) * ('Master Data Sheet'!$A:$A=$F38), 0), MATCH($F$1, 'Master Data Sheet'!$1:$1, 0)), "")</f>
        <v>0.57026060296372005</v>
      </c>
      <c r="L38" s="28" cm="1">
        <f t="array" ref="L38">IFERROR(INDEX('Master Data Sheet'!$1:$1048576, MATCH(1, ('Master Data Sheet'!$H:$H=L$2) * (INDEX('Master Data Sheet'!$1:$1, , MATCH($F$1, 'Master Data Sheet'!$1:$1, 0)) = $F$1) * ('Master Data Sheet'!$G:$G=$B38) * ('Master Data Sheet'!$F:$F=$E38) * ('Master Data Sheet'!$A:$A=$F38), 0), MATCH($F$1, 'Master Data Sheet'!$1:$1, 0)), "")</f>
        <v>0.87915176290240138</v>
      </c>
      <c r="M38" s="28" cm="1">
        <f t="array" ref="M38">IFERROR(INDEX('Master Data Sheet'!$1:$1048576, MATCH(1, ('Master Data Sheet'!$H:$H=M$2) * (INDEX('Master Data Sheet'!$1:$1, , MATCH($F$1, 'Master Data Sheet'!$1:$1, 0)) = $F$1) * ('Master Data Sheet'!$G:$G=$B38) * ('Master Data Sheet'!$F:$F=$E38) * ('Master Data Sheet'!$A:$A=$F38), 0), MATCH($F$1, 'Master Data Sheet'!$1:$1, 0)), "")</f>
        <v>0.96231476750127742</v>
      </c>
      <c r="N38" s="28" cm="1">
        <f t="array" ref="N38">IFERROR(INDEX('Master Data Sheet'!$1:$1048576, MATCH(1, ('Master Data Sheet'!$H:$H=N$2) * (INDEX('Master Data Sheet'!$1:$1, , MATCH($F$1, 'Master Data Sheet'!$1:$1, 0)) = $F$1) * ('Master Data Sheet'!$G:$G=$B38) * ('Master Data Sheet'!$F:$F=$E38) * ('Master Data Sheet'!$A:$A=$F38), 0), MATCH($F$1, 'Master Data Sheet'!$1:$1, 0)), "")</f>
        <v>0.84351047521716904</v>
      </c>
      <c r="O38" s="28">
        <f t="shared" si="8"/>
        <v>1.0522665888021023</v>
      </c>
      <c r="P38" s="28">
        <f t="shared" si="4"/>
        <v>0.35778684968196511</v>
      </c>
      <c r="Q38" s="28"/>
      <c r="R38" s="48">
        <f>(1-(O38/O32))*100</f>
        <v>46.366782006920424</v>
      </c>
      <c r="S38" s="27"/>
      <c r="T38" s="27"/>
      <c r="U38" s="27"/>
      <c r="V38" s="27"/>
    </row>
    <row r="39" spans="1:45" x14ac:dyDescent="0.35">
      <c r="A39" s="41">
        <f>IFERROR(INDEX('Date Key'!$B$2:$B$19, MATCH(F39,'Date Key'!$A$2:$A$19, 0)), "")</f>
        <v>45313</v>
      </c>
      <c r="B39" s="4">
        <f t="shared" si="15"/>
        <v>5</v>
      </c>
      <c r="C39" s="26" t="str">
        <f>IFERROR(INDEX('Date Key'!$G$57:$G$62, MATCH(B39,'Date Key'!$A$57:$A$62, 0)), "")</f>
        <v>High HLR, Lower Outlet Height, Yes Plants</v>
      </c>
      <c r="D39" s="4" t="str">
        <f>IFERROR(INDEX('Date Key'!$G$2:$G$19, MATCH(F39, 'Date Key'!$A$2:$A$19, 0)), "")</f>
        <v>Yes</v>
      </c>
      <c r="E39" s="4" t="str">
        <f t="shared" si="1"/>
        <v>in</v>
      </c>
      <c r="F39" s="4">
        <f t="shared" si="2"/>
        <v>13</v>
      </c>
      <c r="G39" s="4">
        <f t="shared" si="22"/>
        <v>1</v>
      </c>
      <c r="H39" s="11" cm="1">
        <f t="array" ref="H39">IFERROR(INDEX('Master Data Sheet'!$1:$1048576, MATCH(1, ('Master Data Sheet'!$H:$H=H$2) * (INDEX('Master Data Sheet'!$1:$1, , MATCH($F$1, 'Master Data Sheet'!$1:$1, 0)) = $F$1) * ('Master Data Sheet'!$G:$G=$B39) * ('Master Data Sheet'!$F:$F=$E39) * ('Master Data Sheet'!$A:$A=$F39), 0), MATCH($F$1, 'Master Data Sheet'!$1:$1, 0)), "")</f>
        <v>9.3360103255413732E-2</v>
      </c>
      <c r="I39" s="11" cm="1">
        <f t="array" ref="I39">IFERROR(INDEX('Master Data Sheet'!$1:$1048576, MATCH(1, ('Master Data Sheet'!$H:$H=I$2) * (INDEX('Master Data Sheet'!$1:$1, , MATCH($F$1, 'Master Data Sheet'!$1:$1, 0)) = $F$1) * ('Master Data Sheet'!$G:$G=$B39) * ('Master Data Sheet'!$F:$F=$E39) * ('Master Data Sheet'!$A:$A=$F39), 0), MATCH($F$1, 'Master Data Sheet'!$1:$1, 0)), "")</f>
        <v>0.12003441847124621</v>
      </c>
      <c r="J39" s="11" cm="1">
        <f t="array" ref="J39">IFERROR(INDEX('Master Data Sheet'!$1:$1048576, MATCH(1, ('Master Data Sheet'!$H:$H=J$2) * (INDEX('Master Data Sheet'!$1:$1, , MATCH($F$1, 'Master Data Sheet'!$1:$1, 0)) = $F$1) * ('Master Data Sheet'!$G:$G=$B39) * ('Master Data Sheet'!$F:$F=$E39) * ('Master Data Sheet'!$A:$A=$F39), 0), MATCH($F$1, 'Master Data Sheet'!$1:$1, 0)), "")</f>
        <v>0.12003441847124621</v>
      </c>
      <c r="K39" s="11" cm="1">
        <f t="array" ref="K39">IFERROR(INDEX('Master Data Sheet'!$1:$1048576, MATCH(1, ('Master Data Sheet'!$H:$H=K$2) * (INDEX('Master Data Sheet'!$1:$1, , MATCH($F$1, 'Master Data Sheet'!$1:$1, 0)) = $F$1) * ('Master Data Sheet'!$G:$G=$B39) * ('Master Data Sheet'!$F:$F=$E39) * ('Master Data Sheet'!$A:$A=$F39), 0), MATCH($F$1, 'Master Data Sheet'!$1:$1, 0)), "")</f>
        <v>0.12003441847124621</v>
      </c>
      <c r="L39" s="11" cm="1">
        <f t="array" ref="L39">IFERROR(INDEX('Master Data Sheet'!$1:$1048576, MATCH(1, ('Master Data Sheet'!$H:$H=L$2) * (INDEX('Master Data Sheet'!$1:$1, , MATCH($F$1, 'Master Data Sheet'!$1:$1, 0)) = $F$1) * ('Master Data Sheet'!$G:$G=$B39) * ('Master Data Sheet'!$F:$F=$E39) * ('Master Data Sheet'!$A:$A=$F39), 0), MATCH($F$1, 'Master Data Sheet'!$1:$1, 0)), "")</f>
        <v>0.13337157607916245</v>
      </c>
      <c r="M39" s="11" cm="1">
        <f t="array" ref="M39">IFERROR(INDEX('Master Data Sheet'!$1:$1048576, MATCH(1, ('Master Data Sheet'!$H:$H=M$2) * (INDEX('Master Data Sheet'!$1:$1, , MATCH($F$1, 'Master Data Sheet'!$1:$1, 0)) = $F$1) * ('Master Data Sheet'!$G:$G=$B39) * ('Master Data Sheet'!$F:$F=$E39) * ('Master Data Sheet'!$A:$A=$F39), 0), MATCH($F$1, 'Master Data Sheet'!$1:$1, 0)), "")</f>
        <v>0.13337157607916245</v>
      </c>
      <c r="N39" s="11" cm="1">
        <f t="array" ref="N39">IFERROR(INDEX('Master Data Sheet'!$1:$1048576, MATCH(1, ('Master Data Sheet'!$H:$H=N$2) * (INDEX('Master Data Sheet'!$1:$1, , MATCH($F$1, 'Master Data Sheet'!$1:$1, 0)) = $F$1) * ('Master Data Sheet'!$G:$G=$B39) * ('Master Data Sheet'!$F:$F=$E39) * ('Master Data Sheet'!$A:$A=$F39), 0), MATCH($F$1, 'Master Data Sheet'!$1:$1, 0)), "")</f>
        <v>0.14670873368707871</v>
      </c>
      <c r="O39" s="11">
        <f t="shared" si="8"/>
        <v>0.12384503493065087</v>
      </c>
      <c r="P39" s="11">
        <f t="shared" si="4"/>
        <v>1.6719011862642952E-2</v>
      </c>
      <c r="Q39" s="11">
        <f>AVERAGE(O39:O41)</f>
        <v>0.72909794923275495</v>
      </c>
      <c r="S39" s="11">
        <f>AVERAGE(O39:O41)</f>
        <v>0.72909794923275495</v>
      </c>
      <c r="T39" s="11">
        <f>AVERAGE(P39:P41)</f>
        <v>0.23138696093610336</v>
      </c>
      <c r="V39" s="47">
        <f>AVERAGE(U42, U45)</f>
        <v>17.508710801393754</v>
      </c>
      <c r="X39" t="s">
        <v>343</v>
      </c>
    </row>
    <row r="40" spans="1:45" x14ac:dyDescent="0.35">
      <c r="A40" s="41">
        <f>IFERROR(INDEX('Date Key'!$B$2:$B$19, MATCH(F40,'Date Key'!$A$2:$A$19, 0)), "")</f>
        <v>45322</v>
      </c>
      <c r="B40" s="4">
        <f t="shared" si="15"/>
        <v>5</v>
      </c>
      <c r="C40" s="26" t="str">
        <f>IFERROR(INDEX('Date Key'!$G$57:$G$62, MATCH(B40,'Date Key'!$A$57:$A$62, 0)), "")</f>
        <v>High HLR, Lower Outlet Height, Yes Plants</v>
      </c>
      <c r="D40" s="4" t="str">
        <f>IFERROR(INDEX('Date Key'!$G$2:$G$19, MATCH(F40, 'Date Key'!$A$2:$A$19, 0)), "")</f>
        <v>No</v>
      </c>
      <c r="E40" s="4" t="str">
        <f t="shared" si="1"/>
        <v>in</v>
      </c>
      <c r="F40" s="4">
        <f t="shared" si="2"/>
        <v>14</v>
      </c>
      <c r="G40" s="4">
        <f t="shared" si="22"/>
        <v>2</v>
      </c>
      <c r="H40" s="11" cm="1">
        <f t="array" ref="H40">IFERROR(INDEX('Master Data Sheet'!$1:$1048576, MATCH(1, ('Master Data Sheet'!$H:$H=H$2) * (INDEX('Master Data Sheet'!$1:$1, , MATCH($F$1, 'Master Data Sheet'!$1:$1, 0)) = $F$1) * ('Master Data Sheet'!$G:$G=$B40) * ('Master Data Sheet'!$F:$F=$E40) * ('Master Data Sheet'!$A:$A=$F40), 0), MATCH($F$1, 'Master Data Sheet'!$1:$1, 0)), "")</f>
        <v>0.98694966298580222</v>
      </c>
      <c r="I40" s="11" cm="1">
        <f t="array" ref="I40">IFERROR(INDEX('Master Data Sheet'!$1:$1048576, MATCH(1, ('Master Data Sheet'!$H:$H=I$2) * (INDEX('Master Data Sheet'!$1:$1, , MATCH($F$1, 'Master Data Sheet'!$1:$1, 0)) = $F$1) * ('Master Data Sheet'!$G:$G=$B40) * ('Master Data Sheet'!$F:$F=$E40) * ('Master Data Sheet'!$A:$A=$F40), 0), MATCH($F$1, 'Master Data Sheet'!$1:$1, 0)), "")</f>
        <v>1.2536928151441273</v>
      </c>
      <c r="J40" s="11" cm="1">
        <f t="array" ref="J40">IFERROR(INDEX('Master Data Sheet'!$1:$1048576, MATCH(1, ('Master Data Sheet'!$H:$H=J$2) * (INDEX('Master Data Sheet'!$1:$1, , MATCH($F$1, 'Master Data Sheet'!$1:$1, 0)) = $F$1) * ('Master Data Sheet'!$G:$G=$B40) * ('Master Data Sheet'!$F:$F=$E40) * ('Master Data Sheet'!$A:$A=$F40), 0), MATCH($F$1, 'Master Data Sheet'!$1:$1, 0)), "")</f>
        <v>1.413738706439122</v>
      </c>
      <c r="K40" s="11" cm="1">
        <f t="array" ref="K40">IFERROR(INDEX('Master Data Sheet'!$1:$1048576, MATCH(1, ('Master Data Sheet'!$H:$H=K$2) * (INDEX('Master Data Sheet'!$1:$1, , MATCH($F$1, 'Master Data Sheet'!$1:$1, 0)) = $F$1) * ('Master Data Sheet'!$G:$G=$B40) * ('Master Data Sheet'!$F:$F=$E40) * ('Master Data Sheet'!$A:$A=$F40), 0), MATCH($F$1, 'Master Data Sheet'!$1:$1, 0)), "")</f>
        <v>1.547110282518285</v>
      </c>
      <c r="L40" s="11" cm="1">
        <f t="array" ref="L40">IFERROR(INDEX('Master Data Sheet'!$1:$1048576, MATCH(1, ('Master Data Sheet'!$H:$H=L$2) * (INDEX('Master Data Sheet'!$1:$1, , MATCH($F$1, 'Master Data Sheet'!$1:$1, 0)) = $F$1) * ('Master Data Sheet'!$G:$G=$B40) * ('Master Data Sheet'!$F:$F=$E40) * ('Master Data Sheet'!$A:$A=$F40), 0), MATCH($F$1, 'Master Data Sheet'!$1:$1, 0)), "")</f>
        <v>1.613796070557866</v>
      </c>
      <c r="M40" s="11" cm="1">
        <f t="array" ref="M40">IFERROR(INDEX('Master Data Sheet'!$1:$1048576, MATCH(1, ('Master Data Sheet'!$H:$H=M$2) * (INDEX('Master Data Sheet'!$1:$1, , MATCH($F$1, 'Master Data Sheet'!$1:$1, 0)) = $F$1) * ('Master Data Sheet'!$G:$G=$B40) * ('Master Data Sheet'!$F:$F=$E40) * ('Master Data Sheet'!$A:$A=$F40), 0), MATCH($F$1, 'Master Data Sheet'!$1:$1, 0)), "")</f>
        <v>1.6538075433816148</v>
      </c>
      <c r="N40" s="11" cm="1">
        <f t="array" ref="N40">IFERROR(INDEX('Master Data Sheet'!$1:$1048576, MATCH(1, ('Master Data Sheet'!$H:$H=N$2) * (INDEX('Master Data Sheet'!$1:$1, , MATCH($F$1, 'Master Data Sheet'!$1:$1, 0)) = $F$1) * ('Master Data Sheet'!$G:$G=$B40) * ('Master Data Sheet'!$F:$F=$E40) * ('Master Data Sheet'!$A:$A=$F40), 0), MATCH($F$1, 'Master Data Sheet'!$1:$1, 0)), "")</f>
        <v>1.7738419618528609</v>
      </c>
      <c r="O40" s="11">
        <f t="shared" si="8"/>
        <v>1.4632767204113828</v>
      </c>
      <c r="P40" s="11">
        <f t="shared" si="4"/>
        <v>0.26947597246274935</v>
      </c>
      <c r="Q40" s="11"/>
      <c r="X40" t="str">
        <f>IFERROR(INDEX('Date Key'!$G$57:$G$62, MATCH(B39,'Date Key'!$A$57:$A$62, 0)), "")</f>
        <v>High HLR, Lower Outlet Height, Yes Plants</v>
      </c>
      <c r="Y40" s="1">
        <f t="shared" ref="Y40:AE40" si="44">H39</f>
        <v>9.3360103255413732E-2</v>
      </c>
      <c r="Z40" s="1">
        <f t="shared" si="44"/>
        <v>0.12003441847124621</v>
      </c>
      <c r="AA40" s="1">
        <f t="shared" si="44"/>
        <v>0.12003441847124621</v>
      </c>
      <c r="AB40" s="1">
        <f t="shared" si="44"/>
        <v>0.12003441847124621</v>
      </c>
      <c r="AC40" s="1">
        <f t="shared" si="44"/>
        <v>0.13337157607916245</v>
      </c>
      <c r="AD40" s="1">
        <f t="shared" si="44"/>
        <v>0.13337157607916245</v>
      </c>
      <c r="AE40" s="1">
        <f t="shared" si="44"/>
        <v>0.14670873368707871</v>
      </c>
      <c r="AF40" s="1">
        <f t="shared" ref="AF40:AL40" si="45">H40</f>
        <v>0.98694966298580222</v>
      </c>
      <c r="AG40" s="1">
        <f t="shared" si="45"/>
        <v>1.2536928151441273</v>
      </c>
      <c r="AH40" s="1">
        <f t="shared" si="45"/>
        <v>1.413738706439122</v>
      </c>
      <c r="AI40" s="1">
        <f t="shared" si="45"/>
        <v>1.547110282518285</v>
      </c>
      <c r="AJ40" s="1">
        <f t="shared" si="45"/>
        <v>1.613796070557866</v>
      </c>
      <c r="AK40" s="1">
        <f t="shared" si="45"/>
        <v>1.6538075433816148</v>
      </c>
      <c r="AL40" s="1">
        <f t="shared" si="45"/>
        <v>1.7738419618528609</v>
      </c>
      <c r="AM40" s="1">
        <f t="shared" ref="AM40:AS40" si="46">H41</f>
        <v>0.12003441847124621</v>
      </c>
      <c r="AN40" s="1">
        <f t="shared" si="46"/>
        <v>0.10669726086332998</v>
      </c>
      <c r="AO40" s="1">
        <f t="shared" si="46"/>
        <v>0.36010325541373872</v>
      </c>
      <c r="AP40" s="1">
        <f t="shared" si="46"/>
        <v>0.69353219561164481</v>
      </c>
      <c r="AQ40" s="1">
        <f t="shared" si="46"/>
        <v>0.86691524451455604</v>
      </c>
      <c r="AR40" s="1">
        <f t="shared" si="46"/>
        <v>0.92026387494622097</v>
      </c>
      <c r="AS40" s="1">
        <f t="shared" si="46"/>
        <v>1.133658396672881</v>
      </c>
    </row>
    <row r="41" spans="1:45" x14ac:dyDescent="0.35">
      <c r="A41" s="41">
        <f>IFERROR(INDEX('Date Key'!$B$2:$B$19, MATCH(F41,'Date Key'!$A$2:$A$19, 0)), "")</f>
        <v>45330</v>
      </c>
      <c r="B41" s="4">
        <f t="shared" si="15"/>
        <v>5</v>
      </c>
      <c r="C41" s="26" t="str">
        <f>IFERROR(INDEX('Date Key'!$G$57:$G$62, MATCH(B41,'Date Key'!$A$57:$A$62, 0)), "")</f>
        <v>High HLR, Lower Outlet Height, Yes Plants</v>
      </c>
      <c r="D41" s="4" t="str">
        <f>IFERROR(INDEX('Date Key'!$G$2:$G$19, MATCH(F41, 'Date Key'!$A$2:$A$19, 0)), "")</f>
        <v>No</v>
      </c>
      <c r="E41" s="4" t="str">
        <f t="shared" si="1"/>
        <v>in</v>
      </c>
      <c r="F41" s="4">
        <f t="shared" si="2"/>
        <v>15</v>
      </c>
      <c r="G41" s="4">
        <f t="shared" si="22"/>
        <v>3</v>
      </c>
      <c r="H41" s="11" cm="1">
        <f t="array" ref="H41">IFERROR(INDEX('Master Data Sheet'!$1:$1048576, MATCH(1, ('Master Data Sheet'!$H:$H=H$2) * (INDEX('Master Data Sheet'!$1:$1, , MATCH($F$1, 'Master Data Sheet'!$1:$1, 0)) = $F$1) * ('Master Data Sheet'!$G:$G=$B41) * ('Master Data Sheet'!$F:$F=$E41) * ('Master Data Sheet'!$A:$A=$F41), 0), MATCH($F$1, 'Master Data Sheet'!$1:$1, 0)), "")</f>
        <v>0.12003441847124621</v>
      </c>
      <c r="I41" s="11" cm="1">
        <f t="array" ref="I41">IFERROR(INDEX('Master Data Sheet'!$1:$1048576, MATCH(1, ('Master Data Sheet'!$H:$H=I$2) * (INDEX('Master Data Sheet'!$1:$1, , MATCH($F$1, 'Master Data Sheet'!$1:$1, 0)) = $F$1) * ('Master Data Sheet'!$G:$G=$B41) * ('Master Data Sheet'!$F:$F=$E41) * ('Master Data Sheet'!$A:$A=$F41), 0), MATCH($F$1, 'Master Data Sheet'!$1:$1, 0)), "")</f>
        <v>0.10669726086332998</v>
      </c>
      <c r="J41" s="11" cm="1">
        <f t="array" ref="J41">IFERROR(INDEX('Master Data Sheet'!$1:$1048576, MATCH(1, ('Master Data Sheet'!$H:$H=J$2) * (INDEX('Master Data Sheet'!$1:$1, , MATCH($F$1, 'Master Data Sheet'!$1:$1, 0)) = $F$1) * ('Master Data Sheet'!$G:$G=$B41) * ('Master Data Sheet'!$F:$F=$E41) * ('Master Data Sheet'!$A:$A=$F41), 0), MATCH($F$1, 'Master Data Sheet'!$1:$1, 0)), "")</f>
        <v>0.36010325541373872</v>
      </c>
      <c r="K41" s="11" cm="1">
        <f t="array" ref="K41">IFERROR(INDEX('Master Data Sheet'!$1:$1048576, MATCH(1, ('Master Data Sheet'!$H:$H=K$2) * (INDEX('Master Data Sheet'!$1:$1, , MATCH($F$1, 'Master Data Sheet'!$1:$1, 0)) = $F$1) * ('Master Data Sheet'!$G:$G=$B41) * ('Master Data Sheet'!$F:$F=$E41) * ('Master Data Sheet'!$A:$A=$F41), 0), MATCH($F$1, 'Master Data Sheet'!$1:$1, 0)), "")</f>
        <v>0.69353219561164481</v>
      </c>
      <c r="L41" s="11" cm="1">
        <f t="array" ref="L41">IFERROR(INDEX('Master Data Sheet'!$1:$1048576, MATCH(1, ('Master Data Sheet'!$H:$H=L$2) * (INDEX('Master Data Sheet'!$1:$1, , MATCH($F$1, 'Master Data Sheet'!$1:$1, 0)) = $F$1) * ('Master Data Sheet'!$G:$G=$B41) * ('Master Data Sheet'!$F:$F=$E41) * ('Master Data Sheet'!$A:$A=$F41), 0), MATCH($F$1, 'Master Data Sheet'!$1:$1, 0)), "")</f>
        <v>0.86691524451455604</v>
      </c>
      <c r="M41" s="11" cm="1">
        <f t="array" ref="M41">IFERROR(INDEX('Master Data Sheet'!$1:$1048576, MATCH(1, ('Master Data Sheet'!$H:$H=M$2) * (INDEX('Master Data Sheet'!$1:$1, , MATCH($F$1, 'Master Data Sheet'!$1:$1, 0)) = $F$1) * ('Master Data Sheet'!$G:$G=$B41) * ('Master Data Sheet'!$F:$F=$E41) * ('Master Data Sheet'!$A:$A=$F41), 0), MATCH($F$1, 'Master Data Sheet'!$1:$1, 0)), "")</f>
        <v>0.92026387494622097</v>
      </c>
      <c r="N41" s="11" cm="1">
        <f t="array" ref="N41">IFERROR(INDEX('Master Data Sheet'!$1:$1048576, MATCH(1, ('Master Data Sheet'!$H:$H=N$2) * (INDEX('Master Data Sheet'!$1:$1, , MATCH($F$1, 'Master Data Sheet'!$1:$1, 0)) = $F$1) * ('Master Data Sheet'!$G:$G=$B41) * ('Master Data Sheet'!$F:$F=$E41) * ('Master Data Sheet'!$A:$A=$F41), 0), MATCH($F$1, 'Master Data Sheet'!$1:$1, 0)), "")</f>
        <v>1.133658396672881</v>
      </c>
      <c r="O41" s="11">
        <f t="shared" si="8"/>
        <v>0.60017209235623115</v>
      </c>
      <c r="P41" s="11">
        <f t="shared" si="4"/>
        <v>0.40796589848291781</v>
      </c>
      <c r="Q41" s="11"/>
      <c r="Y41" s="1"/>
      <c r="Z41" s="1"/>
      <c r="AA41" s="1"/>
      <c r="AB41" s="1"/>
      <c r="AC41" s="1"/>
      <c r="AD41" s="1"/>
      <c r="AE41" s="1"/>
      <c r="AF41" s="1"/>
      <c r="AG41" s="1"/>
      <c r="AH41" s="1"/>
      <c r="AI41" s="1"/>
      <c r="AJ41" s="1"/>
      <c r="AK41" s="1"/>
      <c r="AL41" s="1"/>
      <c r="AM41" s="1"/>
      <c r="AN41" s="1"/>
      <c r="AO41" s="1"/>
      <c r="AP41" s="1"/>
      <c r="AQ41" s="1"/>
      <c r="AR41" s="1"/>
      <c r="AS41" s="1"/>
    </row>
    <row r="42" spans="1:45" x14ac:dyDescent="0.35">
      <c r="A42" s="41">
        <f>IFERROR(INDEX('Date Key'!$B$2:$B$19, MATCH(F42,'Date Key'!$A$2:$A$19, 0)), "")</f>
        <v>45313</v>
      </c>
      <c r="B42" s="4">
        <f t="shared" si="15"/>
        <v>5</v>
      </c>
      <c r="C42" s="26" t="str">
        <f>IFERROR(INDEX('Date Key'!$G$57:$G$62, MATCH(B42,'Date Key'!$A$57:$A$62, 0)), "")</f>
        <v>High HLR, Lower Outlet Height, Yes Plants</v>
      </c>
      <c r="D42" s="4" t="str">
        <f>IFERROR(INDEX('Date Key'!$G$2:$G$19, MATCH(F42, 'Date Key'!$A$2:$A$19, 0)), "")</f>
        <v>Yes</v>
      </c>
      <c r="E42" s="4" t="str">
        <f t="shared" si="1"/>
        <v>tank 1</v>
      </c>
      <c r="F42" s="4">
        <f t="shared" si="2"/>
        <v>13</v>
      </c>
      <c r="G42" s="4">
        <f t="shared" si="22"/>
        <v>1</v>
      </c>
      <c r="H42" s="11" cm="1">
        <f t="array" ref="H42">IFERROR(INDEX('Master Data Sheet'!$1:$1048576, MATCH(1, ('Master Data Sheet'!$H:$H=H$2) * (INDEX('Master Data Sheet'!$1:$1, , MATCH($F$1, 'Master Data Sheet'!$1:$1, 0)) = $F$1) * ('Master Data Sheet'!$G:$G=$B42) * ('Master Data Sheet'!$F:$F=$E42) * ('Master Data Sheet'!$A:$A=$F42), 0), MATCH($F$1, 'Master Data Sheet'!$1:$1, 0)), "")</f>
        <v>0.42678904345331992</v>
      </c>
      <c r="I42" s="11" cm="1">
        <f t="array" ref="I42">IFERROR(INDEX('Master Data Sheet'!$1:$1048576, MATCH(1, ('Master Data Sheet'!$H:$H=I$2) * (INDEX('Master Data Sheet'!$1:$1, , MATCH($F$1, 'Master Data Sheet'!$1:$1, 0)) = $F$1) * ('Master Data Sheet'!$G:$G=$B42) * ('Master Data Sheet'!$F:$F=$E42) * ('Master Data Sheet'!$A:$A=$F42), 0), MATCH($F$1, 'Master Data Sheet'!$1:$1, 0)), "")</f>
        <v>0.33342894019790625</v>
      </c>
      <c r="J42" s="11" cm="1">
        <f t="array" ref="J42">IFERROR(INDEX('Master Data Sheet'!$1:$1048576, MATCH(1, ('Master Data Sheet'!$H:$H=J$2) * (INDEX('Master Data Sheet'!$1:$1, , MATCH($F$1, 'Master Data Sheet'!$1:$1, 0)) = $F$1) * ('Master Data Sheet'!$G:$G=$B42) * ('Master Data Sheet'!$F:$F=$E42) * ('Master Data Sheet'!$A:$A=$F42), 0), MATCH($F$1, 'Master Data Sheet'!$1:$1, 0)), "")</f>
        <v>0.22673167933457619</v>
      </c>
      <c r="K42" s="11" cm="1">
        <f t="array" ref="K42">IFERROR(INDEX('Master Data Sheet'!$1:$1048576, MATCH(1, ('Master Data Sheet'!$H:$H=K$2) * (INDEX('Master Data Sheet'!$1:$1, , MATCH($F$1, 'Master Data Sheet'!$1:$1, 0)) = $F$1) * ('Master Data Sheet'!$G:$G=$B42) * ('Master Data Sheet'!$F:$F=$E42) * ('Master Data Sheet'!$A:$A=$F42), 0), MATCH($F$1, 'Master Data Sheet'!$1:$1, 0)), "")</f>
        <v>0.18672020651082746</v>
      </c>
      <c r="L42" s="11" cm="1">
        <f t="array" ref="L42">IFERROR(INDEX('Master Data Sheet'!$1:$1048576, MATCH(1, ('Master Data Sheet'!$H:$H=L$2) * (INDEX('Master Data Sheet'!$1:$1, , MATCH($F$1, 'Master Data Sheet'!$1:$1, 0)) = $F$1) * ('Master Data Sheet'!$G:$G=$B42) * ('Master Data Sheet'!$F:$F=$E42) * ('Master Data Sheet'!$A:$A=$F42), 0), MATCH($F$1, 'Master Data Sheet'!$1:$1, 0)), "")</f>
        <v>0.1733830489029112</v>
      </c>
      <c r="M42" s="11" cm="1">
        <f t="array" ref="M42">IFERROR(INDEX('Master Data Sheet'!$1:$1048576, MATCH(1, ('Master Data Sheet'!$H:$H=M$2) * (INDEX('Master Data Sheet'!$1:$1, , MATCH($F$1, 'Master Data Sheet'!$1:$1, 0)) = $F$1) * ('Master Data Sheet'!$G:$G=$B42) * ('Master Data Sheet'!$F:$F=$E42) * ('Master Data Sheet'!$A:$A=$F42), 0), MATCH($F$1, 'Master Data Sheet'!$1:$1, 0)), "")</f>
        <v>0.1733830489029112</v>
      </c>
      <c r="N42" s="11" cm="1">
        <f t="array" ref="N42">IFERROR(INDEX('Master Data Sheet'!$1:$1048576, MATCH(1, ('Master Data Sheet'!$H:$H=N$2) * (INDEX('Master Data Sheet'!$1:$1, , MATCH($F$1, 'Master Data Sheet'!$1:$1, 0)) = $F$1) * ('Master Data Sheet'!$G:$G=$B42) * ('Master Data Sheet'!$F:$F=$E42) * ('Master Data Sheet'!$A:$A=$F42), 0), MATCH($F$1, 'Master Data Sheet'!$1:$1, 0)), "")</f>
        <v>0.18672020651082746</v>
      </c>
      <c r="O42" s="11">
        <f t="shared" si="8"/>
        <v>0.24387945340189709</v>
      </c>
      <c r="P42" s="11">
        <f t="shared" si="4"/>
        <v>9.852488685483643E-2</v>
      </c>
      <c r="Q42" s="11">
        <f>AVERAGE(O42:O44)</f>
        <v>0.53983733174899096</v>
      </c>
      <c r="R42" s="46">
        <f>(1-(O42/O39))*100</f>
        <v>-96.923076923076934</v>
      </c>
      <c r="S42" s="46">
        <f>AVERAGE(R42:R44)</f>
        <v>-12.020407254782256</v>
      </c>
      <c r="T42" s="46">
        <f>STDEV(R42:R44)</f>
        <v>73.854555190757992</v>
      </c>
      <c r="U42" s="47">
        <f>(1-(AVERAGE(H42:N44)/AVERAGE(H39:N41)))*100</f>
        <v>25.958188153310104</v>
      </c>
      <c r="V42" s="47"/>
      <c r="Y42" s="2"/>
      <c r="Z42" s="2"/>
      <c r="AA42" s="2"/>
      <c r="AB42" s="2"/>
      <c r="AC42" s="2"/>
      <c r="AD42" s="2"/>
      <c r="AE42" s="2"/>
      <c r="AF42" s="2"/>
      <c r="AG42" s="2"/>
    </row>
    <row r="43" spans="1:45" x14ac:dyDescent="0.35">
      <c r="A43" s="41">
        <f>IFERROR(INDEX('Date Key'!$B$2:$B$19, MATCH(F43,'Date Key'!$A$2:$A$19, 0)), "")</f>
        <v>45322</v>
      </c>
      <c r="B43" s="4">
        <f t="shared" si="15"/>
        <v>5</v>
      </c>
      <c r="C43" s="26" t="str">
        <f>IFERROR(INDEX('Date Key'!$G$57:$G$62, MATCH(B43,'Date Key'!$A$57:$A$62, 0)), "")</f>
        <v>High HLR, Lower Outlet Height, Yes Plants</v>
      </c>
      <c r="D43" s="4" t="str">
        <f>IFERROR(INDEX('Date Key'!$G$2:$G$19, MATCH(F43, 'Date Key'!$A$2:$A$19, 0)), "")</f>
        <v>No</v>
      </c>
      <c r="E43" s="4" t="str">
        <f t="shared" si="1"/>
        <v>tank 1</v>
      </c>
      <c r="F43" s="4">
        <f t="shared" si="2"/>
        <v>14</v>
      </c>
      <c r="G43" s="4">
        <f t="shared" si="22"/>
        <v>2</v>
      </c>
      <c r="H43" s="11" cm="1">
        <f t="array" ref="H43">IFERROR(INDEX('Master Data Sheet'!$1:$1048576, MATCH(1, ('Master Data Sheet'!$H:$H=H$2) * (INDEX('Master Data Sheet'!$1:$1, , MATCH($F$1, 'Master Data Sheet'!$1:$1, 0)) = $F$1) * ('Master Data Sheet'!$G:$G=$B43) * ('Master Data Sheet'!$F:$F=$E43) * ('Master Data Sheet'!$A:$A=$F43), 0), MATCH($F$1, 'Master Data Sheet'!$1:$1, 0)), "")</f>
        <v>0.52014914670873358</v>
      </c>
      <c r="I43" s="11" cm="1">
        <f t="array" ref="I43">IFERROR(INDEX('Master Data Sheet'!$1:$1048576, MATCH(1, ('Master Data Sheet'!$H:$H=I$2) * (INDEX('Master Data Sheet'!$1:$1, , MATCH($F$1, 'Master Data Sheet'!$1:$1, 0)) = $F$1) * ('Master Data Sheet'!$G:$G=$B43) * ('Master Data Sheet'!$F:$F=$E43) * ('Master Data Sheet'!$A:$A=$F43), 0), MATCH($F$1, 'Master Data Sheet'!$1:$1, 0)), "")</f>
        <v>0.60017209235623115</v>
      </c>
      <c r="J43" s="11" cm="1">
        <f t="array" ref="J43">IFERROR(INDEX('Master Data Sheet'!$1:$1048576, MATCH(1, ('Master Data Sheet'!$H:$H=J$2) * (INDEX('Master Data Sheet'!$1:$1, , MATCH($F$1, 'Master Data Sheet'!$1:$1, 0)) = $F$1) * ('Master Data Sheet'!$G:$G=$B43) * ('Master Data Sheet'!$F:$F=$E43) * ('Master Data Sheet'!$A:$A=$F43), 0), MATCH($F$1, 'Master Data Sheet'!$1:$1, 0)), "")</f>
        <v>0.78689229886705858</v>
      </c>
      <c r="K43" s="11" cm="1">
        <f t="array" ref="K43">IFERROR(INDEX('Master Data Sheet'!$1:$1048576, MATCH(1, ('Master Data Sheet'!$H:$H=K$2) * (INDEX('Master Data Sheet'!$1:$1, , MATCH($F$1, 'Master Data Sheet'!$1:$1, 0)) = $F$1) * ('Master Data Sheet'!$G:$G=$B43) * ('Master Data Sheet'!$F:$F=$E43) * ('Master Data Sheet'!$A:$A=$F43), 0), MATCH($F$1, 'Master Data Sheet'!$1:$1, 0)), "")</f>
        <v>0.92026387494622097</v>
      </c>
      <c r="L43" s="11" cm="1">
        <f t="array" ref="L43">IFERROR(INDEX('Master Data Sheet'!$1:$1048576, MATCH(1, ('Master Data Sheet'!$H:$H=L$2) * (INDEX('Master Data Sheet'!$1:$1, , MATCH($F$1, 'Master Data Sheet'!$1:$1, 0)) = $F$1) * ('Master Data Sheet'!$G:$G=$B43) * ('Master Data Sheet'!$F:$F=$E43) * ('Master Data Sheet'!$A:$A=$F43), 0), MATCH($F$1, 'Master Data Sheet'!$1:$1, 0)), "")</f>
        <v>1.0936469238491322</v>
      </c>
      <c r="M43" s="11" cm="1">
        <f t="array" ref="M43">IFERROR(INDEX('Master Data Sheet'!$1:$1048576, MATCH(1, ('Master Data Sheet'!$H:$H=M$2) * (INDEX('Master Data Sheet'!$1:$1, , MATCH($F$1, 'Master Data Sheet'!$1:$1, 0)) = $F$1) * ('Master Data Sheet'!$G:$G=$B43) * ('Master Data Sheet'!$F:$F=$E43) * ('Master Data Sheet'!$A:$A=$F43), 0), MATCH($F$1, 'Master Data Sheet'!$1:$1, 0)), "")</f>
        <v>1.2003441847124623</v>
      </c>
      <c r="N43" s="11" cm="1">
        <f t="array" ref="N43">IFERROR(INDEX('Master Data Sheet'!$1:$1048576, MATCH(1, ('Master Data Sheet'!$H:$H=N$2) * (INDEX('Master Data Sheet'!$1:$1, , MATCH($F$1, 'Master Data Sheet'!$1:$1, 0)) = $F$1) * ('Master Data Sheet'!$G:$G=$B43) * ('Master Data Sheet'!$F:$F=$E43) * ('Master Data Sheet'!$A:$A=$F43), 0), MATCH($F$1, 'Master Data Sheet'!$1:$1, 0)), "")</f>
        <v>1.2937042879678762</v>
      </c>
      <c r="O43" s="11">
        <f t="shared" si="8"/>
        <v>0.91645325848681647</v>
      </c>
      <c r="P43" s="11">
        <f t="shared" si="4"/>
        <v>0.29670447710329534</v>
      </c>
      <c r="Q43" s="11"/>
      <c r="R43" s="46">
        <f>(1-(O43/O40))*100</f>
        <v>37.369791666666671</v>
      </c>
      <c r="X43" t="str">
        <f>IFERROR(INDEX('Date Key'!$G$57:$G$62, MATCH(B42,'Date Key'!$A$57:$A$62, 0)), "")</f>
        <v>High HLR, Lower Outlet Height, Yes Plants</v>
      </c>
      <c r="Y43" s="1">
        <f t="shared" ref="Y43:AE43" si="47">H42</f>
        <v>0.42678904345331992</v>
      </c>
      <c r="Z43" s="1">
        <f t="shared" si="47"/>
        <v>0.33342894019790625</v>
      </c>
      <c r="AA43" s="1">
        <f t="shared" si="47"/>
        <v>0.22673167933457619</v>
      </c>
      <c r="AB43" s="1">
        <f t="shared" si="47"/>
        <v>0.18672020651082746</v>
      </c>
      <c r="AC43" s="1">
        <f t="shared" si="47"/>
        <v>0.1733830489029112</v>
      </c>
      <c r="AD43" s="1">
        <f t="shared" si="47"/>
        <v>0.1733830489029112</v>
      </c>
      <c r="AE43" s="1">
        <f t="shared" si="47"/>
        <v>0.18672020651082746</v>
      </c>
      <c r="AF43" s="1">
        <f t="shared" ref="AF43:AL43" si="48">H43</f>
        <v>0.52014914670873358</v>
      </c>
      <c r="AG43" s="1">
        <f t="shared" si="48"/>
        <v>0.60017209235623115</v>
      </c>
      <c r="AH43" s="1">
        <f t="shared" si="48"/>
        <v>0.78689229886705858</v>
      </c>
      <c r="AI43" s="1">
        <f t="shared" si="48"/>
        <v>0.92026387494622097</v>
      </c>
      <c r="AJ43" s="1">
        <f t="shared" si="48"/>
        <v>1.0936469238491322</v>
      </c>
      <c r="AK43" s="1">
        <f t="shared" si="48"/>
        <v>1.2003441847124623</v>
      </c>
      <c r="AL43" s="1">
        <f t="shared" si="48"/>
        <v>1.2937042879678762</v>
      </c>
      <c r="AM43" s="1">
        <f t="shared" ref="AM43:AS43" si="49">H44</f>
        <v>0.50681198910081726</v>
      </c>
      <c r="AN43" s="1">
        <f t="shared" si="49"/>
        <v>0.36010325541373872</v>
      </c>
      <c r="AO43" s="1">
        <f t="shared" si="49"/>
        <v>0.22673167933457619</v>
      </c>
      <c r="AP43" s="1">
        <f t="shared" si="49"/>
        <v>0.38677757062957124</v>
      </c>
      <c r="AQ43" s="1">
        <f t="shared" si="49"/>
        <v>0.50681198910081726</v>
      </c>
      <c r="AR43" s="1">
        <f t="shared" si="49"/>
        <v>0.57349777714039862</v>
      </c>
      <c r="AS43" s="1">
        <f t="shared" si="49"/>
        <v>0.65352072278789619</v>
      </c>
    </row>
    <row r="44" spans="1:45" x14ac:dyDescent="0.35">
      <c r="A44" s="41">
        <f>IFERROR(INDEX('Date Key'!$B$2:$B$19, MATCH(F44,'Date Key'!$A$2:$A$19, 0)), "")</f>
        <v>45330</v>
      </c>
      <c r="B44" s="4">
        <f t="shared" si="15"/>
        <v>5</v>
      </c>
      <c r="C44" s="26" t="str">
        <f>IFERROR(INDEX('Date Key'!$G$57:$G$62, MATCH(B44,'Date Key'!$A$57:$A$62, 0)), "")</f>
        <v>High HLR, Lower Outlet Height, Yes Plants</v>
      </c>
      <c r="D44" s="4" t="str">
        <f>IFERROR(INDEX('Date Key'!$G$2:$G$19, MATCH(F44, 'Date Key'!$A$2:$A$19, 0)), "")</f>
        <v>No</v>
      </c>
      <c r="E44" s="4" t="str">
        <f t="shared" si="1"/>
        <v>tank 1</v>
      </c>
      <c r="F44" s="4">
        <f t="shared" si="2"/>
        <v>15</v>
      </c>
      <c r="G44" s="4">
        <f t="shared" si="22"/>
        <v>3</v>
      </c>
      <c r="H44" s="11" cm="1">
        <f t="array" ref="H44">IFERROR(INDEX('Master Data Sheet'!$1:$1048576, MATCH(1, ('Master Data Sheet'!$H:$H=H$2) * (INDEX('Master Data Sheet'!$1:$1, , MATCH($F$1, 'Master Data Sheet'!$1:$1, 0)) = $F$1) * ('Master Data Sheet'!$G:$G=$B44) * ('Master Data Sheet'!$F:$F=$E44) * ('Master Data Sheet'!$A:$A=$F44), 0), MATCH($F$1, 'Master Data Sheet'!$1:$1, 0)), "")</f>
        <v>0.50681198910081726</v>
      </c>
      <c r="I44" s="11" cm="1">
        <f t="array" ref="I44">IFERROR(INDEX('Master Data Sheet'!$1:$1048576, MATCH(1, ('Master Data Sheet'!$H:$H=I$2) * (INDEX('Master Data Sheet'!$1:$1, , MATCH($F$1, 'Master Data Sheet'!$1:$1, 0)) = $F$1) * ('Master Data Sheet'!$G:$G=$B44) * ('Master Data Sheet'!$F:$F=$E44) * ('Master Data Sheet'!$A:$A=$F44), 0), MATCH($F$1, 'Master Data Sheet'!$1:$1, 0)), "")</f>
        <v>0.36010325541373872</v>
      </c>
      <c r="J44" s="11" cm="1">
        <f t="array" ref="J44">IFERROR(INDEX('Master Data Sheet'!$1:$1048576, MATCH(1, ('Master Data Sheet'!$H:$H=J$2) * (INDEX('Master Data Sheet'!$1:$1, , MATCH($F$1, 'Master Data Sheet'!$1:$1, 0)) = $F$1) * ('Master Data Sheet'!$G:$G=$B44) * ('Master Data Sheet'!$F:$F=$E44) * ('Master Data Sheet'!$A:$A=$F44), 0), MATCH($F$1, 'Master Data Sheet'!$1:$1, 0)), "")</f>
        <v>0.22673167933457619</v>
      </c>
      <c r="K44" s="11" cm="1">
        <f t="array" ref="K44">IFERROR(INDEX('Master Data Sheet'!$1:$1048576, MATCH(1, ('Master Data Sheet'!$H:$H=K$2) * (INDEX('Master Data Sheet'!$1:$1, , MATCH($F$1, 'Master Data Sheet'!$1:$1, 0)) = $F$1) * ('Master Data Sheet'!$G:$G=$B44) * ('Master Data Sheet'!$F:$F=$E44) * ('Master Data Sheet'!$A:$A=$F44), 0), MATCH($F$1, 'Master Data Sheet'!$1:$1, 0)), "")</f>
        <v>0.38677757062957124</v>
      </c>
      <c r="L44" s="11" cm="1">
        <f t="array" ref="L44">IFERROR(INDEX('Master Data Sheet'!$1:$1048576, MATCH(1, ('Master Data Sheet'!$H:$H=L$2) * (INDEX('Master Data Sheet'!$1:$1, , MATCH($F$1, 'Master Data Sheet'!$1:$1, 0)) = $F$1) * ('Master Data Sheet'!$G:$G=$B44) * ('Master Data Sheet'!$F:$F=$E44) * ('Master Data Sheet'!$A:$A=$F44), 0), MATCH($F$1, 'Master Data Sheet'!$1:$1, 0)), "")</f>
        <v>0.50681198910081726</v>
      </c>
      <c r="M44" s="11" cm="1">
        <f t="array" ref="M44">IFERROR(INDEX('Master Data Sheet'!$1:$1048576, MATCH(1, ('Master Data Sheet'!$H:$H=M$2) * (INDEX('Master Data Sheet'!$1:$1, , MATCH($F$1, 'Master Data Sheet'!$1:$1, 0)) = $F$1) * ('Master Data Sheet'!$G:$G=$B44) * ('Master Data Sheet'!$F:$F=$E44) * ('Master Data Sheet'!$A:$A=$F44), 0), MATCH($F$1, 'Master Data Sheet'!$1:$1, 0)), "")</f>
        <v>0.57349777714039862</v>
      </c>
      <c r="N44" s="11" cm="1">
        <f t="array" ref="N44">IFERROR(INDEX('Master Data Sheet'!$1:$1048576, MATCH(1, ('Master Data Sheet'!$H:$H=N$2) * (INDEX('Master Data Sheet'!$1:$1, , MATCH($F$1, 'Master Data Sheet'!$1:$1, 0)) = $F$1) * ('Master Data Sheet'!$G:$G=$B44) * ('Master Data Sheet'!$F:$F=$E44) * ('Master Data Sheet'!$A:$A=$F44), 0), MATCH($F$1, 'Master Data Sheet'!$1:$1, 0)), "")</f>
        <v>0.65352072278789619</v>
      </c>
      <c r="O44" s="11">
        <f t="shared" si="8"/>
        <v>0.45917928335825936</v>
      </c>
      <c r="P44" s="11">
        <f t="shared" si="4"/>
        <v>0.14402836430635013</v>
      </c>
      <c r="Q44" s="11"/>
      <c r="R44" s="46">
        <f>(1-(O44/O41))*100</f>
        <v>23.492063492063497</v>
      </c>
      <c r="Y44" s="2"/>
      <c r="Z44" s="2"/>
      <c r="AA44" s="2"/>
      <c r="AB44" s="2"/>
      <c r="AC44" s="2"/>
      <c r="AD44" s="2"/>
      <c r="AE44" s="2"/>
      <c r="AF44" s="2"/>
      <c r="AG44" s="2"/>
    </row>
    <row r="45" spans="1:45" x14ac:dyDescent="0.35">
      <c r="A45" s="41">
        <f>IFERROR(INDEX('Date Key'!$B$2:$B$19, MATCH(F45,'Date Key'!$A$2:$A$19, 0)), "")</f>
        <v>45313</v>
      </c>
      <c r="B45" s="4">
        <f t="shared" si="15"/>
        <v>5</v>
      </c>
      <c r="C45" s="26" t="str">
        <f>IFERROR(INDEX('Date Key'!$G$57:$G$62, MATCH(B45,'Date Key'!$A$57:$A$62, 0)), "")</f>
        <v>High HLR, Lower Outlet Height, Yes Plants</v>
      </c>
      <c r="D45" s="4" t="str">
        <f>IFERROR(INDEX('Date Key'!$G$2:$G$19, MATCH(F45, 'Date Key'!$A$2:$A$19, 0)), "")</f>
        <v>Yes</v>
      </c>
      <c r="E45" s="4" t="str">
        <f t="shared" si="1"/>
        <v>tank 2</v>
      </c>
      <c r="F45" s="4">
        <f t="shared" si="2"/>
        <v>13</v>
      </c>
      <c r="G45" s="4">
        <f t="shared" si="22"/>
        <v>1</v>
      </c>
      <c r="H45" s="11" cm="1">
        <f t="array" ref="H45">IFERROR(INDEX('Master Data Sheet'!$1:$1048576, MATCH(1, ('Master Data Sheet'!$H:$H=H$2) * (INDEX('Master Data Sheet'!$1:$1, , MATCH($F$1, 'Master Data Sheet'!$1:$1, 0)) = $F$1) * ('Master Data Sheet'!$G:$G=$B45) * ('Master Data Sheet'!$F:$F=$E45) * ('Master Data Sheet'!$A:$A=$F45), 0), MATCH($F$1, 'Master Data Sheet'!$1:$1, 0)), "")</f>
        <v>1.080309766241216</v>
      </c>
      <c r="I45" s="11" cm="1">
        <f t="array" ref="I45">IFERROR(INDEX('Master Data Sheet'!$1:$1048576, MATCH(1, ('Master Data Sheet'!$H:$H=I$2) * (INDEX('Master Data Sheet'!$1:$1, , MATCH($F$1, 'Master Data Sheet'!$1:$1, 0)) = $F$1) * ('Master Data Sheet'!$G:$G=$B45) * ('Master Data Sheet'!$F:$F=$E45) * ('Master Data Sheet'!$A:$A=$F45), 0), MATCH($F$1, 'Master Data Sheet'!$1:$1, 0)), "")</f>
        <v>0.84024092929872363</v>
      </c>
      <c r="J45" s="11" cm="1">
        <f t="array" ref="J45">IFERROR(INDEX('Master Data Sheet'!$1:$1048576, MATCH(1, ('Master Data Sheet'!$H:$H=J$2) * (INDEX('Master Data Sheet'!$1:$1, , MATCH($F$1, 'Master Data Sheet'!$1:$1, 0)) = $F$1) * ('Master Data Sheet'!$G:$G=$B45) * ('Master Data Sheet'!$F:$F=$E45) * ('Master Data Sheet'!$A:$A=$F45), 0), MATCH($F$1, 'Master Data Sheet'!$1:$1, 0)), "")</f>
        <v>0.40011472823748739</v>
      </c>
      <c r="K45" s="11" cm="1">
        <f t="array" ref="K45">IFERROR(INDEX('Master Data Sheet'!$1:$1048576, MATCH(1, ('Master Data Sheet'!$H:$H=K$2) * (INDEX('Master Data Sheet'!$1:$1, , MATCH($F$1, 'Master Data Sheet'!$1:$1, 0)) = $F$1) * ('Master Data Sheet'!$G:$G=$B45) * ('Master Data Sheet'!$F:$F=$E45) * ('Master Data Sheet'!$A:$A=$F45), 0), MATCH($F$1, 'Master Data Sheet'!$1:$1, 0)), "")</f>
        <v>0.18672020651082746</v>
      </c>
      <c r="L45" s="11" cm="1">
        <f t="array" ref="L45">IFERROR(INDEX('Master Data Sheet'!$1:$1048576, MATCH(1, ('Master Data Sheet'!$H:$H=L$2) * (INDEX('Master Data Sheet'!$1:$1, , MATCH($F$1, 'Master Data Sheet'!$1:$1, 0)) = $F$1) * ('Master Data Sheet'!$G:$G=$B45) * ('Master Data Sheet'!$F:$F=$E45) * ('Master Data Sheet'!$A:$A=$F45), 0), MATCH($F$1, 'Master Data Sheet'!$1:$1, 0)), "")</f>
        <v>0.1733830489029112</v>
      </c>
      <c r="M45" s="11" cm="1">
        <f t="array" ref="M45">IFERROR(INDEX('Master Data Sheet'!$1:$1048576, MATCH(1, ('Master Data Sheet'!$H:$H=M$2) * (INDEX('Master Data Sheet'!$1:$1, , MATCH($F$1, 'Master Data Sheet'!$1:$1, 0)) = $F$1) * ('Master Data Sheet'!$G:$G=$B45) * ('Master Data Sheet'!$F:$F=$E45) * ('Master Data Sheet'!$A:$A=$F45), 0), MATCH($F$1, 'Master Data Sheet'!$1:$1, 0)), "")</f>
        <v>0.12003441847124621</v>
      </c>
      <c r="N45" s="11" cm="1">
        <f t="array" ref="N45">IFERROR(INDEX('Master Data Sheet'!$1:$1048576, MATCH(1, ('Master Data Sheet'!$H:$H=N$2) * (INDEX('Master Data Sheet'!$1:$1, , MATCH($F$1, 'Master Data Sheet'!$1:$1, 0)) = $F$1) * ('Master Data Sheet'!$G:$G=$B45) * ('Master Data Sheet'!$F:$F=$E45) * ('Master Data Sheet'!$A:$A=$F45), 0), MATCH($F$1, 'Master Data Sheet'!$1:$1, 0)), "")</f>
        <v>0.10669726086332998</v>
      </c>
      <c r="O45" s="11">
        <f t="shared" si="8"/>
        <v>0.41535719407510596</v>
      </c>
      <c r="P45" s="11">
        <f t="shared" si="4"/>
        <v>0.39077557489938269</v>
      </c>
      <c r="Q45" s="11">
        <f>AVERAGE(N45:N47)</f>
        <v>0.62684640757206356</v>
      </c>
      <c r="R45" s="46">
        <f>(1-(O45/O39))*100</f>
        <v>-235.38461538461536</v>
      </c>
      <c r="S45" s="46">
        <f>AVERAGE(R45:R47)</f>
        <v>-68.430536477411465</v>
      </c>
      <c r="T45" s="46">
        <f>STDEV(R45:R47)</f>
        <v>146.06936261538644</v>
      </c>
      <c r="U45" s="47">
        <f>(1-(AVERAGE(H45:N47)/AVERAGE(H39:N41)))*100</f>
        <v>9.0592334494774001</v>
      </c>
      <c r="V45" s="47"/>
      <c r="Y45" s="2"/>
      <c r="Z45" s="2"/>
      <c r="AA45" s="2"/>
      <c r="AB45" s="2"/>
      <c r="AC45" s="2"/>
      <c r="AD45" s="2"/>
      <c r="AE45" s="2"/>
      <c r="AF45" s="2"/>
      <c r="AG45" s="2"/>
    </row>
    <row r="46" spans="1:45" x14ac:dyDescent="0.35">
      <c r="A46" s="41">
        <f>IFERROR(INDEX('Date Key'!$B$2:$B$19, MATCH(F46,'Date Key'!$A$2:$A$19, 0)), "")</f>
        <v>45322</v>
      </c>
      <c r="B46" s="4">
        <f t="shared" si="15"/>
        <v>5</v>
      </c>
      <c r="C46" s="26" t="str">
        <f>IFERROR(INDEX('Date Key'!$G$57:$G$62, MATCH(B46,'Date Key'!$A$57:$A$62, 0)), "")</f>
        <v>High HLR, Lower Outlet Height, Yes Plants</v>
      </c>
      <c r="D46" s="4" t="str">
        <f>IFERROR(INDEX('Date Key'!$G$2:$G$19, MATCH(F46, 'Date Key'!$A$2:$A$19, 0)), "")</f>
        <v>No</v>
      </c>
      <c r="E46" s="4" t="str">
        <f t="shared" si="1"/>
        <v>tank 2</v>
      </c>
      <c r="F46" s="4">
        <f t="shared" si="2"/>
        <v>14</v>
      </c>
      <c r="G46" s="4">
        <f t="shared" si="22"/>
        <v>2</v>
      </c>
      <c r="H46" s="11" cm="1">
        <f t="array" ref="H46">IFERROR(INDEX('Master Data Sheet'!$1:$1048576, MATCH(1, ('Master Data Sheet'!$H:$H=H$2) * (INDEX('Master Data Sheet'!$1:$1, , MATCH($F$1, 'Master Data Sheet'!$1:$1, 0)) = $F$1) * ('Master Data Sheet'!$G:$G=$B46) * ('Master Data Sheet'!$F:$F=$E46) * ('Master Data Sheet'!$A:$A=$F46), 0), MATCH($F$1, 'Master Data Sheet'!$1:$1, 0)), "")</f>
        <v>0.84024092929872363</v>
      </c>
      <c r="I46" s="11" cm="1">
        <f t="array" ref="I46">IFERROR(INDEX('Master Data Sheet'!$1:$1048576, MATCH(1, ('Master Data Sheet'!$H:$H=I$2) * (INDEX('Master Data Sheet'!$1:$1, , MATCH($F$1, 'Master Data Sheet'!$1:$1, 0)) = $F$1) * ('Master Data Sheet'!$G:$G=$B46) * ('Master Data Sheet'!$F:$F=$E46) * ('Master Data Sheet'!$A:$A=$F46), 0), MATCH($F$1, 'Master Data Sheet'!$1:$1, 0)), "")</f>
        <v>0.84024092929872363</v>
      </c>
      <c r="J46" s="11" cm="1">
        <f t="array" ref="J46">IFERROR(INDEX('Master Data Sheet'!$1:$1048576, MATCH(1, ('Master Data Sheet'!$H:$H=J$2) * (INDEX('Master Data Sheet'!$1:$1, , MATCH($F$1, 'Master Data Sheet'!$1:$1, 0)) = $F$1) * ('Master Data Sheet'!$G:$G=$B46) * ('Master Data Sheet'!$F:$F=$E46) * ('Master Data Sheet'!$A:$A=$F46), 0), MATCH($F$1, 'Master Data Sheet'!$1:$1, 0)), "")</f>
        <v>0.73354366843539365</v>
      </c>
      <c r="K46" s="11" cm="1">
        <f t="array" ref="K46">IFERROR(INDEX('Master Data Sheet'!$1:$1048576, MATCH(1, ('Master Data Sheet'!$H:$H=K$2) * (INDEX('Master Data Sheet'!$1:$1, , MATCH($F$1, 'Master Data Sheet'!$1:$1, 0)) = $F$1) * ('Master Data Sheet'!$G:$G=$B46) * ('Master Data Sheet'!$F:$F=$E46) * ('Master Data Sheet'!$A:$A=$F46), 0), MATCH($F$1, 'Master Data Sheet'!$1:$1, 0)), "")</f>
        <v>0.92026387494622097</v>
      </c>
      <c r="L46" s="11" cm="1">
        <f t="array" ref="L46">IFERROR(INDEX('Master Data Sheet'!$1:$1048576, MATCH(1, ('Master Data Sheet'!$H:$H=L$2) * (INDEX('Master Data Sheet'!$1:$1, , MATCH($F$1, 'Master Data Sheet'!$1:$1, 0)) = $F$1) * ('Master Data Sheet'!$G:$G=$B46) * ('Master Data Sheet'!$F:$F=$E46) * ('Master Data Sheet'!$A:$A=$F46), 0), MATCH($F$1, 'Master Data Sheet'!$1:$1, 0)), "")</f>
        <v>1.0136239782016345</v>
      </c>
      <c r="M46" s="11" cm="1">
        <f t="array" ref="M46">IFERROR(INDEX('Master Data Sheet'!$1:$1048576, MATCH(1, ('Master Data Sheet'!$H:$H=M$2) * (INDEX('Master Data Sheet'!$1:$1, , MATCH($F$1, 'Master Data Sheet'!$1:$1, 0)) = $F$1) * ('Master Data Sheet'!$G:$G=$B46) * ('Master Data Sheet'!$F:$F=$E46) * ('Master Data Sheet'!$A:$A=$F46), 0), MATCH($F$1, 'Master Data Sheet'!$1:$1, 0)), "")</f>
        <v>1.1069840814570484</v>
      </c>
      <c r="N46" s="11" cm="1">
        <f t="array" ref="N46">IFERROR(INDEX('Master Data Sheet'!$1:$1048576, MATCH(1, ('Master Data Sheet'!$H:$H=N$2) * (INDEX('Master Data Sheet'!$1:$1, , MATCH($F$1, 'Master Data Sheet'!$1:$1, 0)) = $F$1) * ('Master Data Sheet'!$G:$G=$B46) * ('Master Data Sheet'!$F:$F=$E46) * ('Master Data Sheet'!$A:$A=$F46), 0), MATCH($F$1, 'Master Data Sheet'!$1:$1, 0)), "")</f>
        <v>1.1203212390649646</v>
      </c>
      <c r="O46" s="11">
        <f t="shared" si="8"/>
        <v>0.93931695724324438</v>
      </c>
      <c r="P46" s="11">
        <f t="shared" si="4"/>
        <v>0.14647760517224429</v>
      </c>
      <c r="Q46" s="11"/>
      <c r="R46" s="46">
        <f>(1-(O46/O40))*100</f>
        <v>35.807291666666671</v>
      </c>
      <c r="X46" t="str">
        <f>IFERROR(INDEX('Date Key'!$G$57:$G$62, MATCH(B45,'Date Key'!$A$57:$A$62, 0)), "")</f>
        <v>High HLR, Lower Outlet Height, Yes Plants</v>
      </c>
      <c r="Y46" s="1">
        <f t="shared" ref="Y46:AE46" si="50">H45</f>
        <v>1.080309766241216</v>
      </c>
      <c r="Z46" s="1">
        <f t="shared" si="50"/>
        <v>0.84024092929872363</v>
      </c>
      <c r="AA46" s="1">
        <f t="shared" si="50"/>
        <v>0.40011472823748739</v>
      </c>
      <c r="AB46" s="1">
        <f t="shared" si="50"/>
        <v>0.18672020651082746</v>
      </c>
      <c r="AC46" s="1">
        <f t="shared" si="50"/>
        <v>0.1733830489029112</v>
      </c>
      <c r="AD46" s="1">
        <f t="shared" si="50"/>
        <v>0.12003441847124621</v>
      </c>
      <c r="AE46" s="1">
        <f t="shared" si="50"/>
        <v>0.10669726086332998</v>
      </c>
      <c r="AF46" s="1">
        <f t="shared" ref="AF46:AL46" si="51">H46</f>
        <v>0.84024092929872363</v>
      </c>
      <c r="AG46" s="1">
        <f t="shared" si="51"/>
        <v>0.84024092929872363</v>
      </c>
      <c r="AH46" s="1">
        <f t="shared" si="51"/>
        <v>0.73354366843539365</v>
      </c>
      <c r="AI46" s="1">
        <f t="shared" si="51"/>
        <v>0.92026387494622097</v>
      </c>
      <c r="AJ46" s="1">
        <f t="shared" si="51"/>
        <v>1.0136239782016345</v>
      </c>
      <c r="AK46" s="1">
        <f t="shared" si="51"/>
        <v>1.1069840814570484</v>
      </c>
      <c r="AL46" s="1">
        <f t="shared" si="51"/>
        <v>1.1203212390649646</v>
      </c>
      <c r="AM46" s="1">
        <f t="shared" ref="AM46:AS46" si="52">H47</f>
        <v>1.2937042879678762</v>
      </c>
      <c r="AN46" s="1">
        <f t="shared" si="52"/>
        <v>0.65352072278789619</v>
      </c>
      <c r="AO46" s="1">
        <f t="shared" si="52"/>
        <v>0.33342894019790625</v>
      </c>
      <c r="AP46" s="1">
        <f t="shared" si="52"/>
        <v>0.42678904345331992</v>
      </c>
      <c r="AQ46" s="1">
        <f t="shared" si="52"/>
        <v>0.49347483149290111</v>
      </c>
      <c r="AR46" s="1">
        <f t="shared" si="52"/>
        <v>0.58683493474831483</v>
      </c>
      <c r="AS46" s="1">
        <f t="shared" si="52"/>
        <v>0.65352072278789619</v>
      </c>
    </row>
    <row r="47" spans="1:45" x14ac:dyDescent="0.35">
      <c r="A47" s="42">
        <f>IFERROR(INDEX('Date Key'!$B$2:$B$19, MATCH(F47,'Date Key'!$A$2:$A$19, 0)), "")</f>
        <v>45330</v>
      </c>
      <c r="B47" s="27">
        <f t="shared" si="15"/>
        <v>5</v>
      </c>
      <c r="C47" s="51" t="str">
        <f>IFERROR(INDEX('Date Key'!$G$57:$G$62, MATCH(B47,'Date Key'!$A$57:$A$62, 0)), "")</f>
        <v>High HLR, Lower Outlet Height, Yes Plants</v>
      </c>
      <c r="D47" s="27" t="str">
        <f>IFERROR(INDEX('Date Key'!$G$2:$G$19, MATCH(F47, 'Date Key'!$A$2:$A$19, 0)), "")</f>
        <v>No</v>
      </c>
      <c r="E47" s="27" t="str">
        <f t="shared" si="1"/>
        <v>tank 2</v>
      </c>
      <c r="F47" s="27">
        <f t="shared" si="2"/>
        <v>15</v>
      </c>
      <c r="G47" s="27">
        <f t="shared" si="22"/>
        <v>3</v>
      </c>
      <c r="H47" s="28" cm="1">
        <f t="array" ref="H47">IFERROR(INDEX('Master Data Sheet'!$1:$1048576, MATCH(1, ('Master Data Sheet'!$H:$H=H$2) * (INDEX('Master Data Sheet'!$1:$1, , MATCH($F$1, 'Master Data Sheet'!$1:$1, 0)) = $F$1) * ('Master Data Sheet'!$G:$G=$B47) * ('Master Data Sheet'!$F:$F=$E47) * ('Master Data Sheet'!$A:$A=$F47), 0), MATCH($F$1, 'Master Data Sheet'!$1:$1, 0)), "")</f>
        <v>1.2937042879678762</v>
      </c>
      <c r="I47" s="28" cm="1">
        <f t="array" ref="I47">IFERROR(INDEX('Master Data Sheet'!$1:$1048576, MATCH(1, ('Master Data Sheet'!$H:$H=I$2) * (INDEX('Master Data Sheet'!$1:$1, , MATCH($F$1, 'Master Data Sheet'!$1:$1, 0)) = $F$1) * ('Master Data Sheet'!$G:$G=$B47) * ('Master Data Sheet'!$F:$F=$E47) * ('Master Data Sheet'!$A:$A=$F47), 0), MATCH($F$1, 'Master Data Sheet'!$1:$1, 0)), "")</f>
        <v>0.65352072278789619</v>
      </c>
      <c r="J47" s="28" cm="1">
        <f t="array" ref="J47">IFERROR(INDEX('Master Data Sheet'!$1:$1048576, MATCH(1, ('Master Data Sheet'!$H:$H=J$2) * (INDEX('Master Data Sheet'!$1:$1, , MATCH($F$1, 'Master Data Sheet'!$1:$1, 0)) = $F$1) * ('Master Data Sheet'!$G:$G=$B47) * ('Master Data Sheet'!$F:$F=$E47) * ('Master Data Sheet'!$A:$A=$F47), 0), MATCH($F$1, 'Master Data Sheet'!$1:$1, 0)), "")</f>
        <v>0.33342894019790625</v>
      </c>
      <c r="K47" s="28" cm="1">
        <f t="array" ref="K47">IFERROR(INDEX('Master Data Sheet'!$1:$1048576, MATCH(1, ('Master Data Sheet'!$H:$H=K$2) * (INDEX('Master Data Sheet'!$1:$1, , MATCH($F$1, 'Master Data Sheet'!$1:$1, 0)) = $F$1) * ('Master Data Sheet'!$G:$G=$B47) * ('Master Data Sheet'!$F:$F=$E47) * ('Master Data Sheet'!$A:$A=$F47), 0), MATCH($F$1, 'Master Data Sheet'!$1:$1, 0)), "")</f>
        <v>0.42678904345331992</v>
      </c>
      <c r="L47" s="28" cm="1">
        <f t="array" ref="L47">IFERROR(INDEX('Master Data Sheet'!$1:$1048576, MATCH(1, ('Master Data Sheet'!$H:$H=L$2) * (INDEX('Master Data Sheet'!$1:$1, , MATCH($F$1, 'Master Data Sheet'!$1:$1, 0)) = $F$1) * ('Master Data Sheet'!$G:$G=$B47) * ('Master Data Sheet'!$F:$F=$E47) * ('Master Data Sheet'!$A:$A=$F47), 0), MATCH($F$1, 'Master Data Sheet'!$1:$1, 0)), "")</f>
        <v>0.49347483149290111</v>
      </c>
      <c r="M47" s="28" cm="1">
        <f t="array" ref="M47">IFERROR(INDEX('Master Data Sheet'!$1:$1048576, MATCH(1, ('Master Data Sheet'!$H:$H=M$2) * (INDEX('Master Data Sheet'!$1:$1, , MATCH($F$1, 'Master Data Sheet'!$1:$1, 0)) = $F$1) * ('Master Data Sheet'!$G:$G=$B47) * ('Master Data Sheet'!$F:$F=$E47) * ('Master Data Sheet'!$A:$A=$F47), 0), MATCH($F$1, 'Master Data Sheet'!$1:$1, 0)), "")</f>
        <v>0.58683493474831483</v>
      </c>
      <c r="N47" s="28" cm="1">
        <f t="array" ref="N47">IFERROR(INDEX('Master Data Sheet'!$1:$1048576, MATCH(1, ('Master Data Sheet'!$H:$H=N$2) * (INDEX('Master Data Sheet'!$1:$1, , MATCH($F$1, 'Master Data Sheet'!$1:$1, 0)) = $F$1) * ('Master Data Sheet'!$G:$G=$B47) * ('Master Data Sheet'!$F:$F=$E47) * ('Master Data Sheet'!$A:$A=$F47), 0), MATCH($F$1, 'Master Data Sheet'!$1:$1, 0)), "")</f>
        <v>0.65352072278789619</v>
      </c>
      <c r="O47" s="28">
        <f t="shared" si="8"/>
        <v>0.6344676404908729</v>
      </c>
      <c r="P47" s="28">
        <f t="shared" si="4"/>
        <v>0.31390591553675584</v>
      </c>
      <c r="Q47" s="28"/>
      <c r="R47" s="48">
        <f>(1-(O47/O41))*100</f>
        <v>-5.7142857142857162</v>
      </c>
      <c r="S47" s="27"/>
      <c r="T47" s="27"/>
      <c r="U47" s="27"/>
      <c r="V47" s="27"/>
    </row>
    <row r="48" spans="1:45" x14ac:dyDescent="0.35">
      <c r="A48" s="41">
        <f>IFERROR(INDEX('Date Key'!$B$2:$B$19, MATCH(F48,'Date Key'!$A$2:$A$19, 0)), "")</f>
        <v>45371</v>
      </c>
      <c r="B48" s="4">
        <f t="shared" si="15"/>
        <v>6</v>
      </c>
      <c r="C48" s="26" t="str">
        <f>IFERROR(INDEX('Date Key'!$G$57:$G$62, MATCH(B48,'Date Key'!$A$57:$A$62, 0)), "")</f>
        <v>Medium HLR, Upper Outlet Height, Yes Plants</v>
      </c>
      <c r="D48" s="4" t="str">
        <f>IFERROR(INDEX('Date Key'!$G$2:$G$19, MATCH(F48, 'Date Key'!$A$2:$A$19, 0)), "")</f>
        <v>No</v>
      </c>
      <c r="E48" s="4" t="str">
        <f t="shared" si="1"/>
        <v>in</v>
      </c>
      <c r="F48" s="4">
        <f t="shared" si="2"/>
        <v>16</v>
      </c>
      <c r="G48" s="4">
        <f t="shared" si="22"/>
        <v>1</v>
      </c>
      <c r="H48" s="11" cm="1">
        <f t="array" ref="H48">IFERROR(INDEX('Master Data Sheet'!$1:$1048576, MATCH(1, ('Master Data Sheet'!$H:$H=H$2) * (INDEX('Master Data Sheet'!$1:$1, , MATCH($F$1, 'Master Data Sheet'!$1:$1, 0)) = $F$1) * ('Master Data Sheet'!$G:$G=$B48) * ('Master Data Sheet'!$F:$F=$E48) * ('Master Data Sheet'!$A:$A=$F48), 0), MATCH($F$1, 'Master Data Sheet'!$1:$1, 0)), "")</f>
        <v>0.29341746737415741</v>
      </c>
      <c r="I48" s="11" cm="1">
        <f t="array" ref="I48">IFERROR(INDEX('Master Data Sheet'!$1:$1048576, MATCH(1, ('Master Data Sheet'!$H:$H=I$2) * (INDEX('Master Data Sheet'!$1:$1, , MATCH($F$1, 'Master Data Sheet'!$1:$1, 0)) = $F$1) * ('Master Data Sheet'!$G:$G=$B48) * ('Master Data Sheet'!$F:$F=$E48) * ('Master Data Sheet'!$A:$A=$F48), 0), MATCH($F$1, 'Master Data Sheet'!$1:$1, 0)), "")</f>
        <v>0.40011472823748739</v>
      </c>
      <c r="J48" s="11" cm="1">
        <f t="array" ref="J48">IFERROR(INDEX('Master Data Sheet'!$1:$1048576, MATCH(1, ('Master Data Sheet'!$H:$H=J$2) * (INDEX('Master Data Sheet'!$1:$1, , MATCH($F$1, 'Master Data Sheet'!$1:$1, 0)) = $F$1) * ('Master Data Sheet'!$G:$G=$B48) * ('Master Data Sheet'!$F:$F=$E48) * ('Master Data Sheet'!$A:$A=$F48), 0), MATCH($F$1, 'Master Data Sheet'!$1:$1, 0)), "")</f>
        <v>0.48013767388498485</v>
      </c>
      <c r="K48" s="11" cm="1">
        <f t="array" ref="K48">IFERROR(INDEX('Master Data Sheet'!$1:$1048576, MATCH(1, ('Master Data Sheet'!$H:$H=K$2) * (INDEX('Master Data Sheet'!$1:$1, , MATCH($F$1, 'Master Data Sheet'!$1:$1, 0)) = $F$1) * ('Master Data Sheet'!$G:$G=$B48) * ('Master Data Sheet'!$F:$F=$E48) * ('Master Data Sheet'!$A:$A=$F48), 0), MATCH($F$1, 'Master Data Sheet'!$1:$1, 0)), "")</f>
        <v>0.58683493474831483</v>
      </c>
      <c r="L48" s="11" cm="1">
        <f t="array" ref="L48">IFERROR(INDEX('Master Data Sheet'!$1:$1048576, MATCH(1, ('Master Data Sheet'!$H:$H=L$2) * (INDEX('Master Data Sheet'!$1:$1, , MATCH($F$1, 'Master Data Sheet'!$1:$1, 0)) = $F$1) * ('Master Data Sheet'!$G:$G=$B48) * ('Master Data Sheet'!$F:$F=$E48) * ('Master Data Sheet'!$A:$A=$F48), 0), MATCH($F$1, 'Master Data Sheet'!$1:$1, 0)), "")</f>
        <v>0.61350924996414735</v>
      </c>
      <c r="M48" s="11" cm="1">
        <f t="array" ref="M48">IFERROR(INDEX('Master Data Sheet'!$1:$1048576, MATCH(1, ('Master Data Sheet'!$H:$H=M$2) * (INDEX('Master Data Sheet'!$1:$1, , MATCH($F$1, 'Master Data Sheet'!$1:$1, 0)) = $F$1) * ('Master Data Sheet'!$G:$G=$B48) * ('Master Data Sheet'!$F:$F=$E48) * ('Master Data Sheet'!$A:$A=$F48), 0), MATCH($F$1, 'Master Data Sheet'!$1:$1, 0)), "")</f>
        <v>0.74688082604330985</v>
      </c>
      <c r="N48" s="11" cm="1">
        <f t="array" ref="N48">IFERROR(INDEX('Master Data Sheet'!$1:$1048576, MATCH(1, ('Master Data Sheet'!$H:$H=N$2) * (INDEX('Master Data Sheet'!$1:$1, , MATCH($F$1, 'Master Data Sheet'!$1:$1, 0)) = $F$1) * ('Master Data Sheet'!$G:$G=$B48) * ('Master Data Sheet'!$F:$F=$E48) * ('Master Data Sheet'!$A:$A=$F48), 0), MATCH($F$1, 'Master Data Sheet'!$1:$1, 0)), "")</f>
        <v>0.80022945647497479</v>
      </c>
      <c r="O48" s="11">
        <f t="shared" si="8"/>
        <v>0.56016061953248231</v>
      </c>
      <c r="P48" s="11">
        <f t="shared" si="4"/>
        <v>0.18222026315488182</v>
      </c>
      <c r="Q48" s="11">
        <f>AVERAGE(O48:O50)</f>
        <v>0.76863605355222975</v>
      </c>
      <c r="S48" s="11">
        <f>AVERAGE(O48:O50)</f>
        <v>0.76863605355222975</v>
      </c>
      <c r="T48" s="11">
        <f>AVERAGE(P48:P50)</f>
        <v>0.18916900691757196</v>
      </c>
      <c r="V48" s="47">
        <f>AVERAGE(U51, U54)</f>
        <v>22.023623178736575</v>
      </c>
      <c r="X48" t="s">
        <v>343</v>
      </c>
    </row>
    <row r="49" spans="1:46" x14ac:dyDescent="0.35">
      <c r="A49" s="41">
        <f>IFERROR(INDEX('Date Key'!$B$2:$B$19, MATCH(F49,'Date Key'!$A$2:$A$19, 0)), "")</f>
        <v>45392</v>
      </c>
      <c r="B49" s="4">
        <f t="shared" si="15"/>
        <v>6</v>
      </c>
      <c r="C49" s="26" t="str">
        <f>IFERROR(INDEX('Date Key'!$G$57:$G$62, MATCH(B49,'Date Key'!$A$57:$A$62, 0)), "")</f>
        <v>Medium HLR, Upper Outlet Height, Yes Plants</v>
      </c>
      <c r="D49" s="4" t="str">
        <f>IFERROR(INDEX('Date Key'!$G$2:$G$19, MATCH(F49, 'Date Key'!$A$2:$A$19, 0)), "")</f>
        <v>No</v>
      </c>
      <c r="E49" s="4" t="str">
        <f t="shared" si="1"/>
        <v>in</v>
      </c>
      <c r="F49" s="4">
        <f t="shared" si="2"/>
        <v>17</v>
      </c>
      <c r="G49" s="4">
        <f t="shared" si="22"/>
        <v>2</v>
      </c>
      <c r="H49" s="11" cm="1">
        <f t="array" ref="H49">IFERROR(INDEX('Master Data Sheet'!$1:$1048576, MATCH(1, ('Master Data Sheet'!$H:$H=H$2) * (INDEX('Master Data Sheet'!$1:$1, , MATCH($F$1, 'Master Data Sheet'!$1:$1, 0)) = $F$1) * ('Master Data Sheet'!$G:$G=$B49) * ('Master Data Sheet'!$F:$F=$E49) * ('Master Data Sheet'!$A:$A=$F49), 0), MATCH($F$1, 'Master Data Sheet'!$1:$1, 0)), "")</f>
        <v>0.42678904345331992</v>
      </c>
      <c r="I49" s="11" cm="1">
        <f t="array" ref="I49">IFERROR(INDEX('Master Data Sheet'!$1:$1048576, MATCH(1, ('Master Data Sheet'!$H:$H=I$2) * (INDEX('Master Data Sheet'!$1:$1, , MATCH($F$1, 'Master Data Sheet'!$1:$1, 0)) = $F$1) * ('Master Data Sheet'!$G:$G=$B49) * ('Master Data Sheet'!$F:$F=$E49) * ('Master Data Sheet'!$A:$A=$F49), 0), MATCH($F$1, 'Master Data Sheet'!$1:$1, 0)), "")</f>
        <v>0.58683493474831483</v>
      </c>
      <c r="J49" s="11" cm="1">
        <f t="array" ref="J49">IFERROR(INDEX('Master Data Sheet'!$1:$1048576, MATCH(1, ('Master Data Sheet'!$H:$H=J$2) * (INDEX('Master Data Sheet'!$1:$1, , MATCH($F$1, 'Master Data Sheet'!$1:$1, 0)) = $F$1) * ('Master Data Sheet'!$G:$G=$B49) * ('Master Data Sheet'!$F:$F=$E49) * ('Master Data Sheet'!$A:$A=$F49), 0), MATCH($F$1, 'Master Data Sheet'!$1:$1, 0)), "")</f>
        <v>0.66685788039581251</v>
      </c>
      <c r="K49" s="11" cm="1">
        <f t="array" ref="K49">IFERROR(INDEX('Master Data Sheet'!$1:$1048576, MATCH(1, ('Master Data Sheet'!$H:$H=K$2) * (INDEX('Master Data Sheet'!$1:$1, , MATCH($F$1, 'Master Data Sheet'!$1:$1, 0)) = $F$1) * ('Master Data Sheet'!$G:$G=$B49) * ('Master Data Sheet'!$F:$F=$E49) * ('Master Data Sheet'!$A:$A=$F49), 0), MATCH($F$1, 'Master Data Sheet'!$1:$1, 0)), "")</f>
        <v>0.82690377169080742</v>
      </c>
      <c r="L49" s="11" cm="1">
        <f t="array" ref="L49">IFERROR(INDEX('Master Data Sheet'!$1:$1048576, MATCH(1, ('Master Data Sheet'!$H:$H=L$2) * (INDEX('Master Data Sheet'!$1:$1, , MATCH($F$1, 'Master Data Sheet'!$1:$1, 0)) = $F$1) * ('Master Data Sheet'!$G:$G=$B49) * ('Master Data Sheet'!$F:$F=$E49) * ('Master Data Sheet'!$A:$A=$F49), 0), MATCH($F$1, 'Master Data Sheet'!$1:$1, 0)), "")</f>
        <v>0.9336010325541374</v>
      </c>
      <c r="M49" s="11" cm="1">
        <f t="array" ref="M49">IFERROR(INDEX('Master Data Sheet'!$1:$1048576, MATCH(1, ('Master Data Sheet'!$H:$H=M$2) * (INDEX('Master Data Sheet'!$1:$1, , MATCH($F$1, 'Master Data Sheet'!$1:$1, 0)) = $F$1) * ('Master Data Sheet'!$G:$G=$B49) * ('Master Data Sheet'!$F:$F=$E49) * ('Master Data Sheet'!$A:$A=$F49), 0), MATCH($F$1, 'Master Data Sheet'!$1:$1, 0)), "")</f>
        <v>1.0669726086332996</v>
      </c>
      <c r="N49" s="11" cm="1">
        <f t="array" ref="N49">IFERROR(INDEX('Master Data Sheet'!$1:$1048576, MATCH(1, ('Master Data Sheet'!$H:$H=N$2) * (INDEX('Master Data Sheet'!$1:$1, , MATCH($F$1, 'Master Data Sheet'!$1:$1, 0)) = $F$1) * ('Master Data Sheet'!$G:$G=$B49) * ('Master Data Sheet'!$F:$F=$E49) * ('Master Data Sheet'!$A:$A=$F49), 0), MATCH($F$1, 'Master Data Sheet'!$1:$1, 0)), "")</f>
        <v>1.2670299727520435</v>
      </c>
      <c r="O49" s="11">
        <f t="shared" si="8"/>
        <v>0.82499846346110495</v>
      </c>
      <c r="P49" s="11">
        <f t="shared" si="4"/>
        <v>0.29041422800171507</v>
      </c>
      <c r="Q49" s="11"/>
      <c r="X49" t="str">
        <f>IFERROR(INDEX('Date Key'!$G$57:$G$62, MATCH(B48,'Date Key'!$A$57:$A$62, 0)), "")</f>
        <v>Medium HLR, Upper Outlet Height, Yes Plants</v>
      </c>
      <c r="Y49" s="1">
        <f t="shared" ref="Y49:AE49" si="53">H48</f>
        <v>0.29341746737415741</v>
      </c>
      <c r="Z49" s="1">
        <f t="shared" si="53"/>
        <v>0.40011472823748739</v>
      </c>
      <c r="AA49" s="1">
        <f t="shared" si="53"/>
        <v>0.48013767388498485</v>
      </c>
      <c r="AB49" s="1">
        <f t="shared" si="53"/>
        <v>0.58683493474831483</v>
      </c>
      <c r="AC49" s="1">
        <f t="shared" si="53"/>
        <v>0.61350924996414735</v>
      </c>
      <c r="AD49" s="1">
        <f t="shared" si="53"/>
        <v>0.74688082604330985</v>
      </c>
      <c r="AE49" s="1">
        <f t="shared" si="53"/>
        <v>0.80022945647497479</v>
      </c>
      <c r="AF49" s="1">
        <f t="shared" ref="AF49:AL49" si="54">H49</f>
        <v>0.42678904345331992</v>
      </c>
      <c r="AG49" s="1">
        <f t="shared" si="54"/>
        <v>0.58683493474831483</v>
      </c>
      <c r="AH49" s="1">
        <f t="shared" si="54"/>
        <v>0.66685788039581251</v>
      </c>
      <c r="AI49" s="1">
        <f t="shared" si="54"/>
        <v>0.82690377169080742</v>
      </c>
      <c r="AJ49" s="1">
        <f t="shared" si="54"/>
        <v>0.9336010325541374</v>
      </c>
      <c r="AK49" s="1">
        <f t="shared" si="54"/>
        <v>1.0669726086332996</v>
      </c>
      <c r="AL49" s="1">
        <f t="shared" si="54"/>
        <v>1.2670299727520435</v>
      </c>
      <c r="AM49" s="1">
        <f t="shared" ref="AM49:AS49" si="55">H50</f>
        <v>1.0640732265446224</v>
      </c>
      <c r="AN49" s="1">
        <f t="shared" si="55"/>
        <v>1.0032690421706441</v>
      </c>
      <c r="AO49" s="1">
        <f t="shared" si="55"/>
        <v>0.97286694998365497</v>
      </c>
      <c r="AP49" s="1">
        <f t="shared" si="55"/>
        <v>0.89686171951618177</v>
      </c>
      <c r="AQ49" s="1">
        <f t="shared" si="55"/>
        <v>0.86645962732919257</v>
      </c>
      <c r="AR49" s="1">
        <f t="shared" si="55"/>
        <v>0.83605753514220338</v>
      </c>
      <c r="AS49" s="1">
        <f t="shared" si="55"/>
        <v>0.80565544295521407</v>
      </c>
    </row>
    <row r="50" spans="1:46" x14ac:dyDescent="0.35">
      <c r="A50" s="41">
        <f>IFERROR(INDEX('Date Key'!$B$2:$B$19, MATCH(F50,'Date Key'!$A$2:$A$19, 0)), "")</f>
        <v>45400</v>
      </c>
      <c r="B50" s="4">
        <f t="shared" si="15"/>
        <v>6</v>
      </c>
      <c r="C50" s="26" t="str">
        <f>IFERROR(INDEX('Date Key'!$G$57:$G$62, MATCH(B50,'Date Key'!$A$57:$A$62, 0)), "")</f>
        <v>Medium HLR, Upper Outlet Height, Yes Plants</v>
      </c>
      <c r="D50" s="4" t="str">
        <f>IFERROR(INDEX('Date Key'!$G$2:$G$19, MATCH(F50, 'Date Key'!$A$2:$A$19, 0)), "")</f>
        <v>Yes</v>
      </c>
      <c r="E50" s="4" t="str">
        <f t="shared" si="1"/>
        <v>in</v>
      </c>
      <c r="F50" s="4">
        <f t="shared" si="2"/>
        <v>18</v>
      </c>
      <c r="G50" s="4">
        <f t="shared" si="22"/>
        <v>3</v>
      </c>
      <c r="H50" s="11" cm="1">
        <f t="array" ref="H50">IFERROR(INDEX('Master Data Sheet'!$1:$1048576, MATCH(1, ('Master Data Sheet'!$H:$H=H$2) * (INDEX('Master Data Sheet'!$1:$1, , MATCH($F$1, 'Master Data Sheet'!$1:$1, 0)) = $F$1) * ('Master Data Sheet'!$G:$G=$B50) * ('Master Data Sheet'!$F:$F=$E50) * ('Master Data Sheet'!$A:$A=$F50), 0), MATCH($F$1, 'Master Data Sheet'!$1:$1, 0)), "")</f>
        <v>1.0640732265446224</v>
      </c>
      <c r="I50" s="11" cm="1">
        <f t="array" ref="I50">IFERROR(INDEX('Master Data Sheet'!$1:$1048576, MATCH(1, ('Master Data Sheet'!$H:$H=I$2) * (INDEX('Master Data Sheet'!$1:$1, , MATCH($F$1, 'Master Data Sheet'!$1:$1, 0)) = $F$1) * ('Master Data Sheet'!$G:$G=$B50) * ('Master Data Sheet'!$F:$F=$E50) * ('Master Data Sheet'!$A:$A=$F50), 0), MATCH($F$1, 'Master Data Sheet'!$1:$1, 0)), "")</f>
        <v>1.0032690421706441</v>
      </c>
      <c r="J50" s="11" cm="1">
        <f t="array" ref="J50">IFERROR(INDEX('Master Data Sheet'!$1:$1048576, MATCH(1, ('Master Data Sheet'!$H:$H=J$2) * (INDEX('Master Data Sheet'!$1:$1, , MATCH($F$1, 'Master Data Sheet'!$1:$1, 0)) = $F$1) * ('Master Data Sheet'!$G:$G=$B50) * ('Master Data Sheet'!$F:$F=$E50) * ('Master Data Sheet'!$A:$A=$F50), 0), MATCH($F$1, 'Master Data Sheet'!$1:$1, 0)), "")</f>
        <v>0.97286694998365497</v>
      </c>
      <c r="K50" s="11" cm="1">
        <f t="array" ref="K50">IFERROR(INDEX('Master Data Sheet'!$1:$1048576, MATCH(1, ('Master Data Sheet'!$H:$H=K$2) * (INDEX('Master Data Sheet'!$1:$1, , MATCH($F$1, 'Master Data Sheet'!$1:$1, 0)) = $F$1) * ('Master Data Sheet'!$G:$G=$B50) * ('Master Data Sheet'!$F:$F=$E50) * ('Master Data Sheet'!$A:$A=$F50), 0), MATCH($F$1, 'Master Data Sheet'!$1:$1, 0)), "")</f>
        <v>0.89686171951618177</v>
      </c>
      <c r="L50" s="11" cm="1">
        <f t="array" ref="L50">IFERROR(INDEX('Master Data Sheet'!$1:$1048576, MATCH(1, ('Master Data Sheet'!$H:$H=L$2) * (INDEX('Master Data Sheet'!$1:$1, , MATCH($F$1, 'Master Data Sheet'!$1:$1, 0)) = $F$1) * ('Master Data Sheet'!$G:$G=$B50) * ('Master Data Sheet'!$F:$F=$E50) * ('Master Data Sheet'!$A:$A=$F50), 0), MATCH($F$1, 'Master Data Sheet'!$1:$1, 0)), "")</f>
        <v>0.86645962732919257</v>
      </c>
      <c r="M50" s="11" cm="1">
        <f t="array" ref="M50">IFERROR(INDEX('Master Data Sheet'!$1:$1048576, MATCH(1, ('Master Data Sheet'!$H:$H=M$2) * (INDEX('Master Data Sheet'!$1:$1, , MATCH($F$1, 'Master Data Sheet'!$1:$1, 0)) = $F$1) * ('Master Data Sheet'!$G:$G=$B50) * ('Master Data Sheet'!$F:$F=$E50) * ('Master Data Sheet'!$A:$A=$F50), 0), MATCH($F$1, 'Master Data Sheet'!$1:$1, 0)), "")</f>
        <v>0.83605753514220338</v>
      </c>
      <c r="N50" s="11" cm="1">
        <f t="array" ref="N50">IFERROR(INDEX('Master Data Sheet'!$1:$1048576, MATCH(1, ('Master Data Sheet'!$H:$H=N$2) * (INDEX('Master Data Sheet'!$1:$1, , MATCH($F$1, 'Master Data Sheet'!$1:$1, 0)) = $F$1) * ('Master Data Sheet'!$G:$G=$B50) * ('Master Data Sheet'!$F:$F=$E50) * ('Master Data Sheet'!$A:$A=$F50), 0), MATCH($F$1, 'Master Data Sheet'!$1:$1, 0)), "")</f>
        <v>0.80565544295521407</v>
      </c>
      <c r="O50" s="11">
        <f t="shared" si="8"/>
        <v>0.9207490776631021</v>
      </c>
      <c r="P50" s="11">
        <f t="shared" si="4"/>
        <v>9.4872529596119012E-2</v>
      </c>
      <c r="Q50" s="11"/>
      <c r="Y50" s="1"/>
      <c r="Z50" s="1"/>
      <c r="AA50" s="1"/>
      <c r="AB50" s="1"/>
      <c r="AC50" s="1"/>
      <c r="AD50" s="1"/>
      <c r="AE50" s="1"/>
      <c r="AF50" s="1"/>
      <c r="AG50" s="1"/>
      <c r="AH50" s="1"/>
      <c r="AI50" s="1"/>
      <c r="AJ50" s="1"/>
      <c r="AK50" s="1"/>
      <c r="AL50" s="1"/>
      <c r="AM50" s="1"/>
      <c r="AN50" s="1"/>
      <c r="AO50" s="1"/>
      <c r="AP50" s="1"/>
      <c r="AQ50" s="1"/>
      <c r="AR50" s="1"/>
      <c r="AS50" s="1"/>
    </row>
    <row r="51" spans="1:46" x14ac:dyDescent="0.35">
      <c r="A51" s="41">
        <f>IFERROR(INDEX('Date Key'!$B$2:$B$19, MATCH(F51,'Date Key'!$A$2:$A$19, 0)), "")</f>
        <v>45371</v>
      </c>
      <c r="B51" s="4">
        <f t="shared" si="15"/>
        <v>6</v>
      </c>
      <c r="C51" s="26" t="str">
        <f>IFERROR(INDEX('Date Key'!$G$57:$G$62, MATCH(B51,'Date Key'!$A$57:$A$62, 0)), "")</f>
        <v>Medium HLR, Upper Outlet Height, Yes Plants</v>
      </c>
      <c r="D51" s="4" t="str">
        <f>IFERROR(INDEX('Date Key'!$G$2:$G$19, MATCH(F51, 'Date Key'!$A$2:$A$19, 0)), "")</f>
        <v>No</v>
      </c>
      <c r="E51" s="4" t="str">
        <f t="shared" si="1"/>
        <v>tank 1</v>
      </c>
      <c r="F51" s="4">
        <f t="shared" si="2"/>
        <v>16</v>
      </c>
      <c r="G51" s="4">
        <f t="shared" si="22"/>
        <v>1</v>
      </c>
      <c r="H51" s="11" cm="1">
        <f t="array" ref="H51">IFERROR(INDEX('Master Data Sheet'!$1:$1048576, MATCH(1, ('Master Data Sheet'!$H:$H=H$2) * (INDEX('Master Data Sheet'!$1:$1, , MATCH($F$1, 'Master Data Sheet'!$1:$1, 0)) = $F$1) * ('Master Data Sheet'!$G:$G=$B51) * ('Master Data Sheet'!$F:$F=$E51) * ('Master Data Sheet'!$A:$A=$F51), 0), MATCH($F$1, 'Master Data Sheet'!$1:$1, 0)), "")</f>
        <v>0.49347483149290111</v>
      </c>
      <c r="I51" s="11" cm="1">
        <f t="array" ref="I51">IFERROR(INDEX('Master Data Sheet'!$1:$1048576, MATCH(1, ('Master Data Sheet'!$H:$H=I$2) * (INDEX('Master Data Sheet'!$1:$1, , MATCH($F$1, 'Master Data Sheet'!$1:$1, 0)) = $F$1) * ('Master Data Sheet'!$G:$G=$B51) * ('Master Data Sheet'!$F:$F=$E51) * ('Master Data Sheet'!$A:$A=$F51), 0), MATCH($F$1, 'Master Data Sheet'!$1:$1, 0)), "")</f>
        <v>0.24006883694249243</v>
      </c>
      <c r="J51" s="11" cm="1">
        <f t="array" ref="J51">IFERROR(INDEX('Master Data Sheet'!$1:$1048576, MATCH(1, ('Master Data Sheet'!$H:$H=J$2) * (INDEX('Master Data Sheet'!$1:$1, , MATCH($F$1, 'Master Data Sheet'!$1:$1, 0)) = $F$1) * ('Master Data Sheet'!$G:$G=$B51) * ('Master Data Sheet'!$F:$F=$E51) * ('Master Data Sheet'!$A:$A=$F51), 0), MATCH($F$1, 'Master Data Sheet'!$1:$1, 0)), "")</f>
        <v>0.24006883694249243</v>
      </c>
      <c r="K51" s="11" cm="1">
        <f t="array" ref="K51">IFERROR(INDEX('Master Data Sheet'!$1:$1048576, MATCH(1, ('Master Data Sheet'!$H:$H=K$2) * (INDEX('Master Data Sheet'!$1:$1, , MATCH($F$1, 'Master Data Sheet'!$1:$1, 0)) = $F$1) * ('Master Data Sheet'!$G:$G=$B51) * ('Master Data Sheet'!$F:$F=$E51) * ('Master Data Sheet'!$A:$A=$F51), 0), MATCH($F$1, 'Master Data Sheet'!$1:$1, 0)), "")</f>
        <v>0.26674315215832489</v>
      </c>
      <c r="L51" s="11" cm="1">
        <f t="array" ref="L51">IFERROR(INDEX('Master Data Sheet'!$1:$1048576, MATCH(1, ('Master Data Sheet'!$H:$H=L$2) * (INDEX('Master Data Sheet'!$1:$1, , MATCH($F$1, 'Master Data Sheet'!$1:$1, 0)) = $F$1) * ('Master Data Sheet'!$G:$G=$B51) * ('Master Data Sheet'!$F:$F=$E51) * ('Master Data Sheet'!$A:$A=$F51), 0), MATCH($F$1, 'Master Data Sheet'!$1:$1, 0)), "")</f>
        <v>0.21339452172665996</v>
      </c>
      <c r="M51" s="11" cm="1">
        <f t="array" ref="M51">IFERROR(INDEX('Master Data Sheet'!$1:$1048576, MATCH(1, ('Master Data Sheet'!$H:$H=M$2) * (INDEX('Master Data Sheet'!$1:$1, , MATCH($F$1, 'Master Data Sheet'!$1:$1, 0)) = $F$1) * ('Master Data Sheet'!$G:$G=$B51) * ('Master Data Sheet'!$F:$F=$E51) * ('Master Data Sheet'!$A:$A=$F51), 0), MATCH($F$1, 'Master Data Sheet'!$1:$1, 0)), "")</f>
        <v>0.26674315215832489</v>
      </c>
      <c r="N51" s="11" cm="1">
        <f t="array" ref="N51">IFERROR(INDEX('Master Data Sheet'!$1:$1048576, MATCH(1, ('Master Data Sheet'!$H:$H=N$2) * (INDEX('Master Data Sheet'!$1:$1, , MATCH($F$1, 'Master Data Sheet'!$1:$1, 0)) = $F$1) * ('Master Data Sheet'!$G:$G=$B51) * ('Master Data Sheet'!$F:$F=$E51) * ('Master Data Sheet'!$A:$A=$F51), 0), MATCH($F$1, 'Master Data Sheet'!$1:$1, 0)), "")</f>
        <v>0.21339452172665996</v>
      </c>
      <c r="O51" s="11">
        <f t="shared" si="8"/>
        <v>0.27626969330683654</v>
      </c>
      <c r="P51" s="11">
        <f t="shared" si="4"/>
        <v>9.8223520971670378E-2</v>
      </c>
      <c r="Q51" s="11">
        <f>AVERAGE(O51:O53)</f>
        <v>0.44819121695280223</v>
      </c>
      <c r="R51" s="46">
        <f>(1-(O51/O48))*100</f>
        <v>50.680272108843539</v>
      </c>
      <c r="S51" s="46">
        <f>AVERAGE(R51:R53)</f>
        <v>43.379872247532212</v>
      </c>
      <c r="T51" s="46">
        <f>STDEV(R51:R53)</f>
        <v>17.999232203117234</v>
      </c>
      <c r="U51" s="47">
        <f>(1-(AVERAGE(H51:N53)/AVERAGE(H48:N50)))*100</f>
        <v>41.690060610415138</v>
      </c>
      <c r="V51" s="47"/>
      <c r="Y51" s="2"/>
      <c r="Z51" s="2"/>
      <c r="AA51" s="2"/>
      <c r="AB51" s="2"/>
      <c r="AC51" s="2"/>
      <c r="AD51" s="2"/>
      <c r="AE51" s="2"/>
      <c r="AF51" s="2"/>
      <c r="AG51" s="2"/>
    </row>
    <row r="52" spans="1:46" x14ac:dyDescent="0.35">
      <c r="A52" s="41">
        <f>IFERROR(INDEX('Date Key'!$B$2:$B$19, MATCH(F52,'Date Key'!$A$2:$A$19, 0)), "")</f>
        <v>45392</v>
      </c>
      <c r="B52" s="4">
        <f t="shared" si="15"/>
        <v>6</v>
      </c>
      <c r="C52" s="26" t="str">
        <f>IFERROR(INDEX('Date Key'!$G$57:$G$62, MATCH(B52,'Date Key'!$A$57:$A$62, 0)), "")</f>
        <v>Medium HLR, Upper Outlet Height, Yes Plants</v>
      </c>
      <c r="D52" s="4" t="str">
        <f>IFERROR(INDEX('Date Key'!$G$2:$G$19, MATCH(F52, 'Date Key'!$A$2:$A$19, 0)), "")</f>
        <v>No</v>
      </c>
      <c r="E52" s="4" t="str">
        <f t="shared" si="1"/>
        <v>tank 1</v>
      </c>
      <c r="F52" s="4">
        <f t="shared" si="2"/>
        <v>17</v>
      </c>
      <c r="G52" s="4">
        <f t="shared" si="22"/>
        <v>2</v>
      </c>
      <c r="H52" s="11" cm="1">
        <f t="array" ref="H52">IFERROR(INDEX('Master Data Sheet'!$1:$1048576, MATCH(1, ('Master Data Sheet'!$H:$H=H$2) * (INDEX('Master Data Sheet'!$1:$1, , MATCH($F$1, 'Master Data Sheet'!$1:$1, 0)) = $F$1) * ('Master Data Sheet'!$G:$G=$B52) * ('Master Data Sheet'!$F:$F=$E52) * ('Master Data Sheet'!$A:$A=$F52), 0), MATCH($F$1, 'Master Data Sheet'!$1:$1, 0)), "")</f>
        <v>0.30675462498207368</v>
      </c>
      <c r="I52" s="11" cm="1">
        <f t="array" ref="I52">IFERROR(INDEX('Master Data Sheet'!$1:$1048576, MATCH(1, ('Master Data Sheet'!$H:$H=I$2) * (INDEX('Master Data Sheet'!$1:$1, , MATCH($F$1, 'Master Data Sheet'!$1:$1, 0)) = $F$1) * ('Master Data Sheet'!$G:$G=$B52) * ('Master Data Sheet'!$F:$F=$E52) * ('Master Data Sheet'!$A:$A=$F52), 0), MATCH($F$1, 'Master Data Sheet'!$1:$1, 0)), "")</f>
        <v>0.32009178258998999</v>
      </c>
      <c r="J52" s="11" cm="1">
        <f t="array" ref="J52">IFERROR(INDEX('Master Data Sheet'!$1:$1048576, MATCH(1, ('Master Data Sheet'!$H:$H=J$2) * (INDEX('Master Data Sheet'!$1:$1, , MATCH($F$1, 'Master Data Sheet'!$1:$1, 0)) = $F$1) * ('Master Data Sheet'!$G:$G=$B52) * ('Master Data Sheet'!$F:$F=$E52) * ('Master Data Sheet'!$A:$A=$F52), 0), MATCH($F$1, 'Master Data Sheet'!$1:$1, 0)), "")</f>
        <v>0.3467660978058224</v>
      </c>
      <c r="K52" s="11" cm="1">
        <f t="array" ref="K52">IFERROR(INDEX('Master Data Sheet'!$1:$1048576, MATCH(1, ('Master Data Sheet'!$H:$H=K$2) * (INDEX('Master Data Sheet'!$1:$1, , MATCH($F$1, 'Master Data Sheet'!$1:$1, 0)) = $F$1) * ('Master Data Sheet'!$G:$G=$B52) * ('Master Data Sheet'!$F:$F=$E52) * ('Master Data Sheet'!$A:$A=$F52), 0), MATCH($F$1, 'Master Data Sheet'!$1:$1, 0)), "")</f>
        <v>0.3467660978058224</v>
      </c>
      <c r="L52" s="11" cm="1">
        <f t="array" ref="L52">IFERROR(INDEX('Master Data Sheet'!$1:$1048576, MATCH(1, ('Master Data Sheet'!$H:$H=L$2) * (INDEX('Master Data Sheet'!$1:$1, , MATCH($F$1, 'Master Data Sheet'!$1:$1, 0)) = $F$1) * ('Master Data Sheet'!$G:$G=$B52) * ('Master Data Sheet'!$F:$F=$E52) * ('Master Data Sheet'!$A:$A=$F52), 0), MATCH($F$1, 'Master Data Sheet'!$1:$1, 0)), "")</f>
        <v>0.32009178258998999</v>
      </c>
      <c r="M52" s="11" cm="1">
        <f t="array" ref="M52">IFERROR(INDEX('Master Data Sheet'!$1:$1048576, MATCH(1, ('Master Data Sheet'!$H:$H=M$2) * (INDEX('Master Data Sheet'!$1:$1, , MATCH($F$1, 'Master Data Sheet'!$1:$1, 0)) = $F$1) * ('Master Data Sheet'!$G:$G=$B52) * ('Master Data Sheet'!$F:$F=$E52) * ('Master Data Sheet'!$A:$A=$F52), 0), MATCH($F$1, 'Master Data Sheet'!$1:$1, 0)), "")</f>
        <v>0.40011472823748739</v>
      </c>
      <c r="N52" s="11" cm="1">
        <f t="array" ref="N52">IFERROR(INDEX('Master Data Sheet'!$1:$1048576, MATCH(1, ('Master Data Sheet'!$H:$H=N$2) * (INDEX('Master Data Sheet'!$1:$1, , MATCH($F$1, 'Master Data Sheet'!$1:$1, 0)) = $F$1) * ('Master Data Sheet'!$G:$G=$B52) * ('Master Data Sheet'!$F:$F=$E52) * ('Master Data Sheet'!$A:$A=$F52), 0), MATCH($F$1, 'Master Data Sheet'!$1:$1, 0)), "")</f>
        <v>0.4668005162770687</v>
      </c>
      <c r="O52" s="11">
        <f t="shared" si="8"/>
        <v>0.35819794718403636</v>
      </c>
      <c r="P52" s="11">
        <f t="shared" si="4"/>
        <v>5.6808866484047781E-2</v>
      </c>
      <c r="Q52" s="11"/>
      <c r="R52" s="46">
        <f>(1-(O52/O49))*100</f>
        <v>56.581986143187059</v>
      </c>
      <c r="X52" t="str">
        <f>IFERROR(INDEX('Date Key'!$G$57:$G$62, MATCH(B51,'Date Key'!$A$57:$A$62, 0)), "")</f>
        <v>Medium HLR, Upper Outlet Height, Yes Plants</v>
      </c>
      <c r="Y52" s="1">
        <f t="shared" ref="Y52:AE52" si="56">H51</f>
        <v>0.49347483149290111</v>
      </c>
      <c r="Z52" s="1">
        <f t="shared" si="56"/>
        <v>0.24006883694249243</v>
      </c>
      <c r="AA52" s="1">
        <f t="shared" si="56"/>
        <v>0.24006883694249243</v>
      </c>
      <c r="AB52" s="1">
        <f t="shared" si="56"/>
        <v>0.26674315215832489</v>
      </c>
      <c r="AC52" s="1">
        <f t="shared" si="56"/>
        <v>0.21339452172665996</v>
      </c>
      <c r="AD52" s="1">
        <f t="shared" si="56"/>
        <v>0.26674315215832489</v>
      </c>
      <c r="AE52" s="1">
        <f t="shared" si="56"/>
        <v>0.21339452172665996</v>
      </c>
      <c r="AF52" s="1">
        <f t="shared" ref="AF52:AL52" si="57">H52</f>
        <v>0.30675462498207368</v>
      </c>
      <c r="AG52" s="1">
        <f t="shared" si="57"/>
        <v>0.32009178258998999</v>
      </c>
      <c r="AH52" s="1">
        <f t="shared" si="57"/>
        <v>0.3467660978058224</v>
      </c>
      <c r="AI52" s="1">
        <f t="shared" si="57"/>
        <v>0.3467660978058224</v>
      </c>
      <c r="AJ52" s="1">
        <f t="shared" si="57"/>
        <v>0.32009178258998999</v>
      </c>
      <c r="AK52" s="1">
        <f t="shared" si="57"/>
        <v>0.40011472823748739</v>
      </c>
      <c r="AL52" s="1">
        <f t="shared" si="57"/>
        <v>0.4668005162770687</v>
      </c>
      <c r="AM52" s="1">
        <f t="shared" ref="AM52:AS52" si="58">H53</f>
        <v>0.76005230467473039</v>
      </c>
      <c r="AN52" s="1">
        <f t="shared" si="58"/>
        <v>0.79045439686171948</v>
      </c>
      <c r="AO52" s="1">
        <f t="shared" si="58"/>
        <v>0.72965021248774109</v>
      </c>
      <c r="AP52" s="1">
        <f t="shared" si="58"/>
        <v>0.71444916639424649</v>
      </c>
      <c r="AQ52" s="1">
        <f t="shared" si="58"/>
        <v>0.71444916639424649</v>
      </c>
      <c r="AR52" s="1">
        <f t="shared" si="58"/>
        <v>0.653644982020268</v>
      </c>
      <c r="AS52" s="1">
        <f t="shared" si="58"/>
        <v>0.6080418437397842</v>
      </c>
    </row>
    <row r="53" spans="1:46" x14ac:dyDescent="0.35">
      <c r="A53" s="41">
        <f>IFERROR(INDEX('Date Key'!$B$2:$B$19, MATCH(F53,'Date Key'!$A$2:$A$19, 0)), "")</f>
        <v>45400</v>
      </c>
      <c r="B53" s="4">
        <f t="shared" si="15"/>
        <v>6</v>
      </c>
      <c r="C53" s="26" t="str">
        <f>IFERROR(INDEX('Date Key'!$G$57:$G$62, MATCH(B53,'Date Key'!$A$57:$A$62, 0)), "")</f>
        <v>Medium HLR, Upper Outlet Height, Yes Plants</v>
      </c>
      <c r="D53" s="4" t="str">
        <f>IFERROR(INDEX('Date Key'!$G$2:$G$19, MATCH(F53, 'Date Key'!$A$2:$A$19, 0)), "")</f>
        <v>Yes</v>
      </c>
      <c r="E53" s="4" t="str">
        <f t="shared" si="1"/>
        <v>tank 1</v>
      </c>
      <c r="F53" s="4">
        <f t="shared" si="2"/>
        <v>18</v>
      </c>
      <c r="G53" s="4">
        <f t="shared" si="22"/>
        <v>3</v>
      </c>
      <c r="H53" s="11" cm="1">
        <f t="array" ref="H53">IFERROR(INDEX('Master Data Sheet'!$1:$1048576, MATCH(1, ('Master Data Sheet'!$H:$H=H$2) * (INDEX('Master Data Sheet'!$1:$1, , MATCH($F$1, 'Master Data Sheet'!$1:$1, 0)) = $F$1) * ('Master Data Sheet'!$G:$G=$B53) * ('Master Data Sheet'!$F:$F=$E53) * ('Master Data Sheet'!$A:$A=$F53), 0), MATCH($F$1, 'Master Data Sheet'!$1:$1, 0)), "")</f>
        <v>0.76005230467473039</v>
      </c>
      <c r="I53" s="11" cm="1">
        <f t="array" ref="I53">IFERROR(INDEX('Master Data Sheet'!$1:$1048576, MATCH(1, ('Master Data Sheet'!$H:$H=I$2) * (INDEX('Master Data Sheet'!$1:$1, , MATCH($F$1, 'Master Data Sheet'!$1:$1, 0)) = $F$1) * ('Master Data Sheet'!$G:$G=$B53) * ('Master Data Sheet'!$F:$F=$E53) * ('Master Data Sheet'!$A:$A=$F53), 0), MATCH($F$1, 'Master Data Sheet'!$1:$1, 0)), "")</f>
        <v>0.79045439686171948</v>
      </c>
      <c r="J53" s="11" cm="1">
        <f t="array" ref="J53">IFERROR(INDEX('Master Data Sheet'!$1:$1048576, MATCH(1, ('Master Data Sheet'!$H:$H=J$2) * (INDEX('Master Data Sheet'!$1:$1, , MATCH($F$1, 'Master Data Sheet'!$1:$1, 0)) = $F$1) * ('Master Data Sheet'!$G:$G=$B53) * ('Master Data Sheet'!$F:$F=$E53) * ('Master Data Sheet'!$A:$A=$F53), 0), MATCH($F$1, 'Master Data Sheet'!$1:$1, 0)), "")</f>
        <v>0.72965021248774109</v>
      </c>
      <c r="K53" s="11" cm="1">
        <f t="array" ref="K53">IFERROR(INDEX('Master Data Sheet'!$1:$1048576, MATCH(1, ('Master Data Sheet'!$H:$H=K$2) * (INDEX('Master Data Sheet'!$1:$1, , MATCH($F$1, 'Master Data Sheet'!$1:$1, 0)) = $F$1) * ('Master Data Sheet'!$G:$G=$B53) * ('Master Data Sheet'!$F:$F=$E53) * ('Master Data Sheet'!$A:$A=$F53), 0), MATCH($F$1, 'Master Data Sheet'!$1:$1, 0)), "")</f>
        <v>0.71444916639424649</v>
      </c>
      <c r="L53" s="11" cm="1">
        <f t="array" ref="L53">IFERROR(INDEX('Master Data Sheet'!$1:$1048576, MATCH(1, ('Master Data Sheet'!$H:$H=L$2) * (INDEX('Master Data Sheet'!$1:$1, , MATCH($F$1, 'Master Data Sheet'!$1:$1, 0)) = $F$1) * ('Master Data Sheet'!$G:$G=$B53) * ('Master Data Sheet'!$F:$F=$E53) * ('Master Data Sheet'!$A:$A=$F53), 0), MATCH($F$1, 'Master Data Sheet'!$1:$1, 0)), "")</f>
        <v>0.71444916639424649</v>
      </c>
      <c r="M53" s="11" cm="1">
        <f t="array" ref="M53">IFERROR(INDEX('Master Data Sheet'!$1:$1048576, MATCH(1, ('Master Data Sheet'!$H:$H=M$2) * (INDEX('Master Data Sheet'!$1:$1, , MATCH($F$1, 'Master Data Sheet'!$1:$1, 0)) = $F$1) * ('Master Data Sheet'!$G:$G=$B53) * ('Master Data Sheet'!$F:$F=$E53) * ('Master Data Sheet'!$A:$A=$F53), 0), MATCH($F$1, 'Master Data Sheet'!$1:$1, 0)), "")</f>
        <v>0.653644982020268</v>
      </c>
      <c r="N53" s="11" cm="1">
        <f t="array" ref="N53">IFERROR(INDEX('Master Data Sheet'!$1:$1048576, MATCH(1, ('Master Data Sheet'!$H:$H=N$2) * (INDEX('Master Data Sheet'!$1:$1, , MATCH($F$1, 'Master Data Sheet'!$1:$1, 0)) = $F$1) * ('Master Data Sheet'!$G:$G=$B53) * ('Master Data Sheet'!$F:$F=$E53) * ('Master Data Sheet'!$A:$A=$F53), 0), MATCH($F$1, 'Master Data Sheet'!$1:$1, 0)), "")</f>
        <v>0.6080418437397842</v>
      </c>
      <c r="O53" s="11">
        <f t="shared" si="8"/>
        <v>0.71010601036753374</v>
      </c>
      <c r="P53" s="11">
        <f t="shared" si="4"/>
        <v>6.1880448182696314E-2</v>
      </c>
      <c r="Q53" s="11"/>
      <c r="R53" s="46">
        <f>(1-(O53/O50))*100</f>
        <v>22.877358490566056</v>
      </c>
      <c r="Y53" s="2"/>
      <c r="Z53" s="2"/>
      <c r="AA53" s="2"/>
      <c r="AB53" s="2"/>
      <c r="AC53" s="2"/>
      <c r="AD53" s="2"/>
      <c r="AE53" s="2"/>
      <c r="AF53" s="2"/>
      <c r="AG53" s="2"/>
    </row>
    <row r="54" spans="1:46" x14ac:dyDescent="0.35">
      <c r="A54" s="41">
        <f>IFERROR(INDEX('Date Key'!$B$2:$B$19, MATCH(F54,'Date Key'!$A$2:$A$19, 0)), "")</f>
        <v>45371</v>
      </c>
      <c r="B54" s="4">
        <f t="shared" si="15"/>
        <v>6</v>
      </c>
      <c r="C54" s="26" t="str">
        <f>IFERROR(INDEX('Date Key'!$G$57:$G$62, MATCH(B54,'Date Key'!$A$57:$A$62, 0)), "")</f>
        <v>Medium HLR, Upper Outlet Height, Yes Plants</v>
      </c>
      <c r="D54" s="4" t="str">
        <f>IFERROR(INDEX('Date Key'!$G$2:$G$19, MATCH(F54, 'Date Key'!$A$2:$A$19, 0)), "")</f>
        <v>No</v>
      </c>
      <c r="E54" s="4" t="str">
        <f t="shared" si="1"/>
        <v>tank 2</v>
      </c>
      <c r="F54" s="4">
        <f t="shared" si="2"/>
        <v>16</v>
      </c>
      <c r="G54" s="4">
        <f t="shared" si="22"/>
        <v>1</v>
      </c>
      <c r="H54" s="11" cm="1">
        <f t="array" ref="H54">IFERROR(INDEX('Master Data Sheet'!$1:$1048576, MATCH(1, ('Master Data Sheet'!$H:$H=H$2) * (INDEX('Master Data Sheet'!$1:$1, , MATCH($F$1, 'Master Data Sheet'!$1:$1, 0)) = $F$1) * ('Master Data Sheet'!$G:$G=$B54) * ('Master Data Sheet'!$F:$F=$E54) * ('Master Data Sheet'!$A:$A=$F54), 0), MATCH($F$1, 'Master Data Sheet'!$1:$1, 0)), "")</f>
        <v>0.73354366843539365</v>
      </c>
      <c r="I54" s="11" cm="1">
        <f t="array" ref="I54">IFERROR(INDEX('Master Data Sheet'!$1:$1048576, MATCH(1, ('Master Data Sheet'!$H:$H=I$2) * (INDEX('Master Data Sheet'!$1:$1, , MATCH($F$1, 'Master Data Sheet'!$1:$1, 0)) = $F$1) * ('Master Data Sheet'!$G:$G=$B54) * ('Master Data Sheet'!$F:$F=$E54) * ('Master Data Sheet'!$A:$A=$F54), 0), MATCH($F$1, 'Master Data Sheet'!$1:$1, 0)), "")</f>
        <v>0.61350924996414735</v>
      </c>
      <c r="J54" s="11" cm="1">
        <f t="array" ref="J54">IFERROR(INDEX('Master Data Sheet'!$1:$1048576, MATCH(1, ('Master Data Sheet'!$H:$H=J$2) * (INDEX('Master Data Sheet'!$1:$1, , MATCH($F$1, 'Master Data Sheet'!$1:$1, 0)) = $F$1) * ('Master Data Sheet'!$G:$G=$B54) * ('Master Data Sheet'!$F:$F=$E54) * ('Master Data Sheet'!$A:$A=$F54), 0), MATCH($F$1, 'Master Data Sheet'!$1:$1, 0)), "")</f>
        <v>0.58683493474831483</v>
      </c>
      <c r="K54" s="11" cm="1">
        <f t="array" ref="K54">IFERROR(INDEX('Master Data Sheet'!$1:$1048576, MATCH(1, ('Master Data Sheet'!$H:$H=K$2) * (INDEX('Master Data Sheet'!$1:$1, , MATCH($F$1, 'Master Data Sheet'!$1:$1, 0)) = $F$1) * ('Master Data Sheet'!$G:$G=$B54) * ('Master Data Sheet'!$F:$F=$E54) * ('Master Data Sheet'!$A:$A=$F54), 0), MATCH($F$1, 'Master Data Sheet'!$1:$1, 0)), "")</f>
        <v>0.62684640757206367</v>
      </c>
      <c r="L54" s="11" cm="1">
        <f t="array" ref="L54">IFERROR(INDEX('Master Data Sheet'!$1:$1048576, MATCH(1, ('Master Data Sheet'!$H:$H=L$2) * (INDEX('Master Data Sheet'!$1:$1, , MATCH($F$1, 'Master Data Sheet'!$1:$1, 0)) = $F$1) * ('Master Data Sheet'!$G:$G=$B54) * ('Master Data Sheet'!$F:$F=$E54) * ('Master Data Sheet'!$A:$A=$F54), 0), MATCH($F$1, 'Master Data Sheet'!$1:$1, 0)), "")</f>
        <v>0.57349777714039862</v>
      </c>
      <c r="M54" s="11" cm="1">
        <f t="array" ref="M54">IFERROR(INDEX('Master Data Sheet'!$1:$1048576, MATCH(1, ('Master Data Sheet'!$H:$H=M$2) * (INDEX('Master Data Sheet'!$1:$1, , MATCH($F$1, 'Master Data Sheet'!$1:$1, 0)) = $F$1) * ('Master Data Sheet'!$G:$G=$B54) * ('Master Data Sheet'!$F:$F=$E54) * ('Master Data Sheet'!$A:$A=$F54), 0), MATCH($F$1, 'Master Data Sheet'!$1:$1, 0)), "")</f>
        <v>0.58683493474831483</v>
      </c>
      <c r="N54" s="11" cm="1">
        <f t="array" ref="N54">IFERROR(INDEX('Master Data Sheet'!$1:$1048576, MATCH(1, ('Master Data Sheet'!$H:$H=N$2) * (INDEX('Master Data Sheet'!$1:$1, , MATCH($F$1, 'Master Data Sheet'!$1:$1, 0)) = $F$1) * ('Master Data Sheet'!$G:$G=$B54) * ('Master Data Sheet'!$F:$F=$E54) * ('Master Data Sheet'!$A:$A=$F54), 0), MATCH($F$1, 'Master Data Sheet'!$1:$1, 0)), "")</f>
        <v>0.53348630431664978</v>
      </c>
      <c r="O54" s="11">
        <f t="shared" si="8"/>
        <v>0.60779332527504049</v>
      </c>
      <c r="P54" s="11">
        <f t="shared" si="4"/>
        <v>6.2961716936462006E-2</v>
      </c>
      <c r="Q54" s="11">
        <f>AVERAGE(N54:N56)</f>
        <v>0.62865506973214336</v>
      </c>
      <c r="R54" s="46">
        <f>(1-(O54/O48))*100</f>
        <v>-8.5034013605442382</v>
      </c>
      <c r="S54" s="46">
        <f>AVERAGE(R54:R56)</f>
        <v>1.5782160758910402</v>
      </c>
      <c r="T54" s="46">
        <f>STDEV(R54:R56)</f>
        <v>16.640622800841143</v>
      </c>
      <c r="U54" s="47">
        <f>(1-(AVERAGE(H54:N56)/AVERAGE(H48:N50)))*100</f>
        <v>2.3571857470580104</v>
      </c>
      <c r="Y54" s="2"/>
      <c r="Z54" s="2"/>
      <c r="AA54" s="2"/>
      <c r="AB54" s="2"/>
      <c r="AC54" s="2"/>
      <c r="AD54" s="2"/>
      <c r="AE54" s="2"/>
      <c r="AF54" s="2"/>
      <c r="AG54" s="2"/>
    </row>
    <row r="55" spans="1:46" x14ac:dyDescent="0.35">
      <c r="A55" s="41">
        <f>IFERROR(INDEX('Date Key'!$B$2:$B$19, MATCH(F55,'Date Key'!$A$2:$A$19, 0)), "")</f>
        <v>45392</v>
      </c>
      <c r="B55" s="4">
        <f t="shared" si="15"/>
        <v>6</v>
      </c>
      <c r="C55" s="26" t="str">
        <f>IFERROR(INDEX('Date Key'!$G$57:$G$62, MATCH(B55,'Date Key'!$A$57:$A$62, 0)), "")</f>
        <v>Medium HLR, Upper Outlet Height, Yes Plants</v>
      </c>
      <c r="D55" s="4" t="str">
        <f>IFERROR(INDEX('Date Key'!$G$2:$G$19, MATCH(F55, 'Date Key'!$A$2:$A$19, 0)), "")</f>
        <v>No</v>
      </c>
      <c r="E55" s="4" t="str">
        <f t="shared" si="1"/>
        <v>tank 2</v>
      </c>
      <c r="F55" s="4">
        <f t="shared" si="2"/>
        <v>17</v>
      </c>
      <c r="G55" s="4">
        <f t="shared" si="22"/>
        <v>2</v>
      </c>
      <c r="H55" s="11" cm="1">
        <f t="array" ref="H55">IFERROR(INDEX('Master Data Sheet'!$1:$1048576, MATCH(1, ('Master Data Sheet'!$H:$H=H$2) * (INDEX('Master Data Sheet'!$1:$1, , MATCH($F$1, 'Master Data Sheet'!$1:$1, 0)) = $F$1) * ('Master Data Sheet'!$G:$G=$B55) * ('Master Data Sheet'!$F:$F=$E55) * ('Master Data Sheet'!$A:$A=$F55), 0), MATCH($F$1, 'Master Data Sheet'!$1:$1, 0)), "")</f>
        <v>0.69353219561164481</v>
      </c>
      <c r="I55" s="11" cm="1">
        <f t="array" ref="I55">IFERROR(INDEX('Master Data Sheet'!$1:$1048576, MATCH(1, ('Master Data Sheet'!$H:$H=I$2) * (INDEX('Master Data Sheet'!$1:$1, , MATCH($F$1, 'Master Data Sheet'!$1:$1, 0)) = $F$1) * ('Master Data Sheet'!$G:$G=$B55) * ('Master Data Sheet'!$F:$F=$E55) * ('Master Data Sheet'!$A:$A=$F55), 0), MATCH($F$1, 'Master Data Sheet'!$1:$1, 0)), "")</f>
        <v>0.69353219561164481</v>
      </c>
      <c r="J55" s="11" cm="1">
        <f t="array" ref="J55">IFERROR(INDEX('Master Data Sheet'!$1:$1048576, MATCH(1, ('Master Data Sheet'!$H:$H=J$2) * (INDEX('Master Data Sheet'!$1:$1, , MATCH($F$1, 'Master Data Sheet'!$1:$1, 0)) = $F$1) * ('Master Data Sheet'!$G:$G=$B55) * ('Master Data Sheet'!$F:$F=$E55) * ('Master Data Sheet'!$A:$A=$F55), 0), MATCH($F$1, 'Master Data Sheet'!$1:$1, 0)), "")</f>
        <v>0.72020651082747744</v>
      </c>
      <c r="K55" s="11" cm="1">
        <f t="array" ref="K55">IFERROR(INDEX('Master Data Sheet'!$1:$1048576, MATCH(1, ('Master Data Sheet'!$H:$H=K$2) * (INDEX('Master Data Sheet'!$1:$1, , MATCH($F$1, 'Master Data Sheet'!$1:$1, 0)) = $F$1) * ('Master Data Sheet'!$G:$G=$B55) * ('Master Data Sheet'!$F:$F=$E55) * ('Master Data Sheet'!$A:$A=$F55), 0), MATCH($F$1, 'Master Data Sheet'!$1:$1, 0)), "")</f>
        <v>0.70686935321956101</v>
      </c>
      <c r="L55" s="11" cm="1">
        <f t="array" ref="L55">IFERROR(INDEX('Master Data Sheet'!$1:$1048576, MATCH(1, ('Master Data Sheet'!$H:$H=L$2) * (INDEX('Master Data Sheet'!$1:$1, , MATCH($F$1, 'Master Data Sheet'!$1:$1, 0)) = $F$1) * ('Master Data Sheet'!$G:$G=$B55) * ('Master Data Sheet'!$F:$F=$E55) * ('Master Data Sheet'!$A:$A=$F55), 0), MATCH($F$1, 'Master Data Sheet'!$1:$1, 0)), "")</f>
        <v>0.64018356517997999</v>
      </c>
      <c r="M55" s="11" cm="1">
        <f t="array" ref="M55">IFERROR(INDEX('Master Data Sheet'!$1:$1048576, MATCH(1, ('Master Data Sheet'!$H:$H=M$2) * (INDEX('Master Data Sheet'!$1:$1, , MATCH($F$1, 'Master Data Sheet'!$1:$1, 0)) = $F$1) * ('Master Data Sheet'!$G:$G=$B55) * ('Master Data Sheet'!$F:$F=$E55) * ('Master Data Sheet'!$A:$A=$F55), 0), MATCH($F$1, 'Master Data Sheet'!$1:$1, 0)), "")</f>
        <v>0.57349777714039862</v>
      </c>
      <c r="N55" s="11" cm="1">
        <f t="array" ref="N55">IFERROR(INDEX('Master Data Sheet'!$1:$1048576, MATCH(1, ('Master Data Sheet'!$H:$H=N$2) * (INDEX('Master Data Sheet'!$1:$1, , MATCH($F$1, 'Master Data Sheet'!$1:$1, 0)) = $F$1) * ('Master Data Sheet'!$G:$G=$B55) * ('Master Data Sheet'!$F:$F=$E55) * ('Master Data Sheet'!$A:$A=$F55), 0), MATCH($F$1, 'Master Data Sheet'!$1:$1, 0)), "")</f>
        <v>0.5468234619245661</v>
      </c>
      <c r="O55" s="11">
        <f t="shared" si="8"/>
        <v>0.65352072278789619</v>
      </c>
      <c r="P55" s="11">
        <f t="shared" si="4"/>
        <v>6.8872785734937575E-2</v>
      </c>
      <c r="Q55" s="11"/>
      <c r="R55" s="46">
        <f>(1-(O55/O49))*100</f>
        <v>20.785219399538089</v>
      </c>
      <c r="X55" t="str">
        <f>IFERROR(INDEX('Date Key'!$G$57:$G$62, MATCH(B54,'Date Key'!$A$57:$A$62, 0)), "")</f>
        <v>Medium HLR, Upper Outlet Height, Yes Plants</v>
      </c>
      <c r="Y55" s="1">
        <f t="shared" ref="Y55:AE55" si="59">H54</f>
        <v>0.73354366843539365</v>
      </c>
      <c r="Z55" s="1">
        <f t="shared" si="59"/>
        <v>0.61350924996414735</v>
      </c>
      <c r="AA55" s="1">
        <f t="shared" si="59"/>
        <v>0.58683493474831483</v>
      </c>
      <c r="AB55" s="1">
        <f t="shared" si="59"/>
        <v>0.62684640757206367</v>
      </c>
      <c r="AC55" s="1">
        <f t="shared" si="59"/>
        <v>0.57349777714039862</v>
      </c>
      <c r="AD55" s="1">
        <f t="shared" si="59"/>
        <v>0.58683493474831483</v>
      </c>
      <c r="AE55" s="1">
        <f t="shared" si="59"/>
        <v>0.53348630431664978</v>
      </c>
      <c r="AF55" s="1">
        <f t="shared" ref="AF55:AL55" si="60">H55</f>
        <v>0.69353219561164481</v>
      </c>
      <c r="AG55" s="1">
        <f t="shared" si="60"/>
        <v>0.69353219561164481</v>
      </c>
      <c r="AH55" s="1">
        <f t="shared" si="60"/>
        <v>0.72020651082747744</v>
      </c>
      <c r="AI55" s="1">
        <f t="shared" si="60"/>
        <v>0.70686935321956101</v>
      </c>
      <c r="AJ55" s="1">
        <f t="shared" si="60"/>
        <v>0.64018356517997999</v>
      </c>
      <c r="AK55" s="1">
        <f t="shared" si="60"/>
        <v>0.57349777714039862</v>
      </c>
      <c r="AL55" s="1">
        <f t="shared" si="60"/>
        <v>0.5468234619245661</v>
      </c>
      <c r="AM55" s="1">
        <f t="shared" ref="AM55:AS55" si="61">H56</f>
        <v>1.0032690421706441</v>
      </c>
      <c r="AN55" s="1">
        <f t="shared" si="61"/>
        <v>1.1704805491990846</v>
      </c>
      <c r="AO55" s="1">
        <f t="shared" si="61"/>
        <v>1.1248774109186008</v>
      </c>
      <c r="AP55" s="1">
        <f t="shared" si="61"/>
        <v>1.0184700882641387</v>
      </c>
      <c r="AQ55" s="1">
        <f t="shared" si="61"/>
        <v>0.94246485779666556</v>
      </c>
      <c r="AR55" s="1">
        <f t="shared" si="61"/>
        <v>0.86645962732919257</v>
      </c>
      <c r="AS55" s="1">
        <f t="shared" si="61"/>
        <v>0.80565544295521407</v>
      </c>
    </row>
    <row r="56" spans="1:46" x14ac:dyDescent="0.35">
      <c r="A56" s="42">
        <f>IFERROR(INDEX('Date Key'!$B$2:$B$19, MATCH(F56,'Date Key'!$A$2:$A$19, 0)), "")</f>
        <v>45400</v>
      </c>
      <c r="B56" s="27">
        <f t="shared" si="15"/>
        <v>6</v>
      </c>
      <c r="C56" s="51" t="str">
        <f>IFERROR(INDEX('Date Key'!$G$57:$G$62, MATCH(B56,'Date Key'!$A$57:$A$62, 0)), "")</f>
        <v>Medium HLR, Upper Outlet Height, Yes Plants</v>
      </c>
      <c r="D56" s="27" t="str">
        <f>IFERROR(INDEX('Date Key'!$G$2:$G$19, MATCH(F56, 'Date Key'!$A$2:$A$19, 0)), "")</f>
        <v>Yes</v>
      </c>
      <c r="E56" s="27" t="str">
        <f t="shared" si="1"/>
        <v>tank 2</v>
      </c>
      <c r="F56" s="27">
        <f t="shared" si="2"/>
        <v>18</v>
      </c>
      <c r="G56" s="27">
        <f t="shared" si="22"/>
        <v>3</v>
      </c>
      <c r="H56" s="28" cm="1">
        <f t="array" ref="H56">IFERROR(INDEX('Master Data Sheet'!$1:$1048576, MATCH(1, ('Master Data Sheet'!$H:$H=H$2) * (INDEX('Master Data Sheet'!$1:$1, , MATCH($F$1, 'Master Data Sheet'!$1:$1, 0)) = $F$1) * ('Master Data Sheet'!$G:$G=$B56) * ('Master Data Sheet'!$F:$F=$E56) * ('Master Data Sheet'!$A:$A=$F56), 0), MATCH($F$1, 'Master Data Sheet'!$1:$1, 0)), "")</f>
        <v>1.0032690421706441</v>
      </c>
      <c r="I56" s="28" cm="1">
        <f t="array" ref="I56">IFERROR(INDEX('Master Data Sheet'!$1:$1048576, MATCH(1, ('Master Data Sheet'!$H:$H=I$2) * (INDEX('Master Data Sheet'!$1:$1, , MATCH($F$1, 'Master Data Sheet'!$1:$1, 0)) = $F$1) * ('Master Data Sheet'!$G:$G=$B56) * ('Master Data Sheet'!$F:$F=$E56) * ('Master Data Sheet'!$A:$A=$F56), 0), MATCH($F$1, 'Master Data Sheet'!$1:$1, 0)), "")</f>
        <v>1.1704805491990846</v>
      </c>
      <c r="J56" s="28" cm="1">
        <f t="array" ref="J56">IFERROR(INDEX('Master Data Sheet'!$1:$1048576, MATCH(1, ('Master Data Sheet'!$H:$H=J$2) * (INDEX('Master Data Sheet'!$1:$1, , MATCH($F$1, 'Master Data Sheet'!$1:$1, 0)) = $F$1) * ('Master Data Sheet'!$G:$G=$B56) * ('Master Data Sheet'!$F:$F=$E56) * ('Master Data Sheet'!$A:$A=$F56), 0), MATCH($F$1, 'Master Data Sheet'!$1:$1, 0)), "")</f>
        <v>1.1248774109186008</v>
      </c>
      <c r="K56" s="28" cm="1">
        <f t="array" ref="K56">IFERROR(INDEX('Master Data Sheet'!$1:$1048576, MATCH(1, ('Master Data Sheet'!$H:$H=K$2) * (INDEX('Master Data Sheet'!$1:$1, , MATCH($F$1, 'Master Data Sheet'!$1:$1, 0)) = $F$1) * ('Master Data Sheet'!$G:$G=$B56) * ('Master Data Sheet'!$F:$F=$E56) * ('Master Data Sheet'!$A:$A=$F56), 0), MATCH($F$1, 'Master Data Sheet'!$1:$1, 0)), "")</f>
        <v>1.0184700882641387</v>
      </c>
      <c r="L56" s="28" cm="1">
        <f t="array" ref="L56">IFERROR(INDEX('Master Data Sheet'!$1:$1048576, MATCH(1, ('Master Data Sheet'!$H:$H=L$2) * (INDEX('Master Data Sheet'!$1:$1, , MATCH($F$1, 'Master Data Sheet'!$1:$1, 0)) = $F$1) * ('Master Data Sheet'!$G:$G=$B56) * ('Master Data Sheet'!$F:$F=$E56) * ('Master Data Sheet'!$A:$A=$F56), 0), MATCH($F$1, 'Master Data Sheet'!$1:$1, 0)), "")</f>
        <v>0.94246485779666556</v>
      </c>
      <c r="M56" s="28" cm="1">
        <f t="array" ref="M56">IFERROR(INDEX('Master Data Sheet'!$1:$1048576, MATCH(1, ('Master Data Sheet'!$H:$H=M$2) * (INDEX('Master Data Sheet'!$1:$1, , MATCH($F$1, 'Master Data Sheet'!$1:$1, 0)) = $F$1) * ('Master Data Sheet'!$G:$G=$B56) * ('Master Data Sheet'!$F:$F=$E56) * ('Master Data Sheet'!$A:$A=$F56), 0), MATCH($F$1, 'Master Data Sheet'!$1:$1, 0)), "")</f>
        <v>0.86645962732919257</v>
      </c>
      <c r="N56" s="28" cm="1">
        <f t="array" ref="N56">IFERROR(INDEX('Master Data Sheet'!$1:$1048576, MATCH(1, ('Master Data Sheet'!$H:$H=N$2) * (INDEX('Master Data Sheet'!$1:$1, , MATCH($F$1, 'Master Data Sheet'!$1:$1, 0)) = $F$1) * ('Master Data Sheet'!$G:$G=$B56) * ('Master Data Sheet'!$F:$F=$E56) * ('Master Data Sheet'!$A:$A=$F56), 0), MATCH($F$1, 'Master Data Sheet'!$1:$1, 0)), "")</f>
        <v>0.80565544295521407</v>
      </c>
      <c r="O56" s="28">
        <f t="shared" si="8"/>
        <v>0.99023957409050589</v>
      </c>
      <c r="P56" s="28">
        <f t="shared" si="4"/>
        <v>0.13118440290100419</v>
      </c>
      <c r="Q56" s="28"/>
      <c r="R56" s="48">
        <f>(1-(O56/O50))*100</f>
        <v>-7.5471698113207308</v>
      </c>
      <c r="S56" s="27"/>
      <c r="T56" s="27"/>
      <c r="U56" s="27"/>
      <c r="V56" s="27"/>
    </row>
    <row r="58" spans="1:46" x14ac:dyDescent="0.35">
      <c r="X58" t="s">
        <v>456</v>
      </c>
      <c r="Y58" t="s">
        <v>465</v>
      </c>
    </row>
    <row r="59" spans="1:46" x14ac:dyDescent="0.35">
      <c r="X59" t="s">
        <v>344</v>
      </c>
      <c r="Y59" s="30" t="s">
        <v>457</v>
      </c>
      <c r="Z59" s="1">
        <f t="shared" ref="Z59:AT59" si="62">Y4</f>
        <v>5.5034274427791328</v>
      </c>
      <c r="AA59" s="1">
        <f t="shared" si="62"/>
        <v>1.8873010340420588</v>
      </c>
      <c r="AB59" s="1">
        <f t="shared" si="62"/>
        <v>2.5067967933077724</v>
      </c>
      <c r="AC59" s="1">
        <f t="shared" si="62"/>
        <v>2.4059486464505637</v>
      </c>
      <c r="AD59" s="1">
        <f t="shared" si="62"/>
        <v>2.8237481120018586</v>
      </c>
      <c r="AE59" s="1">
        <f t="shared" si="62"/>
        <v>3.0398512838387362</v>
      </c>
      <c r="AF59" s="1">
        <f t="shared" si="62"/>
        <v>3.7457883118392008</v>
      </c>
      <c r="AG59" s="1">
        <f t="shared" si="62"/>
        <v>0.95085395608225864</v>
      </c>
      <c r="AH59" s="1">
        <f t="shared" si="62"/>
        <v>1.7576391309399326</v>
      </c>
      <c r="AI59" s="1">
        <f t="shared" si="62"/>
        <v>2.1034042058789355</v>
      </c>
      <c r="AJ59" s="1">
        <f t="shared" si="62"/>
        <v>2.4203555245730222</v>
      </c>
      <c r="AK59" s="1">
        <f t="shared" si="62"/>
        <v>2.8525618682467764</v>
      </c>
      <c r="AL59" s="1">
        <f t="shared" si="62"/>
        <v>3.299175090042989</v>
      </c>
      <c r="AM59" s="1">
        <f t="shared" si="62"/>
        <v>3.457650749390031</v>
      </c>
      <c r="AN59" s="1">
        <f t="shared" si="62"/>
        <v>0.79237829673521554</v>
      </c>
      <c r="AO59" s="1">
        <f t="shared" si="62"/>
        <v>1.6279772278378064</v>
      </c>
      <c r="AP59" s="1">
        <f t="shared" si="62"/>
        <v>1.3974671778784711</v>
      </c>
      <c r="AQ59" s="1">
        <f t="shared" si="62"/>
        <v>1.5271290809805973</v>
      </c>
      <c r="AR59" s="1">
        <f t="shared" si="62"/>
        <v>1.49831532473568</v>
      </c>
      <c r="AS59" s="1">
        <f t="shared" si="62"/>
        <v>1.613570349715348</v>
      </c>
      <c r="AT59" s="1">
        <f t="shared" si="62"/>
        <v>1.5415359591030557</v>
      </c>
    </row>
    <row r="60" spans="1:46" x14ac:dyDescent="0.35">
      <c r="X60" t="s">
        <v>345</v>
      </c>
      <c r="Y60" s="30" t="s">
        <v>457</v>
      </c>
      <c r="Z60" s="1">
        <f t="shared" ref="Z60:AT60" si="63">Y7</f>
        <v>0.60508888114325554</v>
      </c>
      <c r="AA60" s="1">
        <f t="shared" si="63"/>
        <v>0.80678517485767398</v>
      </c>
      <c r="AB60" s="1">
        <f t="shared" si="63"/>
        <v>1.5271290809805973</v>
      </c>
      <c r="AC60" s="1">
        <f t="shared" si="63"/>
        <v>3.817822702451493</v>
      </c>
      <c r="AD60" s="1">
        <f t="shared" si="63"/>
        <v>0.69153014987800632</v>
      </c>
      <c r="AE60" s="1">
        <f t="shared" si="63"/>
        <v>4.1924015336354126</v>
      </c>
      <c r="AF60" s="1">
        <f t="shared" si="63"/>
        <v>2.1754385964912282</v>
      </c>
      <c r="AG60" s="1">
        <f t="shared" si="63"/>
        <v>1.1957708841640526</v>
      </c>
      <c r="AH60" s="1">
        <f t="shared" si="63"/>
        <v>1.181364006041594</v>
      </c>
      <c r="AI60" s="1">
        <f t="shared" si="63"/>
        <v>1.0372952248170093</v>
      </c>
      <c r="AJ60" s="1">
        <f t="shared" si="63"/>
        <v>1.1237364935517602</v>
      </c>
      <c r="AK60" s="1">
        <f t="shared" si="63"/>
        <v>1.7864528871848495</v>
      </c>
      <c r="AL60" s="1">
        <f t="shared" si="63"/>
        <v>1.1381433716742186</v>
      </c>
      <c r="AM60" s="1">
        <f t="shared" si="63"/>
        <v>1.368653421633554</v>
      </c>
      <c r="AN60" s="1">
        <f t="shared" si="63"/>
        <v>0.9364470779598002</v>
      </c>
      <c r="AO60" s="1">
        <f t="shared" si="63"/>
        <v>0.86441268734750776</v>
      </c>
      <c r="AP60" s="1">
        <f t="shared" si="63"/>
        <v>0.9364470779598002</v>
      </c>
      <c r="AQ60" s="1">
        <f t="shared" si="63"/>
        <v>0.97966771232717553</v>
      </c>
      <c r="AR60" s="1">
        <f t="shared" si="63"/>
        <v>0.86441268734750776</v>
      </c>
      <c r="AS60" s="1">
        <f t="shared" si="63"/>
        <v>0.9076333217148832</v>
      </c>
      <c r="AT60" s="1">
        <f t="shared" si="63"/>
        <v>1.0517021029394678</v>
      </c>
    </row>
    <row r="61" spans="1:46" x14ac:dyDescent="0.35">
      <c r="X61" t="s">
        <v>346</v>
      </c>
      <c r="Y61" s="30" t="s">
        <v>457</v>
      </c>
      <c r="Z61" s="1">
        <f t="shared" ref="Z61:AT61" si="64">Y10</f>
        <v>1.5991634715928895</v>
      </c>
      <c r="AA61" s="1">
        <f t="shared" si="64"/>
        <v>1.97374230277681</v>
      </c>
      <c r="AB61" s="1">
        <f t="shared" si="64"/>
        <v>3.8034158243290346</v>
      </c>
      <c r="AC61" s="1">
        <f t="shared" si="64"/>
        <v>1.181364006041594</v>
      </c>
      <c r="AD61" s="1">
        <f t="shared" si="64"/>
        <v>1.0805158591843849</v>
      </c>
      <c r="AE61" s="1">
        <f t="shared" si="64"/>
        <v>1.6423841059602649</v>
      </c>
      <c r="AF61" s="1">
        <f t="shared" si="64"/>
        <v>1.483908446613222</v>
      </c>
      <c r="AG61" s="1">
        <f t="shared" si="64"/>
        <v>2.9822237713489015</v>
      </c>
      <c r="AH61" s="1">
        <f t="shared" si="64"/>
        <v>2.0889973277564771</v>
      </c>
      <c r="AI61" s="1">
        <f t="shared" si="64"/>
        <v>2.0025560590217264</v>
      </c>
      <c r="AJ61" s="1">
        <f t="shared" si="64"/>
        <v>2.1322179621238524</v>
      </c>
      <c r="AK61" s="1">
        <f t="shared" si="64"/>
        <v>2.1466248402463113</v>
      </c>
      <c r="AL61" s="1">
        <f t="shared" si="64"/>
        <v>2.4347624026954806</v>
      </c>
      <c r="AM61" s="1">
        <f t="shared" si="64"/>
        <v>2.1898454746136866</v>
      </c>
      <c r="AN61" s="1">
        <f t="shared" si="64"/>
        <v>1.4695015684907635</v>
      </c>
      <c r="AO61" s="1">
        <f t="shared" si="64"/>
        <v>1.6856047403276406</v>
      </c>
      <c r="AP61" s="1">
        <f t="shared" si="64"/>
        <v>1.4118740560009293</v>
      </c>
      <c r="AQ61" s="1">
        <f t="shared" si="64"/>
        <v>1.4695015684907635</v>
      </c>
      <c r="AR61" s="1">
        <f t="shared" si="64"/>
        <v>1.4118740560009293</v>
      </c>
      <c r="AS61" s="1">
        <f t="shared" si="64"/>
        <v>1.368653421633554</v>
      </c>
      <c r="AT61" s="1">
        <f t="shared" si="64"/>
        <v>1.2101777622865111</v>
      </c>
    </row>
    <row r="62" spans="1:46" x14ac:dyDescent="0.35">
      <c r="X62" t="s">
        <v>344</v>
      </c>
      <c r="Y62" s="30" t="s">
        <v>458</v>
      </c>
      <c r="Z62" s="1">
        <f t="shared" ref="Z62:AT62" si="65">Y13</f>
        <v>0.66595059076262086</v>
      </c>
      <c r="AA62" s="1">
        <f t="shared" si="65"/>
        <v>0.76584317937701396</v>
      </c>
      <c r="AB62" s="1">
        <f t="shared" si="65"/>
        <v>1.7203723594701037</v>
      </c>
      <c r="AC62" s="1">
        <f t="shared" si="65"/>
        <v>2.1643394199785173</v>
      </c>
      <c r="AD62" s="1">
        <f t="shared" si="65"/>
        <v>2.0866451843895457</v>
      </c>
      <c r="AE62" s="1">
        <f t="shared" si="65"/>
        <v>2.042248478338704</v>
      </c>
      <c r="AF62" s="1">
        <f t="shared" si="65"/>
        <v>2.1754385964912286</v>
      </c>
      <c r="AG62" s="1">
        <f t="shared" si="65"/>
        <v>0.92123165055495881</v>
      </c>
      <c r="AH62" s="1">
        <f t="shared" si="65"/>
        <v>1.4428929466523452</v>
      </c>
      <c r="AI62" s="1">
        <f t="shared" si="65"/>
        <v>1.4983888292158969</v>
      </c>
      <c r="AJ62" s="1">
        <f t="shared" si="65"/>
        <v>5.8492660221983526</v>
      </c>
      <c r="AK62" s="1">
        <f t="shared" si="65"/>
        <v>1.853562477622628</v>
      </c>
      <c r="AL62" s="1">
        <f t="shared" si="65"/>
        <v>1.9201575366988897</v>
      </c>
      <c r="AM62" s="1">
        <f t="shared" si="65"/>
        <v>2.4751163623344072</v>
      </c>
      <c r="AN62" s="1">
        <f t="shared" si="65"/>
        <v>0.84727608494921502</v>
      </c>
      <c r="AO62" s="1">
        <f t="shared" si="65"/>
        <v>0.90452446906740536</v>
      </c>
      <c r="AP62" s="1">
        <f t="shared" si="65"/>
        <v>1.2365650969529085</v>
      </c>
      <c r="AQ62" s="1">
        <f t="shared" si="65"/>
        <v>1.0304709141274238</v>
      </c>
      <c r="AR62" s="1">
        <f t="shared" si="65"/>
        <v>0.84727608494921502</v>
      </c>
      <c r="AS62" s="1">
        <f t="shared" si="65"/>
        <v>0.80147737765466298</v>
      </c>
      <c r="AT62" s="1">
        <f t="shared" si="65"/>
        <v>0.85872576177285309</v>
      </c>
    </row>
    <row r="63" spans="1:46" x14ac:dyDescent="0.35">
      <c r="X63" t="s">
        <v>345</v>
      </c>
      <c r="Y63" s="30" t="s">
        <v>458</v>
      </c>
      <c r="Z63" s="1">
        <f t="shared" ref="Z63:AT63" si="66">Y16</f>
        <v>0.79914070891514488</v>
      </c>
      <c r="AA63" s="1">
        <f t="shared" si="66"/>
        <v>0.68814894378804159</v>
      </c>
      <c r="AB63" s="1">
        <f t="shared" si="66"/>
        <v>0.5993555316863588</v>
      </c>
      <c r="AC63" s="1">
        <f t="shared" si="66"/>
        <v>0.71034729681346231</v>
      </c>
      <c r="AD63" s="1">
        <f t="shared" si="66"/>
        <v>0.71034729681346231</v>
      </c>
      <c r="AE63" s="1">
        <f t="shared" si="66"/>
        <v>0.79914070891514488</v>
      </c>
      <c r="AF63" s="1">
        <f t="shared" si="66"/>
        <v>1.1321160042964553</v>
      </c>
      <c r="AG63" s="1">
        <f t="shared" si="66"/>
        <v>1.0655209452201935</v>
      </c>
      <c r="AH63" s="1">
        <f t="shared" si="66"/>
        <v>1.3430003580379519</v>
      </c>
      <c r="AI63" s="1">
        <f t="shared" si="66"/>
        <v>0.8102398854278553</v>
      </c>
      <c r="AJ63" s="1">
        <f t="shared" si="66"/>
        <v>1.1210168277837453</v>
      </c>
      <c r="AK63" s="1">
        <f t="shared" si="66"/>
        <v>1.0433225921947729</v>
      </c>
      <c r="AL63" s="1">
        <f t="shared" si="66"/>
        <v>1.0433225921947729</v>
      </c>
      <c r="AM63" s="1">
        <f t="shared" si="66"/>
        <v>1.1432151808091657</v>
      </c>
      <c r="AN63" s="1">
        <f t="shared" si="66"/>
        <v>0.77857802400738685</v>
      </c>
      <c r="AO63" s="1">
        <f t="shared" si="66"/>
        <v>0.79002770083102491</v>
      </c>
      <c r="AP63" s="1">
        <f t="shared" si="66"/>
        <v>0.79002770083102491</v>
      </c>
      <c r="AQ63" s="1">
        <f t="shared" si="66"/>
        <v>0.79002770083102491</v>
      </c>
      <c r="AR63" s="1">
        <f t="shared" si="66"/>
        <v>0.73277931671283458</v>
      </c>
      <c r="AS63" s="1">
        <f t="shared" si="66"/>
        <v>0.72132963988919652</v>
      </c>
      <c r="AT63" s="1">
        <f t="shared" si="66"/>
        <v>0.73277931671283458</v>
      </c>
    </row>
    <row r="64" spans="1:46" x14ac:dyDescent="0.35">
      <c r="X64" t="s">
        <v>346</v>
      </c>
      <c r="Y64" s="30" t="s">
        <v>458</v>
      </c>
      <c r="Z64" s="1">
        <f t="shared" ref="Z64:AT64" si="67">Y19</f>
        <v>1.2542069459362692</v>
      </c>
      <c r="AA64" s="1">
        <f t="shared" si="67"/>
        <v>1.1543143573218759</v>
      </c>
      <c r="AB64" s="1">
        <f t="shared" si="67"/>
        <v>1.0766201217329037</v>
      </c>
      <c r="AC64" s="1">
        <f t="shared" si="67"/>
        <v>0.9101324740422484</v>
      </c>
      <c r="AD64" s="1">
        <f t="shared" si="67"/>
        <v>0.79914070891514488</v>
      </c>
      <c r="AE64" s="1">
        <f t="shared" si="67"/>
        <v>0.85463659147869664</v>
      </c>
      <c r="AF64" s="1">
        <f t="shared" si="67"/>
        <v>1.1321160042964553</v>
      </c>
      <c r="AG64" s="1">
        <f t="shared" si="67"/>
        <v>1.6537773003938414</v>
      </c>
      <c r="AH64" s="1">
        <f t="shared" si="67"/>
        <v>1.8202649480844968</v>
      </c>
      <c r="AI64" s="1">
        <f t="shared" si="67"/>
        <v>1.3984962406015038</v>
      </c>
      <c r="AJ64" s="1">
        <f t="shared" si="67"/>
        <v>1.209810239885428</v>
      </c>
      <c r="AK64" s="1">
        <f t="shared" si="67"/>
        <v>1.1876118868600072</v>
      </c>
      <c r="AL64" s="1">
        <f t="shared" si="67"/>
        <v>1.1765127103472968</v>
      </c>
      <c r="AM64" s="1">
        <f t="shared" si="67"/>
        <v>1.1876118868600072</v>
      </c>
      <c r="AN64" s="1">
        <f t="shared" si="67"/>
        <v>1.5113573407202219</v>
      </c>
      <c r="AO64" s="1">
        <f t="shared" si="67"/>
        <v>1.4655586334256692</v>
      </c>
      <c r="AP64" s="1">
        <f t="shared" si="67"/>
        <v>1.3510618651892887</v>
      </c>
      <c r="AQ64" s="1">
        <f t="shared" si="67"/>
        <v>1.0991689750692522</v>
      </c>
      <c r="AR64" s="1">
        <f t="shared" si="67"/>
        <v>0.881625115420129</v>
      </c>
      <c r="AS64" s="1">
        <f t="shared" si="67"/>
        <v>0.74422899353647287</v>
      </c>
      <c r="AT64" s="1">
        <f t="shared" si="67"/>
        <v>0.66408125577100652</v>
      </c>
    </row>
    <row r="65" spans="24:46" x14ac:dyDescent="0.35">
      <c r="X65" t="s">
        <v>344</v>
      </c>
      <c r="Y65" s="30" t="s">
        <v>459</v>
      </c>
      <c r="Z65" s="1">
        <f t="shared" ref="Z65:AT65" si="68">Y22</f>
        <v>1.1220683287165283</v>
      </c>
      <c r="AA65" s="1">
        <f t="shared" si="68"/>
        <v>1.5113573407202219</v>
      </c>
      <c r="AB65" s="1">
        <f t="shared" si="68"/>
        <v>1.5800554016620498</v>
      </c>
      <c r="AC65" s="1">
        <f t="shared" si="68"/>
        <v>2.9425669436749766</v>
      </c>
      <c r="AD65" s="1">
        <f t="shared" si="68"/>
        <v>2.0265927977839331</v>
      </c>
      <c r="AE65" s="1">
        <f t="shared" si="68"/>
        <v>2.1983379501385043</v>
      </c>
      <c r="AF65" s="1">
        <f t="shared" si="68"/>
        <v>2.5876269621421977</v>
      </c>
      <c r="AG65" s="1">
        <f t="shared" si="68"/>
        <v>0.54958448753462608</v>
      </c>
      <c r="AH65" s="1">
        <f t="shared" si="68"/>
        <v>1.2365650969529085</v>
      </c>
      <c r="AI65" s="1">
        <f t="shared" si="68"/>
        <v>1.5228070175438599</v>
      </c>
      <c r="AJ65" s="1">
        <f t="shared" si="68"/>
        <v>1.683102493074792</v>
      </c>
      <c r="AK65" s="1">
        <f t="shared" si="68"/>
        <v>1.7060018467220681</v>
      </c>
      <c r="AL65" s="1">
        <f t="shared" si="68"/>
        <v>2.1754385964912282</v>
      </c>
      <c r="AM65" s="1">
        <f t="shared" si="68"/>
        <v>2.2784856879039701</v>
      </c>
      <c r="AN65" s="1">
        <f t="shared" si="68"/>
        <v>0.93887349953831944</v>
      </c>
      <c r="AO65" s="1">
        <f t="shared" si="68"/>
        <v>0.79002770083102491</v>
      </c>
      <c r="AP65" s="1">
        <f t="shared" si="68"/>
        <v>0.77857802400738685</v>
      </c>
      <c r="AQ65" s="1">
        <f t="shared" si="68"/>
        <v>0.72132963988919652</v>
      </c>
      <c r="AR65" s="1">
        <f t="shared" si="68"/>
        <v>0.67553093259464436</v>
      </c>
      <c r="AS65" s="1">
        <f t="shared" si="68"/>
        <v>0.68698060941828243</v>
      </c>
      <c r="AT65" s="1">
        <f t="shared" si="68"/>
        <v>0.69843028624192049</v>
      </c>
    </row>
    <row r="66" spans="24:46" x14ac:dyDescent="0.35">
      <c r="X66" t="s">
        <v>345</v>
      </c>
      <c r="Y66" s="30" t="s">
        <v>459</v>
      </c>
      <c r="Z66" s="1">
        <f t="shared" ref="Z66:AT66" si="69">Y25</f>
        <v>0.81292705447830083</v>
      </c>
      <c r="AA66" s="1">
        <f t="shared" si="69"/>
        <v>0.75567867036011094</v>
      </c>
      <c r="AB66" s="1">
        <f t="shared" si="69"/>
        <v>0.84727608494921502</v>
      </c>
      <c r="AC66" s="1">
        <f t="shared" si="69"/>
        <v>1.0991689750692522</v>
      </c>
      <c r="AD66" s="1">
        <f t="shared" si="69"/>
        <v>1.3052631578947369</v>
      </c>
      <c r="AE66" s="1">
        <f t="shared" si="69"/>
        <v>1.683102493074792</v>
      </c>
      <c r="AF66" s="1">
        <f t="shared" si="69"/>
        <v>1.8433979686057249</v>
      </c>
      <c r="AG66" s="1">
        <f t="shared" si="69"/>
        <v>1.1907663896583562</v>
      </c>
      <c r="AH66" s="1">
        <f t="shared" si="69"/>
        <v>1.076269621421976</v>
      </c>
      <c r="AI66" s="1">
        <f t="shared" si="69"/>
        <v>1.076269621421976</v>
      </c>
      <c r="AJ66" s="1">
        <f t="shared" si="69"/>
        <v>1.1335180055401664</v>
      </c>
      <c r="AK66" s="1">
        <f t="shared" si="69"/>
        <v>1.2594644506001846</v>
      </c>
      <c r="AL66" s="1">
        <f t="shared" si="69"/>
        <v>1.5342566943674976</v>
      </c>
      <c r="AM66" s="1">
        <f t="shared" si="69"/>
        <v>1.683102493074792</v>
      </c>
      <c r="AN66" s="1">
        <f t="shared" si="69"/>
        <v>1.328162511542013</v>
      </c>
      <c r="AO66" s="1">
        <f t="shared" si="69"/>
        <v>0.97322253000923364</v>
      </c>
      <c r="AP66" s="1">
        <f t="shared" si="69"/>
        <v>0.881625115420129</v>
      </c>
      <c r="AQ66" s="1">
        <f t="shared" si="69"/>
        <v>0.77857802400738685</v>
      </c>
      <c r="AR66" s="1">
        <f t="shared" si="69"/>
        <v>0.76712834718374878</v>
      </c>
      <c r="AS66" s="1">
        <f t="shared" si="69"/>
        <v>0.68698060941828243</v>
      </c>
      <c r="AT66" s="1">
        <f t="shared" si="69"/>
        <v>0.70987996306555845</v>
      </c>
    </row>
    <row r="67" spans="24:46" x14ac:dyDescent="0.35">
      <c r="X67" t="s">
        <v>346</v>
      </c>
      <c r="Y67" s="30" t="s">
        <v>459</v>
      </c>
      <c r="Z67" s="1">
        <f t="shared" ref="Z67:AT67" si="70">Y28</f>
        <v>1.2594644506001846</v>
      </c>
      <c r="AA67" s="1">
        <f t="shared" si="70"/>
        <v>1.1335180055401664</v>
      </c>
      <c r="AB67" s="1">
        <f t="shared" si="70"/>
        <v>1.0533702677746999</v>
      </c>
      <c r="AC67" s="1">
        <f t="shared" si="70"/>
        <v>1.1793167128347182</v>
      </c>
      <c r="AD67" s="1">
        <f t="shared" si="70"/>
        <v>1.1564173591874425</v>
      </c>
      <c r="AE67" s="1">
        <f t="shared" si="70"/>
        <v>1.4770083102493077</v>
      </c>
      <c r="AF67" s="1">
        <f t="shared" si="70"/>
        <v>1.5800554016620498</v>
      </c>
      <c r="AG67" s="1">
        <f t="shared" si="70"/>
        <v>3.7554939981532778</v>
      </c>
      <c r="AH67" s="1">
        <f t="shared" si="70"/>
        <v>2.1868882733148656</v>
      </c>
      <c r="AI67" s="1">
        <f t="shared" si="70"/>
        <v>1.4197599261311169</v>
      </c>
      <c r="AJ67" s="1">
        <f t="shared" si="70"/>
        <v>1.3052631578947369</v>
      </c>
      <c r="AK67" s="1">
        <f t="shared" si="70"/>
        <v>1.2594644506001846</v>
      </c>
      <c r="AL67" s="1">
        <f t="shared" si="70"/>
        <v>1.900646352723915</v>
      </c>
      <c r="AM67" s="1">
        <f t="shared" si="70"/>
        <v>1.431209602954755</v>
      </c>
      <c r="AN67" s="1">
        <f t="shared" si="70"/>
        <v>4.5111726685133879</v>
      </c>
      <c r="AO67" s="1">
        <f t="shared" si="70"/>
        <v>2.2097876269621417</v>
      </c>
      <c r="AP67" s="1">
        <f t="shared" si="70"/>
        <v>1.1335180055401664</v>
      </c>
      <c r="AQ67" s="1">
        <f t="shared" si="70"/>
        <v>0.85872576177285309</v>
      </c>
      <c r="AR67" s="1">
        <f t="shared" si="70"/>
        <v>0.61828254847645425</v>
      </c>
      <c r="AS67" s="1">
        <f t="shared" si="70"/>
        <v>0.59538319482917812</v>
      </c>
      <c r="AT67" s="1">
        <f t="shared" si="70"/>
        <v>0.80147737765466298</v>
      </c>
    </row>
    <row r="68" spans="24:46" x14ac:dyDescent="0.35">
      <c r="X68" t="s">
        <v>344</v>
      </c>
      <c r="Y68" s="30" t="s">
        <v>460</v>
      </c>
      <c r="Z68" s="1">
        <f t="shared" ref="Z68:AT68" si="71">Y31</f>
        <v>0.73277931671283458</v>
      </c>
      <c r="AA68" s="1">
        <f t="shared" si="71"/>
        <v>0.72132963988919652</v>
      </c>
      <c r="AB68" s="1">
        <f t="shared" si="71"/>
        <v>0.76712834718374878</v>
      </c>
      <c r="AC68" s="1">
        <f t="shared" si="71"/>
        <v>0.76712834718374878</v>
      </c>
      <c r="AD68" s="1">
        <f t="shared" si="71"/>
        <v>0.80147737765466298</v>
      </c>
      <c r="AE68" s="1">
        <f t="shared" si="71"/>
        <v>0.95032317636195751</v>
      </c>
      <c r="AF68" s="1">
        <f t="shared" si="71"/>
        <v>0.74422899353647287</v>
      </c>
      <c r="AG68" s="1">
        <f t="shared" si="71"/>
        <v>11.697890936728104</v>
      </c>
      <c r="AH68" s="1">
        <f t="shared" si="71"/>
        <v>7.704351130533917</v>
      </c>
      <c r="AI68" s="1">
        <f t="shared" si="71"/>
        <v>7.2684780543416307</v>
      </c>
      <c r="AJ68" s="1">
        <f t="shared" si="71"/>
        <v>8.364050921527646</v>
      </c>
      <c r="AK68" s="1">
        <f t="shared" si="71"/>
        <v>8.0577617328519864</v>
      </c>
      <c r="AL68" s="1">
        <f t="shared" si="71"/>
        <v>8.4111723351700558</v>
      </c>
      <c r="AM68" s="1">
        <f t="shared" si="71"/>
        <v>8.4700741022230677</v>
      </c>
      <c r="AN68" s="1">
        <f t="shared" si="71"/>
        <v>1.4850536535513541</v>
      </c>
      <c r="AO68" s="1">
        <f t="shared" si="71"/>
        <v>1.3662493612672457</v>
      </c>
      <c r="AP68" s="1">
        <f t="shared" si="71"/>
        <v>1.7939448134900355</v>
      </c>
      <c r="AQ68" s="1">
        <f t="shared" si="71"/>
        <v>2.0671946857434853</v>
      </c>
      <c r="AR68" s="1">
        <f t="shared" si="71"/>
        <v>2.0434338272866635</v>
      </c>
      <c r="AS68" s="1">
        <f t="shared" si="71"/>
        <v>2.42360756259581</v>
      </c>
      <c r="AT68" s="1">
        <f t="shared" si="71"/>
        <v>2.5542922841083291</v>
      </c>
    </row>
    <row r="69" spans="24:46" x14ac:dyDescent="0.35">
      <c r="X69" t="s">
        <v>345</v>
      </c>
      <c r="Y69" s="30" t="s">
        <v>460</v>
      </c>
      <c r="Z69" s="1">
        <f t="shared" ref="Z69:AT69" si="72">Y34</f>
        <v>0.97322253000923364</v>
      </c>
      <c r="AA69" s="1">
        <f t="shared" si="72"/>
        <v>0.92742382271468127</v>
      </c>
      <c r="AB69" s="1">
        <f t="shared" si="72"/>
        <v>0.81292705447830083</v>
      </c>
      <c r="AC69" s="1">
        <f t="shared" si="72"/>
        <v>0.75567867036011094</v>
      </c>
      <c r="AD69" s="1">
        <f t="shared" si="72"/>
        <v>0.74422899353647287</v>
      </c>
      <c r="AE69" s="1">
        <f t="shared" si="72"/>
        <v>0.73277931671283458</v>
      </c>
      <c r="AF69" s="1">
        <f t="shared" si="72"/>
        <v>0.73277931671283458</v>
      </c>
      <c r="AG69" s="1">
        <f t="shared" si="72"/>
        <v>6.6087782633479017</v>
      </c>
      <c r="AH69" s="1">
        <f t="shared" si="72"/>
        <v>7.3391601748052455</v>
      </c>
      <c r="AI69" s="1">
        <f t="shared" si="72"/>
        <v>6.9268478054341633</v>
      </c>
      <c r="AJ69" s="1">
        <f t="shared" si="72"/>
        <v>6.4438533155994699</v>
      </c>
      <c r="AK69" s="1">
        <f t="shared" si="72"/>
        <v>7.1271138134144021</v>
      </c>
      <c r="AL69" s="1">
        <f t="shared" si="72"/>
        <v>7.5394261827854843</v>
      </c>
      <c r="AM69" s="1">
        <f t="shared" si="72"/>
        <v>7.8692760782823488</v>
      </c>
      <c r="AN69" s="1">
        <f t="shared" si="72"/>
        <v>1.0454777721001534</v>
      </c>
      <c r="AO69" s="1">
        <f t="shared" si="72"/>
        <v>0.98607562595809906</v>
      </c>
      <c r="AP69" s="1">
        <f t="shared" si="72"/>
        <v>1.152401635155851</v>
      </c>
      <c r="AQ69" s="1">
        <f t="shared" si="72"/>
        <v>0.79598875830352589</v>
      </c>
      <c r="AR69" s="1">
        <f t="shared" si="72"/>
        <v>0.95043433827286672</v>
      </c>
      <c r="AS69" s="1">
        <f t="shared" si="72"/>
        <v>1.3187276443536025</v>
      </c>
      <c r="AT69" s="1">
        <f t="shared" si="72"/>
        <v>0.97419519672968824</v>
      </c>
    </row>
    <row r="70" spans="24:46" x14ac:dyDescent="0.35">
      <c r="X70" t="s">
        <v>346</v>
      </c>
      <c r="Y70" s="30" t="s">
        <v>460</v>
      </c>
      <c r="Z70" s="1">
        <f t="shared" ref="Z70:AT70" si="73">Y37</f>
        <v>1.9120960295475531</v>
      </c>
      <c r="AA70" s="1">
        <f t="shared" si="73"/>
        <v>1.9120960295475531</v>
      </c>
      <c r="AB70" s="1">
        <f t="shared" si="73"/>
        <v>1.2709141274238227</v>
      </c>
      <c r="AC70" s="1">
        <f t="shared" si="73"/>
        <v>0.95032317636195751</v>
      </c>
      <c r="AD70" s="1">
        <f t="shared" si="73"/>
        <v>0.90452446906740536</v>
      </c>
      <c r="AE70" s="1">
        <f t="shared" si="73"/>
        <v>0.76712834718374878</v>
      </c>
      <c r="AF70" s="1">
        <f t="shared" si="73"/>
        <v>0.81292705447830083</v>
      </c>
      <c r="AG70" s="1">
        <f t="shared" si="73"/>
        <v>35.129013870416124</v>
      </c>
      <c r="AH70" s="1">
        <f t="shared" si="73"/>
        <v>7.716131483944519</v>
      </c>
      <c r="AI70" s="1">
        <f t="shared" si="73"/>
        <v>11.144214326429793</v>
      </c>
      <c r="AJ70" s="1">
        <f t="shared" si="73"/>
        <v>6.5263157894736858</v>
      </c>
      <c r="AK70" s="1">
        <f t="shared" si="73"/>
        <v>6.5263157894736858</v>
      </c>
      <c r="AL70" s="1">
        <f t="shared" si="73"/>
        <v>6.9504085122553674</v>
      </c>
      <c r="AM70" s="1">
        <f t="shared" si="73"/>
        <v>7.4687440623218695</v>
      </c>
      <c r="AN70" s="1">
        <f t="shared" si="73"/>
        <v>1.2236842105263157</v>
      </c>
      <c r="AO70" s="1">
        <f t="shared" si="73"/>
        <v>1.6870209504343381</v>
      </c>
      <c r="AP70" s="1">
        <f t="shared" si="73"/>
        <v>1.1999233520694945</v>
      </c>
      <c r="AQ70" s="1">
        <f t="shared" si="73"/>
        <v>0.57026060296372005</v>
      </c>
      <c r="AR70" s="1">
        <f t="shared" si="73"/>
        <v>0.87915176290240138</v>
      </c>
      <c r="AS70" s="1">
        <f t="shared" si="73"/>
        <v>0.96231476750127742</v>
      </c>
      <c r="AT70" s="1">
        <f t="shared" si="73"/>
        <v>0.84351047521716904</v>
      </c>
    </row>
    <row r="71" spans="24:46" x14ac:dyDescent="0.35">
      <c r="X71" t="s">
        <v>344</v>
      </c>
      <c r="Y71" s="30" t="s">
        <v>461</v>
      </c>
      <c r="Z71" s="1">
        <f t="shared" ref="Z71:AT71" si="74">Y40</f>
        <v>9.3360103255413732E-2</v>
      </c>
      <c r="AA71" s="1">
        <f t="shared" si="74"/>
        <v>0.12003441847124621</v>
      </c>
      <c r="AB71" s="1">
        <f t="shared" si="74"/>
        <v>0.12003441847124621</v>
      </c>
      <c r="AC71" s="1">
        <f t="shared" si="74"/>
        <v>0.12003441847124621</v>
      </c>
      <c r="AD71" s="1">
        <f t="shared" si="74"/>
        <v>0.13337157607916245</v>
      </c>
      <c r="AE71" s="1">
        <f t="shared" si="74"/>
        <v>0.13337157607916245</v>
      </c>
      <c r="AF71" s="1">
        <f t="shared" si="74"/>
        <v>0.14670873368707871</v>
      </c>
      <c r="AG71" s="1">
        <f t="shared" si="74"/>
        <v>0.98694966298580222</v>
      </c>
      <c r="AH71" s="1">
        <f t="shared" si="74"/>
        <v>1.2536928151441273</v>
      </c>
      <c r="AI71" s="1">
        <f t="shared" si="74"/>
        <v>1.413738706439122</v>
      </c>
      <c r="AJ71" s="1">
        <f t="shared" si="74"/>
        <v>1.547110282518285</v>
      </c>
      <c r="AK71" s="1">
        <f t="shared" si="74"/>
        <v>1.613796070557866</v>
      </c>
      <c r="AL71" s="1">
        <f t="shared" si="74"/>
        <v>1.6538075433816148</v>
      </c>
      <c r="AM71" s="1">
        <f t="shared" si="74"/>
        <v>1.7738419618528609</v>
      </c>
      <c r="AN71" s="1">
        <f t="shared" si="74"/>
        <v>0.12003441847124621</v>
      </c>
      <c r="AO71" s="1">
        <f t="shared" si="74"/>
        <v>0.10669726086332998</v>
      </c>
      <c r="AP71" s="1">
        <f t="shared" si="74"/>
        <v>0.36010325541373872</v>
      </c>
      <c r="AQ71" s="1">
        <f t="shared" si="74"/>
        <v>0.69353219561164481</v>
      </c>
      <c r="AR71" s="1">
        <f t="shared" si="74"/>
        <v>0.86691524451455604</v>
      </c>
      <c r="AS71" s="1">
        <f t="shared" si="74"/>
        <v>0.92026387494622097</v>
      </c>
      <c r="AT71" s="1">
        <f t="shared" si="74"/>
        <v>1.133658396672881</v>
      </c>
    </row>
    <row r="72" spans="24:46" x14ac:dyDescent="0.35">
      <c r="X72" t="s">
        <v>345</v>
      </c>
      <c r="Y72" s="30" t="s">
        <v>461</v>
      </c>
      <c r="Z72" s="1">
        <f t="shared" ref="Z72:AT72" si="75">Y43</f>
        <v>0.42678904345331992</v>
      </c>
      <c r="AA72" s="1">
        <f t="shared" si="75"/>
        <v>0.33342894019790625</v>
      </c>
      <c r="AB72" s="1">
        <f t="shared" si="75"/>
        <v>0.22673167933457619</v>
      </c>
      <c r="AC72" s="1">
        <f t="shared" si="75"/>
        <v>0.18672020651082746</v>
      </c>
      <c r="AD72" s="1">
        <f t="shared" si="75"/>
        <v>0.1733830489029112</v>
      </c>
      <c r="AE72" s="1">
        <f t="shared" si="75"/>
        <v>0.1733830489029112</v>
      </c>
      <c r="AF72" s="1">
        <f t="shared" si="75"/>
        <v>0.18672020651082746</v>
      </c>
      <c r="AG72" s="1">
        <f t="shared" si="75"/>
        <v>0.52014914670873358</v>
      </c>
      <c r="AH72" s="1">
        <f t="shared" si="75"/>
        <v>0.60017209235623115</v>
      </c>
      <c r="AI72" s="1">
        <f t="shared" si="75"/>
        <v>0.78689229886705858</v>
      </c>
      <c r="AJ72" s="1">
        <f t="shared" si="75"/>
        <v>0.92026387494622097</v>
      </c>
      <c r="AK72" s="1">
        <f t="shared" si="75"/>
        <v>1.0936469238491322</v>
      </c>
      <c r="AL72" s="1">
        <f t="shared" si="75"/>
        <v>1.2003441847124623</v>
      </c>
      <c r="AM72" s="1">
        <f t="shared" si="75"/>
        <v>1.2937042879678762</v>
      </c>
      <c r="AN72" s="1">
        <f t="shared" si="75"/>
        <v>0.50681198910081726</v>
      </c>
      <c r="AO72" s="1">
        <f t="shared" si="75"/>
        <v>0.36010325541373872</v>
      </c>
      <c r="AP72" s="1">
        <f t="shared" si="75"/>
        <v>0.22673167933457619</v>
      </c>
      <c r="AQ72" s="1">
        <f t="shared" si="75"/>
        <v>0.38677757062957124</v>
      </c>
      <c r="AR72" s="1">
        <f t="shared" si="75"/>
        <v>0.50681198910081726</v>
      </c>
      <c r="AS72" s="1">
        <f t="shared" si="75"/>
        <v>0.57349777714039862</v>
      </c>
      <c r="AT72" s="1">
        <f t="shared" si="75"/>
        <v>0.65352072278789619</v>
      </c>
    </row>
    <row r="73" spans="24:46" x14ac:dyDescent="0.35">
      <c r="X73" t="s">
        <v>346</v>
      </c>
      <c r="Y73" s="30" t="s">
        <v>461</v>
      </c>
      <c r="Z73" s="1">
        <f t="shared" ref="Z73:AT73" si="76">Y46</f>
        <v>1.080309766241216</v>
      </c>
      <c r="AA73" s="1">
        <f t="shared" si="76"/>
        <v>0.84024092929872363</v>
      </c>
      <c r="AB73" s="1">
        <f t="shared" si="76"/>
        <v>0.40011472823748739</v>
      </c>
      <c r="AC73" s="1">
        <f t="shared" si="76"/>
        <v>0.18672020651082746</v>
      </c>
      <c r="AD73" s="1">
        <f t="shared" si="76"/>
        <v>0.1733830489029112</v>
      </c>
      <c r="AE73" s="1">
        <f t="shared" si="76"/>
        <v>0.12003441847124621</v>
      </c>
      <c r="AF73" s="1">
        <f t="shared" si="76"/>
        <v>0.10669726086332998</v>
      </c>
      <c r="AG73" s="1">
        <f t="shared" si="76"/>
        <v>0.84024092929872363</v>
      </c>
      <c r="AH73" s="1">
        <f t="shared" si="76"/>
        <v>0.84024092929872363</v>
      </c>
      <c r="AI73" s="1">
        <f t="shared" si="76"/>
        <v>0.73354366843539365</v>
      </c>
      <c r="AJ73" s="1">
        <f t="shared" si="76"/>
        <v>0.92026387494622097</v>
      </c>
      <c r="AK73" s="1">
        <f t="shared" si="76"/>
        <v>1.0136239782016345</v>
      </c>
      <c r="AL73" s="1">
        <f t="shared" si="76"/>
        <v>1.1069840814570484</v>
      </c>
      <c r="AM73" s="1">
        <f t="shared" si="76"/>
        <v>1.1203212390649646</v>
      </c>
      <c r="AN73" s="1">
        <f t="shared" si="76"/>
        <v>1.2937042879678762</v>
      </c>
      <c r="AO73" s="1">
        <f t="shared" si="76"/>
        <v>0.65352072278789619</v>
      </c>
      <c r="AP73" s="1">
        <f t="shared" si="76"/>
        <v>0.33342894019790625</v>
      </c>
      <c r="AQ73" s="1">
        <f t="shared" si="76"/>
        <v>0.42678904345331992</v>
      </c>
      <c r="AR73" s="1">
        <f t="shared" si="76"/>
        <v>0.49347483149290111</v>
      </c>
      <c r="AS73" s="1">
        <f t="shared" si="76"/>
        <v>0.58683493474831483</v>
      </c>
      <c r="AT73" s="1">
        <f t="shared" si="76"/>
        <v>0.65352072278789619</v>
      </c>
    </row>
    <row r="74" spans="24:46" x14ac:dyDescent="0.35">
      <c r="X74" t="s">
        <v>344</v>
      </c>
      <c r="Y74" s="30" t="s">
        <v>462</v>
      </c>
      <c r="Z74" s="1">
        <f t="shared" ref="Z74:AT74" si="77">Y49</f>
        <v>0.29341746737415741</v>
      </c>
      <c r="AA74" s="1">
        <f t="shared" si="77"/>
        <v>0.40011472823748739</v>
      </c>
      <c r="AB74" s="1">
        <f t="shared" si="77"/>
        <v>0.48013767388498485</v>
      </c>
      <c r="AC74" s="1">
        <f t="shared" si="77"/>
        <v>0.58683493474831483</v>
      </c>
      <c r="AD74" s="1">
        <f t="shared" si="77"/>
        <v>0.61350924996414735</v>
      </c>
      <c r="AE74" s="1">
        <f t="shared" si="77"/>
        <v>0.74688082604330985</v>
      </c>
      <c r="AF74" s="1">
        <f t="shared" si="77"/>
        <v>0.80022945647497479</v>
      </c>
      <c r="AG74" s="1">
        <f t="shared" si="77"/>
        <v>0.42678904345331992</v>
      </c>
      <c r="AH74" s="1">
        <f t="shared" si="77"/>
        <v>0.58683493474831483</v>
      </c>
      <c r="AI74" s="1">
        <f t="shared" si="77"/>
        <v>0.66685788039581251</v>
      </c>
      <c r="AJ74" s="1">
        <f t="shared" si="77"/>
        <v>0.82690377169080742</v>
      </c>
      <c r="AK74" s="1">
        <f t="shared" si="77"/>
        <v>0.9336010325541374</v>
      </c>
      <c r="AL74" s="1">
        <f t="shared" si="77"/>
        <v>1.0669726086332996</v>
      </c>
      <c r="AM74" s="1">
        <f t="shared" si="77"/>
        <v>1.2670299727520435</v>
      </c>
      <c r="AN74" s="1">
        <f t="shared" si="77"/>
        <v>1.0640732265446224</v>
      </c>
      <c r="AO74" s="1">
        <f t="shared" si="77"/>
        <v>1.0032690421706441</v>
      </c>
      <c r="AP74" s="1">
        <f t="shared" si="77"/>
        <v>0.97286694998365497</v>
      </c>
      <c r="AQ74" s="1">
        <f t="shared" si="77"/>
        <v>0.89686171951618177</v>
      </c>
      <c r="AR74" s="1">
        <f t="shared" si="77"/>
        <v>0.86645962732919257</v>
      </c>
      <c r="AS74" s="1">
        <f t="shared" si="77"/>
        <v>0.83605753514220338</v>
      </c>
      <c r="AT74" s="1">
        <f t="shared" si="77"/>
        <v>0.80565544295521407</v>
      </c>
    </row>
    <row r="75" spans="24:46" x14ac:dyDescent="0.35">
      <c r="X75" t="s">
        <v>345</v>
      </c>
      <c r="Y75" s="30" t="s">
        <v>462</v>
      </c>
      <c r="Z75" s="1">
        <f t="shared" ref="Z75:AT75" si="78">Y52</f>
        <v>0.49347483149290111</v>
      </c>
      <c r="AA75" s="1">
        <f t="shared" si="78"/>
        <v>0.24006883694249243</v>
      </c>
      <c r="AB75" s="1">
        <f t="shared" si="78"/>
        <v>0.24006883694249243</v>
      </c>
      <c r="AC75" s="1">
        <f t="shared" si="78"/>
        <v>0.26674315215832489</v>
      </c>
      <c r="AD75" s="1">
        <f t="shared" si="78"/>
        <v>0.21339452172665996</v>
      </c>
      <c r="AE75" s="1">
        <f t="shared" si="78"/>
        <v>0.26674315215832489</v>
      </c>
      <c r="AF75" s="1">
        <f t="shared" si="78"/>
        <v>0.21339452172665996</v>
      </c>
      <c r="AG75" s="1">
        <f t="shared" si="78"/>
        <v>0.30675462498207368</v>
      </c>
      <c r="AH75" s="1">
        <f t="shared" si="78"/>
        <v>0.32009178258998999</v>
      </c>
      <c r="AI75" s="1">
        <f t="shared" si="78"/>
        <v>0.3467660978058224</v>
      </c>
      <c r="AJ75" s="1">
        <f t="shared" si="78"/>
        <v>0.3467660978058224</v>
      </c>
      <c r="AK75" s="1">
        <f t="shared" si="78"/>
        <v>0.32009178258998999</v>
      </c>
      <c r="AL75" s="1">
        <f t="shared" si="78"/>
        <v>0.40011472823748739</v>
      </c>
      <c r="AM75" s="1">
        <f t="shared" si="78"/>
        <v>0.4668005162770687</v>
      </c>
      <c r="AN75" s="1">
        <f t="shared" si="78"/>
        <v>0.76005230467473039</v>
      </c>
      <c r="AO75" s="1">
        <f t="shared" si="78"/>
        <v>0.79045439686171948</v>
      </c>
      <c r="AP75" s="1">
        <f t="shared" si="78"/>
        <v>0.72965021248774109</v>
      </c>
      <c r="AQ75" s="1">
        <f t="shared" si="78"/>
        <v>0.71444916639424649</v>
      </c>
      <c r="AR75" s="1">
        <f t="shared" si="78"/>
        <v>0.71444916639424649</v>
      </c>
      <c r="AS75" s="1">
        <f t="shared" si="78"/>
        <v>0.653644982020268</v>
      </c>
      <c r="AT75" s="1">
        <f t="shared" si="78"/>
        <v>0.6080418437397842</v>
      </c>
    </row>
    <row r="76" spans="24:46" x14ac:dyDescent="0.35">
      <c r="X76" t="s">
        <v>346</v>
      </c>
      <c r="Y76" s="30" t="s">
        <v>462</v>
      </c>
      <c r="Z76" s="1">
        <f t="shared" ref="Z76:AT76" si="79">Y55</f>
        <v>0.73354366843539365</v>
      </c>
      <c r="AA76" s="1">
        <f t="shared" si="79"/>
        <v>0.61350924996414735</v>
      </c>
      <c r="AB76" s="1">
        <f t="shared" si="79"/>
        <v>0.58683493474831483</v>
      </c>
      <c r="AC76" s="1">
        <f t="shared" si="79"/>
        <v>0.62684640757206367</v>
      </c>
      <c r="AD76" s="1">
        <f t="shared" si="79"/>
        <v>0.57349777714039862</v>
      </c>
      <c r="AE76" s="1">
        <f t="shared" si="79"/>
        <v>0.58683493474831483</v>
      </c>
      <c r="AF76" s="1">
        <f t="shared" si="79"/>
        <v>0.53348630431664978</v>
      </c>
      <c r="AG76" s="1">
        <f t="shared" si="79"/>
        <v>0.69353219561164481</v>
      </c>
      <c r="AH76" s="1">
        <f t="shared" si="79"/>
        <v>0.69353219561164481</v>
      </c>
      <c r="AI76" s="1">
        <f t="shared" si="79"/>
        <v>0.72020651082747744</v>
      </c>
      <c r="AJ76" s="1">
        <f t="shared" si="79"/>
        <v>0.70686935321956101</v>
      </c>
      <c r="AK76" s="1">
        <f t="shared" si="79"/>
        <v>0.64018356517997999</v>
      </c>
      <c r="AL76" s="1">
        <f t="shared" si="79"/>
        <v>0.57349777714039862</v>
      </c>
      <c r="AM76" s="1">
        <f t="shared" si="79"/>
        <v>0.5468234619245661</v>
      </c>
      <c r="AN76" s="1">
        <f t="shared" si="79"/>
        <v>1.0032690421706441</v>
      </c>
      <c r="AO76" s="1">
        <f t="shared" si="79"/>
        <v>1.1704805491990846</v>
      </c>
      <c r="AP76" s="1">
        <f t="shared" si="79"/>
        <v>1.1248774109186008</v>
      </c>
      <c r="AQ76" s="1">
        <f t="shared" si="79"/>
        <v>1.0184700882641387</v>
      </c>
      <c r="AR76" s="1">
        <f t="shared" si="79"/>
        <v>0.94246485779666556</v>
      </c>
      <c r="AS76" s="1">
        <f t="shared" si="79"/>
        <v>0.86645962732919257</v>
      </c>
      <c r="AT76" s="1">
        <f t="shared" si="79"/>
        <v>0.80565544295521407</v>
      </c>
    </row>
    <row r="79" spans="24:46" x14ac:dyDescent="0.35">
      <c r="X79" t="s">
        <v>530</v>
      </c>
    </row>
    <row r="80" spans="24:46" x14ac:dyDescent="0.35">
      <c r="X80" t="s">
        <v>529</v>
      </c>
      <c r="Y80" t="s">
        <v>528</v>
      </c>
    </row>
    <row r="81" spans="24:25" x14ac:dyDescent="0.35">
      <c r="X81">
        <v>0</v>
      </c>
      <c r="Y81" s="1">
        <f>AVERAGE(H52:H53)</f>
        <v>0.53340346482840206</v>
      </c>
    </row>
    <row r="82" spans="24:25" x14ac:dyDescent="0.35">
      <c r="X82">
        <f t="shared" ref="X82:X87" si="80">X81+30</f>
        <v>30</v>
      </c>
      <c r="Y82" s="1">
        <f>AVERAGE(I51:I53)</f>
        <v>0.45020500546473396</v>
      </c>
    </row>
    <row r="83" spans="24:25" x14ac:dyDescent="0.35">
      <c r="X83">
        <f t="shared" si="80"/>
        <v>60</v>
      </c>
      <c r="Y83" s="1">
        <f>AVERAGE(J51:J53)</f>
        <v>0.43882838241201866</v>
      </c>
    </row>
    <row r="84" spans="24:25" x14ac:dyDescent="0.35">
      <c r="X84">
        <f t="shared" si="80"/>
        <v>90</v>
      </c>
      <c r="Y84" s="1">
        <f>AVERAGE(K51:K53)</f>
        <v>0.44265280545279789</v>
      </c>
    </row>
    <row r="85" spans="24:25" x14ac:dyDescent="0.35">
      <c r="X85">
        <f t="shared" si="80"/>
        <v>120</v>
      </c>
      <c r="Y85" s="1">
        <f>AVERAGE(L51:L53)</f>
        <v>0.41597849023696548</v>
      </c>
    </row>
    <row r="86" spans="24:25" x14ac:dyDescent="0.35">
      <c r="X86">
        <f t="shared" si="80"/>
        <v>150</v>
      </c>
      <c r="Y86" s="1">
        <f>AVERAGE(M51:M53)</f>
        <v>0.44016762080536004</v>
      </c>
    </row>
    <row r="87" spans="24:25" x14ac:dyDescent="0.35">
      <c r="X87">
        <f t="shared" si="80"/>
        <v>180</v>
      </c>
      <c r="Y87" s="1">
        <f>AVERAGE(N51:N53)</f>
        <v>0.42941229391450425</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DA5194-B375-49B0-9361-3EE8FB92F525}">
  <sheetPr codeName="Sheet17">
    <tabColor theme="8" tint="0.39997558519241921"/>
  </sheetPr>
  <dimension ref="A1:AT87"/>
  <sheetViews>
    <sheetView topLeftCell="C1" zoomScale="75" zoomScaleNormal="75" workbookViewId="0">
      <selection activeCell="L34" sqref="L34"/>
    </sheetView>
  </sheetViews>
  <sheetFormatPr defaultColWidth="11" defaultRowHeight="15.5" x14ac:dyDescent="0.35"/>
  <cols>
    <col min="1" max="1" width="14.6640625" style="65" customWidth="1"/>
    <col min="2" max="2" width="12.08203125" style="4" customWidth="1"/>
    <col min="3" max="3" width="41.33203125" style="4" customWidth="1"/>
    <col min="4" max="4" width="8.5" style="4" customWidth="1"/>
    <col min="5" max="22" width="11" style="4"/>
    <col min="24" max="24" width="17" customWidth="1"/>
  </cols>
  <sheetData>
    <row r="1" spans="1:45" ht="23.5" x14ac:dyDescent="0.35">
      <c r="A1" s="50" t="s">
        <v>467</v>
      </c>
      <c r="C1" s="26" t="s">
        <v>468</v>
      </c>
      <c r="F1" s="70" t="s">
        <v>21</v>
      </c>
      <c r="G1" s="26" t="s">
        <v>527</v>
      </c>
    </row>
    <row r="2" spans="1:45" ht="49.5" customHeight="1" x14ac:dyDescent="0.35">
      <c r="A2" s="18"/>
      <c r="B2" s="18" t="s">
        <v>433</v>
      </c>
      <c r="C2" s="18" t="s">
        <v>466</v>
      </c>
      <c r="D2" s="18" t="s">
        <v>497</v>
      </c>
      <c r="E2" s="18" t="s">
        <v>387</v>
      </c>
      <c r="F2" s="18" t="s">
        <v>404</v>
      </c>
      <c r="G2" s="18" t="s">
        <v>454</v>
      </c>
      <c r="H2" s="18">
        <v>0</v>
      </c>
      <c r="I2" s="18">
        <v>30</v>
      </c>
      <c r="J2" s="18">
        <v>60</v>
      </c>
      <c r="K2" s="18">
        <v>90</v>
      </c>
      <c r="L2" s="18">
        <v>120</v>
      </c>
      <c r="M2" s="18">
        <v>150</v>
      </c>
      <c r="N2" s="18">
        <v>180</v>
      </c>
      <c r="O2" s="19" t="s">
        <v>340</v>
      </c>
      <c r="P2" s="19" t="s">
        <v>547</v>
      </c>
      <c r="Q2" s="19" t="s">
        <v>340</v>
      </c>
      <c r="R2" s="19" t="s">
        <v>341</v>
      </c>
      <c r="S2" s="19" t="s">
        <v>342</v>
      </c>
      <c r="T2" s="19" t="s">
        <v>547</v>
      </c>
      <c r="U2" s="19" t="s">
        <v>475</v>
      </c>
      <c r="V2" s="19" t="s">
        <v>533</v>
      </c>
    </row>
    <row r="3" spans="1:45" x14ac:dyDescent="0.35">
      <c r="A3" s="41">
        <f>IFERROR(INDEX('Date Key'!$B$2:$B$19, MATCH(F3,'Date Key'!$A$2:$A$19, 0)), "")</f>
        <v>45175</v>
      </c>
      <c r="B3" s="4">
        <f>INT((ROW(A1)-1)/9)+1</f>
        <v>1</v>
      </c>
      <c r="C3" s="26" t="str">
        <f>IFERROR(INDEX('Date Key'!$G$57:$G$62, MATCH(B3,'Date Key'!$A$57:$A$62, 0)), "")</f>
        <v>Low HLR, Lower Outlet Height, No Plants</v>
      </c>
      <c r="D3" s="4" t="str">
        <f>IFERROR(INDEX('Date Key'!$G$2:$G$19, MATCH(F3, 'Date Key'!$A$2:$A$19, 0)), "")</f>
        <v>No</v>
      </c>
      <c r="E3" s="4" t="str">
        <f>CHOOSE(MOD(ROW(G3)-ROW($G$3), 9) + 1, "in", "in", "in", "tank 1", "tank 1", "tank 1", "tank 2", "tank 2", "tank 2")</f>
        <v>in</v>
      </c>
      <c r="F3" s="4">
        <f>MOD(ROW(G3)-ROW($G$3), 3) + 1 + 3 * INT((ROW(G3)-ROW($G$3))/9)</f>
        <v>1</v>
      </c>
      <c r="G3" s="4">
        <f>MOD(ROW(G3)-ROW($G$3), 3) + 1</f>
        <v>1</v>
      </c>
      <c r="H3" s="11" cm="1">
        <f t="array" ref="H3">IFERROR(INDEX('Master Data Sheet'!$1:$1048576, MATCH(1, ('Master Data Sheet'!$H:$H=H$2) * (INDEX('Master Data Sheet'!$1:$1, , MATCH($F$1, 'Master Data Sheet'!$1:$1, 0)) = $F$1) * ('Master Data Sheet'!$G:$G=$B3) * ('Master Data Sheet'!$F:$F=$E3) * ('Master Data Sheet'!$A:$A=$F3), 0), MATCH($F$1, 'Master Data Sheet'!$1:$1, 0)), "")</f>
        <v>143.01957129543337</v>
      </c>
      <c r="I3" s="11" cm="1">
        <f t="array" ref="I3">IFERROR(INDEX('Master Data Sheet'!$1:$1048576, MATCH(1, ('Master Data Sheet'!$H:$H=I$2) * (INDEX('Master Data Sheet'!$1:$1, , MATCH($F$1, 'Master Data Sheet'!$1:$1, 0)) = $F$1) * ('Master Data Sheet'!$G:$G=$B3) * ('Master Data Sheet'!$F:$F=$E3) * ('Master Data Sheet'!$A:$A=$F3), 0), MATCH($F$1, 'Master Data Sheet'!$1:$1, 0)), "")</f>
        <v>131.01584342963653</v>
      </c>
      <c r="J3" s="11" cm="1">
        <f t="array" ref="J3">IFERROR(INDEX('Master Data Sheet'!$1:$1048576, MATCH(1, ('Master Data Sheet'!$H:$H=J$2) * (INDEX('Master Data Sheet'!$1:$1, , MATCH($F$1, 'Master Data Sheet'!$1:$1, 0)) = $F$1) * ('Master Data Sheet'!$G:$G=$B3) * ('Master Data Sheet'!$F:$F=$E3) * ('Master Data Sheet'!$A:$A=$F3), 0), MATCH($F$1, 'Master Data Sheet'!$1:$1, 0)), "")</f>
        <v>130.0465983224604</v>
      </c>
      <c r="K3" s="11" cm="1">
        <f t="array" ref="K3">IFERROR(INDEX('Master Data Sheet'!$1:$1048576, MATCH(1, ('Master Data Sheet'!$H:$H=K$2) * (INDEX('Master Data Sheet'!$1:$1, , MATCH($F$1, 'Master Data Sheet'!$1:$1, 0)) = $F$1) * ('Master Data Sheet'!$G:$G=$B3) * ('Master Data Sheet'!$F:$F=$E3) * ('Master Data Sheet'!$A:$A=$F3), 0), MATCH($F$1, 'Master Data Sheet'!$1:$1, 0)), "")</f>
        <v>116.16029822926374</v>
      </c>
      <c r="L3" s="11" cm="1">
        <f t="array" ref="L3">IFERROR(INDEX('Master Data Sheet'!$1:$1048576, MATCH(1, ('Master Data Sheet'!$H:$H=L$2) * (INDEX('Master Data Sheet'!$1:$1, , MATCH($F$1, 'Master Data Sheet'!$1:$1, 0)) = $F$1) * ('Master Data Sheet'!$G:$G=$B3) * ('Master Data Sheet'!$F:$F=$E3) * ('Master Data Sheet'!$A:$A=$F3), 0), MATCH($F$1, 'Master Data Sheet'!$1:$1, 0)), "")</f>
        <v>112.26467847157501</v>
      </c>
      <c r="M3" s="11" cm="1">
        <f t="array" ref="M3">IFERROR(INDEX('Master Data Sheet'!$1:$1048576, MATCH(1, ('Master Data Sheet'!$H:$H=M$2) * (INDEX('Master Data Sheet'!$1:$1, , MATCH($F$1, 'Master Data Sheet'!$1:$1, 0)) = $F$1) * ('Master Data Sheet'!$G:$G=$B3) * ('Master Data Sheet'!$F:$F=$E3) * ('Master Data Sheet'!$A:$A=$F3), 0), MATCH($F$1, 'Master Data Sheet'!$1:$1, 0)), "")</f>
        <v>110.25163094128611</v>
      </c>
      <c r="N3" s="11" cm="1">
        <f t="array" ref="N3">IFERROR(INDEX('Master Data Sheet'!$1:$1048576, MATCH(1, ('Master Data Sheet'!$H:$H=N$2) * (INDEX('Master Data Sheet'!$1:$1, , MATCH($F$1, 'Master Data Sheet'!$1:$1, 0)) = $F$1) * ('Master Data Sheet'!$G:$G=$B3) * ('Master Data Sheet'!$F:$F=$E3) * ('Master Data Sheet'!$A:$A=$F3), 0), MATCH($F$1, 'Master Data Sheet'!$1:$1, 0)), "")</f>
        <v>117.44641192917055</v>
      </c>
      <c r="O3" s="11">
        <f>AVERAGE(H3:N3)</f>
        <v>122.88643323126082</v>
      </c>
      <c r="P3" s="11">
        <f>STDEV(H3:N3)</f>
        <v>12.041547170329801</v>
      </c>
      <c r="Q3" s="11">
        <f>AVERAGE(O3,O5)</f>
        <v>107.02835840766875</v>
      </c>
      <c r="S3" s="46">
        <f>AVERAGE(O3:O5)</f>
        <v>105.48351306971996</v>
      </c>
      <c r="T3" s="46">
        <f>AVERAGE(P3:P5)</f>
        <v>14.535569610139978</v>
      </c>
      <c r="V3" s="47">
        <f>AVERAGE(U6, U9)</f>
        <v>60.601574842329164</v>
      </c>
      <c r="X3" t="s">
        <v>343</v>
      </c>
    </row>
    <row r="4" spans="1:45" x14ac:dyDescent="0.35">
      <c r="A4" s="41">
        <f>IFERROR(INDEX('Date Key'!$B$2:$B$19, MATCH(F4,'Date Key'!$A$2:$A$19, 0)), "")</f>
        <v>45181</v>
      </c>
      <c r="B4" s="4">
        <f t="shared" ref="B4:B11" si="0">INT((ROW(B2)-1)/9)+1</f>
        <v>1</v>
      </c>
      <c r="C4" s="26" t="str">
        <f>IFERROR(INDEX('Date Key'!$G$57:$G$62, MATCH(B4,'Date Key'!$A$57:$A$62, 0)), "")</f>
        <v>Low HLR, Lower Outlet Height, No Plants</v>
      </c>
      <c r="D4" s="4" t="str">
        <f>IFERROR(INDEX('Date Key'!$G$2:$G$19, MATCH(F4, 'Date Key'!$A$2:$A$19, 0)), "")</f>
        <v>No</v>
      </c>
      <c r="E4" s="4" t="str">
        <f t="shared" ref="E4:E56" si="1">CHOOSE(MOD(ROW(G4)-ROW($G$3), 9) + 1, "in", "in", "in", "tank 1", "tank 1", "tank 1", "tank 2", "tank 2", "tank 2")</f>
        <v>in</v>
      </c>
      <c r="F4" s="4">
        <f t="shared" ref="F4:F56" si="2">MOD(ROW(G4)-ROW($G$3), 3) + 1 + 3 * INT((ROW(G4)-ROW($G$3))/9)</f>
        <v>2</v>
      </c>
      <c r="G4" s="4">
        <f t="shared" ref="G4:G15" si="3">MOD(ROW(G4)-ROW($G$3), 3) + 1</f>
        <v>2</v>
      </c>
      <c r="H4" s="11" cm="1">
        <f t="array" ref="H4">IFERROR(INDEX('Master Data Sheet'!$1:$1048576, MATCH(1, ('Master Data Sheet'!$H:$H=H$2) * (INDEX('Master Data Sheet'!$1:$1, , MATCH($F$1, 'Master Data Sheet'!$1:$1, 0)) = $F$1) * ('Master Data Sheet'!$G:$G=$B4) * ('Master Data Sheet'!$F:$F=$E4) * ('Master Data Sheet'!$A:$A=$F4), 0), MATCH($F$1, 'Master Data Sheet'!$1:$1, 0)), "")</f>
        <v>124.56663560111835</v>
      </c>
      <c r="I4" s="11" cm="1">
        <f t="array" ref="I4">IFERROR(INDEX('Master Data Sheet'!$1:$1048576, MATCH(1, ('Master Data Sheet'!$H:$H=I$2) * (INDEX('Master Data Sheet'!$1:$1, , MATCH($F$1, 'Master Data Sheet'!$1:$1, 0)) = $F$1) * ('Master Data Sheet'!$G:$G=$B4) * ('Master Data Sheet'!$F:$F=$E4) * ('Master Data Sheet'!$A:$A=$F4), 0), MATCH($F$1, 'Master Data Sheet'!$1:$1, 0)), "")</f>
        <v>84.697110904007445</v>
      </c>
      <c r="J4" s="11" cm="1">
        <f t="array" ref="J4">IFERROR(INDEX('Master Data Sheet'!$1:$1048576, MATCH(1, ('Master Data Sheet'!$H:$H=J$2) * (INDEX('Master Data Sheet'!$1:$1, , MATCH($F$1, 'Master Data Sheet'!$1:$1, 0)) = $F$1) * ('Master Data Sheet'!$G:$G=$B4) * ('Master Data Sheet'!$F:$F=$E4) * ('Master Data Sheet'!$A:$A=$F4), 0), MATCH($F$1, 'Master Data Sheet'!$1:$1, 0)), "")</f>
        <v>87.343895619757689</v>
      </c>
      <c r="K4" s="11" cm="1">
        <f t="array" ref="K4">IFERROR(INDEX('Master Data Sheet'!$1:$1048576, MATCH(1, ('Master Data Sheet'!$H:$H=K$2) * (INDEX('Master Data Sheet'!$1:$1, , MATCH($F$1, 'Master Data Sheet'!$1:$1, 0)) = $F$1) * ('Master Data Sheet'!$G:$G=$B4) * ('Master Data Sheet'!$F:$F=$E4) * ('Master Data Sheet'!$A:$A=$F4), 0), MATCH($F$1, 'Master Data Sheet'!$1:$1, 0)), "")</f>
        <v>98.0242311276794</v>
      </c>
      <c r="L4" s="11" cm="1">
        <f t="array" ref="L4">IFERROR(INDEX('Master Data Sheet'!$1:$1048576, MATCH(1, ('Master Data Sheet'!$H:$H=L$2) * (INDEX('Master Data Sheet'!$1:$1, , MATCH($F$1, 'Master Data Sheet'!$1:$1, 0)) = $F$1) * ('Master Data Sheet'!$G:$G=$B4) * ('Master Data Sheet'!$F:$F=$E4) * ('Master Data Sheet'!$A:$A=$F4), 0), MATCH($F$1, 'Master Data Sheet'!$1:$1, 0)), "")</f>
        <v>102.77726001863932</v>
      </c>
      <c r="M4" s="11" cm="1">
        <f t="array" ref="M4">IFERROR(INDEX('Master Data Sheet'!$1:$1048576, MATCH(1, ('Master Data Sheet'!$H:$H=M$2) * (INDEX('Master Data Sheet'!$1:$1, , MATCH($F$1, 'Master Data Sheet'!$1:$1, 0)) = $F$1) * ('Master Data Sheet'!$G:$G=$B4) * ('Master Data Sheet'!$F:$F=$E4) * ('Master Data Sheet'!$A:$A=$F4), 0), MATCH($F$1, 'Master Data Sheet'!$1:$1, 0)), "")</f>
        <v>109.05871388630008</v>
      </c>
      <c r="N4" s="11" cm="1">
        <f t="array" ref="N4">IFERROR(INDEX('Master Data Sheet'!$1:$1048576, MATCH(1, ('Master Data Sheet'!$H:$H=N$2) * (INDEX('Master Data Sheet'!$1:$1, , MATCH($F$1, 'Master Data Sheet'!$1:$1, 0)) = $F$1) * ('Master Data Sheet'!$G:$G=$B4) * ('Master Data Sheet'!$F:$F=$E4) * ('Master Data Sheet'!$A:$A=$F4), 0), MATCH($F$1, 'Master Data Sheet'!$1:$1, 0)), "")</f>
        <v>110.28890959925441</v>
      </c>
      <c r="O4" s="11">
        <f>AVERAGE(H4:N4)</f>
        <v>102.39382239382238</v>
      </c>
      <c r="P4" s="11">
        <f t="shared" ref="P4:P56" si="4">STDEV(H4:N4)</f>
        <v>13.888250860693207</v>
      </c>
      <c r="Q4" s="11"/>
      <c r="X4" t="str">
        <f>IFERROR(INDEX('Date Key'!$G$57:$G$62, MATCH(B3,'Date Key'!$A$57:$A$62, 0)), "")</f>
        <v>Low HLR, Lower Outlet Height, No Plants</v>
      </c>
      <c r="Y4" s="1">
        <f t="shared" ref="Y4:AE4" si="5">H3</f>
        <v>143.01957129543337</v>
      </c>
      <c r="Z4" s="1">
        <f t="shared" si="5"/>
        <v>131.01584342963653</v>
      </c>
      <c r="AA4" s="1">
        <f t="shared" si="5"/>
        <v>130.0465983224604</v>
      </c>
      <c r="AB4" s="1">
        <f t="shared" si="5"/>
        <v>116.16029822926374</v>
      </c>
      <c r="AC4" s="1">
        <f t="shared" si="5"/>
        <v>112.26467847157501</v>
      </c>
      <c r="AD4" s="1">
        <f t="shared" si="5"/>
        <v>110.25163094128611</v>
      </c>
      <c r="AE4" s="1">
        <f t="shared" si="5"/>
        <v>117.44641192917055</v>
      </c>
      <c r="AF4" s="1">
        <f t="shared" ref="AF4:AL4" si="6">H4</f>
        <v>124.56663560111835</v>
      </c>
      <c r="AG4" s="1">
        <f t="shared" si="6"/>
        <v>84.697110904007445</v>
      </c>
      <c r="AH4" s="1">
        <f t="shared" si="6"/>
        <v>87.343895619757689</v>
      </c>
      <c r="AI4" s="1">
        <f t="shared" si="6"/>
        <v>98.0242311276794</v>
      </c>
      <c r="AJ4" s="1">
        <f t="shared" si="6"/>
        <v>102.77726001863932</v>
      </c>
      <c r="AK4" s="1">
        <f t="shared" si="6"/>
        <v>109.05871388630008</v>
      </c>
      <c r="AL4" s="1">
        <f t="shared" si="6"/>
        <v>110.28890959925441</v>
      </c>
      <c r="AM4" s="1">
        <f t="shared" ref="AM4:AS4" si="7">H5</f>
        <v>127.88443616029822</v>
      </c>
      <c r="AN4" s="1">
        <f t="shared" si="7"/>
        <v>100.57781919850885</v>
      </c>
      <c r="AO4" s="1">
        <f t="shared" si="7"/>
        <v>80.055917986952466</v>
      </c>
      <c r="AP4" s="1">
        <f t="shared" si="7"/>
        <v>84.249767008387678</v>
      </c>
      <c r="AQ4" s="1">
        <f t="shared" si="7"/>
        <v>80.652376514445479</v>
      </c>
      <c r="AR4" s="1">
        <f t="shared" si="7"/>
        <v>81.379310344827573</v>
      </c>
      <c r="AS4" s="1">
        <f t="shared" si="7"/>
        <v>83.392357875116488</v>
      </c>
    </row>
    <row r="5" spans="1:45" x14ac:dyDescent="0.35">
      <c r="A5" s="41">
        <f>IFERROR(INDEX('Date Key'!$B$2:$B$19, MATCH(F5,'Date Key'!$A$2:$A$19, 0)), "")</f>
        <v>45195</v>
      </c>
      <c r="B5" s="4">
        <f t="shared" si="0"/>
        <v>1</v>
      </c>
      <c r="C5" s="26" t="str">
        <f>IFERROR(INDEX('Date Key'!$G$57:$G$62, MATCH(B5,'Date Key'!$A$57:$A$62, 0)), "")</f>
        <v>Low HLR, Lower Outlet Height, No Plants</v>
      </c>
      <c r="D5" s="4" t="str">
        <f>IFERROR(INDEX('Date Key'!$G$2:$G$19, MATCH(F5, 'Date Key'!$A$2:$A$19, 0)), "")</f>
        <v>No</v>
      </c>
      <c r="E5" s="4" t="str">
        <f t="shared" si="1"/>
        <v>in</v>
      </c>
      <c r="F5" s="4">
        <f t="shared" si="2"/>
        <v>3</v>
      </c>
      <c r="G5" s="4">
        <f t="shared" si="3"/>
        <v>3</v>
      </c>
      <c r="H5" s="11" cm="1">
        <f t="array" ref="H5">IFERROR(INDEX('Master Data Sheet'!$1:$1048576, MATCH(1, ('Master Data Sheet'!$H:$H=H$2) * (INDEX('Master Data Sheet'!$1:$1, , MATCH($F$1, 'Master Data Sheet'!$1:$1, 0)) = $F$1) * ('Master Data Sheet'!$G:$G=$B5) * ('Master Data Sheet'!$F:$F=$E5) * ('Master Data Sheet'!$A:$A=$F5), 0), MATCH($F$1, 'Master Data Sheet'!$1:$1, 0)), "")</f>
        <v>127.88443616029822</v>
      </c>
      <c r="I5" s="11" cm="1">
        <f t="array" ref="I5">IFERROR(INDEX('Master Data Sheet'!$1:$1048576, MATCH(1, ('Master Data Sheet'!$H:$H=I$2) * (INDEX('Master Data Sheet'!$1:$1, , MATCH($F$1, 'Master Data Sheet'!$1:$1, 0)) = $F$1) * ('Master Data Sheet'!$G:$G=$B5) * ('Master Data Sheet'!$F:$F=$E5) * ('Master Data Sheet'!$A:$A=$F5), 0), MATCH($F$1, 'Master Data Sheet'!$1:$1, 0)), "")</f>
        <v>100.57781919850885</v>
      </c>
      <c r="J5" s="11" cm="1">
        <f t="array" ref="J5">IFERROR(INDEX('Master Data Sheet'!$1:$1048576, MATCH(1, ('Master Data Sheet'!$H:$H=J$2) * (INDEX('Master Data Sheet'!$1:$1, , MATCH($F$1, 'Master Data Sheet'!$1:$1, 0)) = $F$1) * ('Master Data Sheet'!$G:$G=$B5) * ('Master Data Sheet'!$F:$F=$E5) * ('Master Data Sheet'!$A:$A=$F5), 0), MATCH($F$1, 'Master Data Sheet'!$1:$1, 0)), "")</f>
        <v>80.055917986952466</v>
      </c>
      <c r="K5" s="11" cm="1">
        <f t="array" ref="K5">IFERROR(INDEX('Master Data Sheet'!$1:$1048576, MATCH(1, ('Master Data Sheet'!$H:$H=K$2) * (INDEX('Master Data Sheet'!$1:$1, , MATCH($F$1, 'Master Data Sheet'!$1:$1, 0)) = $F$1) * ('Master Data Sheet'!$G:$G=$B5) * ('Master Data Sheet'!$F:$F=$E5) * ('Master Data Sheet'!$A:$A=$F5), 0), MATCH($F$1, 'Master Data Sheet'!$1:$1, 0)), "")</f>
        <v>84.249767008387678</v>
      </c>
      <c r="L5" s="11" cm="1">
        <f t="array" ref="L5">IFERROR(INDEX('Master Data Sheet'!$1:$1048576, MATCH(1, ('Master Data Sheet'!$H:$H=L$2) * (INDEX('Master Data Sheet'!$1:$1, , MATCH($F$1, 'Master Data Sheet'!$1:$1, 0)) = $F$1) * ('Master Data Sheet'!$G:$G=$B5) * ('Master Data Sheet'!$F:$F=$E5) * ('Master Data Sheet'!$A:$A=$F5), 0), MATCH($F$1, 'Master Data Sheet'!$1:$1, 0)), "")</f>
        <v>80.652376514445479</v>
      </c>
      <c r="M5" s="11" cm="1">
        <f t="array" ref="M5">IFERROR(INDEX('Master Data Sheet'!$1:$1048576, MATCH(1, ('Master Data Sheet'!$H:$H=M$2) * (INDEX('Master Data Sheet'!$1:$1, , MATCH($F$1, 'Master Data Sheet'!$1:$1, 0)) = $F$1) * ('Master Data Sheet'!$G:$G=$B5) * ('Master Data Sheet'!$F:$F=$E5) * ('Master Data Sheet'!$A:$A=$F5), 0), MATCH($F$1, 'Master Data Sheet'!$1:$1, 0)), "")</f>
        <v>81.379310344827573</v>
      </c>
      <c r="N5" s="11" cm="1">
        <f t="array" ref="N5">IFERROR(INDEX('Master Data Sheet'!$1:$1048576, MATCH(1, ('Master Data Sheet'!$H:$H=N$2) * (INDEX('Master Data Sheet'!$1:$1, , MATCH($F$1, 'Master Data Sheet'!$1:$1, 0)) = $F$1) * ('Master Data Sheet'!$G:$G=$B5) * ('Master Data Sheet'!$F:$F=$E5) * ('Master Data Sheet'!$A:$A=$F5), 0), MATCH($F$1, 'Master Data Sheet'!$1:$1, 0)), "")</f>
        <v>83.392357875116488</v>
      </c>
      <c r="O5" s="11">
        <f>AVERAGE(H5:N5)</f>
        <v>91.170283584076671</v>
      </c>
      <c r="P5" s="11">
        <f t="shared" si="4"/>
        <v>17.676910799396925</v>
      </c>
      <c r="Q5" s="11"/>
      <c r="Y5" s="1"/>
      <c r="Z5" s="1"/>
      <c r="AA5" s="1"/>
      <c r="AB5" s="1"/>
      <c r="AC5" s="1"/>
      <c r="AD5" s="1"/>
      <c r="AE5" s="1"/>
      <c r="AF5" s="1"/>
      <c r="AG5" s="1"/>
      <c r="AH5" s="1"/>
      <c r="AI5" s="1"/>
      <c r="AJ5" s="1"/>
      <c r="AK5" s="1"/>
      <c r="AL5" s="1"/>
      <c r="AM5" s="1"/>
      <c r="AN5" s="1"/>
      <c r="AO5" s="1"/>
      <c r="AP5" s="1"/>
      <c r="AQ5" s="1"/>
      <c r="AR5" s="1"/>
      <c r="AS5" s="1"/>
    </row>
    <row r="6" spans="1:45" x14ac:dyDescent="0.35">
      <c r="A6" s="41">
        <f>IFERROR(INDEX('Date Key'!$B$2:$B$19, MATCH(F6,'Date Key'!$A$2:$A$19, 0)), "")</f>
        <v>45175</v>
      </c>
      <c r="B6" s="4">
        <f t="shared" si="0"/>
        <v>1</v>
      </c>
      <c r="C6" s="26" t="str">
        <f>IFERROR(INDEX('Date Key'!$G$57:$G$62, MATCH(B6,'Date Key'!$A$57:$A$62, 0)), "")</f>
        <v>Low HLR, Lower Outlet Height, No Plants</v>
      </c>
      <c r="D6" s="4" t="str">
        <f>IFERROR(INDEX('Date Key'!$G$2:$G$19, MATCH(F6, 'Date Key'!$A$2:$A$19, 0)), "")</f>
        <v>No</v>
      </c>
      <c r="E6" s="4" t="str">
        <f t="shared" si="1"/>
        <v>tank 1</v>
      </c>
      <c r="F6" s="4">
        <f t="shared" si="2"/>
        <v>1</v>
      </c>
      <c r="G6" s="4">
        <f t="shared" si="3"/>
        <v>1</v>
      </c>
      <c r="H6" s="11" cm="1">
        <f t="array" ref="H6">IFERROR(INDEX('Master Data Sheet'!$1:$1048576, MATCH(1, ('Master Data Sheet'!$H:$H=H$2) * (INDEX('Master Data Sheet'!$1:$1, , MATCH($F$1, 'Master Data Sheet'!$1:$1, 0)) = $F$1) * ('Master Data Sheet'!$G:$G=$B6) * ('Master Data Sheet'!$F:$F=$E6) * ('Master Data Sheet'!$A:$A=$F6), 0), MATCH($F$1, 'Master Data Sheet'!$1:$1, 0)), "")</f>
        <v>7.3625349487418452</v>
      </c>
      <c r="I6" s="11" cm="1">
        <f t="array" ref="I6">IFERROR(INDEX('Master Data Sheet'!$1:$1048576, MATCH(1, ('Master Data Sheet'!$H:$H=I$2) * (INDEX('Master Data Sheet'!$1:$1, , MATCH($F$1, 'Master Data Sheet'!$1:$1, 0)) = $F$1) * ('Master Data Sheet'!$G:$G=$B6) * ('Master Data Sheet'!$F:$F=$E6) * ('Master Data Sheet'!$A:$A=$F6), 0), MATCH($F$1, 'Master Data Sheet'!$1:$1, 0)), "")</f>
        <v>9.2823858341099719</v>
      </c>
      <c r="J6" s="11" cm="1">
        <f t="array" ref="J6">IFERROR(INDEX('Master Data Sheet'!$1:$1048576, MATCH(1, ('Master Data Sheet'!$H:$H=J$2) * (INDEX('Master Data Sheet'!$1:$1, , MATCH($F$1, 'Master Data Sheet'!$1:$1, 0)) = $F$1) * ('Master Data Sheet'!$G:$G=$B6) * ('Master Data Sheet'!$F:$F=$E6) * ('Master Data Sheet'!$A:$A=$F6), 0), MATCH($F$1, 'Master Data Sheet'!$1:$1, 0)), "")</f>
        <v>12.767940354147251</v>
      </c>
      <c r="K6" s="11" cm="1">
        <f t="array" ref="K6">IFERROR(INDEX('Master Data Sheet'!$1:$1048576, MATCH(1, ('Master Data Sheet'!$H:$H=K$2) * (INDEX('Master Data Sheet'!$1:$1, , MATCH($F$1, 'Master Data Sheet'!$1:$1, 0)) = $F$1) * ('Master Data Sheet'!$G:$G=$B6) * ('Master Data Sheet'!$F:$F=$E6) * ('Master Data Sheet'!$A:$A=$F6), 0), MATCH($F$1, 'Master Data Sheet'!$1:$1, 0)), "")</f>
        <v>23.168685927306619</v>
      </c>
      <c r="L6" s="11" cm="1">
        <f t="array" ref="L6">IFERROR(INDEX('Master Data Sheet'!$1:$1048576, MATCH(1, ('Master Data Sheet'!$H:$H=L$2) * (INDEX('Master Data Sheet'!$1:$1, , MATCH($F$1, 'Master Data Sheet'!$1:$1, 0)) = $F$1) * ('Master Data Sheet'!$G:$G=$B6) * ('Master Data Sheet'!$F:$F=$E6) * ('Master Data Sheet'!$A:$A=$F6), 0), MATCH($F$1, 'Master Data Sheet'!$1:$1, 0)), "")</f>
        <v>27.362534948741843</v>
      </c>
      <c r="M6" s="11" cm="1">
        <f t="array" ref="M6">IFERROR(INDEX('Master Data Sheet'!$1:$1048576, MATCH(1, ('Master Data Sheet'!$H:$H=M$2) * (INDEX('Master Data Sheet'!$1:$1, , MATCH($F$1, 'Master Data Sheet'!$1:$1, 0)) = $F$1) * ('Master Data Sheet'!$G:$G=$B6) * ('Master Data Sheet'!$F:$F=$E6) * ('Master Data Sheet'!$A:$A=$F6), 0), MATCH($F$1, 'Master Data Sheet'!$1:$1, 0)), "")</f>
        <v>62.833178005591797</v>
      </c>
      <c r="N6" s="11" cm="1">
        <f t="array" ref="N6">IFERROR(INDEX('Master Data Sheet'!$1:$1048576, MATCH(1, ('Master Data Sheet'!$H:$H=N$2) * (INDEX('Master Data Sheet'!$1:$1, , MATCH($F$1, 'Master Data Sheet'!$1:$1, 0)) = $F$1) * ('Master Data Sheet'!$G:$G=$B6) * ('Master Data Sheet'!$F:$F=$E6) * ('Master Data Sheet'!$A:$A=$F6), 0), MATCH($F$1, 'Master Data Sheet'!$1:$1, 0)), "")</f>
        <v>83.504193849021433</v>
      </c>
      <c r="O6" s="11">
        <f>AVERAGE(H6:N6)</f>
        <v>32.325921981094396</v>
      </c>
      <c r="P6" s="11">
        <f t="shared" si="4"/>
        <v>29.425295977310089</v>
      </c>
      <c r="Q6" s="11">
        <f>AVERAGE(O6,O8)</f>
        <v>43.883637331913192</v>
      </c>
      <c r="R6" s="46">
        <f>(1-(O6/O3))*100</f>
        <v>73.694474539544956</v>
      </c>
      <c r="S6" s="46">
        <f>AVERAGE(R6:R8)</f>
        <v>42.22040119566681</v>
      </c>
      <c r="T6" s="46">
        <f>STDEV(R6:R8)</f>
        <v>30.073276393247735</v>
      </c>
      <c r="U6" s="47">
        <f>(1-(AVERAGE(H6:N6,H8:N8)/AVERAGE(H3:N3,H5:N5)))*100</f>
        <v>58.998121633556821</v>
      </c>
      <c r="V6" s="47"/>
      <c r="W6" s="14"/>
      <c r="Y6" s="2"/>
      <c r="Z6" s="2"/>
      <c r="AA6" s="2"/>
      <c r="AB6" s="2"/>
      <c r="AC6" s="2"/>
      <c r="AD6" s="2"/>
      <c r="AE6" s="2"/>
      <c r="AF6" s="2"/>
      <c r="AG6" s="2"/>
    </row>
    <row r="7" spans="1:45" x14ac:dyDescent="0.35">
      <c r="A7" s="41">
        <f>IFERROR(INDEX('Date Key'!$B$2:$B$19, MATCH(F7,'Date Key'!$A$2:$A$19, 0)), "")</f>
        <v>45181</v>
      </c>
      <c r="B7" s="4">
        <f t="shared" si="0"/>
        <v>1</v>
      </c>
      <c r="C7" s="26" t="str">
        <f>IFERROR(INDEX('Date Key'!$G$57:$G$62, MATCH(B7,'Date Key'!$A$57:$A$62, 0)), "")</f>
        <v>Low HLR, Lower Outlet Height, No Plants</v>
      </c>
      <c r="D7" s="4" t="str">
        <f>IFERROR(INDEX('Date Key'!$G$2:$G$19, MATCH(F7, 'Date Key'!$A$2:$A$19, 0)), "")</f>
        <v>No</v>
      </c>
      <c r="E7" s="4" t="str">
        <f t="shared" si="1"/>
        <v>tank 1</v>
      </c>
      <c r="F7" s="4">
        <f t="shared" si="2"/>
        <v>2</v>
      </c>
      <c r="G7" s="4">
        <f t="shared" si="3"/>
        <v>2</v>
      </c>
      <c r="H7" s="11" cm="1">
        <f t="array" ref="H7">IFERROR(INDEX('Master Data Sheet'!$1:$1048576, MATCH(1, ('Master Data Sheet'!$H:$H=H$2) * (INDEX('Master Data Sheet'!$1:$1, , MATCH($F$1, 'Master Data Sheet'!$1:$1, 0)) = $F$1) * ('Master Data Sheet'!$G:$G=$B7) * ('Master Data Sheet'!$F:$F=$E7) * ('Master Data Sheet'!$A:$A=$F7), 0), MATCH($F$1, 'Master Data Sheet'!$1:$1, 0)), "")</f>
        <v>74.482758620689651</v>
      </c>
      <c r="I7" s="11" cm="1">
        <f t="array" ref="I7">IFERROR(INDEX('Master Data Sheet'!$1:$1048576, MATCH(1, ('Master Data Sheet'!$H:$H=I$2) * (INDEX('Master Data Sheet'!$1:$1, , MATCH($F$1, 'Master Data Sheet'!$1:$1, 0)) = $F$1) * ('Master Data Sheet'!$G:$G=$B7) * ('Master Data Sheet'!$F:$F=$E7) * ('Master Data Sheet'!$A:$A=$F7), 0), MATCH($F$1, 'Master Data Sheet'!$1:$1, 0)), "")</f>
        <v>79.85088536812674</v>
      </c>
      <c r="J7" s="11" cm="1">
        <f t="array" ref="J7">IFERROR(INDEX('Master Data Sheet'!$1:$1048576, MATCH(1, ('Master Data Sheet'!$H:$H=J$2) * (INDEX('Master Data Sheet'!$1:$1, , MATCH($F$1, 'Master Data Sheet'!$1:$1, 0)) = $F$1) * ('Master Data Sheet'!$G:$G=$B7) * ('Master Data Sheet'!$F:$F=$E7) * ('Master Data Sheet'!$A:$A=$F7), 0), MATCH($F$1, 'Master Data Sheet'!$1:$1, 0)), "")</f>
        <v>90.904007455731588</v>
      </c>
      <c r="K7" s="11" cm="1">
        <f t="array" ref="K7">IFERROR(INDEX('Master Data Sheet'!$1:$1048576, MATCH(1, ('Master Data Sheet'!$H:$H=K$2) * (INDEX('Master Data Sheet'!$1:$1, , MATCH($F$1, 'Master Data Sheet'!$1:$1, 0)) = $F$1) * ('Master Data Sheet'!$G:$G=$B7) * ('Master Data Sheet'!$F:$F=$E7) * ('Master Data Sheet'!$A:$A=$F7), 0), MATCH($F$1, 'Master Data Sheet'!$1:$1, 0)), "")</f>
        <v>94.911463187325239</v>
      </c>
      <c r="L7" s="11" cm="1">
        <f t="array" ref="L7">IFERROR(INDEX('Master Data Sheet'!$1:$1048576, MATCH(1, ('Master Data Sheet'!$H:$H=L$2) * (INDEX('Master Data Sheet'!$1:$1, , MATCH($F$1, 'Master Data Sheet'!$1:$1, 0)) = $F$1) * ('Master Data Sheet'!$G:$G=$B7) * ('Master Data Sheet'!$F:$F=$E7) * ('Master Data Sheet'!$A:$A=$F7), 0), MATCH($F$1, 'Master Data Sheet'!$1:$1, 0)), "")</f>
        <v>92.898415657036338</v>
      </c>
      <c r="M7" s="11" cm="1">
        <f t="array" ref="M7">IFERROR(INDEX('Master Data Sheet'!$1:$1048576, MATCH(1, ('Master Data Sheet'!$H:$H=M$2) * (INDEX('Master Data Sheet'!$1:$1, , MATCH($F$1, 'Master Data Sheet'!$1:$1, 0)) = $F$1) * ('Master Data Sheet'!$G:$G=$B7) * ('Master Data Sheet'!$F:$F=$E7) * ('Master Data Sheet'!$A:$A=$F7), 0), MATCH($F$1, 'Master Data Sheet'!$1:$1, 0)), "")</f>
        <v>92.544268406337366</v>
      </c>
      <c r="N7" s="11" cm="1">
        <f t="array" ref="N7">IFERROR(INDEX('Master Data Sheet'!$1:$1048576, MATCH(1, ('Master Data Sheet'!$H:$H=N$2) * (INDEX('Master Data Sheet'!$1:$1, , MATCH($F$1, 'Master Data Sheet'!$1:$1, 0)) = $F$1) * ('Master Data Sheet'!$G:$G=$B7) * ('Master Data Sheet'!$F:$F=$E7) * ('Master Data Sheet'!$A:$A=$F7), 0), MATCH($F$1, 'Master Data Sheet'!$1:$1, 0)), "")</f>
        <v>92.41379310344827</v>
      </c>
      <c r="O7" s="11">
        <f t="shared" ref="O7:O56" si="8">AVERAGE(H7:N7)</f>
        <v>88.286513114099307</v>
      </c>
      <c r="P7" s="11">
        <f t="shared" si="4"/>
        <v>7.8408891820249291</v>
      </c>
      <c r="Q7" s="11"/>
      <c r="R7" s="46">
        <f>(1-(O7/O4))*100</f>
        <v>13.777500390076458</v>
      </c>
      <c r="X7" t="str">
        <f>IFERROR(INDEX('Date Key'!$G$57:$G$62, MATCH(B6,'Date Key'!$A$57:$A$62, 0)), "")</f>
        <v>Low HLR, Lower Outlet Height, No Plants</v>
      </c>
      <c r="Y7" s="1">
        <f t="shared" ref="Y7:AE7" si="9">H6</f>
        <v>7.3625349487418452</v>
      </c>
      <c r="Z7" s="1">
        <f t="shared" si="9"/>
        <v>9.2823858341099719</v>
      </c>
      <c r="AA7" s="1">
        <f t="shared" si="9"/>
        <v>12.767940354147251</v>
      </c>
      <c r="AB7" s="1">
        <f t="shared" si="9"/>
        <v>23.168685927306619</v>
      </c>
      <c r="AC7" s="1">
        <f t="shared" si="9"/>
        <v>27.362534948741843</v>
      </c>
      <c r="AD7" s="1">
        <f t="shared" si="9"/>
        <v>62.833178005591797</v>
      </c>
      <c r="AE7" s="1">
        <f t="shared" si="9"/>
        <v>83.504193849021433</v>
      </c>
      <c r="AF7" s="1">
        <f t="shared" ref="AF7:AL7" si="10">H7</f>
        <v>74.482758620689651</v>
      </c>
      <c r="AG7" s="1">
        <f t="shared" si="10"/>
        <v>79.85088536812674</v>
      </c>
      <c r="AH7" s="1">
        <f t="shared" si="10"/>
        <v>90.904007455731588</v>
      </c>
      <c r="AI7" s="1">
        <f t="shared" si="10"/>
        <v>94.911463187325239</v>
      </c>
      <c r="AJ7" s="1">
        <f t="shared" si="10"/>
        <v>92.898415657036338</v>
      </c>
      <c r="AK7" s="1">
        <f t="shared" si="10"/>
        <v>92.544268406337366</v>
      </c>
      <c r="AL7" s="1">
        <f t="shared" si="10"/>
        <v>92.41379310344827</v>
      </c>
      <c r="AM7" s="1">
        <f t="shared" ref="AM7:AS7" si="11">H8</f>
        <v>54.501397949673809</v>
      </c>
      <c r="AN7" s="1">
        <f t="shared" si="11"/>
        <v>47.753960857409126</v>
      </c>
      <c r="AO7" s="1">
        <f t="shared" si="11"/>
        <v>49.95340167753961</v>
      </c>
      <c r="AP7" s="1">
        <f t="shared" si="11"/>
        <v>51.239515377446409</v>
      </c>
      <c r="AQ7" s="1">
        <f t="shared" si="11"/>
        <v>55.023299161230192</v>
      </c>
      <c r="AR7" s="1">
        <f t="shared" si="11"/>
        <v>61.491146318732518</v>
      </c>
      <c r="AS7" s="1">
        <f t="shared" si="11"/>
        <v>68.126747437092263</v>
      </c>
    </row>
    <row r="8" spans="1:45" x14ac:dyDescent="0.35">
      <c r="A8" s="41">
        <f>IFERROR(INDEX('Date Key'!$B$2:$B$19, MATCH(F8,'Date Key'!$A$2:$A$19, 0)), "")</f>
        <v>45195</v>
      </c>
      <c r="B8" s="4">
        <f t="shared" si="0"/>
        <v>1</v>
      </c>
      <c r="C8" s="26" t="str">
        <f>IFERROR(INDEX('Date Key'!$G$57:$G$62, MATCH(B8,'Date Key'!$A$57:$A$62, 0)), "")</f>
        <v>Low HLR, Lower Outlet Height, No Plants</v>
      </c>
      <c r="D8" s="4" t="str">
        <f>IFERROR(INDEX('Date Key'!$G$2:$G$19, MATCH(F8, 'Date Key'!$A$2:$A$19, 0)), "")</f>
        <v>No</v>
      </c>
      <c r="E8" s="4" t="str">
        <f t="shared" si="1"/>
        <v>tank 1</v>
      </c>
      <c r="F8" s="4">
        <f t="shared" si="2"/>
        <v>3</v>
      </c>
      <c r="G8" s="4">
        <f t="shared" si="3"/>
        <v>3</v>
      </c>
      <c r="H8" s="11" cm="1">
        <f t="array" ref="H8">IFERROR(INDEX('Master Data Sheet'!$1:$1048576, MATCH(1, ('Master Data Sheet'!$H:$H=H$2) * (INDEX('Master Data Sheet'!$1:$1, , MATCH($F$1, 'Master Data Sheet'!$1:$1, 0)) = $F$1) * ('Master Data Sheet'!$G:$G=$B8) * ('Master Data Sheet'!$F:$F=$E8) * ('Master Data Sheet'!$A:$A=$F8), 0), MATCH($F$1, 'Master Data Sheet'!$1:$1, 0)), "")</f>
        <v>54.501397949673809</v>
      </c>
      <c r="I8" s="11" cm="1">
        <f t="array" ref="I8">IFERROR(INDEX('Master Data Sheet'!$1:$1048576, MATCH(1, ('Master Data Sheet'!$H:$H=I$2) * (INDEX('Master Data Sheet'!$1:$1, , MATCH($F$1, 'Master Data Sheet'!$1:$1, 0)) = $F$1) * ('Master Data Sheet'!$G:$G=$B8) * ('Master Data Sheet'!$F:$F=$E8) * ('Master Data Sheet'!$A:$A=$F8), 0), MATCH($F$1, 'Master Data Sheet'!$1:$1, 0)), "")</f>
        <v>47.753960857409126</v>
      </c>
      <c r="J8" s="11" cm="1">
        <f t="array" ref="J8">IFERROR(INDEX('Master Data Sheet'!$1:$1048576, MATCH(1, ('Master Data Sheet'!$H:$H=J$2) * (INDEX('Master Data Sheet'!$1:$1, , MATCH($F$1, 'Master Data Sheet'!$1:$1, 0)) = $F$1) * ('Master Data Sheet'!$G:$G=$B8) * ('Master Data Sheet'!$F:$F=$E8) * ('Master Data Sheet'!$A:$A=$F8), 0), MATCH($F$1, 'Master Data Sheet'!$1:$1, 0)), "")</f>
        <v>49.95340167753961</v>
      </c>
      <c r="K8" s="11" cm="1">
        <f t="array" ref="K8">IFERROR(INDEX('Master Data Sheet'!$1:$1048576, MATCH(1, ('Master Data Sheet'!$H:$H=K$2) * (INDEX('Master Data Sheet'!$1:$1, , MATCH($F$1, 'Master Data Sheet'!$1:$1, 0)) = $F$1) * ('Master Data Sheet'!$G:$G=$B8) * ('Master Data Sheet'!$F:$F=$E8) * ('Master Data Sheet'!$A:$A=$F8), 0), MATCH($F$1, 'Master Data Sheet'!$1:$1, 0)), "")</f>
        <v>51.239515377446409</v>
      </c>
      <c r="L8" s="11" cm="1">
        <f t="array" ref="L8">IFERROR(INDEX('Master Data Sheet'!$1:$1048576, MATCH(1, ('Master Data Sheet'!$H:$H=L$2) * (INDEX('Master Data Sheet'!$1:$1, , MATCH($F$1, 'Master Data Sheet'!$1:$1, 0)) = $F$1) * ('Master Data Sheet'!$G:$G=$B8) * ('Master Data Sheet'!$F:$F=$E8) * ('Master Data Sheet'!$A:$A=$F8), 0), MATCH($F$1, 'Master Data Sheet'!$1:$1, 0)), "")</f>
        <v>55.023299161230192</v>
      </c>
      <c r="M8" s="11" cm="1">
        <f t="array" ref="M8">IFERROR(INDEX('Master Data Sheet'!$1:$1048576, MATCH(1, ('Master Data Sheet'!$H:$H=M$2) * (INDEX('Master Data Sheet'!$1:$1, , MATCH($F$1, 'Master Data Sheet'!$1:$1, 0)) = $F$1) * ('Master Data Sheet'!$G:$G=$B8) * ('Master Data Sheet'!$F:$F=$E8) * ('Master Data Sheet'!$A:$A=$F8), 0), MATCH($F$1, 'Master Data Sheet'!$1:$1, 0)), "")</f>
        <v>61.491146318732518</v>
      </c>
      <c r="N8" s="11" cm="1">
        <f t="array" ref="N8">IFERROR(INDEX('Master Data Sheet'!$1:$1048576, MATCH(1, ('Master Data Sheet'!$H:$H=N$2) * (INDEX('Master Data Sheet'!$1:$1, , MATCH($F$1, 'Master Data Sheet'!$1:$1, 0)) = $F$1) * ('Master Data Sheet'!$G:$G=$B8) * ('Master Data Sheet'!$F:$F=$E8) * ('Master Data Sheet'!$A:$A=$F8), 0), MATCH($F$1, 'Master Data Sheet'!$1:$1, 0)), "")</f>
        <v>68.126747437092263</v>
      </c>
      <c r="O8" s="11">
        <f t="shared" si="8"/>
        <v>55.441352682731981</v>
      </c>
      <c r="P8" s="11">
        <f t="shared" si="4"/>
        <v>7.1349674469090374</v>
      </c>
      <c r="Q8" s="11"/>
      <c r="R8" s="46">
        <f>(1-(O8/O5))*100</f>
        <v>39.189228657379019</v>
      </c>
      <c r="Y8" s="2"/>
      <c r="Z8" s="2"/>
      <c r="AA8" s="2"/>
      <c r="AB8" s="2"/>
      <c r="AC8" s="2"/>
      <c r="AD8" s="2"/>
      <c r="AE8" s="2"/>
      <c r="AF8" s="2"/>
      <c r="AG8" s="2"/>
    </row>
    <row r="9" spans="1:45" x14ac:dyDescent="0.35">
      <c r="A9" s="41">
        <f>IFERROR(INDEX('Date Key'!$B$2:$B$19, MATCH(F9,'Date Key'!$A$2:$A$19, 0)), "")</f>
        <v>45175</v>
      </c>
      <c r="B9" s="4">
        <f t="shared" si="0"/>
        <v>1</v>
      </c>
      <c r="C9" s="26" t="str">
        <f>IFERROR(INDEX('Date Key'!$G$57:$G$62, MATCH(B9,'Date Key'!$A$57:$A$62, 0)), "")</f>
        <v>Low HLR, Lower Outlet Height, No Plants</v>
      </c>
      <c r="D9" s="4" t="str">
        <f>IFERROR(INDEX('Date Key'!$G$2:$G$19, MATCH(F9, 'Date Key'!$A$2:$A$19, 0)), "")</f>
        <v>No</v>
      </c>
      <c r="E9" s="4" t="str">
        <f t="shared" si="1"/>
        <v>tank 2</v>
      </c>
      <c r="F9" s="4">
        <f t="shared" si="2"/>
        <v>1</v>
      </c>
      <c r="G9" s="4">
        <f t="shared" si="3"/>
        <v>1</v>
      </c>
      <c r="H9" s="11" cm="1">
        <f t="array" ref="H9">IFERROR(INDEX('Master Data Sheet'!$1:$1048576, MATCH(1, ('Master Data Sheet'!$H:$H=H$2) * (INDEX('Master Data Sheet'!$1:$1, , MATCH($F$1, 'Master Data Sheet'!$1:$1, 0)) = $F$1) * ('Master Data Sheet'!$G:$G=$B9) * ('Master Data Sheet'!$F:$F=$E9) * ('Master Data Sheet'!$A:$A=$F9), 0), MATCH($F$1, 'Master Data Sheet'!$1:$1, 0)), "")</f>
        <v>1.0624417520969245</v>
      </c>
      <c r="I9" s="11" cm="1">
        <f t="array" ref="I9">IFERROR(INDEX('Master Data Sheet'!$1:$1048576, MATCH(1, ('Master Data Sheet'!$H:$H=I$2) * (INDEX('Master Data Sheet'!$1:$1, , MATCH($F$1, 'Master Data Sheet'!$1:$1, 0)) = $F$1) * ('Master Data Sheet'!$G:$G=$B9) * ('Master Data Sheet'!$F:$F=$E9) * ('Master Data Sheet'!$A:$A=$F9), 0), MATCH($F$1, 'Master Data Sheet'!$1:$1, 0)), "")</f>
        <v>1.4725069897483689</v>
      </c>
      <c r="J9" s="11" cm="1">
        <f t="array" ref="J9">IFERROR(INDEX('Master Data Sheet'!$1:$1048576, MATCH(1, ('Master Data Sheet'!$H:$H=J$2) * (INDEX('Master Data Sheet'!$1:$1, , MATCH($F$1, 'Master Data Sheet'!$1:$1, 0)) = $F$1) * ('Master Data Sheet'!$G:$G=$B9) * ('Master Data Sheet'!$F:$F=$E9) * ('Master Data Sheet'!$A:$A=$F9), 0), MATCH($F$1, 'Master Data Sheet'!$1:$1, 0)), "")</f>
        <v>16.141658900279587</v>
      </c>
      <c r="K9" s="11" cm="1">
        <f t="array" ref="K9">IFERROR(INDEX('Master Data Sheet'!$1:$1048576, MATCH(1, ('Master Data Sheet'!$H:$H=K$2) * (INDEX('Master Data Sheet'!$1:$1, , MATCH($F$1, 'Master Data Sheet'!$1:$1, 0)) = $F$1) * ('Master Data Sheet'!$G:$G=$B9) * ('Master Data Sheet'!$F:$F=$E9) * ('Master Data Sheet'!$A:$A=$F9), 0), MATCH($F$1, 'Master Data Sheet'!$1:$1, 0)), "")</f>
        <v>59.086672879776323</v>
      </c>
      <c r="L9" s="11" cm="1">
        <f t="array" ref="L9">IFERROR(INDEX('Master Data Sheet'!$1:$1048576, MATCH(1, ('Master Data Sheet'!$H:$H=L$2) * (INDEX('Master Data Sheet'!$1:$1, , MATCH($F$1, 'Master Data Sheet'!$1:$1, 0)) = $F$1) * ('Master Data Sheet'!$G:$G=$B9) * ('Master Data Sheet'!$F:$F=$E9) * ('Master Data Sheet'!$A:$A=$F9), 0), MATCH($F$1, 'Master Data Sheet'!$1:$1, 0)), "")</f>
        <v>90.288909599254424</v>
      </c>
      <c r="M9" s="11" cm="1">
        <f t="array" ref="M9">IFERROR(INDEX('Master Data Sheet'!$1:$1048576, MATCH(1, ('Master Data Sheet'!$H:$H=M$2) * (INDEX('Master Data Sheet'!$1:$1, , MATCH($F$1, 'Master Data Sheet'!$1:$1, 0)) = $F$1) * ('Master Data Sheet'!$G:$G=$B9) * ('Master Data Sheet'!$F:$F=$E9) * ('Master Data Sheet'!$A:$A=$F9), 0), MATCH($F$1, 'Master Data Sheet'!$1:$1, 0)), "")</f>
        <v>102.36719478098787</v>
      </c>
      <c r="N9" s="11" cm="1">
        <f t="array" ref="N9">IFERROR(INDEX('Master Data Sheet'!$1:$1048576, MATCH(1, ('Master Data Sheet'!$H:$H=N$2) * (INDEX('Master Data Sheet'!$1:$1, , MATCH($F$1, 'Master Data Sheet'!$1:$1, 0)) = $F$1) * ('Master Data Sheet'!$G:$G=$B9) * ('Master Data Sheet'!$F:$F=$E9) * ('Master Data Sheet'!$A:$A=$F9), 0), MATCH($F$1, 'Master Data Sheet'!$1:$1, 0)), "")</f>
        <v>105.90866728797764</v>
      </c>
      <c r="O9" s="11">
        <f t="shared" si="8"/>
        <v>53.761150312874456</v>
      </c>
      <c r="P9" s="11">
        <f t="shared" si="4"/>
        <v>47.207046990338824</v>
      </c>
      <c r="Q9" s="11">
        <f>AVERAGE(N9,N11)</f>
        <v>83.718546132339242</v>
      </c>
      <c r="R9" s="46">
        <f>(1-(O9/O3))*100</f>
        <v>56.251354279523291</v>
      </c>
      <c r="S9" s="46">
        <f>AVERAGE(R9:R11)</f>
        <v>47.611071372131128</v>
      </c>
      <c r="T9" s="46">
        <f>STDEV(R9:R11)</f>
        <v>27.958836575923662</v>
      </c>
      <c r="U9" s="47">
        <f>(1-(AVERAGE(H9:N9,H11:N11)/AVERAGE(H3:N3,H5:N5)))*100</f>
        <v>62.205028051101507</v>
      </c>
      <c r="V9" s="47"/>
      <c r="Y9" s="2"/>
      <c r="Z9" s="2"/>
      <c r="AA9" s="2"/>
      <c r="AB9" s="2"/>
      <c r="AC9" s="2"/>
      <c r="AD9" s="2"/>
      <c r="AE9" s="2"/>
      <c r="AF9" s="2"/>
      <c r="AG9" s="2"/>
    </row>
    <row r="10" spans="1:45" x14ac:dyDescent="0.35">
      <c r="A10" s="41">
        <f>IFERROR(INDEX('Date Key'!$B$2:$B$19, MATCH(F10,'Date Key'!$A$2:$A$19, 0)), "")</f>
        <v>45181</v>
      </c>
      <c r="B10" s="4">
        <f t="shared" si="0"/>
        <v>1</v>
      </c>
      <c r="C10" s="26" t="str">
        <f>IFERROR(INDEX('Date Key'!$G$57:$G$62, MATCH(B10,'Date Key'!$A$57:$A$62, 0)), "")</f>
        <v>Low HLR, Lower Outlet Height, No Plants</v>
      </c>
      <c r="D10" s="4" t="str">
        <f>IFERROR(INDEX('Date Key'!$G$2:$G$19, MATCH(F10, 'Date Key'!$A$2:$A$19, 0)), "")</f>
        <v>No</v>
      </c>
      <c r="E10" s="4" t="str">
        <f t="shared" si="1"/>
        <v>tank 2</v>
      </c>
      <c r="F10" s="4">
        <f t="shared" si="2"/>
        <v>2</v>
      </c>
      <c r="G10" s="4">
        <f t="shared" si="3"/>
        <v>2</v>
      </c>
      <c r="H10" s="11" cm="1">
        <f t="array" ref="H10">IFERROR(INDEX('Master Data Sheet'!$1:$1048576, MATCH(1, ('Master Data Sheet'!$H:$H=H$2) * (INDEX('Master Data Sheet'!$1:$1, , MATCH($F$1, 'Master Data Sheet'!$1:$1, 0)) = $F$1) * ('Master Data Sheet'!$G:$G=$B10) * ('Master Data Sheet'!$F:$F=$E10) * ('Master Data Sheet'!$A:$A=$F10), 0), MATCH($F$1, 'Master Data Sheet'!$1:$1, 0)), "")</f>
        <v>56.719478098788443</v>
      </c>
      <c r="I10" s="11" cm="1">
        <f t="array" ref="I10">IFERROR(INDEX('Master Data Sheet'!$1:$1048576, MATCH(1, ('Master Data Sheet'!$H:$H=I$2) * (INDEX('Master Data Sheet'!$1:$1, , MATCH($F$1, 'Master Data Sheet'!$1:$1, 0)) = $F$1) * ('Master Data Sheet'!$G:$G=$B10) * ('Master Data Sheet'!$F:$F=$E10) * ('Master Data Sheet'!$A:$A=$F10), 0), MATCH($F$1, 'Master Data Sheet'!$1:$1, 0)), "")</f>
        <v>95.507921714818252</v>
      </c>
      <c r="J10" s="11" cm="1">
        <f t="array" ref="J10">IFERROR(INDEX('Master Data Sheet'!$1:$1048576, MATCH(1, ('Master Data Sheet'!$H:$H=J$2) * (INDEX('Master Data Sheet'!$1:$1, , MATCH($F$1, 'Master Data Sheet'!$1:$1, 0)) = $F$1) * ('Master Data Sheet'!$G:$G=$B10) * ('Master Data Sheet'!$F:$F=$E10) * ('Master Data Sheet'!$A:$A=$F10), 0), MATCH($F$1, 'Master Data Sheet'!$1:$1, 0)), "")</f>
        <v>96.607642124883498</v>
      </c>
      <c r="K10" s="11" cm="1">
        <f t="array" ref="K10">IFERROR(INDEX('Master Data Sheet'!$1:$1048576, MATCH(1, ('Master Data Sheet'!$H:$H=K$2) * (INDEX('Master Data Sheet'!$1:$1, , MATCH($F$1, 'Master Data Sheet'!$1:$1, 0)) = $F$1) * ('Master Data Sheet'!$G:$G=$B10) * ('Master Data Sheet'!$F:$F=$E10) * ('Master Data Sheet'!$A:$A=$F10), 0), MATCH($F$1, 'Master Data Sheet'!$1:$1, 0)), "")</f>
        <v>82.963653308480886</v>
      </c>
      <c r="L10" s="11" cm="1">
        <f t="array" ref="L10">IFERROR(INDEX('Master Data Sheet'!$1:$1048576, MATCH(1, ('Master Data Sheet'!$H:$H=L$2) * (INDEX('Master Data Sheet'!$1:$1, , MATCH($F$1, 'Master Data Sheet'!$1:$1, 0)) = $F$1) * ('Master Data Sheet'!$G:$G=$B10) * ('Master Data Sheet'!$F:$F=$E10) * ('Master Data Sheet'!$A:$A=$F10), 0), MATCH($F$1, 'Master Data Sheet'!$1:$1, 0)), "")</f>
        <v>84.007455731593652</v>
      </c>
      <c r="M10" s="11" cm="1">
        <f t="array" ref="M10">IFERROR(INDEX('Master Data Sheet'!$1:$1048576, MATCH(1, ('Master Data Sheet'!$H:$H=M$2) * (INDEX('Master Data Sheet'!$1:$1, , MATCH($F$1, 'Master Data Sheet'!$1:$1, 0)) = $F$1) * ('Master Data Sheet'!$G:$G=$B10) * ('Master Data Sheet'!$F:$F=$E10) * ('Master Data Sheet'!$A:$A=$F10), 0), MATCH($F$1, 'Master Data Sheet'!$1:$1, 0)), "")</f>
        <v>88.052190121155633</v>
      </c>
      <c r="N10" s="11" cm="1">
        <f t="array" ref="N10">IFERROR(INDEX('Master Data Sheet'!$1:$1048576, MATCH(1, ('Master Data Sheet'!$H:$H=N$2) * (INDEX('Master Data Sheet'!$1:$1, , MATCH($F$1, 'Master Data Sheet'!$1:$1, 0)) = $F$1) * ('Master Data Sheet'!$G:$G=$B10) * ('Master Data Sheet'!$F:$F=$E10) * ('Master Data Sheet'!$A:$A=$F10), 0), MATCH($F$1, 'Master Data Sheet'!$1:$1, 0)), "")</f>
        <v>95.694315004659828</v>
      </c>
      <c r="O10" s="11">
        <f t="shared" si="8"/>
        <v>85.65037944348289</v>
      </c>
      <c r="P10" s="11">
        <f t="shared" si="4"/>
        <v>13.968994412942196</v>
      </c>
      <c r="Q10" s="11"/>
      <c r="R10" s="46">
        <f>(1-(O10/O4))*100</f>
        <v>16.352004992978607</v>
      </c>
      <c r="X10" t="str">
        <f>IFERROR(INDEX('Date Key'!$G$57:$G$62, MATCH(B9,'Date Key'!$A$57:$A$62, 0)), "")</f>
        <v>Low HLR, Lower Outlet Height, No Plants</v>
      </c>
      <c r="Y10" s="1">
        <f t="shared" ref="Y10:AE10" si="12">H9</f>
        <v>1.0624417520969245</v>
      </c>
      <c r="Z10" s="1">
        <f t="shared" si="12"/>
        <v>1.4725069897483689</v>
      </c>
      <c r="AA10" s="1">
        <f t="shared" si="12"/>
        <v>16.141658900279587</v>
      </c>
      <c r="AB10" s="1">
        <f t="shared" si="12"/>
        <v>59.086672879776323</v>
      </c>
      <c r="AC10" s="1">
        <f t="shared" si="12"/>
        <v>90.288909599254424</v>
      </c>
      <c r="AD10" s="1">
        <f t="shared" si="12"/>
        <v>102.36719478098787</v>
      </c>
      <c r="AE10" s="1">
        <f t="shared" si="12"/>
        <v>105.90866728797764</v>
      </c>
      <c r="AF10" s="1">
        <f t="shared" ref="AF10:AL10" si="13">H10</f>
        <v>56.719478098788443</v>
      </c>
      <c r="AG10" s="1">
        <f t="shared" si="13"/>
        <v>95.507921714818252</v>
      </c>
      <c r="AH10" s="1">
        <f t="shared" si="13"/>
        <v>96.607642124883498</v>
      </c>
      <c r="AI10" s="1">
        <f t="shared" si="13"/>
        <v>82.963653308480886</v>
      </c>
      <c r="AJ10" s="1">
        <f t="shared" si="13"/>
        <v>84.007455731593652</v>
      </c>
      <c r="AK10" s="1">
        <f t="shared" si="13"/>
        <v>88.052190121155633</v>
      </c>
      <c r="AL10" s="1">
        <f t="shared" si="13"/>
        <v>95.694315004659828</v>
      </c>
      <c r="AM10" s="1">
        <f t="shared" ref="AM10:AS10" si="14">H11</f>
        <v>3.9328984156570361</v>
      </c>
      <c r="AN10" s="1">
        <f t="shared" si="14"/>
        <v>0.950605778191985</v>
      </c>
      <c r="AO10" s="1">
        <f t="shared" si="14"/>
        <v>3.9515377446411928</v>
      </c>
      <c r="AP10" s="1">
        <f t="shared" si="14"/>
        <v>17.054986020503261</v>
      </c>
      <c r="AQ10" s="1">
        <f t="shared" si="14"/>
        <v>45.890027958993478</v>
      </c>
      <c r="AR10" s="1">
        <f t="shared" si="14"/>
        <v>56.682199440820128</v>
      </c>
      <c r="AS10" s="1">
        <f t="shared" si="14"/>
        <v>61.52842497670084</v>
      </c>
    </row>
    <row r="11" spans="1:45" x14ac:dyDescent="0.35">
      <c r="A11" s="42">
        <f>IFERROR(INDEX('Date Key'!$B$2:$B$19, MATCH(F11,'Date Key'!$A$2:$A$19, 0)), "")</f>
        <v>45195</v>
      </c>
      <c r="B11" s="27">
        <f t="shared" si="0"/>
        <v>1</v>
      </c>
      <c r="C11" s="51" t="str">
        <f>IFERROR(INDEX('Date Key'!$G$57:$G$62, MATCH(B11,'Date Key'!$A$57:$A$62, 0)), "")</f>
        <v>Low HLR, Lower Outlet Height, No Plants</v>
      </c>
      <c r="D11" s="27" t="str">
        <f>IFERROR(INDEX('Date Key'!$G$2:$G$19, MATCH(F11, 'Date Key'!$A$2:$A$19, 0)), "")</f>
        <v>No</v>
      </c>
      <c r="E11" s="27" t="str">
        <f t="shared" si="1"/>
        <v>tank 2</v>
      </c>
      <c r="F11" s="27">
        <f t="shared" si="2"/>
        <v>3</v>
      </c>
      <c r="G11" s="27">
        <f t="shared" si="3"/>
        <v>3</v>
      </c>
      <c r="H11" s="28" cm="1">
        <f t="array" ref="H11">IFERROR(INDEX('Master Data Sheet'!$1:$1048576, MATCH(1, ('Master Data Sheet'!$H:$H=H$2) * (INDEX('Master Data Sheet'!$1:$1, , MATCH($F$1, 'Master Data Sheet'!$1:$1, 0)) = $F$1) * ('Master Data Sheet'!$G:$G=$B11) * ('Master Data Sheet'!$F:$F=$E11) * ('Master Data Sheet'!$A:$A=$F11), 0), MATCH($F$1, 'Master Data Sheet'!$1:$1, 0)), "")</f>
        <v>3.9328984156570361</v>
      </c>
      <c r="I11" s="28" cm="1">
        <f t="array" ref="I11">IFERROR(INDEX('Master Data Sheet'!$1:$1048576, MATCH(1, ('Master Data Sheet'!$H:$H=I$2) * (INDEX('Master Data Sheet'!$1:$1, , MATCH($F$1, 'Master Data Sheet'!$1:$1, 0)) = $F$1) * ('Master Data Sheet'!$G:$G=$B11) * ('Master Data Sheet'!$F:$F=$E11) * ('Master Data Sheet'!$A:$A=$F11), 0), MATCH($F$1, 'Master Data Sheet'!$1:$1, 0)), "")</f>
        <v>0.950605778191985</v>
      </c>
      <c r="J11" s="28" cm="1">
        <f t="array" ref="J11">IFERROR(INDEX('Master Data Sheet'!$1:$1048576, MATCH(1, ('Master Data Sheet'!$H:$H=J$2) * (INDEX('Master Data Sheet'!$1:$1, , MATCH($F$1, 'Master Data Sheet'!$1:$1, 0)) = $F$1) * ('Master Data Sheet'!$G:$G=$B11) * ('Master Data Sheet'!$F:$F=$E11) * ('Master Data Sheet'!$A:$A=$F11), 0), MATCH($F$1, 'Master Data Sheet'!$1:$1, 0)), "")</f>
        <v>3.9515377446411928</v>
      </c>
      <c r="K11" s="28" cm="1">
        <f t="array" ref="K11">IFERROR(INDEX('Master Data Sheet'!$1:$1048576, MATCH(1, ('Master Data Sheet'!$H:$H=K$2) * (INDEX('Master Data Sheet'!$1:$1, , MATCH($F$1, 'Master Data Sheet'!$1:$1, 0)) = $F$1) * ('Master Data Sheet'!$G:$G=$B11) * ('Master Data Sheet'!$F:$F=$E11) * ('Master Data Sheet'!$A:$A=$F11), 0), MATCH($F$1, 'Master Data Sheet'!$1:$1, 0)), "")</f>
        <v>17.054986020503261</v>
      </c>
      <c r="L11" s="28" cm="1">
        <f t="array" ref="L11">IFERROR(INDEX('Master Data Sheet'!$1:$1048576, MATCH(1, ('Master Data Sheet'!$H:$H=L$2) * (INDEX('Master Data Sheet'!$1:$1, , MATCH($F$1, 'Master Data Sheet'!$1:$1, 0)) = $F$1) * ('Master Data Sheet'!$G:$G=$B11) * ('Master Data Sheet'!$F:$F=$E11) * ('Master Data Sheet'!$A:$A=$F11), 0), MATCH($F$1, 'Master Data Sheet'!$1:$1, 0)), "")</f>
        <v>45.890027958993478</v>
      </c>
      <c r="M11" s="28" cm="1">
        <f t="array" ref="M11">IFERROR(INDEX('Master Data Sheet'!$1:$1048576, MATCH(1, ('Master Data Sheet'!$H:$H=M$2) * (INDEX('Master Data Sheet'!$1:$1, , MATCH($F$1, 'Master Data Sheet'!$1:$1, 0)) = $F$1) * ('Master Data Sheet'!$G:$G=$B11) * ('Master Data Sheet'!$F:$F=$E11) * ('Master Data Sheet'!$A:$A=$F11), 0), MATCH($F$1, 'Master Data Sheet'!$1:$1, 0)), "")</f>
        <v>56.682199440820128</v>
      </c>
      <c r="N11" s="28" cm="1">
        <f t="array" ref="N11">IFERROR(INDEX('Master Data Sheet'!$1:$1048576, MATCH(1, ('Master Data Sheet'!$H:$H=N$2) * (INDEX('Master Data Sheet'!$1:$1, , MATCH($F$1, 'Master Data Sheet'!$1:$1, 0)) = $F$1) * ('Master Data Sheet'!$G:$G=$B11) * ('Master Data Sheet'!$F:$F=$E11) * ('Master Data Sheet'!$A:$A=$F11), 0), MATCH($F$1, 'Master Data Sheet'!$1:$1, 0)), "")</f>
        <v>61.52842497670084</v>
      </c>
      <c r="O11" s="28">
        <f t="shared" si="8"/>
        <v>27.141525762215419</v>
      </c>
      <c r="P11" s="28">
        <f t="shared" si="4"/>
        <v>26.679377412566211</v>
      </c>
      <c r="Q11" s="28"/>
      <c r="R11" s="48">
        <f>(1-(O11/O5))*100</f>
        <v>70.229854843891459</v>
      </c>
      <c r="S11" s="27"/>
      <c r="T11" s="27"/>
      <c r="U11" s="27"/>
      <c r="V11" s="27"/>
    </row>
    <row r="12" spans="1:45" x14ac:dyDescent="0.35">
      <c r="A12" s="41">
        <f>IFERROR(INDEX('Date Key'!$B$2:$B$19, MATCH(F12,'Date Key'!$A$2:$A$19, 0)), "")</f>
        <v>45217</v>
      </c>
      <c r="B12" s="4">
        <f>INT((ROW(B10)-1)/9)+1</f>
        <v>2</v>
      </c>
      <c r="C12" s="26" t="str">
        <f>IFERROR(INDEX('Date Key'!$G$57:$G$62, MATCH(B12,'Date Key'!$A$57:$A$62, 0)), "")</f>
        <v>Medium HLR, Lower Outlet Height, No Plants</v>
      </c>
      <c r="D12" s="4" t="str">
        <f>IFERROR(INDEX('Date Key'!$G$2:$G$19, MATCH(F12, 'Date Key'!$A$2:$A$19, 0)), "")</f>
        <v>No</v>
      </c>
      <c r="E12" s="4" t="str">
        <f t="shared" si="1"/>
        <v>in</v>
      </c>
      <c r="F12" s="4">
        <f t="shared" si="2"/>
        <v>4</v>
      </c>
      <c r="G12" s="4">
        <f t="shared" si="3"/>
        <v>1</v>
      </c>
      <c r="H12" s="11" cm="1">
        <f t="array" ref="H12">IFERROR(INDEX('Master Data Sheet'!$1:$1048576, MATCH(1, ('Master Data Sheet'!$H:$H=H$2) * (INDEX('Master Data Sheet'!$1:$1, , MATCH($F$1, 'Master Data Sheet'!$1:$1, 0)) = $F$1) * ('Master Data Sheet'!$G:$G=$B12) * ('Master Data Sheet'!$F:$F=$E12) * ('Master Data Sheet'!$A:$A=$F12), 0), MATCH($F$1, 'Master Data Sheet'!$1:$1, 0)), "")</f>
        <v>118.55685131195334</v>
      </c>
      <c r="I12" s="11" cm="1">
        <f t="array" ref="I12">IFERROR(INDEX('Master Data Sheet'!$1:$1048576, MATCH(1, ('Master Data Sheet'!$H:$H=I$2) * (INDEX('Master Data Sheet'!$1:$1, , MATCH($F$1, 'Master Data Sheet'!$1:$1, 0)) = $F$1) * ('Master Data Sheet'!$G:$G=$B12) * ('Master Data Sheet'!$F:$F=$E12) * ('Master Data Sheet'!$A:$A=$F12), 0), MATCH($F$1, 'Master Data Sheet'!$1:$1, 0)), "")</f>
        <v>137.49271137026238</v>
      </c>
      <c r="J12" s="11" cm="1">
        <f t="array" ref="J12">IFERROR(INDEX('Master Data Sheet'!$1:$1048576, MATCH(1, ('Master Data Sheet'!$H:$H=J$2) * (INDEX('Master Data Sheet'!$1:$1, , MATCH($F$1, 'Master Data Sheet'!$1:$1, 0)) = $F$1) * ('Master Data Sheet'!$G:$G=$B12) * ('Master Data Sheet'!$F:$F=$E12) * ('Master Data Sheet'!$A:$A=$F12), 0), MATCH($F$1, 'Master Data Sheet'!$1:$1, 0)), "")</f>
        <v>119.50437317784257</v>
      </c>
      <c r="K12" s="11" cm="1">
        <f t="array" ref="K12">IFERROR(INDEX('Master Data Sheet'!$1:$1048576, MATCH(1, ('Master Data Sheet'!$H:$H=K$2) * (INDEX('Master Data Sheet'!$1:$1, , MATCH($F$1, 'Master Data Sheet'!$1:$1, 0)) = $F$1) * ('Master Data Sheet'!$G:$G=$B12) * ('Master Data Sheet'!$F:$F=$E12) * ('Master Data Sheet'!$A:$A=$F12), 0), MATCH($F$1, 'Master Data Sheet'!$1:$1, 0)), "")</f>
        <v>120.29154518950436</v>
      </c>
      <c r="L12" s="11" cm="1">
        <f t="array" ref="L12">IFERROR(INDEX('Master Data Sheet'!$1:$1048576, MATCH(1, ('Master Data Sheet'!$H:$H=L$2) * (INDEX('Master Data Sheet'!$1:$1, , MATCH($F$1, 'Master Data Sheet'!$1:$1, 0)) = $F$1) * ('Master Data Sheet'!$G:$G=$B12) * ('Master Data Sheet'!$F:$F=$E12) * ('Master Data Sheet'!$A:$A=$F12), 0), MATCH($F$1, 'Master Data Sheet'!$1:$1, 0)), "")</f>
        <v>105.97667638483964</v>
      </c>
      <c r="M12" s="11" cm="1">
        <f t="array" ref="M12">IFERROR(INDEX('Master Data Sheet'!$1:$1048576, MATCH(1, ('Master Data Sheet'!$H:$H=M$2) * (INDEX('Master Data Sheet'!$1:$1, , MATCH($F$1, 'Master Data Sheet'!$1:$1, 0)) = $F$1) * ('Master Data Sheet'!$G:$G=$B12) * ('Master Data Sheet'!$F:$F=$E12) * ('Master Data Sheet'!$A:$A=$F12), 0), MATCH($F$1, 'Master Data Sheet'!$1:$1, 0)), "")</f>
        <v>103.96501457725947</v>
      </c>
      <c r="N12" s="11" cm="1">
        <f t="array" ref="N12">IFERROR(INDEX('Master Data Sheet'!$1:$1048576, MATCH(1, ('Master Data Sheet'!$H:$H=N$2) * (INDEX('Master Data Sheet'!$1:$1, , MATCH($F$1, 'Master Data Sheet'!$1:$1, 0)) = $F$1) * ('Master Data Sheet'!$G:$G=$B12) * ('Master Data Sheet'!$F:$F=$E12) * ('Master Data Sheet'!$A:$A=$F12), 0), MATCH($F$1, 'Master Data Sheet'!$1:$1, 0)), "")</f>
        <v>99.970845481049551</v>
      </c>
      <c r="O12" s="11">
        <f t="shared" si="8"/>
        <v>115.10828821324446</v>
      </c>
      <c r="P12" s="11">
        <f t="shared" si="4"/>
        <v>12.883113998549401</v>
      </c>
      <c r="Q12" s="11">
        <f>AVERAGE(O12:O14)</f>
        <v>121.00193433490962</v>
      </c>
      <c r="S12" s="11">
        <f>AVERAGE(O12:O14)</f>
        <v>121.00193433490962</v>
      </c>
      <c r="T12" s="11">
        <f>AVERAGE(P12:P14)</f>
        <v>9.4635894866141506</v>
      </c>
      <c r="V12" s="47">
        <f>AVERAGE(U15, U18)</f>
        <v>22.07135563263461</v>
      </c>
      <c r="X12" t="s">
        <v>343</v>
      </c>
    </row>
    <row r="13" spans="1:45" x14ac:dyDescent="0.35">
      <c r="A13" s="41">
        <f>IFERROR(INDEX('Date Key'!$B$2:$B$19, MATCH(F13,'Date Key'!$A$2:$A$19, 0)), "")</f>
        <v>45224</v>
      </c>
      <c r="B13" s="4">
        <f t="shared" ref="B13:B56" si="15">INT((ROW(B11)-1)/9)+1</f>
        <v>2</v>
      </c>
      <c r="C13" s="26" t="str">
        <f>IFERROR(INDEX('Date Key'!$G$57:$G$62, MATCH(B13,'Date Key'!$A$57:$A$62, 0)), "")</f>
        <v>Medium HLR, Lower Outlet Height, No Plants</v>
      </c>
      <c r="D13" s="4" t="str">
        <f>IFERROR(INDEX('Date Key'!$G$2:$G$19, MATCH(F13, 'Date Key'!$A$2:$A$19, 0)), "")</f>
        <v>No</v>
      </c>
      <c r="E13" s="4" t="str">
        <f t="shared" si="1"/>
        <v>in</v>
      </c>
      <c r="F13" s="4">
        <f t="shared" si="2"/>
        <v>5</v>
      </c>
      <c r="G13" s="4">
        <f t="shared" si="3"/>
        <v>2</v>
      </c>
      <c r="H13" s="11" cm="1">
        <f t="array" ref="H13">IFERROR(INDEX('Master Data Sheet'!$1:$1048576, MATCH(1, ('Master Data Sheet'!$H:$H=H$2) * (INDEX('Master Data Sheet'!$1:$1, , MATCH($F$1, 'Master Data Sheet'!$1:$1, 0)) = $F$1) * ('Master Data Sheet'!$G:$G=$B13) * ('Master Data Sheet'!$F:$F=$E13) * ('Master Data Sheet'!$A:$A=$F13), 0), MATCH($F$1, 'Master Data Sheet'!$1:$1, 0)), "")</f>
        <v>95.27696793002913</v>
      </c>
      <c r="I13" s="11" cm="1">
        <f t="array" ref="I13">IFERROR(INDEX('Master Data Sheet'!$1:$1048576, MATCH(1, ('Master Data Sheet'!$H:$H=I$2) * (INDEX('Master Data Sheet'!$1:$1, , MATCH($F$1, 'Master Data Sheet'!$1:$1, 0)) = $F$1) * ('Master Data Sheet'!$G:$G=$B13) * ('Master Data Sheet'!$F:$F=$E13) * ('Master Data Sheet'!$A:$A=$F13), 0), MATCH($F$1, 'Master Data Sheet'!$1:$1, 0)), "")</f>
        <v>131.29737609329445</v>
      </c>
      <c r="J13" s="11" cm="1">
        <f t="array" ref="J13">IFERROR(INDEX('Master Data Sheet'!$1:$1048576, MATCH(1, ('Master Data Sheet'!$H:$H=J$2) * (INDEX('Master Data Sheet'!$1:$1, , MATCH($F$1, 'Master Data Sheet'!$1:$1, 0)) = $F$1) * ('Master Data Sheet'!$G:$G=$B13) * ('Master Data Sheet'!$F:$F=$E13) * ('Master Data Sheet'!$A:$A=$F13), 0), MATCH($F$1, 'Master Data Sheet'!$1:$1, 0)), "")</f>
        <v>114.05247813411079</v>
      </c>
      <c r="K13" s="11" cm="1">
        <f t="array" ref="K13">IFERROR(INDEX('Master Data Sheet'!$1:$1048576, MATCH(1, ('Master Data Sheet'!$H:$H=K$2) * (INDEX('Master Data Sheet'!$1:$1, , MATCH($F$1, 'Master Data Sheet'!$1:$1, 0)) = $F$1) * ('Master Data Sheet'!$G:$G=$B13) * ('Master Data Sheet'!$F:$F=$E13) * ('Master Data Sheet'!$A:$A=$F13), 0), MATCH($F$1, 'Master Data Sheet'!$1:$1, 0)), "")</f>
        <v>107.09912536443149</v>
      </c>
      <c r="L13" s="11" cm="1">
        <f t="array" ref="L13">IFERROR(INDEX('Master Data Sheet'!$1:$1048576, MATCH(1, ('Master Data Sheet'!$H:$H=L$2) * (INDEX('Master Data Sheet'!$1:$1, , MATCH($F$1, 'Master Data Sheet'!$1:$1, 0)) = $F$1) * ('Master Data Sheet'!$G:$G=$B13) * ('Master Data Sheet'!$F:$F=$E13) * ('Master Data Sheet'!$A:$A=$F13), 0), MATCH($F$1, 'Master Data Sheet'!$1:$1, 0)), "")</f>
        <v>101.90962099125363</v>
      </c>
      <c r="M13" s="11" cm="1">
        <f t="array" ref="M13">IFERROR(INDEX('Master Data Sheet'!$1:$1048576, MATCH(1, ('Master Data Sheet'!$H:$H=M$2) * (INDEX('Master Data Sheet'!$1:$1, , MATCH($F$1, 'Master Data Sheet'!$1:$1, 0)) = $F$1) * ('Master Data Sheet'!$G:$G=$B13) * ('Master Data Sheet'!$F:$F=$E13) * ('Master Data Sheet'!$A:$A=$F13), 0), MATCH($F$1, 'Master Data Sheet'!$1:$1, 0)), "")</f>
        <v>102.98833819241982</v>
      </c>
      <c r="N13" s="11" cm="1">
        <f t="array" ref="N13">IFERROR(INDEX('Master Data Sheet'!$1:$1048576, MATCH(1, ('Master Data Sheet'!$H:$H=N$2) * (INDEX('Master Data Sheet'!$1:$1, , MATCH($F$1, 'Master Data Sheet'!$1:$1, 0)) = $F$1) * ('Master Data Sheet'!$G:$G=$B13) * ('Master Data Sheet'!$F:$F=$E13) * ('Master Data Sheet'!$A:$A=$F13), 0), MATCH($F$1, 'Master Data Sheet'!$1:$1, 0)), "")</f>
        <v>104.27113702623906</v>
      </c>
      <c r="O13" s="11">
        <f t="shared" si="8"/>
        <v>108.12786339025408</v>
      </c>
      <c r="P13" s="11">
        <f t="shared" si="4"/>
        <v>11.676806004880396</v>
      </c>
      <c r="Q13" s="11"/>
      <c r="X13" t="str">
        <f>IFERROR(INDEX('Date Key'!$G$57:$G$62, MATCH(B12,'Date Key'!$A$57:$A$62, 0)), "")</f>
        <v>Medium HLR, Lower Outlet Height, No Plants</v>
      </c>
      <c r="Y13" s="1">
        <f t="shared" ref="Y13:AE13" si="16">H12</f>
        <v>118.55685131195334</v>
      </c>
      <c r="Z13" s="1">
        <f t="shared" si="16"/>
        <v>137.49271137026238</v>
      </c>
      <c r="AA13" s="1">
        <f t="shared" si="16"/>
        <v>119.50437317784257</v>
      </c>
      <c r="AB13" s="1">
        <f t="shared" si="16"/>
        <v>120.29154518950436</v>
      </c>
      <c r="AC13" s="1">
        <f t="shared" si="16"/>
        <v>105.97667638483964</v>
      </c>
      <c r="AD13" s="1">
        <f t="shared" si="16"/>
        <v>103.96501457725947</v>
      </c>
      <c r="AE13" s="1">
        <f t="shared" si="16"/>
        <v>99.970845481049551</v>
      </c>
      <c r="AF13" s="1">
        <f t="shared" ref="AF13:AL13" si="17">H13</f>
        <v>95.27696793002913</v>
      </c>
      <c r="AG13" s="1">
        <f t="shared" si="17"/>
        <v>131.29737609329445</v>
      </c>
      <c r="AH13" s="1">
        <f t="shared" si="17"/>
        <v>114.05247813411079</v>
      </c>
      <c r="AI13" s="1">
        <f t="shared" si="17"/>
        <v>107.09912536443149</v>
      </c>
      <c r="AJ13" s="1">
        <f t="shared" si="17"/>
        <v>101.90962099125363</v>
      </c>
      <c r="AK13" s="1">
        <f t="shared" si="17"/>
        <v>102.98833819241982</v>
      </c>
      <c r="AL13" s="1">
        <f t="shared" si="17"/>
        <v>104.27113702623906</v>
      </c>
      <c r="AM13" s="1">
        <f t="shared" ref="AM13:AS13" si="18">H14</f>
        <v>139.39234449760767</v>
      </c>
      <c r="AN13" s="1">
        <f t="shared" si="18"/>
        <v>139.73684210526315</v>
      </c>
      <c r="AO13" s="1">
        <f t="shared" si="18"/>
        <v>139.01913875598086</v>
      </c>
      <c r="AP13" s="1">
        <f t="shared" si="18"/>
        <v>147.94736842105263</v>
      </c>
      <c r="AQ13" s="1">
        <f t="shared" si="18"/>
        <v>139.0622009569378</v>
      </c>
      <c r="AR13" s="1">
        <f t="shared" si="18"/>
        <v>136.79425837320574</v>
      </c>
      <c r="AS13" s="1">
        <f t="shared" si="18"/>
        <v>136.43540669856461</v>
      </c>
    </row>
    <row r="14" spans="1:45" x14ac:dyDescent="0.35">
      <c r="A14" s="41">
        <f>IFERROR(INDEX('Date Key'!$B$2:$B$19, MATCH(F14,'Date Key'!$A$2:$A$19, 0)), "")</f>
        <v>45230</v>
      </c>
      <c r="B14" s="4">
        <f t="shared" si="15"/>
        <v>2</v>
      </c>
      <c r="C14" s="26" t="str">
        <f>IFERROR(INDEX('Date Key'!$G$57:$G$62, MATCH(B14,'Date Key'!$A$57:$A$62, 0)), "")</f>
        <v>Medium HLR, Lower Outlet Height, No Plants</v>
      </c>
      <c r="D14" s="4" t="str">
        <f>IFERROR(INDEX('Date Key'!$G$2:$G$19, MATCH(F14, 'Date Key'!$A$2:$A$19, 0)), "")</f>
        <v>Yes</v>
      </c>
      <c r="E14" s="4" t="str">
        <f t="shared" si="1"/>
        <v>in</v>
      </c>
      <c r="F14" s="4">
        <f t="shared" si="2"/>
        <v>6</v>
      </c>
      <c r="G14" s="4">
        <f t="shared" si="3"/>
        <v>3</v>
      </c>
      <c r="H14" s="11" cm="1">
        <f t="array" ref="H14">IFERROR(INDEX('Master Data Sheet'!$1:$1048576, MATCH(1, ('Master Data Sheet'!$H:$H=H$2) * (INDEX('Master Data Sheet'!$1:$1, , MATCH($F$1, 'Master Data Sheet'!$1:$1, 0)) = $F$1) * ('Master Data Sheet'!$G:$G=$B14) * ('Master Data Sheet'!$F:$F=$E14) * ('Master Data Sheet'!$A:$A=$F14), 0), MATCH($F$1, 'Master Data Sheet'!$1:$1, 0)), "")</f>
        <v>139.39234449760767</v>
      </c>
      <c r="I14" s="11" cm="1">
        <f t="array" ref="I14">IFERROR(INDEX('Master Data Sheet'!$1:$1048576, MATCH(1, ('Master Data Sheet'!$H:$H=I$2) * (INDEX('Master Data Sheet'!$1:$1, , MATCH($F$1, 'Master Data Sheet'!$1:$1, 0)) = $F$1) * ('Master Data Sheet'!$G:$G=$B14) * ('Master Data Sheet'!$F:$F=$E14) * ('Master Data Sheet'!$A:$A=$F14), 0), MATCH($F$1, 'Master Data Sheet'!$1:$1, 0)), "")</f>
        <v>139.73684210526315</v>
      </c>
      <c r="J14" s="11" cm="1">
        <f t="array" ref="J14">IFERROR(INDEX('Master Data Sheet'!$1:$1048576, MATCH(1, ('Master Data Sheet'!$H:$H=J$2) * (INDEX('Master Data Sheet'!$1:$1, , MATCH($F$1, 'Master Data Sheet'!$1:$1, 0)) = $F$1) * ('Master Data Sheet'!$G:$G=$B14) * ('Master Data Sheet'!$F:$F=$E14) * ('Master Data Sheet'!$A:$A=$F14), 0), MATCH($F$1, 'Master Data Sheet'!$1:$1, 0)), "")</f>
        <v>139.01913875598086</v>
      </c>
      <c r="K14" s="11" cm="1">
        <f t="array" ref="K14">IFERROR(INDEX('Master Data Sheet'!$1:$1048576, MATCH(1, ('Master Data Sheet'!$H:$H=K$2) * (INDEX('Master Data Sheet'!$1:$1, , MATCH($F$1, 'Master Data Sheet'!$1:$1, 0)) = $F$1) * ('Master Data Sheet'!$G:$G=$B14) * ('Master Data Sheet'!$F:$F=$E14) * ('Master Data Sheet'!$A:$A=$F14), 0), MATCH($F$1, 'Master Data Sheet'!$1:$1, 0)), "")</f>
        <v>147.94736842105263</v>
      </c>
      <c r="L14" s="11" cm="1">
        <f t="array" ref="L14">IFERROR(INDEX('Master Data Sheet'!$1:$1048576, MATCH(1, ('Master Data Sheet'!$H:$H=L$2) * (INDEX('Master Data Sheet'!$1:$1, , MATCH($F$1, 'Master Data Sheet'!$1:$1, 0)) = $F$1) * ('Master Data Sheet'!$G:$G=$B14) * ('Master Data Sheet'!$F:$F=$E14) * ('Master Data Sheet'!$A:$A=$F14), 0), MATCH($F$1, 'Master Data Sheet'!$1:$1, 0)), "")</f>
        <v>139.0622009569378</v>
      </c>
      <c r="M14" s="11" cm="1">
        <f t="array" ref="M14">IFERROR(INDEX('Master Data Sheet'!$1:$1048576, MATCH(1, ('Master Data Sheet'!$H:$H=M$2) * (INDEX('Master Data Sheet'!$1:$1, , MATCH($F$1, 'Master Data Sheet'!$1:$1, 0)) = $F$1) * ('Master Data Sheet'!$G:$G=$B14) * ('Master Data Sheet'!$F:$F=$E14) * ('Master Data Sheet'!$A:$A=$F14), 0), MATCH($F$1, 'Master Data Sheet'!$1:$1, 0)), "")</f>
        <v>136.79425837320574</v>
      </c>
      <c r="N14" s="11" cm="1">
        <f t="array" ref="N14">IFERROR(INDEX('Master Data Sheet'!$1:$1048576, MATCH(1, ('Master Data Sheet'!$H:$H=N$2) * (INDEX('Master Data Sheet'!$1:$1, , MATCH($F$1, 'Master Data Sheet'!$1:$1, 0)) = $F$1) * ('Master Data Sheet'!$G:$G=$B14) * ('Master Data Sheet'!$F:$F=$E14) * ('Master Data Sheet'!$A:$A=$F14), 0), MATCH($F$1, 'Master Data Sheet'!$1:$1, 0)), "")</f>
        <v>136.43540669856461</v>
      </c>
      <c r="O14" s="11">
        <f t="shared" si="8"/>
        <v>139.76965140123033</v>
      </c>
      <c r="P14" s="11">
        <f t="shared" si="4"/>
        <v>3.8308484564126557</v>
      </c>
      <c r="Q14" s="11"/>
      <c r="Y14" s="1"/>
      <c r="Z14" s="1"/>
      <c r="AA14" s="1"/>
      <c r="AB14" s="1"/>
      <c r="AC14" s="1"/>
      <c r="AD14" s="1"/>
      <c r="AE14" s="1"/>
      <c r="AF14" s="1"/>
      <c r="AG14" s="1"/>
      <c r="AH14" s="1"/>
      <c r="AI14" s="1"/>
      <c r="AJ14" s="1"/>
      <c r="AK14" s="1"/>
      <c r="AL14" s="1"/>
      <c r="AM14" s="1"/>
      <c r="AN14" s="1"/>
      <c r="AO14" s="1"/>
      <c r="AP14" s="1"/>
      <c r="AQ14" s="1"/>
      <c r="AR14" s="1"/>
      <c r="AS14" s="1"/>
    </row>
    <row r="15" spans="1:45" x14ac:dyDescent="0.35">
      <c r="A15" s="41">
        <f>IFERROR(INDEX('Date Key'!$B$2:$B$19, MATCH(F15,'Date Key'!$A$2:$A$19, 0)), "")</f>
        <v>45217</v>
      </c>
      <c r="B15" s="4">
        <f t="shared" si="15"/>
        <v>2</v>
      </c>
      <c r="C15" s="26" t="str">
        <f>IFERROR(INDEX('Date Key'!$G$57:$G$62, MATCH(B15,'Date Key'!$A$57:$A$62, 0)), "")</f>
        <v>Medium HLR, Lower Outlet Height, No Plants</v>
      </c>
      <c r="D15" s="4" t="str">
        <f>IFERROR(INDEX('Date Key'!$G$2:$G$19, MATCH(F15, 'Date Key'!$A$2:$A$19, 0)), "")</f>
        <v>No</v>
      </c>
      <c r="E15" s="4" t="str">
        <f t="shared" si="1"/>
        <v>tank 1</v>
      </c>
      <c r="F15" s="4">
        <f t="shared" si="2"/>
        <v>4</v>
      </c>
      <c r="G15" s="4">
        <f t="shared" si="3"/>
        <v>1</v>
      </c>
      <c r="H15" s="11" cm="1">
        <f t="array" ref="H15">IFERROR(INDEX('Master Data Sheet'!$1:$1048576, MATCH(1, ('Master Data Sheet'!$H:$H=H$2) * (INDEX('Master Data Sheet'!$1:$1, , MATCH($F$1, 'Master Data Sheet'!$1:$1, 0)) = $F$1) * ('Master Data Sheet'!$G:$G=$B15) * ('Master Data Sheet'!$F:$F=$E15) * ('Master Data Sheet'!$A:$A=$F15), 0), MATCH($F$1, 'Master Data Sheet'!$1:$1, 0)), "")</f>
        <v>98.323615160349846</v>
      </c>
      <c r="I15" s="11" cm="1">
        <f t="array" ref="I15">IFERROR(INDEX('Master Data Sheet'!$1:$1048576, MATCH(1, ('Master Data Sheet'!$H:$H=I$2) * (INDEX('Master Data Sheet'!$1:$1, , MATCH($F$1, 'Master Data Sheet'!$1:$1, 0)) = $F$1) * ('Master Data Sheet'!$G:$G=$B15) * ('Master Data Sheet'!$F:$F=$E15) * ('Master Data Sheet'!$A:$A=$F15), 0), MATCH($F$1, 'Master Data Sheet'!$1:$1, 0)), "")</f>
        <v>86.413994169096199</v>
      </c>
      <c r="J15" s="11" cm="1">
        <f t="array" ref="J15">IFERROR(INDEX('Master Data Sheet'!$1:$1048576, MATCH(1, ('Master Data Sheet'!$H:$H=J$2) * (INDEX('Master Data Sheet'!$1:$1, , MATCH($F$1, 'Master Data Sheet'!$1:$1, 0)) = $F$1) * ('Master Data Sheet'!$G:$G=$B15) * ('Master Data Sheet'!$F:$F=$E15) * ('Master Data Sheet'!$A:$A=$F15), 0), MATCH($F$1, 'Master Data Sheet'!$1:$1, 0)), "")</f>
        <v>88.425655976676381</v>
      </c>
      <c r="K15" s="11" cm="1">
        <f t="array" ref="K15">IFERROR(INDEX('Master Data Sheet'!$1:$1048576, MATCH(1, ('Master Data Sheet'!$H:$H=K$2) * (INDEX('Master Data Sheet'!$1:$1, , MATCH($F$1, 'Master Data Sheet'!$1:$1, 0)) = $F$1) * ('Master Data Sheet'!$G:$G=$B15) * ('Master Data Sheet'!$F:$F=$E15) * ('Master Data Sheet'!$A:$A=$F15), 0), MATCH($F$1, 'Master Data Sheet'!$1:$1, 0)), "")</f>
        <v>107.12827988338192</v>
      </c>
      <c r="L15" s="11" cm="1">
        <f t="array" ref="L15">IFERROR(INDEX('Master Data Sheet'!$1:$1048576, MATCH(1, ('Master Data Sheet'!$H:$H=L$2) * (INDEX('Master Data Sheet'!$1:$1, , MATCH($F$1, 'Master Data Sheet'!$1:$1, 0)) = $F$1) * ('Master Data Sheet'!$G:$G=$B15) * ('Master Data Sheet'!$F:$F=$E15) * ('Master Data Sheet'!$A:$A=$F15), 0), MATCH($F$1, 'Master Data Sheet'!$1:$1, 0)), "")</f>
        <v>114.18367346938776</v>
      </c>
      <c r="M15" s="11" cm="1">
        <f t="array" ref="M15">IFERROR(INDEX('Master Data Sheet'!$1:$1048576, MATCH(1, ('Master Data Sheet'!$H:$H=M$2) * (INDEX('Master Data Sheet'!$1:$1, , MATCH($F$1, 'Master Data Sheet'!$1:$1, 0)) = $F$1) * ('Master Data Sheet'!$G:$G=$B15) * ('Master Data Sheet'!$F:$F=$E15) * ('Master Data Sheet'!$A:$A=$F15), 0), MATCH($F$1, 'Master Data Sheet'!$1:$1, 0)), "")</f>
        <v>112.82798833819241</v>
      </c>
      <c r="N15" s="11" cm="1">
        <f t="array" ref="N15">IFERROR(INDEX('Master Data Sheet'!$1:$1048576, MATCH(1, ('Master Data Sheet'!$H:$H=N$2) * (INDEX('Master Data Sheet'!$1:$1, , MATCH($F$1, 'Master Data Sheet'!$1:$1, 0)) = $F$1) * ('Master Data Sheet'!$G:$G=$B15) * ('Master Data Sheet'!$F:$F=$E15) * ('Master Data Sheet'!$A:$A=$F15), 0), MATCH($F$1, 'Master Data Sheet'!$1:$1, 0)), "")</f>
        <v>107.62390670553935</v>
      </c>
      <c r="O15" s="11">
        <f t="shared" si="8"/>
        <v>102.13244481466056</v>
      </c>
      <c r="P15" s="11">
        <f t="shared" si="4"/>
        <v>11.285641462841127</v>
      </c>
      <c r="Q15" s="11">
        <f>AVERAGE(O15:O17)</f>
        <v>102.9528532436312</v>
      </c>
      <c r="R15" s="46">
        <f>(1-(O15/O12))*100</f>
        <v>11.272727272727256</v>
      </c>
      <c r="S15" s="46">
        <f>AVERAGE(R15:R17)</f>
        <v>15.435702793969446</v>
      </c>
      <c r="T15" s="46">
        <f>STDEV(R15:R17)</f>
        <v>7.9818228324180742</v>
      </c>
      <c r="U15" s="47">
        <f>(1-(AVERAGE(H15:N17)/AVERAGE(H12:N14)))*100</f>
        <v>14.916357486750664</v>
      </c>
      <c r="Y15" s="2"/>
      <c r="Z15" s="2"/>
      <c r="AA15" s="2"/>
      <c r="AB15" s="2"/>
      <c r="AC15" s="2"/>
      <c r="AD15" s="2"/>
      <c r="AE15" s="2"/>
      <c r="AF15" s="2"/>
      <c r="AG15" s="2"/>
    </row>
    <row r="16" spans="1:45" x14ac:dyDescent="0.35">
      <c r="A16" s="41">
        <f>IFERROR(INDEX('Date Key'!$B$2:$B$19, MATCH(F16,'Date Key'!$A$2:$A$19, 0)), "")</f>
        <v>45224</v>
      </c>
      <c r="B16" s="4">
        <f t="shared" si="15"/>
        <v>2</v>
      </c>
      <c r="C16" s="26" t="str">
        <f>IFERROR(INDEX('Date Key'!$G$57:$G$62, MATCH(B16,'Date Key'!$A$57:$A$62, 0)), "")</f>
        <v>Medium HLR, Lower Outlet Height, No Plants</v>
      </c>
      <c r="D16" s="4" t="str">
        <f>IFERROR(INDEX('Date Key'!$G$2:$G$19, MATCH(F16, 'Date Key'!$A$2:$A$19, 0)), "")</f>
        <v>No</v>
      </c>
      <c r="E16" s="4" t="str">
        <f t="shared" si="1"/>
        <v>tank 1</v>
      </c>
      <c r="F16" s="4">
        <f t="shared" si="2"/>
        <v>5</v>
      </c>
      <c r="G16" s="4">
        <f>MOD(ROW(G16)-ROW($G$3), 3) + 1</f>
        <v>2</v>
      </c>
      <c r="H16" s="11" cm="1">
        <f t="array" ref="H16">IFERROR(INDEX('Master Data Sheet'!$1:$1048576, MATCH(1, ('Master Data Sheet'!$H:$H=H$2) * (INDEX('Master Data Sheet'!$1:$1, , MATCH($F$1, 'Master Data Sheet'!$1:$1, 0)) = $F$1) * ('Master Data Sheet'!$G:$G=$B16) * ('Master Data Sheet'!$F:$F=$E16) * ('Master Data Sheet'!$A:$A=$F16), 0), MATCH($F$1, 'Master Data Sheet'!$1:$1, 0)), "")</f>
        <v>62.915451895043731</v>
      </c>
      <c r="I16" s="11" cm="1">
        <f t="array" ref="I16">IFERROR(INDEX('Master Data Sheet'!$1:$1048576, MATCH(1, ('Master Data Sheet'!$H:$H=I$2) * (INDEX('Master Data Sheet'!$1:$1, , MATCH($F$1, 'Master Data Sheet'!$1:$1, 0)) = $F$1) * ('Master Data Sheet'!$G:$G=$B16) * ('Master Data Sheet'!$F:$F=$E16) * ('Master Data Sheet'!$A:$A=$F16), 0), MATCH($F$1, 'Master Data Sheet'!$1:$1, 0)), "")</f>
        <v>49.737609329446066</v>
      </c>
      <c r="J16" s="11" cm="1">
        <f t="array" ref="J16">IFERROR(INDEX('Master Data Sheet'!$1:$1048576, MATCH(1, ('Master Data Sheet'!$H:$H=J$2) * (INDEX('Master Data Sheet'!$1:$1, , MATCH($F$1, 'Master Data Sheet'!$1:$1, 0)) = $F$1) * ('Master Data Sheet'!$G:$G=$B16) * ('Master Data Sheet'!$F:$F=$E16) * ('Master Data Sheet'!$A:$A=$F16), 0), MATCH($F$1, 'Master Data Sheet'!$1:$1, 0)), "")</f>
        <v>64.008746355685133</v>
      </c>
      <c r="K16" s="11" cm="1">
        <f t="array" ref="K16">IFERROR(INDEX('Master Data Sheet'!$1:$1048576, MATCH(1, ('Master Data Sheet'!$H:$H=K$2) * (INDEX('Master Data Sheet'!$1:$1, , MATCH($F$1, 'Master Data Sheet'!$1:$1, 0)) = $F$1) * ('Master Data Sheet'!$G:$G=$B16) * ('Master Data Sheet'!$F:$F=$E16) * ('Master Data Sheet'!$A:$A=$F16), 0), MATCH($F$1, 'Master Data Sheet'!$1:$1, 0)), "")</f>
        <v>90.874635568513099</v>
      </c>
      <c r="L16" s="11" cm="1">
        <f t="array" ref="L16">IFERROR(INDEX('Master Data Sheet'!$1:$1048576, MATCH(1, ('Master Data Sheet'!$H:$H=L$2) * (INDEX('Master Data Sheet'!$1:$1, , MATCH($F$1, 'Master Data Sheet'!$1:$1, 0)) = $F$1) * ('Master Data Sheet'!$G:$G=$B16) * ('Master Data Sheet'!$F:$F=$E16) * ('Master Data Sheet'!$A:$A=$F16), 0), MATCH($F$1, 'Master Data Sheet'!$1:$1, 0)), "")</f>
        <v>99.868804664723029</v>
      </c>
      <c r="M16" s="11" cm="1">
        <f t="array" ref="M16">IFERROR(INDEX('Master Data Sheet'!$1:$1048576, MATCH(1, ('Master Data Sheet'!$H:$H=M$2) * (INDEX('Master Data Sheet'!$1:$1, , MATCH($F$1, 'Master Data Sheet'!$1:$1, 0)) = $F$1) * ('Master Data Sheet'!$G:$G=$B16) * ('Master Data Sheet'!$F:$F=$E16) * ('Master Data Sheet'!$A:$A=$F16), 0), MATCH($F$1, 'Master Data Sheet'!$1:$1, 0)), "")</f>
        <v>101.06413994169095</v>
      </c>
      <c r="N16" s="11" cm="1">
        <f t="array" ref="N16">IFERROR(INDEX('Master Data Sheet'!$1:$1048576, MATCH(1, ('Master Data Sheet'!$H:$H=N$2) * (INDEX('Master Data Sheet'!$1:$1, , MATCH($F$1, 'Master Data Sheet'!$1:$1, 0)) = $F$1) * ('Master Data Sheet'!$G:$G=$B16) * ('Master Data Sheet'!$F:$F=$E16) * ('Master Data Sheet'!$A:$A=$F16), 0), MATCH($F$1, 'Master Data Sheet'!$1:$1, 0)), "")</f>
        <v>101.93877551020407</v>
      </c>
      <c r="O16" s="11">
        <f t="shared" si="8"/>
        <v>81.486880466472286</v>
      </c>
      <c r="P16" s="11">
        <f t="shared" si="4"/>
        <v>21.931611627347191</v>
      </c>
      <c r="Q16" s="11"/>
      <c r="R16" s="46">
        <f>(1-(O16/O13))*100</f>
        <v>24.638406871713915</v>
      </c>
      <c r="X16" t="str">
        <f>IFERROR(INDEX('Date Key'!$G$57:$G$62, MATCH(B15,'Date Key'!$A$57:$A$62, 0)), "")</f>
        <v>Medium HLR, Lower Outlet Height, No Plants</v>
      </c>
      <c r="Y16" s="1">
        <f t="shared" ref="Y16:AE16" si="19">H15</f>
        <v>98.323615160349846</v>
      </c>
      <c r="Z16" s="1">
        <f t="shared" si="19"/>
        <v>86.413994169096199</v>
      </c>
      <c r="AA16" s="1">
        <f t="shared" si="19"/>
        <v>88.425655976676381</v>
      </c>
      <c r="AB16" s="1">
        <f t="shared" si="19"/>
        <v>107.12827988338192</v>
      </c>
      <c r="AC16" s="1">
        <f t="shared" si="19"/>
        <v>114.18367346938776</v>
      </c>
      <c r="AD16" s="1">
        <f t="shared" si="19"/>
        <v>112.82798833819241</v>
      </c>
      <c r="AE16" s="1">
        <f t="shared" si="19"/>
        <v>107.62390670553935</v>
      </c>
      <c r="AF16" s="1">
        <f t="shared" ref="AF16:AL16" si="20">H16</f>
        <v>62.915451895043731</v>
      </c>
      <c r="AG16" s="1">
        <f t="shared" si="20"/>
        <v>49.737609329446066</v>
      </c>
      <c r="AH16" s="1">
        <f t="shared" si="20"/>
        <v>64.008746355685133</v>
      </c>
      <c r="AI16" s="1">
        <f t="shared" si="20"/>
        <v>90.874635568513099</v>
      </c>
      <c r="AJ16" s="1">
        <f t="shared" si="20"/>
        <v>99.868804664723029</v>
      </c>
      <c r="AK16" s="1">
        <f t="shared" si="20"/>
        <v>101.06413994169095</v>
      </c>
      <c r="AL16" s="1">
        <f t="shared" si="20"/>
        <v>101.93877551020407</v>
      </c>
      <c r="AM16" s="1">
        <f t="shared" ref="AM16:AS16" si="21">H17</f>
        <v>108.30143540669856</v>
      </c>
      <c r="AN16" s="1">
        <f t="shared" si="21"/>
        <v>109.67942583732059</v>
      </c>
      <c r="AO16" s="1">
        <f t="shared" si="21"/>
        <v>118.22009569377992</v>
      </c>
      <c r="AP16" s="1">
        <f t="shared" si="21"/>
        <v>128.65550239234449</v>
      </c>
      <c r="AQ16" s="1">
        <f t="shared" si="21"/>
        <v>136.07655502392345</v>
      </c>
      <c r="AR16" s="1">
        <f t="shared" si="21"/>
        <v>135.24401913875599</v>
      </c>
      <c r="AS16" s="1">
        <f t="shared" si="21"/>
        <v>140.49760765550241</v>
      </c>
    </row>
    <row r="17" spans="1:45" x14ac:dyDescent="0.35">
      <c r="A17" s="41">
        <f>IFERROR(INDEX('Date Key'!$B$2:$B$19, MATCH(F17,'Date Key'!$A$2:$A$19, 0)), "")</f>
        <v>45230</v>
      </c>
      <c r="B17" s="4">
        <f t="shared" si="15"/>
        <v>2</v>
      </c>
      <c r="C17" s="26" t="str">
        <f>IFERROR(INDEX('Date Key'!$G$57:$G$62, MATCH(B17,'Date Key'!$A$57:$A$62, 0)), "")</f>
        <v>Medium HLR, Lower Outlet Height, No Plants</v>
      </c>
      <c r="D17" s="4" t="str">
        <f>IFERROR(INDEX('Date Key'!$G$2:$G$19, MATCH(F17, 'Date Key'!$A$2:$A$19, 0)), "")</f>
        <v>Yes</v>
      </c>
      <c r="E17" s="4" t="str">
        <f t="shared" si="1"/>
        <v>tank 1</v>
      </c>
      <c r="F17" s="4">
        <f t="shared" si="2"/>
        <v>6</v>
      </c>
      <c r="G17" s="4">
        <f t="shared" ref="G17:G56" si="22">MOD(ROW(G17)-ROW($G$3), 3) + 1</f>
        <v>3</v>
      </c>
      <c r="H17" s="11" cm="1">
        <f t="array" ref="H17">IFERROR(INDEX('Master Data Sheet'!$1:$1048576, MATCH(1, ('Master Data Sheet'!$H:$H=H$2) * (INDEX('Master Data Sheet'!$1:$1, , MATCH($F$1, 'Master Data Sheet'!$1:$1, 0)) = $F$1) * ('Master Data Sheet'!$G:$G=$B17) * ('Master Data Sheet'!$F:$F=$E17) * ('Master Data Sheet'!$A:$A=$F17), 0), MATCH($F$1, 'Master Data Sheet'!$1:$1, 0)), "")</f>
        <v>108.30143540669856</v>
      </c>
      <c r="I17" s="11" cm="1">
        <f t="array" ref="I17">IFERROR(INDEX('Master Data Sheet'!$1:$1048576, MATCH(1, ('Master Data Sheet'!$H:$H=I$2) * (INDEX('Master Data Sheet'!$1:$1, , MATCH($F$1, 'Master Data Sheet'!$1:$1, 0)) = $F$1) * ('Master Data Sheet'!$G:$G=$B17) * ('Master Data Sheet'!$F:$F=$E17) * ('Master Data Sheet'!$A:$A=$F17), 0), MATCH($F$1, 'Master Data Sheet'!$1:$1, 0)), "")</f>
        <v>109.67942583732059</v>
      </c>
      <c r="J17" s="11" cm="1">
        <f t="array" ref="J17">IFERROR(INDEX('Master Data Sheet'!$1:$1048576, MATCH(1, ('Master Data Sheet'!$H:$H=J$2) * (INDEX('Master Data Sheet'!$1:$1, , MATCH($F$1, 'Master Data Sheet'!$1:$1, 0)) = $F$1) * ('Master Data Sheet'!$G:$G=$B17) * ('Master Data Sheet'!$F:$F=$E17) * ('Master Data Sheet'!$A:$A=$F17), 0), MATCH($F$1, 'Master Data Sheet'!$1:$1, 0)), "")</f>
        <v>118.22009569377992</v>
      </c>
      <c r="K17" s="11" cm="1">
        <f t="array" ref="K17">IFERROR(INDEX('Master Data Sheet'!$1:$1048576, MATCH(1, ('Master Data Sheet'!$H:$H=K$2) * (INDEX('Master Data Sheet'!$1:$1, , MATCH($F$1, 'Master Data Sheet'!$1:$1, 0)) = $F$1) * ('Master Data Sheet'!$G:$G=$B17) * ('Master Data Sheet'!$F:$F=$E17) * ('Master Data Sheet'!$A:$A=$F17), 0), MATCH($F$1, 'Master Data Sheet'!$1:$1, 0)), "")</f>
        <v>128.65550239234449</v>
      </c>
      <c r="L17" s="11" cm="1">
        <f t="array" ref="L17">IFERROR(INDEX('Master Data Sheet'!$1:$1048576, MATCH(1, ('Master Data Sheet'!$H:$H=L$2) * (INDEX('Master Data Sheet'!$1:$1, , MATCH($F$1, 'Master Data Sheet'!$1:$1, 0)) = $F$1) * ('Master Data Sheet'!$G:$G=$B17) * ('Master Data Sheet'!$F:$F=$E17) * ('Master Data Sheet'!$A:$A=$F17), 0), MATCH($F$1, 'Master Data Sheet'!$1:$1, 0)), "")</f>
        <v>136.07655502392345</v>
      </c>
      <c r="M17" s="11" cm="1">
        <f t="array" ref="M17">IFERROR(INDEX('Master Data Sheet'!$1:$1048576, MATCH(1, ('Master Data Sheet'!$H:$H=M$2) * (INDEX('Master Data Sheet'!$1:$1, , MATCH($F$1, 'Master Data Sheet'!$1:$1, 0)) = $F$1) * ('Master Data Sheet'!$G:$G=$B17) * ('Master Data Sheet'!$F:$F=$E17) * ('Master Data Sheet'!$A:$A=$F17), 0), MATCH($F$1, 'Master Data Sheet'!$1:$1, 0)), "")</f>
        <v>135.24401913875599</v>
      </c>
      <c r="N17" s="11" cm="1">
        <f t="array" ref="N17">IFERROR(INDEX('Master Data Sheet'!$1:$1048576, MATCH(1, ('Master Data Sheet'!$H:$H=N$2) * (INDEX('Master Data Sheet'!$1:$1, , MATCH($F$1, 'Master Data Sheet'!$1:$1, 0)) = $F$1) * ('Master Data Sheet'!$G:$G=$B17) * ('Master Data Sheet'!$F:$F=$E17) * ('Master Data Sheet'!$A:$A=$F17), 0), MATCH($F$1, 'Master Data Sheet'!$1:$1, 0)), "")</f>
        <v>140.49760765550241</v>
      </c>
      <c r="O17" s="11">
        <f t="shared" si="8"/>
        <v>125.23923444976076</v>
      </c>
      <c r="P17" s="11">
        <f t="shared" si="4"/>
        <v>13.167491932762424</v>
      </c>
      <c r="Q17" s="11"/>
      <c r="R17" s="46">
        <f>(1-(O17/O14))*100</f>
        <v>10.395974237467165</v>
      </c>
      <c r="Y17" s="2"/>
      <c r="Z17" s="2"/>
      <c r="AA17" s="2"/>
      <c r="AB17" s="2"/>
      <c r="AC17" s="2"/>
      <c r="AD17" s="2"/>
      <c r="AE17" s="2"/>
      <c r="AF17" s="2"/>
      <c r="AG17" s="2"/>
    </row>
    <row r="18" spans="1:45" x14ac:dyDescent="0.35">
      <c r="A18" s="41">
        <f>IFERROR(INDEX('Date Key'!$B$2:$B$19, MATCH(F18,'Date Key'!$A$2:$A$19, 0)), "")</f>
        <v>45217</v>
      </c>
      <c r="B18" s="4">
        <f t="shared" si="15"/>
        <v>2</v>
      </c>
      <c r="C18" s="26" t="str">
        <f>IFERROR(INDEX('Date Key'!$G$57:$G$62, MATCH(B18,'Date Key'!$A$57:$A$62, 0)), "")</f>
        <v>Medium HLR, Lower Outlet Height, No Plants</v>
      </c>
      <c r="D18" s="4" t="str">
        <f>IFERROR(INDEX('Date Key'!$G$2:$G$19, MATCH(F18, 'Date Key'!$A$2:$A$19, 0)), "")</f>
        <v>No</v>
      </c>
      <c r="E18" s="4" t="str">
        <f t="shared" si="1"/>
        <v>tank 2</v>
      </c>
      <c r="F18" s="4">
        <f t="shared" si="2"/>
        <v>4</v>
      </c>
      <c r="G18" s="4">
        <f t="shared" si="22"/>
        <v>1</v>
      </c>
      <c r="H18" s="11" cm="1">
        <f t="array" ref="H18">IFERROR(INDEX('Master Data Sheet'!$1:$1048576, MATCH(1, ('Master Data Sheet'!$H:$H=H$2) * (INDEX('Master Data Sheet'!$1:$1, , MATCH($F$1, 'Master Data Sheet'!$1:$1, 0)) = $F$1) * ('Master Data Sheet'!$G:$G=$B18) * ('Master Data Sheet'!$F:$F=$E18) * ('Master Data Sheet'!$A:$A=$F18), 0), MATCH($F$1, 'Master Data Sheet'!$1:$1, 0)), "")</f>
        <v>0</v>
      </c>
      <c r="I18" s="11" cm="1">
        <f t="array" ref="I18">IFERROR(INDEX('Master Data Sheet'!$1:$1048576, MATCH(1, ('Master Data Sheet'!$H:$H=I$2) * (INDEX('Master Data Sheet'!$1:$1, , MATCH($F$1, 'Master Data Sheet'!$1:$1, 0)) = $F$1) * ('Master Data Sheet'!$G:$G=$B18) * ('Master Data Sheet'!$F:$F=$E18) * ('Master Data Sheet'!$A:$A=$F18), 0), MATCH($F$1, 'Master Data Sheet'!$1:$1, 0)), "")</f>
        <v>35.568513119533527</v>
      </c>
      <c r="J18" s="11" cm="1">
        <f t="array" ref="J18">IFERROR(INDEX('Master Data Sheet'!$1:$1048576, MATCH(1, ('Master Data Sheet'!$H:$H=J$2) * (INDEX('Master Data Sheet'!$1:$1, , MATCH($F$1, 'Master Data Sheet'!$1:$1, 0)) = $F$1) * ('Master Data Sheet'!$G:$G=$B18) * ('Master Data Sheet'!$F:$F=$E18) * ('Master Data Sheet'!$A:$A=$F18), 0), MATCH($F$1, 'Master Data Sheet'!$1:$1, 0)), "")</f>
        <v>64.620991253644306</v>
      </c>
      <c r="K18" s="11" cm="1">
        <f t="array" ref="K18">IFERROR(INDEX('Master Data Sheet'!$1:$1048576, MATCH(1, ('Master Data Sheet'!$H:$H=K$2) * (INDEX('Master Data Sheet'!$1:$1, , MATCH($F$1, 'Master Data Sheet'!$1:$1, 0)) = $F$1) * ('Master Data Sheet'!$G:$G=$B18) * ('Master Data Sheet'!$F:$F=$E18) * ('Master Data Sheet'!$A:$A=$F18), 0), MATCH($F$1, 'Master Data Sheet'!$1:$1, 0)), "")</f>
        <v>106.86588921282799</v>
      </c>
      <c r="L18" s="11" cm="1">
        <f t="array" ref="L18">IFERROR(INDEX('Master Data Sheet'!$1:$1048576, MATCH(1, ('Master Data Sheet'!$H:$H=L$2) * (INDEX('Master Data Sheet'!$1:$1, , MATCH($F$1, 'Master Data Sheet'!$1:$1, 0)) = $F$1) * ('Master Data Sheet'!$G:$G=$B18) * ('Master Data Sheet'!$F:$F=$E18) * ('Master Data Sheet'!$A:$A=$F18), 0), MATCH($F$1, 'Master Data Sheet'!$1:$1, 0)), "")</f>
        <v>115.37900874635568</v>
      </c>
      <c r="M18" s="11" cm="1">
        <f t="array" ref="M18">IFERROR(INDEX('Master Data Sheet'!$1:$1048576, MATCH(1, ('Master Data Sheet'!$H:$H=M$2) * (INDEX('Master Data Sheet'!$1:$1, , MATCH($F$1, 'Master Data Sheet'!$1:$1, 0)) = $F$1) * ('Master Data Sheet'!$G:$G=$B18) * ('Master Data Sheet'!$F:$F=$E18) * ('Master Data Sheet'!$A:$A=$F18), 0), MATCH($F$1, 'Master Data Sheet'!$1:$1, 0)), "")</f>
        <v>111.19533527696792</v>
      </c>
      <c r="N18" s="11" cm="1">
        <f t="array" ref="N18">IFERROR(INDEX('Master Data Sheet'!$1:$1048576, MATCH(1, ('Master Data Sheet'!$H:$H=N$2) * (INDEX('Master Data Sheet'!$1:$1, , MATCH($F$1, 'Master Data Sheet'!$1:$1, 0)) = $F$1) * ('Master Data Sheet'!$G:$G=$B18) * ('Master Data Sheet'!$F:$F=$E18) * ('Master Data Sheet'!$A:$A=$F18), 0), MATCH($F$1, 'Master Data Sheet'!$1:$1, 0)), "")</f>
        <v>106.76384839650146</v>
      </c>
      <c r="O18" s="11">
        <f t="shared" si="8"/>
        <v>77.199083715118704</v>
      </c>
      <c r="P18" s="11">
        <f t="shared" si="4"/>
        <v>45.126964960522145</v>
      </c>
      <c r="Q18" s="11">
        <f>AVERAGE(N18:N20)</f>
        <v>118.33357047535351</v>
      </c>
      <c r="R18" s="46">
        <f>(1-(O18/O12))*100</f>
        <v>32.93351424694707</v>
      </c>
      <c r="S18" s="46">
        <f>AVERAGE(R18:R20)</f>
        <v>29.483453647088982</v>
      </c>
      <c r="T18" s="46">
        <f>STDEV(R18:R20)</f>
        <v>3.5874612531886996</v>
      </c>
      <c r="U18" s="47">
        <f>(1-(AVERAGE(H18:N20)/AVERAGE(H12:N14)))*100</f>
        <v>29.226353778518554</v>
      </c>
      <c r="V18" s="47"/>
      <c r="Y18" s="2"/>
      <c r="Z18" s="2"/>
      <c r="AA18" s="2"/>
      <c r="AB18" s="2"/>
      <c r="AC18" s="2"/>
      <c r="AD18" s="2"/>
      <c r="AE18" s="2"/>
      <c r="AF18" s="2"/>
      <c r="AG18" s="2"/>
    </row>
    <row r="19" spans="1:45" x14ac:dyDescent="0.35">
      <c r="A19" s="41">
        <f>IFERROR(INDEX('Date Key'!$B$2:$B$19, MATCH(F19,'Date Key'!$A$2:$A$19, 0)), "")</f>
        <v>45224</v>
      </c>
      <c r="B19" s="4">
        <f t="shared" si="15"/>
        <v>2</v>
      </c>
      <c r="C19" s="26" t="str">
        <f>IFERROR(INDEX('Date Key'!$G$57:$G$62, MATCH(B19,'Date Key'!$A$57:$A$62, 0)), "")</f>
        <v>Medium HLR, Lower Outlet Height, No Plants</v>
      </c>
      <c r="D19" s="4" t="str">
        <f>IFERROR(INDEX('Date Key'!$G$2:$G$19, MATCH(F19, 'Date Key'!$A$2:$A$19, 0)), "")</f>
        <v>No</v>
      </c>
      <c r="E19" s="4" t="str">
        <f t="shared" si="1"/>
        <v>tank 2</v>
      </c>
      <c r="F19" s="4">
        <f t="shared" si="2"/>
        <v>5</v>
      </c>
      <c r="G19" s="4">
        <f t="shared" si="22"/>
        <v>2</v>
      </c>
      <c r="H19" s="11" cm="1">
        <f t="array" ref="H19">IFERROR(INDEX('Master Data Sheet'!$1:$1048576, MATCH(1, ('Master Data Sheet'!$H:$H=H$2) * (INDEX('Master Data Sheet'!$1:$1, , MATCH($F$1, 'Master Data Sheet'!$1:$1, 0)) = $F$1) * ('Master Data Sheet'!$G:$G=$B19) * ('Master Data Sheet'!$F:$F=$E19) * ('Master Data Sheet'!$A:$A=$F19), 0), MATCH($F$1, 'Master Data Sheet'!$1:$1, 0)), "")</f>
        <v>11.967930029154518</v>
      </c>
      <c r="I19" s="11" cm="1">
        <f t="array" ref="I19">IFERROR(INDEX('Master Data Sheet'!$1:$1048576, MATCH(1, ('Master Data Sheet'!$H:$H=I$2) * (INDEX('Master Data Sheet'!$1:$1, , MATCH($F$1, 'Master Data Sheet'!$1:$1, 0)) = $F$1) * ('Master Data Sheet'!$G:$G=$B19) * ('Master Data Sheet'!$F:$F=$E19) * ('Master Data Sheet'!$A:$A=$F19), 0), MATCH($F$1, 'Master Data Sheet'!$1:$1, 0)), "")</f>
        <v>8.4839650145772598</v>
      </c>
      <c r="J19" s="11" cm="1">
        <f t="array" ref="J19">IFERROR(INDEX('Master Data Sheet'!$1:$1048576, MATCH(1, ('Master Data Sheet'!$H:$H=J$2) * (INDEX('Master Data Sheet'!$1:$1, , MATCH($F$1, 'Master Data Sheet'!$1:$1, 0)) = $F$1) * ('Master Data Sheet'!$G:$G=$B19) * ('Master Data Sheet'!$F:$F=$E19) * ('Master Data Sheet'!$A:$A=$F19), 0), MATCH($F$1, 'Master Data Sheet'!$1:$1, 0)), "")</f>
        <v>81.10787172011662</v>
      </c>
      <c r="K19" s="11" cm="1">
        <f t="array" ref="K19">IFERROR(INDEX('Master Data Sheet'!$1:$1048576, MATCH(1, ('Master Data Sheet'!$H:$H=K$2) * (INDEX('Master Data Sheet'!$1:$1, , MATCH($F$1, 'Master Data Sheet'!$1:$1, 0)) = $F$1) * ('Master Data Sheet'!$G:$G=$B19) * ('Master Data Sheet'!$F:$F=$E19) * ('Master Data Sheet'!$A:$A=$F19), 0), MATCH($F$1, 'Master Data Sheet'!$1:$1, 0)), "")</f>
        <v>104.85422740524781</v>
      </c>
      <c r="L19" s="11" cm="1">
        <f t="array" ref="L19">IFERROR(INDEX('Master Data Sheet'!$1:$1048576, MATCH(1, ('Master Data Sheet'!$H:$H=L$2) * (INDEX('Master Data Sheet'!$1:$1, , MATCH($F$1, 'Master Data Sheet'!$1:$1, 0)) = $F$1) * ('Master Data Sheet'!$G:$G=$B19) * ('Master Data Sheet'!$F:$F=$E19) * ('Master Data Sheet'!$A:$A=$F19), 0), MATCH($F$1, 'Master Data Sheet'!$1:$1, 0)), "")</f>
        <v>108.52769679300292</v>
      </c>
      <c r="M19" s="11" cm="1">
        <f t="array" ref="M19">IFERROR(INDEX('Master Data Sheet'!$1:$1048576, MATCH(1, ('Master Data Sheet'!$H:$H=M$2) * (INDEX('Master Data Sheet'!$1:$1, , MATCH($F$1, 'Master Data Sheet'!$1:$1, 0)) = $F$1) * ('Master Data Sheet'!$G:$G=$B19) * ('Master Data Sheet'!$F:$F=$E19) * ('Master Data Sheet'!$A:$A=$F19), 0), MATCH($F$1, 'Master Data Sheet'!$1:$1, 0)), "")</f>
        <v>110.10204081632652</v>
      </c>
      <c r="N19" s="11" cm="1">
        <f t="array" ref="N19">IFERROR(INDEX('Master Data Sheet'!$1:$1048576, MATCH(1, ('Master Data Sheet'!$H:$H=N$2) * (INDEX('Master Data Sheet'!$1:$1, , MATCH($F$1, 'Master Data Sheet'!$1:$1, 0)) = $F$1) * ('Master Data Sheet'!$G:$G=$B19) * ('Master Data Sheet'!$F:$F=$E19) * ('Master Data Sheet'!$A:$A=$F19), 0), MATCH($F$1, 'Master Data Sheet'!$1:$1, 0)), "")</f>
        <v>106.72011661807581</v>
      </c>
      <c r="O19" s="11">
        <f t="shared" si="8"/>
        <v>75.966264056643055</v>
      </c>
      <c r="P19" s="11">
        <f t="shared" si="4"/>
        <v>45.974441454453803</v>
      </c>
      <c r="Q19" s="11"/>
      <c r="R19" s="46">
        <f>(1-(O19/O13))*100</f>
        <v>29.744044065250485</v>
      </c>
      <c r="X19" t="str">
        <f>IFERROR(INDEX('Date Key'!$G$57:$G$62, MATCH(B18,'Date Key'!$A$57:$A$62, 0)), "")</f>
        <v>Medium HLR, Lower Outlet Height, No Plants</v>
      </c>
      <c r="Y19" s="1">
        <f t="shared" ref="Y19:AE19" si="23">H18</f>
        <v>0</v>
      </c>
      <c r="Z19" s="1">
        <f t="shared" si="23"/>
        <v>35.568513119533527</v>
      </c>
      <c r="AA19" s="1">
        <f t="shared" si="23"/>
        <v>64.620991253644306</v>
      </c>
      <c r="AB19" s="1">
        <f t="shared" si="23"/>
        <v>106.86588921282799</v>
      </c>
      <c r="AC19" s="1">
        <f t="shared" si="23"/>
        <v>115.37900874635568</v>
      </c>
      <c r="AD19" s="1">
        <f t="shared" si="23"/>
        <v>111.19533527696792</v>
      </c>
      <c r="AE19" s="1">
        <f t="shared" si="23"/>
        <v>106.76384839650146</v>
      </c>
      <c r="AF19" s="1">
        <f t="shared" ref="AF19:AL19" si="24">H19</f>
        <v>11.967930029154518</v>
      </c>
      <c r="AG19" s="1">
        <f t="shared" si="24"/>
        <v>8.4839650145772598</v>
      </c>
      <c r="AH19" s="1">
        <f t="shared" si="24"/>
        <v>81.10787172011662</v>
      </c>
      <c r="AI19" s="1">
        <f t="shared" si="24"/>
        <v>104.85422740524781</v>
      </c>
      <c r="AJ19" s="1">
        <f t="shared" si="24"/>
        <v>108.52769679300292</v>
      </c>
      <c r="AK19" s="1">
        <f t="shared" si="24"/>
        <v>110.10204081632652</v>
      </c>
      <c r="AL19" s="1">
        <f t="shared" si="24"/>
        <v>106.72011661807581</v>
      </c>
      <c r="AM19" s="1">
        <f t="shared" ref="AM19:AS19" si="25">H20</f>
        <v>35.626794258373209</v>
      </c>
      <c r="AN19" s="1">
        <f t="shared" si="25"/>
        <v>48.602870813397139</v>
      </c>
      <c r="AO19" s="1">
        <f t="shared" si="25"/>
        <v>104.29665071770336</v>
      </c>
      <c r="AP19" s="1">
        <f t="shared" si="25"/>
        <v>124.72248803827752</v>
      </c>
      <c r="AQ19" s="1">
        <f t="shared" si="25"/>
        <v>132.61722488038279</v>
      </c>
      <c r="AR19" s="1">
        <f t="shared" si="25"/>
        <v>138.84688995215311</v>
      </c>
      <c r="AS19" s="1">
        <f t="shared" si="25"/>
        <v>141.51674641148324</v>
      </c>
    </row>
    <row r="20" spans="1:45" x14ac:dyDescent="0.35">
      <c r="A20" s="42">
        <f>IFERROR(INDEX('Date Key'!$B$2:$B$19, MATCH(F20,'Date Key'!$A$2:$A$19, 0)), "")</f>
        <v>45230</v>
      </c>
      <c r="B20" s="27">
        <f t="shared" si="15"/>
        <v>2</v>
      </c>
      <c r="C20" s="51" t="str">
        <f>IFERROR(INDEX('Date Key'!$G$57:$G$62, MATCH(B20,'Date Key'!$A$57:$A$62, 0)), "")</f>
        <v>Medium HLR, Lower Outlet Height, No Plants</v>
      </c>
      <c r="D20" s="27" t="str">
        <f>IFERROR(INDEX('Date Key'!$G$2:$G$19, MATCH(F20, 'Date Key'!$A$2:$A$19, 0)), "")</f>
        <v>Yes</v>
      </c>
      <c r="E20" s="27" t="str">
        <f t="shared" si="1"/>
        <v>tank 2</v>
      </c>
      <c r="F20" s="27">
        <f t="shared" si="2"/>
        <v>6</v>
      </c>
      <c r="G20" s="27">
        <f t="shared" si="22"/>
        <v>3</v>
      </c>
      <c r="H20" s="28" cm="1">
        <f t="array" ref="H20">IFERROR(INDEX('Master Data Sheet'!$1:$1048576, MATCH(1, ('Master Data Sheet'!$H:$H=H$2) * (INDEX('Master Data Sheet'!$1:$1, , MATCH($F$1, 'Master Data Sheet'!$1:$1, 0)) = $F$1) * ('Master Data Sheet'!$G:$G=$B20) * ('Master Data Sheet'!$F:$F=$E20) * ('Master Data Sheet'!$A:$A=$F20), 0), MATCH($F$1, 'Master Data Sheet'!$1:$1, 0)), "")</f>
        <v>35.626794258373209</v>
      </c>
      <c r="I20" s="28" cm="1">
        <f t="array" ref="I20">IFERROR(INDEX('Master Data Sheet'!$1:$1048576, MATCH(1, ('Master Data Sheet'!$H:$H=I$2) * (INDEX('Master Data Sheet'!$1:$1, , MATCH($F$1, 'Master Data Sheet'!$1:$1, 0)) = $F$1) * ('Master Data Sheet'!$G:$G=$B20) * ('Master Data Sheet'!$F:$F=$E20) * ('Master Data Sheet'!$A:$A=$F20), 0), MATCH($F$1, 'Master Data Sheet'!$1:$1, 0)), "")</f>
        <v>48.602870813397139</v>
      </c>
      <c r="J20" s="28" cm="1">
        <f t="array" ref="J20">IFERROR(INDEX('Master Data Sheet'!$1:$1048576, MATCH(1, ('Master Data Sheet'!$H:$H=J$2) * (INDEX('Master Data Sheet'!$1:$1, , MATCH($F$1, 'Master Data Sheet'!$1:$1, 0)) = $F$1) * ('Master Data Sheet'!$G:$G=$B20) * ('Master Data Sheet'!$F:$F=$E20) * ('Master Data Sheet'!$A:$A=$F20), 0), MATCH($F$1, 'Master Data Sheet'!$1:$1, 0)), "")</f>
        <v>104.29665071770336</v>
      </c>
      <c r="K20" s="28" cm="1">
        <f t="array" ref="K20">IFERROR(INDEX('Master Data Sheet'!$1:$1048576, MATCH(1, ('Master Data Sheet'!$H:$H=K$2) * (INDEX('Master Data Sheet'!$1:$1, , MATCH($F$1, 'Master Data Sheet'!$1:$1, 0)) = $F$1) * ('Master Data Sheet'!$G:$G=$B20) * ('Master Data Sheet'!$F:$F=$E20) * ('Master Data Sheet'!$A:$A=$F20), 0), MATCH($F$1, 'Master Data Sheet'!$1:$1, 0)), "")</f>
        <v>124.72248803827752</v>
      </c>
      <c r="L20" s="28" cm="1">
        <f t="array" ref="L20">IFERROR(INDEX('Master Data Sheet'!$1:$1048576, MATCH(1, ('Master Data Sheet'!$H:$H=L$2) * (INDEX('Master Data Sheet'!$1:$1, , MATCH($F$1, 'Master Data Sheet'!$1:$1, 0)) = $F$1) * ('Master Data Sheet'!$G:$G=$B20) * ('Master Data Sheet'!$F:$F=$E20) * ('Master Data Sheet'!$A:$A=$F20), 0), MATCH($F$1, 'Master Data Sheet'!$1:$1, 0)), "")</f>
        <v>132.61722488038279</v>
      </c>
      <c r="M20" s="28" cm="1">
        <f t="array" ref="M20">IFERROR(INDEX('Master Data Sheet'!$1:$1048576, MATCH(1, ('Master Data Sheet'!$H:$H=M$2) * (INDEX('Master Data Sheet'!$1:$1, , MATCH($F$1, 'Master Data Sheet'!$1:$1, 0)) = $F$1) * ('Master Data Sheet'!$G:$G=$B20) * ('Master Data Sheet'!$F:$F=$E20) * ('Master Data Sheet'!$A:$A=$F20), 0), MATCH($F$1, 'Master Data Sheet'!$1:$1, 0)), "")</f>
        <v>138.84688995215311</v>
      </c>
      <c r="N20" s="28" cm="1">
        <f t="array" ref="N20">IFERROR(INDEX('Master Data Sheet'!$1:$1048576, MATCH(1, ('Master Data Sheet'!$H:$H=N$2) * (INDEX('Master Data Sheet'!$1:$1, , MATCH($F$1, 'Master Data Sheet'!$1:$1, 0)) = $F$1) * ('Master Data Sheet'!$G:$G=$B20) * ('Master Data Sheet'!$F:$F=$E20) * ('Master Data Sheet'!$A:$A=$F20), 0), MATCH($F$1, 'Master Data Sheet'!$1:$1, 0)), "")</f>
        <v>141.51674641148324</v>
      </c>
      <c r="O20" s="28">
        <f t="shared" si="8"/>
        <v>103.74709501025291</v>
      </c>
      <c r="P20" s="28">
        <f t="shared" si="4"/>
        <v>43.995371975560126</v>
      </c>
      <c r="Q20" s="28"/>
      <c r="R20" s="48">
        <f>(1-(O20/O14))*100</f>
        <v>25.772802629069403</v>
      </c>
      <c r="S20" s="27"/>
      <c r="T20" s="27"/>
      <c r="U20" s="27"/>
      <c r="V20" s="27"/>
    </row>
    <row r="21" spans="1:45" x14ac:dyDescent="0.35">
      <c r="A21" s="41">
        <f>IFERROR(INDEX('Date Key'!$B$2:$B$19, MATCH(F21,'Date Key'!$A$2:$A$19, 0)), "")</f>
        <v>45233</v>
      </c>
      <c r="B21" s="4">
        <f t="shared" si="15"/>
        <v>3</v>
      </c>
      <c r="C21" s="26" t="str">
        <f>IFERROR(INDEX('Date Key'!$G$57:$G$62, MATCH(B21,'Date Key'!$A$57:$A$62, 0)), "")</f>
        <v>High HLR, Lower Outlet Height, No Plants</v>
      </c>
      <c r="D21" s="4" t="str">
        <f>IFERROR(INDEX('Date Key'!$G$2:$G$19, MATCH(F21, 'Date Key'!$A$2:$A$19, 0)), "")</f>
        <v>No</v>
      </c>
      <c r="E21" s="4" t="str">
        <f t="shared" si="1"/>
        <v>in</v>
      </c>
      <c r="F21" s="4">
        <f t="shared" si="2"/>
        <v>7</v>
      </c>
      <c r="G21" s="4">
        <f t="shared" si="22"/>
        <v>1</v>
      </c>
      <c r="H21" s="11" cm="1">
        <f t="array" ref="H21">IFERROR(INDEX('Master Data Sheet'!$1:$1048576, MATCH(1, ('Master Data Sheet'!$H:$H=H$2) * (INDEX('Master Data Sheet'!$1:$1, , MATCH($F$1, 'Master Data Sheet'!$1:$1, 0)) = $F$1) * ('Master Data Sheet'!$G:$G=$B21) * ('Master Data Sheet'!$F:$F=$E21) * ('Master Data Sheet'!$A:$A=$F21), 0), MATCH($F$1, 'Master Data Sheet'!$1:$1, 0)), "")</f>
        <v>124.95215311004786</v>
      </c>
      <c r="I21" s="11" cm="1">
        <f t="array" ref="I21">IFERROR(INDEX('Master Data Sheet'!$1:$1048576, MATCH(1, ('Master Data Sheet'!$H:$H=I$2) * (INDEX('Master Data Sheet'!$1:$1, , MATCH($F$1, 'Master Data Sheet'!$1:$1, 0)) = $F$1) * ('Master Data Sheet'!$G:$G=$B21) * ('Master Data Sheet'!$F:$F=$E21) * ('Master Data Sheet'!$A:$A=$F21), 0), MATCH($F$1, 'Master Data Sheet'!$1:$1, 0)), "")</f>
        <v>119.28229665071771</v>
      </c>
      <c r="J21" s="11" cm="1">
        <f t="array" ref="J21">IFERROR(INDEX('Master Data Sheet'!$1:$1048576, MATCH(1, ('Master Data Sheet'!$H:$H=J$2) * (INDEX('Master Data Sheet'!$1:$1, , MATCH($F$1, 'Master Data Sheet'!$1:$1, 0)) = $F$1) * ('Master Data Sheet'!$G:$G=$B21) * ('Master Data Sheet'!$F:$F=$E21) * ('Master Data Sheet'!$A:$A=$F21), 0), MATCH($F$1, 'Master Data Sheet'!$1:$1, 0)), "")</f>
        <v>109.20574162679425</v>
      </c>
      <c r="K21" s="11" cm="1">
        <f t="array" ref="K21">IFERROR(INDEX('Master Data Sheet'!$1:$1048576, MATCH(1, ('Master Data Sheet'!$H:$H=K$2) * (INDEX('Master Data Sheet'!$1:$1, , MATCH($F$1, 'Master Data Sheet'!$1:$1, 0)) = $F$1) * ('Master Data Sheet'!$G:$G=$B21) * ('Master Data Sheet'!$F:$F=$E21) * ('Master Data Sheet'!$A:$A=$F21), 0), MATCH($F$1, 'Master Data Sheet'!$1:$1, 0)), "")</f>
        <v>102.34449760765551</v>
      </c>
      <c r="L21" s="11" cm="1">
        <f t="array" ref="L21">IFERROR(INDEX('Master Data Sheet'!$1:$1048576, MATCH(1, ('Master Data Sheet'!$H:$H=L$2) * (INDEX('Master Data Sheet'!$1:$1, , MATCH($F$1, 'Master Data Sheet'!$1:$1, 0)) = $F$1) * ('Master Data Sheet'!$G:$G=$B21) * ('Master Data Sheet'!$F:$F=$E21) * ('Master Data Sheet'!$A:$A=$F21), 0), MATCH($F$1, 'Master Data Sheet'!$1:$1, 0)), "")</f>
        <v>103.19138755980862</v>
      </c>
      <c r="M21" s="11" cm="1">
        <f t="array" ref="M21">IFERROR(INDEX('Master Data Sheet'!$1:$1048576, MATCH(1, ('Master Data Sheet'!$H:$H=M$2) * (INDEX('Master Data Sheet'!$1:$1, , MATCH($F$1, 'Master Data Sheet'!$1:$1, 0)) = $F$1) * ('Master Data Sheet'!$G:$G=$B21) * ('Master Data Sheet'!$F:$F=$E21) * ('Master Data Sheet'!$A:$A=$F21), 0), MATCH($F$1, 'Master Data Sheet'!$1:$1, 0)), "")</f>
        <v>103.17703349282297</v>
      </c>
      <c r="N21" s="11" cm="1">
        <f t="array" ref="N21">IFERROR(INDEX('Master Data Sheet'!$1:$1048576, MATCH(1, ('Master Data Sheet'!$H:$H=N$2) * (INDEX('Master Data Sheet'!$1:$1, , MATCH($F$1, 'Master Data Sheet'!$1:$1, 0)) = $F$1) * ('Master Data Sheet'!$G:$G=$B21) * ('Master Data Sheet'!$F:$F=$E21) * ('Master Data Sheet'!$A:$A=$F21), 0), MATCH($F$1, 'Master Data Sheet'!$1:$1, 0)), "")</f>
        <v>107.00956937799045</v>
      </c>
      <c r="O21" s="11">
        <f t="shared" si="8"/>
        <v>109.88038277511963</v>
      </c>
      <c r="P21" s="11">
        <f t="shared" si="4"/>
        <v>8.8573704679705685</v>
      </c>
      <c r="Q21" s="11">
        <f>AVERAGE(O21:O23)</f>
        <v>114.73069036226933</v>
      </c>
      <c r="S21" s="11">
        <f>AVERAGE(O21:O23)</f>
        <v>114.73069036226933</v>
      </c>
      <c r="T21" s="11">
        <f>AVERAGE(P21:P23)</f>
        <v>5.5431514305685754</v>
      </c>
      <c r="V21" s="47">
        <f>AVERAGE(U24, U27)</f>
        <v>6.1929925946226092</v>
      </c>
      <c r="X21" t="s">
        <v>343</v>
      </c>
    </row>
    <row r="22" spans="1:45" x14ac:dyDescent="0.35">
      <c r="A22" s="41">
        <f>IFERROR(INDEX('Date Key'!$B$2:$B$19, MATCH(F22,'Date Key'!$A$2:$A$19, 0)), "")</f>
        <v>45238</v>
      </c>
      <c r="B22" s="4">
        <f t="shared" si="15"/>
        <v>3</v>
      </c>
      <c r="C22" s="26" t="str">
        <f>IFERROR(INDEX('Date Key'!$G$57:$G$62, MATCH(B22,'Date Key'!$A$57:$A$62, 0)), "")</f>
        <v>High HLR, Lower Outlet Height, No Plants</v>
      </c>
      <c r="D22" s="4" t="str">
        <f>IFERROR(INDEX('Date Key'!$G$2:$G$19, MATCH(F22, 'Date Key'!$A$2:$A$19, 0)), "")</f>
        <v>No</v>
      </c>
      <c r="E22" s="4" t="str">
        <f t="shared" si="1"/>
        <v>in</v>
      </c>
      <c r="F22" s="4">
        <f t="shared" si="2"/>
        <v>8</v>
      </c>
      <c r="G22" s="4">
        <f t="shared" si="22"/>
        <v>2</v>
      </c>
      <c r="H22" s="11" cm="1">
        <f t="array" ref="H22">IFERROR(INDEX('Master Data Sheet'!$1:$1048576, MATCH(1, ('Master Data Sheet'!$H:$H=H$2) * (INDEX('Master Data Sheet'!$1:$1, , MATCH($F$1, 'Master Data Sheet'!$1:$1, 0)) = $F$1) * ('Master Data Sheet'!$G:$G=$B22) * ('Master Data Sheet'!$F:$F=$E22) * ('Master Data Sheet'!$A:$A=$F22), 0), MATCH($F$1, 'Master Data Sheet'!$1:$1, 0)), "")</f>
        <v>88.722488038277518</v>
      </c>
      <c r="I22" s="11" cm="1">
        <f t="array" ref="I22">IFERROR(INDEX('Master Data Sheet'!$1:$1048576, MATCH(1, ('Master Data Sheet'!$H:$H=I$2) * (INDEX('Master Data Sheet'!$1:$1, , MATCH($F$1, 'Master Data Sheet'!$1:$1, 0)) = $F$1) * ('Master Data Sheet'!$G:$G=$B22) * ('Master Data Sheet'!$F:$F=$E22) * ('Master Data Sheet'!$A:$A=$F22), 0), MATCH($F$1, 'Master Data Sheet'!$1:$1, 0)), "")</f>
        <v>107.35406698564594</v>
      </c>
      <c r="J22" s="11" cm="1">
        <f t="array" ref="J22">IFERROR(INDEX('Master Data Sheet'!$1:$1048576, MATCH(1, ('Master Data Sheet'!$H:$H=J$2) * (INDEX('Master Data Sheet'!$1:$1, , MATCH($F$1, 'Master Data Sheet'!$1:$1, 0)) = $F$1) * ('Master Data Sheet'!$G:$G=$B22) * ('Master Data Sheet'!$F:$F=$E22) * ('Master Data Sheet'!$A:$A=$F22), 0), MATCH($F$1, 'Master Data Sheet'!$1:$1, 0)), "")</f>
        <v>102.07177033492823</v>
      </c>
      <c r="K22" s="11" cm="1">
        <f t="array" ref="K22">IFERROR(INDEX('Master Data Sheet'!$1:$1048576, MATCH(1, ('Master Data Sheet'!$H:$H=K$2) * (INDEX('Master Data Sheet'!$1:$1, , MATCH($F$1, 'Master Data Sheet'!$1:$1, 0)) = $F$1) * ('Master Data Sheet'!$G:$G=$B22) * ('Master Data Sheet'!$F:$F=$E22) * ('Master Data Sheet'!$A:$A=$F22), 0), MATCH($F$1, 'Master Data Sheet'!$1:$1, 0)), "")</f>
        <v>99.717703349282303</v>
      </c>
      <c r="L22" s="11" cm="1">
        <f t="array" ref="L22">IFERROR(INDEX('Master Data Sheet'!$1:$1048576, MATCH(1, ('Master Data Sheet'!$H:$H=L$2) * (INDEX('Master Data Sheet'!$1:$1, , MATCH($F$1, 'Master Data Sheet'!$1:$1, 0)) = $F$1) * ('Master Data Sheet'!$G:$G=$B22) * ('Master Data Sheet'!$F:$F=$E22) * ('Master Data Sheet'!$A:$A=$F22), 0), MATCH($F$1, 'Master Data Sheet'!$1:$1, 0)), "")</f>
        <v>99.100478468899524</v>
      </c>
      <c r="M22" s="11" cm="1">
        <f t="array" ref="M22">IFERROR(INDEX('Master Data Sheet'!$1:$1048576, MATCH(1, ('Master Data Sheet'!$H:$H=M$2) * (INDEX('Master Data Sheet'!$1:$1, , MATCH($F$1, 'Master Data Sheet'!$1:$1, 0)) = $F$1) * ('Master Data Sheet'!$G:$G=$B22) * ('Master Data Sheet'!$F:$F=$E22) * ('Master Data Sheet'!$A:$A=$F22), 0), MATCH($F$1, 'Master Data Sheet'!$1:$1, 0)), "")</f>
        <v>105.90430622009571</v>
      </c>
      <c r="N22" s="11" cm="1">
        <f t="array" ref="N22">IFERROR(INDEX('Master Data Sheet'!$1:$1048576, MATCH(1, ('Master Data Sheet'!$H:$H=N$2) * (INDEX('Master Data Sheet'!$1:$1, , MATCH($F$1, 'Master Data Sheet'!$1:$1, 0)) = $F$1) * ('Master Data Sheet'!$G:$G=$B22) * ('Master Data Sheet'!$F:$F=$E22) * ('Master Data Sheet'!$A:$A=$F22), 0), MATCH($F$1, 'Master Data Sheet'!$1:$1, 0)), "")</f>
        <v>102.57416267942584</v>
      </c>
      <c r="O22" s="11">
        <f t="shared" si="8"/>
        <v>100.77785372522216</v>
      </c>
      <c r="P22" s="11">
        <f t="shared" si="4"/>
        <v>6.1059723563175625</v>
      </c>
      <c r="Q22" s="11"/>
      <c r="X22" t="str">
        <f>IFERROR(INDEX('Date Key'!$G$57:$G$62, MATCH(B21,'Date Key'!$A$57:$A$62, 0)), "")</f>
        <v>High HLR, Lower Outlet Height, No Plants</v>
      </c>
      <c r="Y22" s="1">
        <f t="shared" ref="Y22:AE22" si="26">H21</f>
        <v>124.95215311004786</v>
      </c>
      <c r="Z22" s="1">
        <f t="shared" si="26"/>
        <v>119.28229665071771</v>
      </c>
      <c r="AA22" s="1">
        <f t="shared" si="26"/>
        <v>109.20574162679425</v>
      </c>
      <c r="AB22" s="1">
        <f t="shared" si="26"/>
        <v>102.34449760765551</v>
      </c>
      <c r="AC22" s="1">
        <f t="shared" si="26"/>
        <v>103.19138755980862</v>
      </c>
      <c r="AD22" s="1">
        <f t="shared" si="26"/>
        <v>103.17703349282297</v>
      </c>
      <c r="AE22" s="1">
        <f t="shared" si="26"/>
        <v>107.00956937799045</v>
      </c>
      <c r="AF22" s="1">
        <f t="shared" ref="AF22:AL22" si="27">H22</f>
        <v>88.722488038277518</v>
      </c>
      <c r="AG22" s="1">
        <f t="shared" si="27"/>
        <v>107.35406698564594</v>
      </c>
      <c r="AH22" s="1">
        <f t="shared" si="27"/>
        <v>102.07177033492823</v>
      </c>
      <c r="AI22" s="1">
        <f t="shared" si="27"/>
        <v>99.717703349282303</v>
      </c>
      <c r="AJ22" s="1">
        <f t="shared" si="27"/>
        <v>99.100478468899524</v>
      </c>
      <c r="AK22" s="1">
        <f t="shared" si="27"/>
        <v>105.90430622009571</v>
      </c>
      <c r="AL22" s="1">
        <f t="shared" si="27"/>
        <v>102.57416267942584</v>
      </c>
      <c r="AM22" s="1">
        <f t="shared" ref="AM22:AS22" si="28">H23</f>
        <v>131.51196172248805</v>
      </c>
      <c r="AN22" s="1">
        <f t="shared" si="28"/>
        <v>132.48803827751198</v>
      </c>
      <c r="AO22" s="1">
        <f t="shared" si="28"/>
        <v>133.1626794258373</v>
      </c>
      <c r="AP22" s="1">
        <f t="shared" si="28"/>
        <v>133.63636363636365</v>
      </c>
      <c r="AQ22" s="1">
        <f t="shared" si="28"/>
        <v>133.2775119617225</v>
      </c>
      <c r="AR22" s="1">
        <f t="shared" si="28"/>
        <v>133.77990430622012</v>
      </c>
      <c r="AS22" s="1">
        <f t="shared" si="28"/>
        <v>136.88038277511961</v>
      </c>
    </row>
    <row r="23" spans="1:45" x14ac:dyDescent="0.35">
      <c r="A23" s="41">
        <f>IFERROR(INDEX('Date Key'!$B$2:$B$19, MATCH(F23,'Date Key'!$A$2:$A$19, 0)), "")</f>
        <v>45246</v>
      </c>
      <c r="B23" s="4">
        <f t="shared" si="15"/>
        <v>3</v>
      </c>
      <c r="C23" s="26" t="str">
        <f>IFERROR(INDEX('Date Key'!$G$57:$G$62, MATCH(B23,'Date Key'!$A$57:$A$62, 0)), "")</f>
        <v>High HLR, Lower Outlet Height, No Plants</v>
      </c>
      <c r="D23" s="4" t="str">
        <f>IFERROR(INDEX('Date Key'!$G$2:$G$19, MATCH(F23, 'Date Key'!$A$2:$A$19, 0)), "")</f>
        <v>Yes</v>
      </c>
      <c r="E23" s="4" t="str">
        <f t="shared" si="1"/>
        <v>in</v>
      </c>
      <c r="F23" s="4">
        <f t="shared" si="2"/>
        <v>9</v>
      </c>
      <c r="G23" s="4">
        <f t="shared" si="22"/>
        <v>3</v>
      </c>
      <c r="H23" s="11" cm="1">
        <f t="array" ref="H23">IFERROR(INDEX('Master Data Sheet'!$1:$1048576, MATCH(1, ('Master Data Sheet'!$H:$H=H$2) * (INDEX('Master Data Sheet'!$1:$1, , MATCH($F$1, 'Master Data Sheet'!$1:$1, 0)) = $F$1) * ('Master Data Sheet'!$G:$G=$B23) * ('Master Data Sheet'!$F:$F=$E23) * ('Master Data Sheet'!$A:$A=$F23), 0), MATCH($F$1, 'Master Data Sheet'!$1:$1, 0)), "")</f>
        <v>131.51196172248805</v>
      </c>
      <c r="I23" s="11" cm="1">
        <f t="array" ref="I23">IFERROR(INDEX('Master Data Sheet'!$1:$1048576, MATCH(1, ('Master Data Sheet'!$H:$H=I$2) * (INDEX('Master Data Sheet'!$1:$1, , MATCH($F$1, 'Master Data Sheet'!$1:$1, 0)) = $F$1) * ('Master Data Sheet'!$G:$G=$B23) * ('Master Data Sheet'!$F:$F=$E23) * ('Master Data Sheet'!$A:$A=$F23), 0), MATCH($F$1, 'Master Data Sheet'!$1:$1, 0)), "")</f>
        <v>132.48803827751198</v>
      </c>
      <c r="J23" s="11" cm="1">
        <f t="array" ref="J23">IFERROR(INDEX('Master Data Sheet'!$1:$1048576, MATCH(1, ('Master Data Sheet'!$H:$H=J$2) * (INDEX('Master Data Sheet'!$1:$1, , MATCH($F$1, 'Master Data Sheet'!$1:$1, 0)) = $F$1) * ('Master Data Sheet'!$G:$G=$B23) * ('Master Data Sheet'!$F:$F=$E23) * ('Master Data Sheet'!$A:$A=$F23), 0), MATCH($F$1, 'Master Data Sheet'!$1:$1, 0)), "")</f>
        <v>133.1626794258373</v>
      </c>
      <c r="K23" s="11" cm="1">
        <f t="array" ref="K23">IFERROR(INDEX('Master Data Sheet'!$1:$1048576, MATCH(1, ('Master Data Sheet'!$H:$H=K$2) * (INDEX('Master Data Sheet'!$1:$1, , MATCH($F$1, 'Master Data Sheet'!$1:$1, 0)) = $F$1) * ('Master Data Sheet'!$G:$G=$B23) * ('Master Data Sheet'!$F:$F=$E23) * ('Master Data Sheet'!$A:$A=$F23), 0), MATCH($F$1, 'Master Data Sheet'!$1:$1, 0)), "")</f>
        <v>133.63636363636365</v>
      </c>
      <c r="L23" s="11" cm="1">
        <f t="array" ref="L23">IFERROR(INDEX('Master Data Sheet'!$1:$1048576, MATCH(1, ('Master Data Sheet'!$H:$H=L$2) * (INDEX('Master Data Sheet'!$1:$1, , MATCH($F$1, 'Master Data Sheet'!$1:$1, 0)) = $F$1) * ('Master Data Sheet'!$G:$G=$B23) * ('Master Data Sheet'!$F:$F=$E23) * ('Master Data Sheet'!$A:$A=$F23), 0), MATCH($F$1, 'Master Data Sheet'!$1:$1, 0)), "")</f>
        <v>133.2775119617225</v>
      </c>
      <c r="M23" s="11" cm="1">
        <f t="array" ref="M23">IFERROR(INDEX('Master Data Sheet'!$1:$1048576, MATCH(1, ('Master Data Sheet'!$H:$H=M$2) * (INDEX('Master Data Sheet'!$1:$1, , MATCH($F$1, 'Master Data Sheet'!$1:$1, 0)) = $F$1) * ('Master Data Sheet'!$G:$G=$B23) * ('Master Data Sheet'!$F:$F=$E23) * ('Master Data Sheet'!$A:$A=$F23), 0), MATCH($F$1, 'Master Data Sheet'!$1:$1, 0)), "")</f>
        <v>133.77990430622012</v>
      </c>
      <c r="N23" s="11" cm="1">
        <f t="array" ref="N23">IFERROR(INDEX('Master Data Sheet'!$1:$1048576, MATCH(1, ('Master Data Sheet'!$H:$H=N$2) * (INDEX('Master Data Sheet'!$1:$1, , MATCH($F$1, 'Master Data Sheet'!$1:$1, 0)) = $F$1) * ('Master Data Sheet'!$G:$G=$B23) * ('Master Data Sheet'!$F:$F=$E23) * ('Master Data Sheet'!$A:$A=$F23), 0), MATCH($F$1, 'Master Data Sheet'!$1:$1, 0)), "")</f>
        <v>136.88038277511961</v>
      </c>
      <c r="O23" s="11">
        <f t="shared" si="8"/>
        <v>133.53383458646618</v>
      </c>
      <c r="P23" s="11">
        <f t="shared" si="4"/>
        <v>1.6661114674175983</v>
      </c>
      <c r="Q23" s="11"/>
      <c r="Y23" s="1"/>
      <c r="Z23" s="1"/>
      <c r="AA23" s="1"/>
      <c r="AB23" s="1"/>
      <c r="AC23" s="1"/>
      <c r="AD23" s="1"/>
      <c r="AE23" s="1"/>
      <c r="AF23" s="1"/>
      <c r="AG23" s="1"/>
      <c r="AH23" s="1"/>
      <c r="AI23" s="1"/>
      <c r="AJ23" s="1"/>
      <c r="AK23" s="1"/>
      <c r="AL23" s="1"/>
      <c r="AM23" s="1"/>
      <c r="AN23" s="1"/>
      <c r="AO23" s="1"/>
      <c r="AP23" s="1"/>
      <c r="AQ23" s="1"/>
      <c r="AR23" s="1"/>
      <c r="AS23" s="1"/>
    </row>
    <row r="24" spans="1:45" x14ac:dyDescent="0.35">
      <c r="A24" s="41">
        <f>IFERROR(INDEX('Date Key'!$B$2:$B$19, MATCH(F24,'Date Key'!$A$2:$A$19, 0)), "")</f>
        <v>45233</v>
      </c>
      <c r="B24" s="4">
        <f t="shared" si="15"/>
        <v>3</v>
      </c>
      <c r="C24" s="26" t="str">
        <f>IFERROR(INDEX('Date Key'!$G$57:$G$62, MATCH(B24,'Date Key'!$A$57:$A$62, 0)), "")</f>
        <v>High HLR, Lower Outlet Height, No Plants</v>
      </c>
      <c r="D24" s="4" t="str">
        <f>IFERROR(INDEX('Date Key'!$G$2:$G$19, MATCH(F24, 'Date Key'!$A$2:$A$19, 0)), "")</f>
        <v>No</v>
      </c>
      <c r="E24" s="4" t="str">
        <f t="shared" si="1"/>
        <v>tank 1</v>
      </c>
      <c r="F24" s="4">
        <f t="shared" si="2"/>
        <v>7</v>
      </c>
      <c r="G24" s="4">
        <f t="shared" si="22"/>
        <v>1</v>
      </c>
      <c r="H24" s="11" cm="1">
        <f t="array" ref="H24">IFERROR(INDEX('Master Data Sheet'!$1:$1048576, MATCH(1, ('Master Data Sheet'!$H:$H=H$2) * (INDEX('Master Data Sheet'!$1:$1, , MATCH($F$1, 'Master Data Sheet'!$1:$1, 0)) = $F$1) * ('Master Data Sheet'!$G:$G=$B24) * ('Master Data Sheet'!$F:$F=$E24) * ('Master Data Sheet'!$A:$A=$F24), 0), MATCH($F$1, 'Master Data Sheet'!$1:$1, 0)), "")</f>
        <v>113.87081339712918</v>
      </c>
      <c r="I24" s="11" cm="1">
        <f t="array" ref="I24">IFERROR(INDEX('Master Data Sheet'!$1:$1048576, MATCH(1, ('Master Data Sheet'!$H:$H=I$2) * (INDEX('Master Data Sheet'!$1:$1, , MATCH($F$1, 'Master Data Sheet'!$1:$1, 0)) = $F$1) * ('Master Data Sheet'!$G:$G=$B24) * ('Master Data Sheet'!$F:$F=$E24) * ('Master Data Sheet'!$A:$A=$F24), 0), MATCH($F$1, 'Master Data Sheet'!$1:$1, 0)), "")</f>
        <v>115.13397129186605</v>
      </c>
      <c r="J24" s="11" cm="1">
        <f t="array" ref="J24">IFERROR(INDEX('Master Data Sheet'!$1:$1048576, MATCH(1, ('Master Data Sheet'!$H:$H=J$2) * (INDEX('Master Data Sheet'!$1:$1, , MATCH($F$1, 'Master Data Sheet'!$1:$1, 0)) = $F$1) * ('Master Data Sheet'!$G:$G=$B24) * ('Master Data Sheet'!$F:$F=$E24) * ('Master Data Sheet'!$A:$A=$F24), 0), MATCH($F$1, 'Master Data Sheet'!$1:$1, 0)), "")</f>
        <v>117.30143540669857</v>
      </c>
      <c r="K24" s="11" cm="1">
        <f t="array" ref="K24">IFERROR(INDEX('Master Data Sheet'!$1:$1048576, MATCH(1, ('Master Data Sheet'!$H:$H=K$2) * (INDEX('Master Data Sheet'!$1:$1, , MATCH($F$1, 'Master Data Sheet'!$1:$1, 0)) = $F$1) * ('Master Data Sheet'!$G:$G=$B24) * ('Master Data Sheet'!$F:$F=$E24) * ('Master Data Sheet'!$A:$A=$F24), 0), MATCH($F$1, 'Master Data Sheet'!$1:$1, 0)), "")</f>
        <v>113.1244019138756</v>
      </c>
      <c r="L24" s="11" cm="1">
        <f t="array" ref="L24">IFERROR(INDEX('Master Data Sheet'!$1:$1048576, MATCH(1, ('Master Data Sheet'!$H:$H=L$2) * (INDEX('Master Data Sheet'!$1:$1, , MATCH($F$1, 'Master Data Sheet'!$1:$1, 0)) = $F$1) * ('Master Data Sheet'!$G:$G=$B24) * ('Master Data Sheet'!$F:$F=$E24) * ('Master Data Sheet'!$A:$A=$F24), 0), MATCH($F$1, 'Master Data Sheet'!$1:$1, 0)), "")</f>
        <v>107.23923444976077</v>
      </c>
      <c r="M24" s="11" cm="1">
        <f t="array" ref="M24">IFERROR(INDEX('Master Data Sheet'!$1:$1048576, MATCH(1, ('Master Data Sheet'!$H:$H=M$2) * (INDEX('Master Data Sheet'!$1:$1, , MATCH($F$1, 'Master Data Sheet'!$1:$1, 0)) = $F$1) * ('Master Data Sheet'!$G:$G=$B24) * ('Master Data Sheet'!$F:$F=$E24) * ('Master Data Sheet'!$A:$A=$F24), 0), MATCH($F$1, 'Master Data Sheet'!$1:$1, 0)), "")</f>
        <v>106.09090909090911</v>
      </c>
      <c r="N24" s="11" cm="1">
        <f t="array" ref="N24">IFERROR(INDEX('Master Data Sheet'!$1:$1048576, MATCH(1, ('Master Data Sheet'!$H:$H=N$2) * (INDEX('Master Data Sheet'!$1:$1, , MATCH($F$1, 'Master Data Sheet'!$1:$1, 0)) = $F$1) * ('Master Data Sheet'!$G:$G=$B24) * ('Master Data Sheet'!$F:$F=$E24) * ('Master Data Sheet'!$A:$A=$F24), 0), MATCH($F$1, 'Master Data Sheet'!$1:$1, 0)), "")</f>
        <v>106.34928229665073</v>
      </c>
      <c r="O24" s="11">
        <f t="shared" si="8"/>
        <v>111.30143540669857</v>
      </c>
      <c r="P24" s="11">
        <f t="shared" si="4"/>
        <v>4.6329998018298468</v>
      </c>
      <c r="Q24" s="11">
        <f>AVERAGE(O24:O26)</f>
        <v>112.40806561859195</v>
      </c>
      <c r="R24" s="46">
        <f>(1-(O24/O21))*100</f>
        <v>-1.2932723709993432</v>
      </c>
      <c r="S24" s="46">
        <f>AVERAGE(R24:R26)</f>
        <v>1.1523849507546482</v>
      </c>
      <c r="T24" s="46">
        <f>STDEV(R24:R26)</f>
        <v>8.8762677803582459</v>
      </c>
      <c r="U24" s="47">
        <f>(1-(AVERAGE(H24:N26)/AVERAGE(H21:N23)))*100</f>
        <v>2.0244145104884592</v>
      </c>
      <c r="V24" s="47"/>
      <c r="Y24" s="2"/>
      <c r="Z24" s="2"/>
      <c r="AA24" s="2"/>
      <c r="AB24" s="2"/>
      <c r="AC24" s="2"/>
      <c r="AD24" s="2"/>
      <c r="AE24" s="2"/>
      <c r="AF24" s="2"/>
      <c r="AG24" s="2"/>
    </row>
    <row r="25" spans="1:45" x14ac:dyDescent="0.35">
      <c r="A25" s="41">
        <f>IFERROR(INDEX('Date Key'!$B$2:$B$19, MATCH(F25,'Date Key'!$A$2:$A$19, 0)), "")</f>
        <v>45238</v>
      </c>
      <c r="B25" s="4">
        <f t="shared" si="15"/>
        <v>3</v>
      </c>
      <c r="C25" s="26" t="str">
        <f>IFERROR(INDEX('Date Key'!$G$57:$G$62, MATCH(B25,'Date Key'!$A$57:$A$62, 0)), "")</f>
        <v>High HLR, Lower Outlet Height, No Plants</v>
      </c>
      <c r="D25" s="4" t="str">
        <f>IFERROR(INDEX('Date Key'!$G$2:$G$19, MATCH(F25, 'Date Key'!$A$2:$A$19, 0)), "")</f>
        <v>No</v>
      </c>
      <c r="E25" s="4" t="str">
        <f t="shared" si="1"/>
        <v>tank 1</v>
      </c>
      <c r="F25" s="4">
        <f t="shared" si="2"/>
        <v>8</v>
      </c>
      <c r="G25" s="4">
        <f t="shared" si="22"/>
        <v>2</v>
      </c>
      <c r="H25" s="11" cm="1">
        <f t="array" ref="H25">IFERROR(INDEX('Master Data Sheet'!$1:$1048576, MATCH(1, ('Master Data Sheet'!$H:$H=H$2) * (INDEX('Master Data Sheet'!$1:$1, , MATCH($F$1, 'Master Data Sheet'!$1:$1, 0)) = $F$1) * ('Master Data Sheet'!$G:$G=$B25) * ('Master Data Sheet'!$F:$F=$E25) * ('Master Data Sheet'!$A:$A=$F25), 0), MATCH($F$1, 'Master Data Sheet'!$1:$1, 0)), "")</f>
        <v>119.68421052631578</v>
      </c>
      <c r="I25" s="11" cm="1">
        <f t="array" ref="I25">IFERROR(INDEX('Master Data Sheet'!$1:$1048576, MATCH(1, ('Master Data Sheet'!$H:$H=I$2) * (INDEX('Master Data Sheet'!$1:$1, , MATCH($F$1, 'Master Data Sheet'!$1:$1, 0)) = $F$1) * ('Master Data Sheet'!$G:$G=$B25) * ('Master Data Sheet'!$F:$F=$E25) * ('Master Data Sheet'!$A:$A=$F25), 0), MATCH($F$1, 'Master Data Sheet'!$1:$1, 0)), "")</f>
        <v>108.66028708133972</v>
      </c>
      <c r="J25" s="11" cm="1">
        <f t="array" ref="J25">IFERROR(INDEX('Master Data Sheet'!$1:$1048576, MATCH(1, ('Master Data Sheet'!$H:$H=J$2) * (INDEX('Master Data Sheet'!$1:$1, , MATCH($F$1, 'Master Data Sheet'!$1:$1, 0)) = $F$1) * ('Master Data Sheet'!$G:$G=$B25) * ('Master Data Sheet'!$F:$F=$E25) * ('Master Data Sheet'!$A:$A=$F25), 0), MATCH($F$1, 'Master Data Sheet'!$1:$1, 0)), "")</f>
        <v>107.48325358851676</v>
      </c>
      <c r="K25" s="11" cm="1">
        <f t="array" ref="K25">IFERROR(INDEX('Master Data Sheet'!$1:$1048576, MATCH(1, ('Master Data Sheet'!$H:$H=K$2) * (INDEX('Master Data Sheet'!$1:$1, , MATCH($F$1, 'Master Data Sheet'!$1:$1, 0)) = $F$1) * ('Master Data Sheet'!$G:$G=$B25) * ('Master Data Sheet'!$F:$F=$E25) * ('Master Data Sheet'!$A:$A=$F25), 0), MATCH($F$1, 'Master Data Sheet'!$1:$1, 0)), "")</f>
        <v>104.88516746411483</v>
      </c>
      <c r="L25" s="11" cm="1">
        <f t="array" ref="L25">IFERROR(INDEX('Master Data Sheet'!$1:$1048576, MATCH(1, ('Master Data Sheet'!$H:$H=L$2) * (INDEX('Master Data Sheet'!$1:$1, , MATCH($F$1, 'Master Data Sheet'!$1:$1, 0)) = $F$1) * ('Master Data Sheet'!$G:$G=$B25) * ('Master Data Sheet'!$F:$F=$E25) * ('Master Data Sheet'!$A:$A=$F25), 0), MATCH($F$1, 'Master Data Sheet'!$1:$1, 0)), "")</f>
        <v>102.5311004784689</v>
      </c>
      <c r="M25" s="11" cm="1">
        <f t="array" ref="M25">IFERROR(INDEX('Master Data Sheet'!$1:$1048576, MATCH(1, ('Master Data Sheet'!$H:$H=M$2) * (INDEX('Master Data Sheet'!$1:$1, , MATCH($F$1, 'Master Data Sheet'!$1:$1, 0)) = $F$1) * ('Master Data Sheet'!$G:$G=$B25) * ('Master Data Sheet'!$F:$F=$E25) * ('Master Data Sheet'!$A:$A=$F25), 0), MATCH($F$1, 'Master Data Sheet'!$1:$1, 0)), "")</f>
        <v>102.24401913875599</v>
      </c>
      <c r="N25" s="11" cm="1">
        <f t="array" ref="N25">IFERROR(INDEX('Master Data Sheet'!$1:$1048576, MATCH(1, ('Master Data Sheet'!$H:$H=N$2) * (INDEX('Master Data Sheet'!$1:$1, , MATCH($F$1, 'Master Data Sheet'!$1:$1, 0)) = $F$1) * ('Master Data Sheet'!$G:$G=$B25) * ('Master Data Sheet'!$F:$F=$E25) * ('Master Data Sheet'!$A:$A=$F25), 0), MATCH($F$1, 'Master Data Sheet'!$1:$1, 0)), "")</f>
        <v>104.00956937799043</v>
      </c>
      <c r="O25" s="11">
        <f t="shared" si="8"/>
        <v>107.07108680792892</v>
      </c>
      <c r="P25" s="11">
        <f t="shared" si="4"/>
        <v>6.0532294329184122</v>
      </c>
      <c r="Q25" s="11"/>
      <c r="R25" s="46">
        <f>(1-(O25/O22))*100</f>
        <v>-6.2446587718227198</v>
      </c>
      <c r="X25" t="str">
        <f>IFERROR(INDEX('Date Key'!$G$57:$G$62, MATCH(B24,'Date Key'!$A$57:$A$62, 0)), "")</f>
        <v>High HLR, Lower Outlet Height, No Plants</v>
      </c>
      <c r="Y25" s="1">
        <f t="shared" ref="Y25:AE25" si="29">H24</f>
        <v>113.87081339712918</v>
      </c>
      <c r="Z25" s="1">
        <f t="shared" si="29"/>
        <v>115.13397129186605</v>
      </c>
      <c r="AA25" s="1">
        <f t="shared" si="29"/>
        <v>117.30143540669857</v>
      </c>
      <c r="AB25" s="1">
        <f t="shared" si="29"/>
        <v>113.1244019138756</v>
      </c>
      <c r="AC25" s="1">
        <f t="shared" si="29"/>
        <v>107.23923444976077</v>
      </c>
      <c r="AD25" s="1">
        <f t="shared" si="29"/>
        <v>106.09090909090911</v>
      </c>
      <c r="AE25" s="1">
        <f t="shared" si="29"/>
        <v>106.34928229665073</v>
      </c>
      <c r="AF25" s="1">
        <f t="shared" ref="AF25:AL25" si="30">H25</f>
        <v>119.68421052631578</v>
      </c>
      <c r="AG25" s="1">
        <f t="shared" si="30"/>
        <v>108.66028708133972</v>
      </c>
      <c r="AH25" s="1">
        <f t="shared" si="30"/>
        <v>107.48325358851676</v>
      </c>
      <c r="AI25" s="1">
        <f t="shared" si="30"/>
        <v>104.88516746411483</v>
      </c>
      <c r="AJ25" s="1">
        <f t="shared" si="30"/>
        <v>102.5311004784689</v>
      </c>
      <c r="AK25" s="1">
        <f t="shared" si="30"/>
        <v>102.24401913875599</v>
      </c>
      <c r="AL25" s="1">
        <f t="shared" si="30"/>
        <v>104.00956937799043</v>
      </c>
      <c r="AM25" s="1">
        <f t="shared" ref="AM25:AS25" si="31">H26</f>
        <v>75.315789473684205</v>
      </c>
      <c r="AN25" s="1">
        <f t="shared" si="31"/>
        <v>102.83253588516746</v>
      </c>
      <c r="AO25" s="1">
        <f t="shared" si="31"/>
        <v>125.25358851674643</v>
      </c>
      <c r="AP25" s="1">
        <f t="shared" si="31"/>
        <v>131.35406698564594</v>
      </c>
      <c r="AQ25" s="1">
        <f t="shared" si="31"/>
        <v>132.97607655502392</v>
      </c>
      <c r="AR25" s="1">
        <f t="shared" si="31"/>
        <v>133.85167464114832</v>
      </c>
      <c r="AS25" s="1">
        <f t="shared" si="31"/>
        <v>130.37799043062202</v>
      </c>
    </row>
    <row r="26" spans="1:45" x14ac:dyDescent="0.35">
      <c r="A26" s="41">
        <f>IFERROR(INDEX('Date Key'!$B$2:$B$19, MATCH(F26,'Date Key'!$A$2:$A$19, 0)), "")</f>
        <v>45246</v>
      </c>
      <c r="B26" s="4">
        <f t="shared" si="15"/>
        <v>3</v>
      </c>
      <c r="C26" s="26" t="str">
        <f>IFERROR(INDEX('Date Key'!$G$57:$G$62, MATCH(B26,'Date Key'!$A$57:$A$62, 0)), "")</f>
        <v>High HLR, Lower Outlet Height, No Plants</v>
      </c>
      <c r="D26" s="4" t="str">
        <f>IFERROR(INDEX('Date Key'!$G$2:$G$19, MATCH(F26, 'Date Key'!$A$2:$A$19, 0)), "")</f>
        <v>Yes</v>
      </c>
      <c r="E26" s="4" t="str">
        <f t="shared" si="1"/>
        <v>tank 1</v>
      </c>
      <c r="F26" s="4">
        <f t="shared" si="2"/>
        <v>9</v>
      </c>
      <c r="G26" s="4">
        <f t="shared" si="22"/>
        <v>3</v>
      </c>
      <c r="H26" s="11" cm="1">
        <f t="array" ref="H26">IFERROR(INDEX('Master Data Sheet'!$1:$1048576, MATCH(1, ('Master Data Sheet'!$H:$H=H$2) * (INDEX('Master Data Sheet'!$1:$1, , MATCH($F$1, 'Master Data Sheet'!$1:$1, 0)) = $F$1) * ('Master Data Sheet'!$G:$G=$B26) * ('Master Data Sheet'!$F:$F=$E26) * ('Master Data Sheet'!$A:$A=$F26), 0), MATCH($F$1, 'Master Data Sheet'!$1:$1, 0)), "")</f>
        <v>75.315789473684205</v>
      </c>
      <c r="I26" s="11" cm="1">
        <f t="array" ref="I26">IFERROR(INDEX('Master Data Sheet'!$1:$1048576, MATCH(1, ('Master Data Sheet'!$H:$H=I$2) * (INDEX('Master Data Sheet'!$1:$1, , MATCH($F$1, 'Master Data Sheet'!$1:$1, 0)) = $F$1) * ('Master Data Sheet'!$G:$G=$B26) * ('Master Data Sheet'!$F:$F=$E26) * ('Master Data Sheet'!$A:$A=$F26), 0), MATCH($F$1, 'Master Data Sheet'!$1:$1, 0)), "")</f>
        <v>102.83253588516746</v>
      </c>
      <c r="J26" s="11" cm="1">
        <f t="array" ref="J26">IFERROR(INDEX('Master Data Sheet'!$1:$1048576, MATCH(1, ('Master Data Sheet'!$H:$H=J$2) * (INDEX('Master Data Sheet'!$1:$1, , MATCH($F$1, 'Master Data Sheet'!$1:$1, 0)) = $F$1) * ('Master Data Sheet'!$G:$G=$B26) * ('Master Data Sheet'!$F:$F=$E26) * ('Master Data Sheet'!$A:$A=$F26), 0), MATCH($F$1, 'Master Data Sheet'!$1:$1, 0)), "")</f>
        <v>125.25358851674643</v>
      </c>
      <c r="K26" s="11" cm="1">
        <f t="array" ref="K26">IFERROR(INDEX('Master Data Sheet'!$1:$1048576, MATCH(1, ('Master Data Sheet'!$H:$H=K$2) * (INDEX('Master Data Sheet'!$1:$1, , MATCH($F$1, 'Master Data Sheet'!$1:$1, 0)) = $F$1) * ('Master Data Sheet'!$G:$G=$B26) * ('Master Data Sheet'!$F:$F=$E26) * ('Master Data Sheet'!$A:$A=$F26), 0), MATCH($F$1, 'Master Data Sheet'!$1:$1, 0)), "")</f>
        <v>131.35406698564594</v>
      </c>
      <c r="L26" s="11" cm="1">
        <f t="array" ref="L26">IFERROR(INDEX('Master Data Sheet'!$1:$1048576, MATCH(1, ('Master Data Sheet'!$H:$H=L$2) * (INDEX('Master Data Sheet'!$1:$1, , MATCH($F$1, 'Master Data Sheet'!$1:$1, 0)) = $F$1) * ('Master Data Sheet'!$G:$G=$B26) * ('Master Data Sheet'!$F:$F=$E26) * ('Master Data Sheet'!$A:$A=$F26), 0), MATCH($F$1, 'Master Data Sheet'!$1:$1, 0)), "")</f>
        <v>132.97607655502392</v>
      </c>
      <c r="M26" s="11" cm="1">
        <f t="array" ref="M26">IFERROR(INDEX('Master Data Sheet'!$1:$1048576, MATCH(1, ('Master Data Sheet'!$H:$H=M$2) * (INDEX('Master Data Sheet'!$1:$1, , MATCH($F$1, 'Master Data Sheet'!$1:$1, 0)) = $F$1) * ('Master Data Sheet'!$G:$G=$B26) * ('Master Data Sheet'!$F:$F=$E26) * ('Master Data Sheet'!$A:$A=$F26), 0), MATCH($F$1, 'Master Data Sheet'!$1:$1, 0)), "")</f>
        <v>133.85167464114832</v>
      </c>
      <c r="N26" s="11" cm="1">
        <f t="array" ref="N26">IFERROR(INDEX('Master Data Sheet'!$1:$1048576, MATCH(1, ('Master Data Sheet'!$H:$H=N$2) * (INDEX('Master Data Sheet'!$1:$1, , MATCH($F$1, 'Master Data Sheet'!$1:$1, 0)) = $F$1) * ('Master Data Sheet'!$G:$G=$B26) * ('Master Data Sheet'!$F:$F=$E26) * ('Master Data Sheet'!$A:$A=$F26), 0), MATCH($F$1, 'Master Data Sheet'!$1:$1, 0)), "")</f>
        <v>130.37799043062202</v>
      </c>
      <c r="O26" s="11">
        <f t="shared" si="8"/>
        <v>118.85167464114832</v>
      </c>
      <c r="P26" s="11">
        <f t="shared" si="4"/>
        <v>22.009979193189153</v>
      </c>
      <c r="Q26" s="11"/>
      <c r="R26" s="46">
        <f>(1-(O26/O23))*100</f>
        <v>10.995085995086008</v>
      </c>
      <c r="Y26" s="2"/>
      <c r="Z26" s="2"/>
      <c r="AA26" s="2"/>
      <c r="AB26" s="2"/>
      <c r="AC26" s="2"/>
      <c r="AD26" s="2"/>
      <c r="AE26" s="2"/>
      <c r="AF26" s="2"/>
      <c r="AG26" s="2"/>
    </row>
    <row r="27" spans="1:45" x14ac:dyDescent="0.35">
      <c r="A27" s="41">
        <f>IFERROR(INDEX('Date Key'!$B$2:$B$19, MATCH(F27,'Date Key'!$A$2:$A$19, 0)), "")</f>
        <v>45233</v>
      </c>
      <c r="B27" s="4">
        <f t="shared" si="15"/>
        <v>3</v>
      </c>
      <c r="C27" s="26" t="str">
        <f>IFERROR(INDEX('Date Key'!$G$57:$G$62, MATCH(B27,'Date Key'!$A$57:$A$62, 0)), "")</f>
        <v>High HLR, Lower Outlet Height, No Plants</v>
      </c>
      <c r="D27" s="4" t="str">
        <f>IFERROR(INDEX('Date Key'!$G$2:$G$19, MATCH(F27, 'Date Key'!$A$2:$A$19, 0)), "")</f>
        <v>No</v>
      </c>
      <c r="E27" s="4" t="str">
        <f t="shared" si="1"/>
        <v>tank 2</v>
      </c>
      <c r="F27" s="4">
        <f t="shared" si="2"/>
        <v>7</v>
      </c>
      <c r="G27" s="4">
        <f t="shared" si="22"/>
        <v>1</v>
      </c>
      <c r="H27" s="11" cm="1">
        <f t="array" ref="H27">IFERROR(INDEX('Master Data Sheet'!$1:$1048576, MATCH(1, ('Master Data Sheet'!$H:$H=H$2) * (INDEX('Master Data Sheet'!$1:$1, , MATCH($F$1, 'Master Data Sheet'!$1:$1, 0)) = $F$1) * ('Master Data Sheet'!$G:$G=$B27) * ('Master Data Sheet'!$F:$F=$E27) * ('Master Data Sheet'!$A:$A=$F27), 0), MATCH($F$1, 'Master Data Sheet'!$1:$1, 0)), "")</f>
        <v>57.703349282296649</v>
      </c>
      <c r="I27" s="11" cm="1">
        <f t="array" ref="I27">IFERROR(INDEX('Master Data Sheet'!$1:$1048576, MATCH(1, ('Master Data Sheet'!$H:$H=I$2) * (INDEX('Master Data Sheet'!$1:$1, , MATCH($F$1, 'Master Data Sheet'!$1:$1, 0)) = $F$1) * ('Master Data Sheet'!$G:$G=$B27) * ('Master Data Sheet'!$F:$F=$E27) * ('Master Data Sheet'!$A:$A=$F27), 0), MATCH($F$1, 'Master Data Sheet'!$1:$1, 0)), "")</f>
        <v>90.588516746411486</v>
      </c>
      <c r="J27" s="11" cm="1">
        <f t="array" ref="J27">IFERROR(INDEX('Master Data Sheet'!$1:$1048576, MATCH(1, ('Master Data Sheet'!$H:$H=J$2) * (INDEX('Master Data Sheet'!$1:$1, , MATCH($F$1, 'Master Data Sheet'!$1:$1, 0)) = $F$1) * ('Master Data Sheet'!$G:$G=$B27) * ('Master Data Sheet'!$F:$F=$E27) * ('Master Data Sheet'!$A:$A=$F27), 0), MATCH($F$1, 'Master Data Sheet'!$1:$1, 0)), "")</f>
        <v>111.64593301435407</v>
      </c>
      <c r="K27" s="11" cm="1">
        <f t="array" ref="K27">IFERROR(INDEX('Master Data Sheet'!$1:$1048576, MATCH(1, ('Master Data Sheet'!$H:$H=K$2) * (INDEX('Master Data Sheet'!$1:$1, , MATCH($F$1, 'Master Data Sheet'!$1:$1, 0)) = $F$1) * ('Master Data Sheet'!$G:$G=$B27) * ('Master Data Sheet'!$F:$F=$E27) * ('Master Data Sheet'!$A:$A=$F27), 0), MATCH($F$1, 'Master Data Sheet'!$1:$1, 0)), "")</f>
        <v>104.41148325358851</v>
      </c>
      <c r="L27" s="11" cm="1">
        <f t="array" ref="L27">IFERROR(INDEX('Master Data Sheet'!$1:$1048576, MATCH(1, ('Master Data Sheet'!$H:$H=L$2) * (INDEX('Master Data Sheet'!$1:$1, , MATCH($F$1, 'Master Data Sheet'!$1:$1, 0)) = $F$1) * ('Master Data Sheet'!$G:$G=$B27) * ('Master Data Sheet'!$F:$F=$E27) * ('Master Data Sheet'!$A:$A=$F27), 0), MATCH($F$1, 'Master Data Sheet'!$1:$1, 0)), "")</f>
        <v>109.96650717703348</v>
      </c>
      <c r="M27" s="11" cm="1">
        <f t="array" ref="M27">IFERROR(INDEX('Master Data Sheet'!$1:$1048576, MATCH(1, ('Master Data Sheet'!$H:$H=M$2) * (INDEX('Master Data Sheet'!$1:$1, , MATCH($F$1, 'Master Data Sheet'!$1:$1, 0)) = $F$1) * ('Master Data Sheet'!$G:$G=$B27) * ('Master Data Sheet'!$F:$F=$E27) * ('Master Data Sheet'!$A:$A=$F27), 0), MATCH($F$1, 'Master Data Sheet'!$1:$1, 0)), "")</f>
        <v>107.72727272727273</v>
      </c>
      <c r="N27" s="11" cm="1">
        <f t="array" ref="N27">IFERROR(INDEX('Master Data Sheet'!$1:$1048576, MATCH(1, ('Master Data Sheet'!$H:$H=N$2) * (INDEX('Master Data Sheet'!$1:$1, , MATCH($F$1, 'Master Data Sheet'!$1:$1, 0)) = $F$1) * ('Master Data Sheet'!$G:$G=$B27) * ('Master Data Sheet'!$F:$F=$E27) * ('Master Data Sheet'!$A:$A=$F27), 0), MATCH($F$1, 'Master Data Sheet'!$1:$1, 0)), "")</f>
        <v>108.45933014354067</v>
      </c>
      <c r="O27" s="11">
        <f t="shared" si="8"/>
        <v>98.643198906356801</v>
      </c>
      <c r="P27" s="11">
        <f t="shared" si="4"/>
        <v>19.36658432444246</v>
      </c>
      <c r="Q27" s="11">
        <f>AVERAGE(N27:N29)</f>
        <v>114.90909090909092</v>
      </c>
      <c r="R27" s="46">
        <f>(1-(O27/O21))*100</f>
        <v>10.226742558551837</v>
      </c>
      <c r="S27" s="46">
        <f>AVERAGE(R27:R29)</f>
        <v>9.8832162107087793</v>
      </c>
      <c r="T27" s="46">
        <f>STDEV(R27:R29)</f>
        <v>5.1114013738677011</v>
      </c>
      <c r="U27" s="47">
        <f>(1-(AVERAGE(H27:N29)/AVERAGE(H21:N23)))*100</f>
        <v>10.36157067875676</v>
      </c>
      <c r="V27" s="47"/>
      <c r="Y27" s="2"/>
      <c r="Z27" s="2"/>
      <c r="AA27" s="2"/>
      <c r="AB27" s="2"/>
      <c r="AC27" s="2"/>
      <c r="AD27" s="2"/>
      <c r="AE27" s="2"/>
      <c r="AF27" s="2"/>
      <c r="AG27" s="2"/>
    </row>
    <row r="28" spans="1:45" x14ac:dyDescent="0.35">
      <c r="A28" s="41">
        <f>IFERROR(INDEX('Date Key'!$B$2:$B$19, MATCH(F28,'Date Key'!$A$2:$A$19, 0)), "")</f>
        <v>45238</v>
      </c>
      <c r="B28" s="4">
        <f t="shared" si="15"/>
        <v>3</v>
      </c>
      <c r="C28" s="26" t="str">
        <f>IFERROR(INDEX('Date Key'!$G$57:$G$62, MATCH(B28,'Date Key'!$A$57:$A$62, 0)), "")</f>
        <v>High HLR, Lower Outlet Height, No Plants</v>
      </c>
      <c r="D28" s="4" t="str">
        <f>IFERROR(INDEX('Date Key'!$G$2:$G$19, MATCH(F28, 'Date Key'!$A$2:$A$19, 0)), "")</f>
        <v>No</v>
      </c>
      <c r="E28" s="4" t="str">
        <f t="shared" si="1"/>
        <v>tank 2</v>
      </c>
      <c r="F28" s="4">
        <f t="shared" si="2"/>
        <v>8</v>
      </c>
      <c r="G28" s="4">
        <f t="shared" si="22"/>
        <v>2</v>
      </c>
      <c r="H28" s="11" cm="1">
        <f t="array" ref="H28">IFERROR(INDEX('Master Data Sheet'!$1:$1048576, MATCH(1, ('Master Data Sheet'!$H:$H=H$2) * (INDEX('Master Data Sheet'!$1:$1, , MATCH($F$1, 'Master Data Sheet'!$1:$1, 0)) = $F$1) * ('Master Data Sheet'!$G:$G=$B28) * ('Master Data Sheet'!$F:$F=$E28) * ('Master Data Sheet'!$A:$A=$F28), 0), MATCH($F$1, 'Master Data Sheet'!$1:$1, 0)), "")</f>
        <v>63.775119617224874</v>
      </c>
      <c r="I28" s="11" cm="1">
        <f t="array" ref="I28">IFERROR(INDEX('Master Data Sheet'!$1:$1048576, MATCH(1, ('Master Data Sheet'!$H:$H=I$2) * (INDEX('Master Data Sheet'!$1:$1, , MATCH($F$1, 'Master Data Sheet'!$1:$1, 0)) = $F$1) * ('Master Data Sheet'!$G:$G=$B28) * ('Master Data Sheet'!$F:$F=$E28) * ('Master Data Sheet'!$A:$A=$F28), 0), MATCH($F$1, 'Master Data Sheet'!$1:$1, 0)), "")</f>
        <v>87.74641148325361</v>
      </c>
      <c r="J28" s="11" cm="1">
        <f t="array" ref="J28">IFERROR(INDEX('Master Data Sheet'!$1:$1048576, MATCH(1, ('Master Data Sheet'!$H:$H=J$2) * (INDEX('Master Data Sheet'!$1:$1, , MATCH($F$1, 'Master Data Sheet'!$1:$1, 0)) = $F$1) * ('Master Data Sheet'!$G:$G=$B28) * ('Master Data Sheet'!$F:$F=$E28) * ('Master Data Sheet'!$A:$A=$F28), 0), MATCH($F$1, 'Master Data Sheet'!$1:$1, 0)), "")</f>
        <v>104.92822966507177</v>
      </c>
      <c r="K28" s="11" cm="1">
        <f t="array" ref="K28">IFERROR(INDEX('Master Data Sheet'!$1:$1048576, MATCH(1, ('Master Data Sheet'!$H:$H=K$2) * (INDEX('Master Data Sheet'!$1:$1, , MATCH($F$1, 'Master Data Sheet'!$1:$1, 0)) = $F$1) * ('Master Data Sheet'!$G:$G=$B28) * ('Master Data Sheet'!$F:$F=$E28) * ('Master Data Sheet'!$A:$A=$F28), 0), MATCH($F$1, 'Master Data Sheet'!$1:$1, 0)), "")</f>
        <v>104.59808612440192</v>
      </c>
      <c r="L28" s="11" cm="1">
        <f t="array" ref="L28">IFERROR(INDEX('Master Data Sheet'!$1:$1048576, MATCH(1, ('Master Data Sheet'!$H:$H=L$2) * (INDEX('Master Data Sheet'!$1:$1, , MATCH($F$1, 'Master Data Sheet'!$1:$1, 0)) = $F$1) * ('Master Data Sheet'!$G:$G=$B28) * ('Master Data Sheet'!$F:$F=$E28) * ('Master Data Sheet'!$A:$A=$F28), 0), MATCH($F$1, 'Master Data Sheet'!$1:$1, 0)), "")</f>
        <v>105.04306220095694</v>
      </c>
      <c r="M28" s="11" cm="1">
        <f t="array" ref="M28">IFERROR(INDEX('Master Data Sheet'!$1:$1048576, MATCH(1, ('Master Data Sheet'!$H:$H=M$2) * (INDEX('Master Data Sheet'!$1:$1, , MATCH($F$1, 'Master Data Sheet'!$1:$1, 0)) = $F$1) * ('Master Data Sheet'!$G:$G=$B28) * ('Master Data Sheet'!$F:$F=$E28) * ('Master Data Sheet'!$A:$A=$F28), 0), MATCH($F$1, 'Master Data Sheet'!$1:$1, 0)), "")</f>
        <v>100.90909090909091</v>
      </c>
      <c r="N28" s="11" cm="1">
        <f t="array" ref="N28">IFERROR(INDEX('Master Data Sheet'!$1:$1048576, MATCH(1, ('Master Data Sheet'!$H:$H=N$2) * (INDEX('Master Data Sheet'!$1:$1, , MATCH($F$1, 'Master Data Sheet'!$1:$1, 0)) = $F$1) * ('Master Data Sheet'!$G:$G=$B28) * ('Master Data Sheet'!$F:$F=$E28) * ('Master Data Sheet'!$A:$A=$F28), 0), MATCH($F$1, 'Master Data Sheet'!$1:$1, 0)), "")</f>
        <v>105.933014354067</v>
      </c>
      <c r="O28" s="11">
        <f t="shared" si="8"/>
        <v>96.133287764866722</v>
      </c>
      <c r="P28" s="11">
        <f t="shared" si="4"/>
        <v>15.623815002143223</v>
      </c>
      <c r="Q28" s="11"/>
      <c r="R28" s="46">
        <f>(1-(O28/O22))*100</f>
        <v>4.6087168843853004</v>
      </c>
      <c r="X28" t="str">
        <f>IFERROR(INDEX('Date Key'!$G$57:$G$62, MATCH(B27,'Date Key'!$A$57:$A$62, 0)), "")</f>
        <v>High HLR, Lower Outlet Height, No Plants</v>
      </c>
      <c r="Y28" s="1">
        <f t="shared" ref="Y28:AE28" si="32">H27</f>
        <v>57.703349282296649</v>
      </c>
      <c r="Z28" s="1">
        <f t="shared" si="32"/>
        <v>90.588516746411486</v>
      </c>
      <c r="AA28" s="1">
        <f t="shared" si="32"/>
        <v>111.64593301435407</v>
      </c>
      <c r="AB28" s="1">
        <f t="shared" si="32"/>
        <v>104.41148325358851</v>
      </c>
      <c r="AC28" s="1">
        <f t="shared" si="32"/>
        <v>109.96650717703348</v>
      </c>
      <c r="AD28" s="1">
        <f t="shared" si="32"/>
        <v>107.72727272727273</v>
      </c>
      <c r="AE28" s="1">
        <f t="shared" si="32"/>
        <v>108.45933014354067</v>
      </c>
      <c r="AF28" s="1">
        <f t="shared" ref="AF28:AL28" si="33">H28</f>
        <v>63.775119617224874</v>
      </c>
      <c r="AG28" s="1">
        <f t="shared" si="33"/>
        <v>87.74641148325361</v>
      </c>
      <c r="AH28" s="1">
        <f t="shared" si="33"/>
        <v>104.92822966507177</v>
      </c>
      <c r="AI28" s="1">
        <f t="shared" si="33"/>
        <v>104.59808612440192</v>
      </c>
      <c r="AJ28" s="1">
        <f t="shared" si="33"/>
        <v>105.04306220095694</v>
      </c>
      <c r="AK28" s="1">
        <f t="shared" si="33"/>
        <v>100.90909090909091</v>
      </c>
      <c r="AL28" s="1">
        <f t="shared" si="33"/>
        <v>105.933014354067</v>
      </c>
      <c r="AM28" s="1">
        <f t="shared" ref="AM28:AS28" si="34">H29</f>
        <v>10.794258373205743</v>
      </c>
      <c r="AN28" s="1">
        <f t="shared" si="34"/>
        <v>111.15789473684211</v>
      </c>
      <c r="AO28" s="1">
        <f t="shared" si="34"/>
        <v>131.03827751196172</v>
      </c>
      <c r="AP28" s="1">
        <f t="shared" si="34"/>
        <v>136.22009569377991</v>
      </c>
      <c r="AQ28" s="1">
        <f t="shared" si="34"/>
        <v>138.4019138755981</v>
      </c>
      <c r="AR28" s="1">
        <f t="shared" si="34"/>
        <v>138.31578947368419</v>
      </c>
      <c r="AS28" s="1">
        <f t="shared" si="34"/>
        <v>130.33492822966508</v>
      </c>
    </row>
    <row r="29" spans="1:45" x14ac:dyDescent="0.35">
      <c r="A29" s="42">
        <f>IFERROR(INDEX('Date Key'!$B$2:$B$19, MATCH(F29,'Date Key'!$A$2:$A$19, 0)), "")</f>
        <v>45246</v>
      </c>
      <c r="B29" s="27">
        <f t="shared" si="15"/>
        <v>3</v>
      </c>
      <c r="C29" s="51" t="str">
        <f>IFERROR(INDEX('Date Key'!$G$57:$G$62, MATCH(B29,'Date Key'!$A$57:$A$62, 0)), "")</f>
        <v>High HLR, Lower Outlet Height, No Plants</v>
      </c>
      <c r="D29" s="27" t="str">
        <f>IFERROR(INDEX('Date Key'!$G$2:$G$19, MATCH(F29, 'Date Key'!$A$2:$A$19, 0)), "")</f>
        <v>Yes</v>
      </c>
      <c r="E29" s="27" t="str">
        <f t="shared" si="1"/>
        <v>tank 2</v>
      </c>
      <c r="F29" s="27">
        <f t="shared" si="2"/>
        <v>9</v>
      </c>
      <c r="G29" s="27">
        <f t="shared" si="22"/>
        <v>3</v>
      </c>
      <c r="H29" s="28" cm="1">
        <f t="array" ref="H29">IFERROR(INDEX('Master Data Sheet'!$1:$1048576, MATCH(1, ('Master Data Sheet'!$H:$H=H$2) * (INDEX('Master Data Sheet'!$1:$1, , MATCH($F$1, 'Master Data Sheet'!$1:$1, 0)) = $F$1) * ('Master Data Sheet'!$G:$G=$B29) * ('Master Data Sheet'!$F:$F=$E29) * ('Master Data Sheet'!$A:$A=$F29), 0), MATCH($F$1, 'Master Data Sheet'!$1:$1, 0)), "")</f>
        <v>10.794258373205743</v>
      </c>
      <c r="I29" s="28" cm="1">
        <f t="array" ref="I29">IFERROR(INDEX('Master Data Sheet'!$1:$1048576, MATCH(1, ('Master Data Sheet'!$H:$H=I$2) * (INDEX('Master Data Sheet'!$1:$1, , MATCH($F$1, 'Master Data Sheet'!$1:$1, 0)) = $F$1) * ('Master Data Sheet'!$G:$G=$B29) * ('Master Data Sheet'!$F:$F=$E29) * ('Master Data Sheet'!$A:$A=$F29), 0), MATCH($F$1, 'Master Data Sheet'!$1:$1, 0)), "")</f>
        <v>111.15789473684211</v>
      </c>
      <c r="J29" s="28" cm="1">
        <f t="array" ref="J29">IFERROR(INDEX('Master Data Sheet'!$1:$1048576, MATCH(1, ('Master Data Sheet'!$H:$H=J$2) * (INDEX('Master Data Sheet'!$1:$1, , MATCH($F$1, 'Master Data Sheet'!$1:$1, 0)) = $F$1) * ('Master Data Sheet'!$G:$G=$B29) * ('Master Data Sheet'!$F:$F=$E29) * ('Master Data Sheet'!$A:$A=$F29), 0), MATCH($F$1, 'Master Data Sheet'!$1:$1, 0)), "")</f>
        <v>131.03827751196172</v>
      </c>
      <c r="K29" s="28" cm="1">
        <f t="array" ref="K29">IFERROR(INDEX('Master Data Sheet'!$1:$1048576, MATCH(1, ('Master Data Sheet'!$H:$H=K$2) * (INDEX('Master Data Sheet'!$1:$1, , MATCH($F$1, 'Master Data Sheet'!$1:$1, 0)) = $F$1) * ('Master Data Sheet'!$G:$G=$B29) * ('Master Data Sheet'!$F:$F=$E29) * ('Master Data Sheet'!$A:$A=$F29), 0), MATCH($F$1, 'Master Data Sheet'!$1:$1, 0)), "")</f>
        <v>136.22009569377991</v>
      </c>
      <c r="L29" s="28" cm="1">
        <f t="array" ref="L29">IFERROR(INDEX('Master Data Sheet'!$1:$1048576, MATCH(1, ('Master Data Sheet'!$H:$H=L$2) * (INDEX('Master Data Sheet'!$1:$1, , MATCH($F$1, 'Master Data Sheet'!$1:$1, 0)) = $F$1) * ('Master Data Sheet'!$G:$G=$B29) * ('Master Data Sheet'!$F:$F=$E29) * ('Master Data Sheet'!$A:$A=$F29), 0), MATCH($F$1, 'Master Data Sheet'!$1:$1, 0)), "")</f>
        <v>138.4019138755981</v>
      </c>
      <c r="M29" s="28" cm="1">
        <f t="array" ref="M29">IFERROR(INDEX('Master Data Sheet'!$1:$1048576, MATCH(1, ('Master Data Sheet'!$H:$H=M$2) * (INDEX('Master Data Sheet'!$1:$1, , MATCH($F$1, 'Master Data Sheet'!$1:$1, 0)) = $F$1) * ('Master Data Sheet'!$G:$G=$B29) * ('Master Data Sheet'!$F:$F=$E29) * ('Master Data Sheet'!$A:$A=$F29), 0), MATCH($F$1, 'Master Data Sheet'!$1:$1, 0)), "")</f>
        <v>138.31578947368419</v>
      </c>
      <c r="N29" s="28" cm="1">
        <f t="array" ref="N29">IFERROR(INDEX('Master Data Sheet'!$1:$1048576, MATCH(1, ('Master Data Sheet'!$H:$H=N$2) * (INDEX('Master Data Sheet'!$1:$1, , MATCH($F$1, 'Master Data Sheet'!$1:$1, 0)) = $F$1) * ('Master Data Sheet'!$G:$G=$B29) * ('Master Data Sheet'!$F:$F=$E29) * ('Master Data Sheet'!$A:$A=$F29), 0), MATCH($F$1, 'Master Data Sheet'!$1:$1, 0)), "")</f>
        <v>130.33492822966508</v>
      </c>
      <c r="O29" s="28">
        <f t="shared" si="8"/>
        <v>113.75187969924812</v>
      </c>
      <c r="P29" s="28">
        <f t="shared" si="4"/>
        <v>46.362068139953728</v>
      </c>
      <c r="Q29" s="28"/>
      <c r="R29" s="48">
        <f>(1-(O29/O23))*100</f>
        <v>14.814189189189197</v>
      </c>
      <c r="S29" s="27"/>
      <c r="T29" s="27"/>
      <c r="U29" s="27"/>
      <c r="V29" s="27"/>
    </row>
    <row r="30" spans="1:45" x14ac:dyDescent="0.35">
      <c r="A30" s="41">
        <f>IFERROR(INDEX('Date Key'!$B$2:$B$19, MATCH(F30,'Date Key'!$A$2:$A$19, 0)), "")</f>
        <v>45250</v>
      </c>
      <c r="B30" s="4">
        <f t="shared" si="15"/>
        <v>4</v>
      </c>
      <c r="C30" s="26" t="str">
        <f>IFERROR(INDEX('Date Key'!$G$57:$G$62, MATCH(B30,'Date Key'!$A$57:$A$62, 0)), "")</f>
        <v>High HLR, Upper Outlet Height, No Plants</v>
      </c>
      <c r="D30" s="4" t="str">
        <f>IFERROR(INDEX('Date Key'!$G$2:$G$19, MATCH(F30, 'Date Key'!$A$2:$A$19, 0)), "")</f>
        <v>Yes</v>
      </c>
      <c r="E30" s="4" t="str">
        <f t="shared" si="1"/>
        <v>in</v>
      </c>
      <c r="F30" s="4">
        <f t="shared" si="2"/>
        <v>10</v>
      </c>
      <c r="G30" s="4">
        <f t="shared" si="22"/>
        <v>1</v>
      </c>
      <c r="H30" s="11" cm="1">
        <f t="array" ref="H30">IFERROR(INDEX('Master Data Sheet'!$1:$1048576, MATCH(1, ('Master Data Sheet'!$H:$H=H$2) * (INDEX('Master Data Sheet'!$1:$1, , MATCH($F$1, 'Master Data Sheet'!$1:$1, 0)) = $F$1) * ('Master Data Sheet'!$G:$G=$B30) * ('Master Data Sheet'!$F:$F=$E30) * ('Master Data Sheet'!$A:$A=$F30), 0), MATCH($F$1, 'Master Data Sheet'!$1:$1, 0)), "")</f>
        <v>136.47846889952152</v>
      </c>
      <c r="I30" s="11" cm="1">
        <f t="array" ref="I30">IFERROR(INDEX('Master Data Sheet'!$1:$1048576, MATCH(1, ('Master Data Sheet'!$H:$H=I$2) * (INDEX('Master Data Sheet'!$1:$1, , MATCH($F$1, 'Master Data Sheet'!$1:$1, 0)) = $F$1) * ('Master Data Sheet'!$G:$G=$B30) * ('Master Data Sheet'!$F:$F=$E30) * ('Master Data Sheet'!$A:$A=$F30), 0), MATCH($F$1, 'Master Data Sheet'!$1:$1, 0)), "")</f>
        <v>134.97129186602874</v>
      </c>
      <c r="J30" s="11" cm="1">
        <f t="array" ref="J30">IFERROR(INDEX('Master Data Sheet'!$1:$1048576, MATCH(1, ('Master Data Sheet'!$H:$H=J$2) * (INDEX('Master Data Sheet'!$1:$1, , MATCH($F$1, 'Master Data Sheet'!$1:$1, 0)) = $F$1) * ('Master Data Sheet'!$G:$G=$B30) * ('Master Data Sheet'!$F:$F=$E30) * ('Master Data Sheet'!$A:$A=$F30), 0), MATCH($F$1, 'Master Data Sheet'!$1:$1, 0)), "")</f>
        <v>137.66985645933013</v>
      </c>
      <c r="K30" s="11" cm="1">
        <f t="array" ref="K30">IFERROR(INDEX('Master Data Sheet'!$1:$1048576, MATCH(1, ('Master Data Sheet'!$H:$H=K$2) * (INDEX('Master Data Sheet'!$1:$1, , MATCH($F$1, 'Master Data Sheet'!$1:$1, 0)) = $F$1) * ('Master Data Sheet'!$G:$G=$B30) * ('Master Data Sheet'!$F:$F=$E30) * ('Master Data Sheet'!$A:$A=$F30), 0), MATCH($F$1, 'Master Data Sheet'!$1:$1, 0)), "")</f>
        <v>138.20095693779905</v>
      </c>
      <c r="L30" s="11" cm="1">
        <f t="array" ref="L30">IFERROR(INDEX('Master Data Sheet'!$1:$1048576, MATCH(1, ('Master Data Sheet'!$H:$H=L$2) * (INDEX('Master Data Sheet'!$1:$1, , MATCH($F$1, 'Master Data Sheet'!$1:$1, 0)) = $F$1) * ('Master Data Sheet'!$G:$G=$B30) * ('Master Data Sheet'!$F:$F=$E30) * ('Master Data Sheet'!$A:$A=$F30), 0), MATCH($F$1, 'Master Data Sheet'!$1:$1, 0)), "")</f>
        <v>137.05263157894737</v>
      </c>
      <c r="M30" s="11" cm="1">
        <f t="array" ref="M30">IFERROR(INDEX('Master Data Sheet'!$1:$1048576, MATCH(1, ('Master Data Sheet'!$H:$H=M$2) * (INDEX('Master Data Sheet'!$1:$1, , MATCH($F$1, 'Master Data Sheet'!$1:$1, 0)) = $F$1) * ('Master Data Sheet'!$G:$G=$B30) * ('Master Data Sheet'!$F:$F=$E30) * ('Master Data Sheet'!$A:$A=$F30), 0), MATCH($F$1, 'Master Data Sheet'!$1:$1, 0)), "")</f>
        <v>143.75598086124404</v>
      </c>
      <c r="N30" s="11" cm="1">
        <f t="array" ref="N30">IFERROR(INDEX('Master Data Sheet'!$1:$1048576, MATCH(1, ('Master Data Sheet'!$H:$H=N$2) * (INDEX('Master Data Sheet'!$1:$1, , MATCH($F$1, 'Master Data Sheet'!$1:$1, 0)) = $F$1) * ('Master Data Sheet'!$G:$G=$B30) * ('Master Data Sheet'!$F:$F=$E30) * ('Master Data Sheet'!$A:$A=$F30), 0), MATCH($F$1, 'Master Data Sheet'!$1:$1, 0)), "")</f>
        <v>137.49760765550241</v>
      </c>
      <c r="O30" s="11">
        <f t="shared" si="8"/>
        <v>137.94668489405331</v>
      </c>
      <c r="P30" s="11">
        <f t="shared" si="4"/>
        <v>2.7658281298486673</v>
      </c>
      <c r="Q30" s="11">
        <f>AVERAGE(O30:O32)</f>
        <v>112.61265415543721</v>
      </c>
      <c r="S30" s="11">
        <f>AVERAGE(O30:O32)</f>
        <v>112.61265415543721</v>
      </c>
      <c r="T30" s="11">
        <f>AVERAGE(P30:P32)</f>
        <v>6.8054177082339935</v>
      </c>
      <c r="V30" s="47">
        <f>AVERAGE(U33, U36)</f>
        <v>17.848661406196641</v>
      </c>
      <c r="X30" t="s">
        <v>343</v>
      </c>
    </row>
    <row r="31" spans="1:45" x14ac:dyDescent="0.35">
      <c r="A31" s="41">
        <f>IFERROR(INDEX('Date Key'!$B$2:$B$19, MATCH(F31,'Date Key'!$A$2:$A$19, 0)), "")</f>
        <v>45259</v>
      </c>
      <c r="B31" s="4">
        <f t="shared" si="15"/>
        <v>4</v>
      </c>
      <c r="C31" s="26" t="str">
        <f>IFERROR(INDEX('Date Key'!$G$57:$G$62, MATCH(B31,'Date Key'!$A$57:$A$62, 0)), "")</f>
        <v>High HLR, Upper Outlet Height, No Plants</v>
      </c>
      <c r="D31" s="4" t="str">
        <f>IFERROR(INDEX('Date Key'!$G$2:$G$19, MATCH(F31, 'Date Key'!$A$2:$A$19, 0)), "")</f>
        <v>No</v>
      </c>
      <c r="E31" s="4" t="str">
        <f t="shared" si="1"/>
        <v>in</v>
      </c>
      <c r="F31" s="4">
        <f t="shared" si="2"/>
        <v>11</v>
      </c>
      <c r="G31" s="4">
        <f t="shared" si="22"/>
        <v>2</v>
      </c>
      <c r="H31" s="11" cm="1">
        <f t="array" ref="H31">IFERROR(INDEX('Master Data Sheet'!$1:$1048576, MATCH(1, ('Master Data Sheet'!$H:$H=H$2) * (INDEX('Master Data Sheet'!$1:$1, , MATCH($F$1, 'Master Data Sheet'!$1:$1, 0)) = $F$1) * ('Master Data Sheet'!$G:$G=$B31) * ('Master Data Sheet'!$F:$F=$E31) * ('Master Data Sheet'!$A:$A=$F31), 0), MATCH($F$1, 'Master Data Sheet'!$1:$1, 0)), "")</f>
        <v>82.289448209099703</v>
      </c>
      <c r="I31" s="11" cm="1">
        <f t="array" ref="I31">IFERROR(INDEX('Master Data Sheet'!$1:$1048576, MATCH(1, ('Master Data Sheet'!$H:$H=I$2) * (INDEX('Master Data Sheet'!$1:$1, , MATCH($F$1, 'Master Data Sheet'!$1:$1, 0)) = $F$1) * ('Master Data Sheet'!$G:$G=$B31) * ('Master Data Sheet'!$F:$F=$E31) * ('Master Data Sheet'!$A:$A=$F31), 0), MATCH($F$1, 'Master Data Sheet'!$1:$1, 0)), "")</f>
        <v>95.764762826718297</v>
      </c>
      <c r="J31" s="11" cm="1">
        <f t="array" ref="J31">IFERROR(INDEX('Master Data Sheet'!$1:$1048576, MATCH(1, ('Master Data Sheet'!$H:$H=J$2) * (INDEX('Master Data Sheet'!$1:$1, , MATCH($F$1, 'Master Data Sheet'!$1:$1, 0)) = $F$1) * ('Master Data Sheet'!$G:$G=$B31) * ('Master Data Sheet'!$F:$F=$E31) * ('Master Data Sheet'!$A:$A=$F31), 0), MATCH($F$1, 'Master Data Sheet'!$1:$1, 0)), "")</f>
        <v>89.840271055179088</v>
      </c>
      <c r="K31" s="11" cm="1">
        <f t="array" ref="K31">IFERROR(INDEX('Master Data Sheet'!$1:$1048576, MATCH(1, ('Master Data Sheet'!$H:$H=K$2) * (INDEX('Master Data Sheet'!$1:$1, , MATCH($F$1, 'Master Data Sheet'!$1:$1, 0)) = $F$1) * ('Master Data Sheet'!$G:$G=$B31) * ('Master Data Sheet'!$F:$F=$E31) * ('Master Data Sheet'!$A:$A=$F31), 0), MATCH($F$1, 'Master Data Sheet'!$1:$1, 0)), "")</f>
        <v>96.519845111326248</v>
      </c>
      <c r="L31" s="11" cm="1">
        <f t="array" ref="L31">IFERROR(INDEX('Master Data Sheet'!$1:$1048576, MATCH(1, ('Master Data Sheet'!$H:$H=L$2) * (INDEX('Master Data Sheet'!$1:$1, , MATCH($F$1, 'Master Data Sheet'!$1:$1, 0)) = $F$1) * ('Master Data Sheet'!$G:$G=$B31) * ('Master Data Sheet'!$F:$F=$E31) * ('Master Data Sheet'!$A:$A=$F31), 0), MATCH($F$1, 'Master Data Sheet'!$1:$1, 0)), "")</f>
        <v>94.574056147144248</v>
      </c>
      <c r="M31" s="11" cm="1">
        <f t="array" ref="M31">IFERROR(INDEX('Master Data Sheet'!$1:$1048576, MATCH(1, ('Master Data Sheet'!$H:$H=M$2) * (INDEX('Master Data Sheet'!$1:$1, , MATCH($F$1, 'Master Data Sheet'!$1:$1, 0)) = $F$1) * ('Master Data Sheet'!$G:$G=$B31) * ('Master Data Sheet'!$F:$F=$E31) * ('Master Data Sheet'!$A:$A=$F31), 0), MATCH($F$1, 'Master Data Sheet'!$1:$1, 0)), "")</f>
        <v>98.654404646660197</v>
      </c>
      <c r="N31" s="11" cm="1">
        <f t="array" ref="N31">IFERROR(INDEX('Master Data Sheet'!$1:$1048576, MATCH(1, ('Master Data Sheet'!$H:$H=N$2) * (INDEX('Master Data Sheet'!$1:$1, , MATCH($F$1, 'Master Data Sheet'!$1:$1, 0)) = $F$1) * ('Master Data Sheet'!$G:$G=$B31) * ('Master Data Sheet'!$F:$F=$E31) * ('Master Data Sheet'!$A:$A=$F31), 0), MATCH($F$1, 'Master Data Sheet'!$1:$1, 0)), "")</f>
        <v>98.39303000968053</v>
      </c>
      <c r="O31" s="11">
        <f t="shared" si="8"/>
        <v>93.719402572258318</v>
      </c>
      <c r="P31" s="11">
        <f t="shared" si="4"/>
        <v>5.8401621936249022</v>
      </c>
      <c r="Q31" s="11"/>
      <c r="X31" t="str">
        <f>IFERROR(INDEX('Date Key'!$G$57:$G$62, MATCH(B30,'Date Key'!$A$57:$A$62, 0)), "")</f>
        <v>High HLR, Upper Outlet Height, No Plants</v>
      </c>
      <c r="Y31" s="1">
        <f t="shared" ref="Y31:AE31" si="35">H30</f>
        <v>136.47846889952152</v>
      </c>
      <c r="Z31" s="1">
        <f t="shared" si="35"/>
        <v>134.97129186602874</v>
      </c>
      <c r="AA31" s="1">
        <f t="shared" si="35"/>
        <v>137.66985645933013</v>
      </c>
      <c r="AB31" s="1">
        <f t="shared" si="35"/>
        <v>138.20095693779905</v>
      </c>
      <c r="AC31" s="1">
        <f t="shared" si="35"/>
        <v>137.05263157894737</v>
      </c>
      <c r="AD31" s="1">
        <f t="shared" si="35"/>
        <v>143.75598086124404</v>
      </c>
      <c r="AE31" s="1">
        <f t="shared" si="35"/>
        <v>137.49760765550241</v>
      </c>
      <c r="AF31" s="1">
        <f t="shared" ref="AF31:AL31" si="36">H31</f>
        <v>82.289448209099703</v>
      </c>
      <c r="AG31" s="1">
        <f t="shared" si="36"/>
        <v>95.764762826718297</v>
      </c>
      <c r="AH31" s="1">
        <f t="shared" si="36"/>
        <v>89.840271055179088</v>
      </c>
      <c r="AI31" s="1">
        <f t="shared" si="36"/>
        <v>96.519845111326248</v>
      </c>
      <c r="AJ31" s="1">
        <f t="shared" si="36"/>
        <v>94.574056147144248</v>
      </c>
      <c r="AK31" s="1">
        <f t="shared" si="36"/>
        <v>98.654404646660197</v>
      </c>
      <c r="AL31" s="1">
        <f t="shared" si="36"/>
        <v>98.39303000968053</v>
      </c>
      <c r="AM31" s="1">
        <f t="shared" ref="AM31:AS31" si="37">H32</f>
        <v>126.50390624999999</v>
      </c>
      <c r="AN31" s="1">
        <f t="shared" si="37"/>
        <v>96.005859374999986</v>
      </c>
      <c r="AO31" s="1">
        <f t="shared" si="37"/>
        <v>103.28613281249999</v>
      </c>
      <c r="AP31" s="1">
        <f t="shared" si="37"/>
        <v>110.52246093749999</v>
      </c>
      <c r="AQ31" s="1">
        <f t="shared" si="37"/>
        <v>90.5712890625</v>
      </c>
      <c r="AR31" s="1">
        <f t="shared" si="37"/>
        <v>103.59375</v>
      </c>
      <c r="AS31" s="1">
        <f t="shared" si="37"/>
        <v>112.7197265625</v>
      </c>
    </row>
    <row r="32" spans="1:45" x14ac:dyDescent="0.35">
      <c r="A32" s="41">
        <f>IFERROR(INDEX('Date Key'!$B$2:$B$19, MATCH(F32,'Date Key'!$A$2:$A$19, 0)), "")</f>
        <v>45266</v>
      </c>
      <c r="B32" s="4">
        <f t="shared" si="15"/>
        <v>4</v>
      </c>
      <c r="C32" s="26" t="str">
        <f>IFERROR(INDEX('Date Key'!$G$57:$G$62, MATCH(B32,'Date Key'!$A$57:$A$62, 0)), "")</f>
        <v>High HLR, Upper Outlet Height, No Plants</v>
      </c>
      <c r="D32" s="4" t="str">
        <f>IFERROR(INDEX('Date Key'!$G$2:$G$19, MATCH(F32, 'Date Key'!$A$2:$A$19, 0)), "")</f>
        <v>No</v>
      </c>
      <c r="E32" s="4" t="str">
        <f t="shared" si="1"/>
        <v>in</v>
      </c>
      <c r="F32" s="4">
        <f t="shared" si="2"/>
        <v>12</v>
      </c>
      <c r="G32" s="4">
        <f t="shared" si="22"/>
        <v>3</v>
      </c>
      <c r="H32" s="11" cm="1">
        <f t="array" ref="H32">IFERROR(INDEX('Master Data Sheet'!$1:$1048576, MATCH(1, ('Master Data Sheet'!$H:$H=H$2) * (INDEX('Master Data Sheet'!$1:$1, , MATCH($F$1, 'Master Data Sheet'!$1:$1, 0)) = $F$1) * ('Master Data Sheet'!$G:$G=$B32) * ('Master Data Sheet'!$F:$F=$E32) * ('Master Data Sheet'!$A:$A=$F32), 0), MATCH($F$1, 'Master Data Sheet'!$1:$1, 0)), "")</f>
        <v>126.50390624999999</v>
      </c>
      <c r="I32" s="11" cm="1">
        <f t="array" ref="I32">IFERROR(INDEX('Master Data Sheet'!$1:$1048576, MATCH(1, ('Master Data Sheet'!$H:$H=I$2) * (INDEX('Master Data Sheet'!$1:$1, , MATCH($F$1, 'Master Data Sheet'!$1:$1, 0)) = $F$1) * ('Master Data Sheet'!$G:$G=$B32) * ('Master Data Sheet'!$F:$F=$E32) * ('Master Data Sheet'!$A:$A=$F32), 0), MATCH($F$1, 'Master Data Sheet'!$1:$1, 0)), "")</f>
        <v>96.005859374999986</v>
      </c>
      <c r="J32" s="11" cm="1">
        <f t="array" ref="J32">IFERROR(INDEX('Master Data Sheet'!$1:$1048576, MATCH(1, ('Master Data Sheet'!$H:$H=J$2) * (INDEX('Master Data Sheet'!$1:$1, , MATCH($F$1, 'Master Data Sheet'!$1:$1, 0)) = $F$1) * ('Master Data Sheet'!$G:$G=$B32) * ('Master Data Sheet'!$F:$F=$E32) * ('Master Data Sheet'!$A:$A=$F32), 0), MATCH($F$1, 'Master Data Sheet'!$1:$1, 0)), "")</f>
        <v>103.28613281249999</v>
      </c>
      <c r="K32" s="11" cm="1">
        <f t="array" ref="K32">IFERROR(INDEX('Master Data Sheet'!$1:$1048576, MATCH(1, ('Master Data Sheet'!$H:$H=K$2) * (INDEX('Master Data Sheet'!$1:$1, , MATCH($F$1, 'Master Data Sheet'!$1:$1, 0)) = $F$1) * ('Master Data Sheet'!$G:$G=$B32) * ('Master Data Sheet'!$F:$F=$E32) * ('Master Data Sheet'!$A:$A=$F32), 0), MATCH($F$1, 'Master Data Sheet'!$1:$1, 0)), "")</f>
        <v>110.52246093749999</v>
      </c>
      <c r="L32" s="11" cm="1">
        <f t="array" ref="L32">IFERROR(INDEX('Master Data Sheet'!$1:$1048576, MATCH(1, ('Master Data Sheet'!$H:$H=L$2) * (INDEX('Master Data Sheet'!$1:$1, , MATCH($F$1, 'Master Data Sheet'!$1:$1, 0)) = $F$1) * ('Master Data Sheet'!$G:$G=$B32) * ('Master Data Sheet'!$F:$F=$E32) * ('Master Data Sheet'!$A:$A=$F32), 0), MATCH($F$1, 'Master Data Sheet'!$1:$1, 0)), "")</f>
        <v>90.5712890625</v>
      </c>
      <c r="M32" s="11" cm="1">
        <f t="array" ref="M32">IFERROR(INDEX('Master Data Sheet'!$1:$1048576, MATCH(1, ('Master Data Sheet'!$H:$H=M$2) * (INDEX('Master Data Sheet'!$1:$1, , MATCH($F$1, 'Master Data Sheet'!$1:$1, 0)) = $F$1) * ('Master Data Sheet'!$G:$G=$B32) * ('Master Data Sheet'!$F:$F=$E32) * ('Master Data Sheet'!$A:$A=$F32), 0), MATCH($F$1, 'Master Data Sheet'!$1:$1, 0)), "")</f>
        <v>103.59375</v>
      </c>
      <c r="N32" s="11" cm="1">
        <f t="array" ref="N32">IFERROR(INDEX('Master Data Sheet'!$1:$1048576, MATCH(1, ('Master Data Sheet'!$H:$H=N$2) * (INDEX('Master Data Sheet'!$1:$1, , MATCH($F$1, 'Master Data Sheet'!$1:$1, 0)) = $F$1) * ('Master Data Sheet'!$G:$G=$B32) * ('Master Data Sheet'!$F:$F=$E32) * ('Master Data Sheet'!$A:$A=$F32), 0), MATCH($F$1, 'Master Data Sheet'!$1:$1, 0)), "")</f>
        <v>112.7197265625</v>
      </c>
      <c r="O32" s="11">
        <f t="shared" si="8"/>
        <v>106.171875</v>
      </c>
      <c r="P32" s="11">
        <f t="shared" si="4"/>
        <v>11.810262801228413</v>
      </c>
      <c r="Q32" s="11"/>
      <c r="Y32" s="1"/>
      <c r="Z32" s="1"/>
      <c r="AA32" s="1"/>
      <c r="AB32" s="1"/>
      <c r="AC32" s="1"/>
      <c r="AD32" s="1"/>
      <c r="AE32" s="1"/>
      <c r="AF32" s="1"/>
      <c r="AG32" s="1"/>
      <c r="AH32" s="1"/>
      <c r="AI32" s="1"/>
      <c r="AJ32" s="1"/>
      <c r="AK32" s="1"/>
      <c r="AL32" s="1"/>
      <c r="AM32" s="1"/>
      <c r="AN32" s="1"/>
      <c r="AO32" s="1"/>
      <c r="AP32" s="1"/>
      <c r="AQ32" s="1"/>
      <c r="AR32" s="1"/>
      <c r="AS32" s="1"/>
    </row>
    <row r="33" spans="1:45" x14ac:dyDescent="0.35">
      <c r="A33" s="41">
        <f>IFERROR(INDEX('Date Key'!$B$2:$B$19, MATCH(F33,'Date Key'!$A$2:$A$19, 0)), "")</f>
        <v>45250</v>
      </c>
      <c r="B33" s="4">
        <f t="shared" si="15"/>
        <v>4</v>
      </c>
      <c r="C33" s="26" t="str">
        <f>IFERROR(INDEX('Date Key'!$G$57:$G$62, MATCH(B33,'Date Key'!$A$57:$A$62, 0)), "")</f>
        <v>High HLR, Upper Outlet Height, No Plants</v>
      </c>
      <c r="D33" s="4" t="str">
        <f>IFERROR(INDEX('Date Key'!$G$2:$G$19, MATCH(F33, 'Date Key'!$A$2:$A$19, 0)), "")</f>
        <v>Yes</v>
      </c>
      <c r="E33" s="4" t="str">
        <f t="shared" si="1"/>
        <v>tank 1</v>
      </c>
      <c r="F33" s="4">
        <f t="shared" si="2"/>
        <v>10</v>
      </c>
      <c r="G33" s="4">
        <f t="shared" si="22"/>
        <v>1</v>
      </c>
      <c r="H33" s="11" cm="1">
        <f t="array" ref="H33">IFERROR(INDEX('Master Data Sheet'!$1:$1048576, MATCH(1, ('Master Data Sheet'!$H:$H=H$2) * (INDEX('Master Data Sheet'!$1:$1, , MATCH($F$1, 'Master Data Sheet'!$1:$1, 0)) = $F$1) * ('Master Data Sheet'!$G:$G=$B33) * ('Master Data Sheet'!$F:$F=$E33) * ('Master Data Sheet'!$A:$A=$F33), 0), MATCH($F$1, 'Master Data Sheet'!$1:$1, 0)), "")</f>
        <v>114.78947368421053</v>
      </c>
      <c r="I33" s="11" cm="1">
        <f t="array" ref="I33">IFERROR(INDEX('Master Data Sheet'!$1:$1048576, MATCH(1, ('Master Data Sheet'!$H:$H=I$2) * (INDEX('Master Data Sheet'!$1:$1, , MATCH($F$1, 'Master Data Sheet'!$1:$1, 0)) = $F$1) * ('Master Data Sheet'!$G:$G=$B33) * ('Master Data Sheet'!$F:$F=$E33) * ('Master Data Sheet'!$A:$A=$F33), 0), MATCH($F$1, 'Master Data Sheet'!$1:$1, 0)), "")</f>
        <v>118.49282296650719</v>
      </c>
      <c r="J33" s="11" cm="1">
        <f t="array" ref="J33">IFERROR(INDEX('Master Data Sheet'!$1:$1048576, MATCH(1, ('Master Data Sheet'!$H:$H=J$2) * (INDEX('Master Data Sheet'!$1:$1, , MATCH($F$1, 'Master Data Sheet'!$1:$1, 0)) = $F$1) * ('Master Data Sheet'!$G:$G=$B33) * ('Master Data Sheet'!$F:$F=$E33) * ('Master Data Sheet'!$A:$A=$F33), 0), MATCH($F$1, 'Master Data Sheet'!$1:$1, 0)), "")</f>
        <v>130.60765550239236</v>
      </c>
      <c r="K33" s="11" cm="1">
        <f t="array" ref="K33">IFERROR(INDEX('Master Data Sheet'!$1:$1048576, MATCH(1, ('Master Data Sheet'!$H:$H=K$2) * (INDEX('Master Data Sheet'!$1:$1, , MATCH($F$1, 'Master Data Sheet'!$1:$1, 0)) = $F$1) * ('Master Data Sheet'!$G:$G=$B33) * ('Master Data Sheet'!$F:$F=$E33) * ('Master Data Sheet'!$A:$A=$F33), 0), MATCH($F$1, 'Master Data Sheet'!$1:$1, 0)), "")</f>
        <v>135.3732057416268</v>
      </c>
      <c r="L33" s="11" cm="1">
        <f t="array" ref="L33">IFERROR(INDEX('Master Data Sheet'!$1:$1048576, MATCH(1, ('Master Data Sheet'!$H:$H=L$2) * (INDEX('Master Data Sheet'!$1:$1, , MATCH($F$1, 'Master Data Sheet'!$1:$1, 0)) = $F$1) * ('Master Data Sheet'!$G:$G=$B33) * ('Master Data Sheet'!$F:$F=$E33) * ('Master Data Sheet'!$A:$A=$F33), 0), MATCH($F$1, 'Master Data Sheet'!$1:$1, 0)), "")</f>
        <v>137.38277511961724</v>
      </c>
      <c r="M33" s="11" cm="1">
        <f t="array" ref="M33">IFERROR(INDEX('Master Data Sheet'!$1:$1048576, MATCH(1, ('Master Data Sheet'!$H:$H=M$2) * (INDEX('Master Data Sheet'!$1:$1, , MATCH($F$1, 'Master Data Sheet'!$1:$1, 0)) = $F$1) * ('Master Data Sheet'!$G:$G=$B33) * ('Master Data Sheet'!$F:$F=$E33) * ('Master Data Sheet'!$A:$A=$F33), 0), MATCH($F$1, 'Master Data Sheet'!$1:$1, 0)), "")</f>
        <v>138.45933014354068</v>
      </c>
      <c r="N33" s="11" cm="1">
        <f t="array" ref="N33">IFERROR(INDEX('Master Data Sheet'!$1:$1048576, MATCH(1, ('Master Data Sheet'!$H:$H=N$2) * (INDEX('Master Data Sheet'!$1:$1, , MATCH($F$1, 'Master Data Sheet'!$1:$1, 0)) = $F$1) * ('Master Data Sheet'!$G:$G=$B33) * ('Master Data Sheet'!$F:$F=$E33) * ('Master Data Sheet'!$A:$A=$F33), 0), MATCH($F$1, 'Master Data Sheet'!$1:$1, 0)), "")</f>
        <v>139.0622009569378</v>
      </c>
      <c r="O33" s="11">
        <f t="shared" si="8"/>
        <v>130.59535201640466</v>
      </c>
      <c r="P33" s="11">
        <f t="shared" si="4"/>
        <v>9.9893596074275237</v>
      </c>
      <c r="Q33" s="11">
        <f>AVERAGE(O33:O35)</f>
        <v>102.24418952294506</v>
      </c>
      <c r="R33" s="46">
        <f>(1-(O33/O30))*100</f>
        <v>5.3291116660720501</v>
      </c>
      <c r="S33" s="46">
        <f>AVERAGE(R33:R35)</f>
        <v>9.0327433318250154</v>
      </c>
      <c r="T33" s="46">
        <f>STDEV(R33:R35)</f>
        <v>16.352820403962419</v>
      </c>
      <c r="U33" s="47">
        <f>(1-(AVERAGE(H33:N35)/AVERAGE(H30:N32)))*100</f>
        <v>9.2071931971168581</v>
      </c>
      <c r="V33" s="47"/>
      <c r="Y33" s="2"/>
      <c r="Z33" s="2"/>
      <c r="AA33" s="2"/>
      <c r="AB33" s="2"/>
      <c r="AC33" s="2"/>
      <c r="AD33" s="2"/>
      <c r="AE33" s="2"/>
      <c r="AF33" s="2"/>
      <c r="AG33" s="2"/>
    </row>
    <row r="34" spans="1:45" x14ac:dyDescent="0.35">
      <c r="A34" s="41">
        <f>IFERROR(INDEX('Date Key'!$B$2:$B$19, MATCH(F34,'Date Key'!$A$2:$A$19, 0)), "")</f>
        <v>45259</v>
      </c>
      <c r="B34" s="4">
        <f t="shared" si="15"/>
        <v>4</v>
      </c>
      <c r="C34" s="26" t="str">
        <f>IFERROR(INDEX('Date Key'!$G$57:$G$62, MATCH(B34,'Date Key'!$A$57:$A$62, 0)), "")</f>
        <v>High HLR, Upper Outlet Height, No Plants</v>
      </c>
      <c r="D34" s="4" t="str">
        <f>IFERROR(INDEX('Date Key'!$G$2:$G$19, MATCH(F34, 'Date Key'!$A$2:$A$19, 0)), "")</f>
        <v>No</v>
      </c>
      <c r="E34" s="4" t="str">
        <f t="shared" si="1"/>
        <v>tank 1</v>
      </c>
      <c r="F34" s="4">
        <f t="shared" si="2"/>
        <v>11</v>
      </c>
      <c r="G34" s="4">
        <f t="shared" si="22"/>
        <v>2</v>
      </c>
      <c r="H34" s="11" cm="1">
        <f t="array" ref="H34">IFERROR(INDEX('Master Data Sheet'!$1:$1048576, MATCH(1, ('Master Data Sheet'!$H:$H=H$2) * (INDEX('Master Data Sheet'!$1:$1, , MATCH($F$1, 'Master Data Sheet'!$1:$1, 0)) = $F$1) * ('Master Data Sheet'!$G:$G=$B34) * ('Master Data Sheet'!$F:$F=$E34) * ('Master Data Sheet'!$A:$A=$F34), 0), MATCH($F$1, 'Master Data Sheet'!$1:$1, 0)), "")</f>
        <v>98.654404646660197</v>
      </c>
      <c r="I34" s="11" cm="1">
        <f t="array" ref="I34">IFERROR(INDEX('Master Data Sheet'!$1:$1048576, MATCH(1, ('Master Data Sheet'!$H:$H=I$2) * (INDEX('Master Data Sheet'!$1:$1, , MATCH($F$1, 'Master Data Sheet'!$1:$1, 0)) = $F$1) * ('Master Data Sheet'!$G:$G=$B34) * ('Master Data Sheet'!$F:$F=$E34) * ('Master Data Sheet'!$A:$A=$F34), 0), MATCH($F$1, 'Master Data Sheet'!$1:$1, 0)), "")</f>
        <v>102.60406582768636</v>
      </c>
      <c r="J34" s="11" cm="1">
        <f t="array" ref="J34">IFERROR(INDEX('Master Data Sheet'!$1:$1048576, MATCH(1, ('Master Data Sheet'!$H:$H=J$2) * (INDEX('Master Data Sheet'!$1:$1, , MATCH($F$1, 'Master Data Sheet'!$1:$1, 0)) = $F$1) * ('Master Data Sheet'!$G:$G=$B34) * ('Master Data Sheet'!$F:$F=$E34) * ('Master Data Sheet'!$A:$A=$F34), 0), MATCH($F$1, 'Master Data Sheet'!$1:$1, 0)), "")</f>
        <v>103.28654404646662</v>
      </c>
      <c r="K34" s="11" cm="1">
        <f t="array" ref="K34">IFERROR(INDEX('Master Data Sheet'!$1:$1048576, MATCH(1, ('Master Data Sheet'!$H:$H=K$2) * (INDEX('Master Data Sheet'!$1:$1, , MATCH($F$1, 'Master Data Sheet'!$1:$1, 0)) = $F$1) * ('Master Data Sheet'!$G:$G=$B34) * ('Master Data Sheet'!$F:$F=$E34) * ('Master Data Sheet'!$A:$A=$F34), 0), MATCH($F$1, 'Master Data Sheet'!$1:$1, 0)), "")</f>
        <v>88.41723136495645</v>
      </c>
      <c r="L34" s="11" cm="1">
        <f t="array" ref="L34">IFERROR(INDEX('Master Data Sheet'!$1:$1048576, MATCH(1, ('Master Data Sheet'!$H:$H=L$2) * (INDEX('Master Data Sheet'!$1:$1, , MATCH($F$1, 'Master Data Sheet'!$1:$1, 0)) = $F$1) * ('Master Data Sheet'!$G:$G=$B34) * ('Master Data Sheet'!$F:$F=$E34) * ('Master Data Sheet'!$A:$A=$F34), 0), MATCH($F$1, 'Master Data Sheet'!$1:$1, 0)), "")</f>
        <v>94.980638915779281</v>
      </c>
      <c r="M34" s="11" cm="1">
        <f t="array" ref="M34">IFERROR(INDEX('Master Data Sheet'!$1:$1048576, MATCH(1, ('Master Data Sheet'!$H:$H=M$2) * (INDEX('Master Data Sheet'!$1:$1, , MATCH($F$1, 'Master Data Sheet'!$1:$1, 0)) = $F$1) * ('Master Data Sheet'!$G:$G=$B34) * ('Master Data Sheet'!$F:$F=$E34) * ('Master Data Sheet'!$A:$A=$F34), 0), MATCH($F$1, 'Master Data Sheet'!$1:$1, 0)), "")</f>
        <v>102.63310745401742</v>
      </c>
      <c r="N34" s="11" cm="1">
        <f t="array" ref="N34">IFERROR(INDEX('Master Data Sheet'!$1:$1048576, MATCH(1, ('Master Data Sheet'!$H:$H=N$2) * (INDEX('Master Data Sheet'!$1:$1, , MATCH($F$1, 'Master Data Sheet'!$1:$1, 0)) = $F$1) * ('Master Data Sheet'!$G:$G=$B34) * ('Master Data Sheet'!$F:$F=$E34) * ('Master Data Sheet'!$A:$A=$F34), 0), MATCH($F$1, 'Master Data Sheet'!$1:$1, 0)), "")</f>
        <v>99.249757986447236</v>
      </c>
      <c r="O34" s="11">
        <f t="shared" si="8"/>
        <v>98.5465357488591</v>
      </c>
      <c r="P34" s="11">
        <f t="shared" si="4"/>
        <v>5.3456506003143343</v>
      </c>
      <c r="Q34" s="11"/>
      <c r="R34" s="46">
        <f>(1-(O34/O31))*100</f>
        <v>-5.1506230770933747</v>
      </c>
      <c r="X34" t="str">
        <f>IFERROR(INDEX('Date Key'!$G$57:$G$62, MATCH(B33,'Date Key'!$A$57:$A$62, 0)), "")</f>
        <v>High HLR, Upper Outlet Height, No Plants</v>
      </c>
      <c r="Y34" s="1">
        <f t="shared" ref="Y34:AE34" si="38">H33</f>
        <v>114.78947368421053</v>
      </c>
      <c r="Z34" s="1">
        <f t="shared" si="38"/>
        <v>118.49282296650719</v>
      </c>
      <c r="AA34" s="1">
        <f t="shared" si="38"/>
        <v>130.60765550239236</v>
      </c>
      <c r="AB34" s="1">
        <f t="shared" si="38"/>
        <v>135.3732057416268</v>
      </c>
      <c r="AC34" s="1">
        <f t="shared" si="38"/>
        <v>137.38277511961724</v>
      </c>
      <c r="AD34" s="1">
        <f t="shared" si="38"/>
        <v>138.45933014354068</v>
      </c>
      <c r="AE34" s="1">
        <f t="shared" si="38"/>
        <v>139.0622009569378</v>
      </c>
      <c r="AF34" s="1">
        <f t="shared" ref="AF34:AL34" si="39">H34</f>
        <v>98.654404646660197</v>
      </c>
      <c r="AG34" s="1">
        <f t="shared" si="39"/>
        <v>102.60406582768636</v>
      </c>
      <c r="AH34" s="1">
        <f t="shared" si="39"/>
        <v>103.28654404646662</v>
      </c>
      <c r="AI34" s="1">
        <f t="shared" si="39"/>
        <v>88.41723136495645</v>
      </c>
      <c r="AJ34" s="1">
        <f t="shared" si="39"/>
        <v>94.980638915779281</v>
      </c>
      <c r="AK34" s="1">
        <f t="shared" si="39"/>
        <v>102.63310745401742</v>
      </c>
      <c r="AL34" s="1">
        <f t="shared" si="39"/>
        <v>99.249757986447236</v>
      </c>
      <c r="AM34" s="1">
        <f t="shared" ref="AM34:AS34" si="40">H35</f>
        <v>88.7841796875</v>
      </c>
      <c r="AN34" s="1">
        <f t="shared" si="40"/>
        <v>87.612304687499986</v>
      </c>
      <c r="AO34" s="1">
        <f t="shared" si="40"/>
        <v>94.599609375</v>
      </c>
      <c r="AP34" s="1">
        <f t="shared" si="40"/>
        <v>69.462890624999986</v>
      </c>
      <c r="AQ34" s="1">
        <f t="shared" si="40"/>
        <v>64.8046875</v>
      </c>
      <c r="AR34" s="1">
        <f t="shared" si="40"/>
        <v>84.873046874999986</v>
      </c>
      <c r="AS34" s="1">
        <f t="shared" si="40"/>
        <v>52.998046874999993</v>
      </c>
    </row>
    <row r="35" spans="1:45" x14ac:dyDescent="0.35">
      <c r="A35" s="41">
        <f>IFERROR(INDEX('Date Key'!$B$2:$B$19, MATCH(F35,'Date Key'!$A$2:$A$19, 0)), "")</f>
        <v>45266</v>
      </c>
      <c r="B35" s="4">
        <f t="shared" si="15"/>
        <v>4</v>
      </c>
      <c r="C35" s="26" t="str">
        <f>IFERROR(INDEX('Date Key'!$G$57:$G$62, MATCH(B35,'Date Key'!$A$57:$A$62, 0)), "")</f>
        <v>High HLR, Upper Outlet Height, No Plants</v>
      </c>
      <c r="D35" s="4" t="str">
        <f>IFERROR(INDEX('Date Key'!$G$2:$G$19, MATCH(F35, 'Date Key'!$A$2:$A$19, 0)), "")</f>
        <v>No</v>
      </c>
      <c r="E35" s="4" t="str">
        <f t="shared" si="1"/>
        <v>tank 1</v>
      </c>
      <c r="F35" s="4">
        <f t="shared" si="2"/>
        <v>12</v>
      </c>
      <c r="G35" s="4">
        <f t="shared" si="22"/>
        <v>3</v>
      </c>
      <c r="H35" s="11" cm="1">
        <f t="array" ref="H35">IFERROR(INDEX('Master Data Sheet'!$1:$1048576, MATCH(1, ('Master Data Sheet'!$H:$H=H$2) * (INDEX('Master Data Sheet'!$1:$1, , MATCH($F$1, 'Master Data Sheet'!$1:$1, 0)) = $F$1) * ('Master Data Sheet'!$G:$G=$B35) * ('Master Data Sheet'!$F:$F=$E35) * ('Master Data Sheet'!$A:$A=$F35), 0), MATCH($F$1, 'Master Data Sheet'!$1:$1, 0)), "")</f>
        <v>88.7841796875</v>
      </c>
      <c r="I35" s="11" cm="1">
        <f t="array" ref="I35">IFERROR(INDEX('Master Data Sheet'!$1:$1048576, MATCH(1, ('Master Data Sheet'!$H:$H=I$2) * (INDEX('Master Data Sheet'!$1:$1, , MATCH($F$1, 'Master Data Sheet'!$1:$1, 0)) = $F$1) * ('Master Data Sheet'!$G:$G=$B35) * ('Master Data Sheet'!$F:$F=$E35) * ('Master Data Sheet'!$A:$A=$F35), 0), MATCH($F$1, 'Master Data Sheet'!$1:$1, 0)), "")</f>
        <v>87.612304687499986</v>
      </c>
      <c r="J35" s="11" cm="1">
        <f t="array" ref="J35">IFERROR(INDEX('Master Data Sheet'!$1:$1048576, MATCH(1, ('Master Data Sheet'!$H:$H=J$2) * (INDEX('Master Data Sheet'!$1:$1, , MATCH($F$1, 'Master Data Sheet'!$1:$1, 0)) = $F$1) * ('Master Data Sheet'!$G:$G=$B35) * ('Master Data Sheet'!$F:$F=$E35) * ('Master Data Sheet'!$A:$A=$F35), 0), MATCH($F$1, 'Master Data Sheet'!$1:$1, 0)), "")</f>
        <v>94.599609375</v>
      </c>
      <c r="K35" s="11" cm="1">
        <f t="array" ref="K35">IFERROR(INDEX('Master Data Sheet'!$1:$1048576, MATCH(1, ('Master Data Sheet'!$H:$H=K$2) * (INDEX('Master Data Sheet'!$1:$1, , MATCH($F$1, 'Master Data Sheet'!$1:$1, 0)) = $F$1) * ('Master Data Sheet'!$G:$G=$B35) * ('Master Data Sheet'!$F:$F=$E35) * ('Master Data Sheet'!$A:$A=$F35), 0), MATCH($F$1, 'Master Data Sheet'!$1:$1, 0)), "")</f>
        <v>69.462890624999986</v>
      </c>
      <c r="L35" s="11" cm="1">
        <f t="array" ref="L35">IFERROR(INDEX('Master Data Sheet'!$1:$1048576, MATCH(1, ('Master Data Sheet'!$H:$H=L$2) * (INDEX('Master Data Sheet'!$1:$1, , MATCH($F$1, 'Master Data Sheet'!$1:$1, 0)) = $F$1) * ('Master Data Sheet'!$G:$G=$B35) * ('Master Data Sheet'!$F:$F=$E35) * ('Master Data Sheet'!$A:$A=$F35), 0), MATCH($F$1, 'Master Data Sheet'!$1:$1, 0)), "")</f>
        <v>64.8046875</v>
      </c>
      <c r="M35" s="11" cm="1">
        <f t="array" ref="M35">IFERROR(INDEX('Master Data Sheet'!$1:$1048576, MATCH(1, ('Master Data Sheet'!$H:$H=M$2) * (INDEX('Master Data Sheet'!$1:$1, , MATCH($F$1, 'Master Data Sheet'!$1:$1, 0)) = $F$1) * ('Master Data Sheet'!$G:$G=$B35) * ('Master Data Sheet'!$F:$F=$E35) * ('Master Data Sheet'!$A:$A=$F35), 0), MATCH($F$1, 'Master Data Sheet'!$1:$1, 0)), "")</f>
        <v>84.873046874999986</v>
      </c>
      <c r="N35" s="11" cm="1">
        <f t="array" ref="N35">IFERROR(INDEX('Master Data Sheet'!$1:$1048576, MATCH(1, ('Master Data Sheet'!$H:$H=N$2) * (INDEX('Master Data Sheet'!$1:$1, , MATCH($F$1, 'Master Data Sheet'!$1:$1, 0)) = $F$1) * ('Master Data Sheet'!$G:$G=$B35) * ('Master Data Sheet'!$F:$F=$E35) * ('Master Data Sheet'!$A:$A=$F35), 0), MATCH($F$1, 'Master Data Sheet'!$1:$1, 0)), "")</f>
        <v>52.998046874999993</v>
      </c>
      <c r="O35" s="11">
        <f t="shared" si="8"/>
        <v>77.590680803571431</v>
      </c>
      <c r="P35" s="11">
        <f t="shared" si="4"/>
        <v>15.288362190308128</v>
      </c>
      <c r="Q35" s="11"/>
      <c r="R35" s="46">
        <f>(1-(O35/O32))*100</f>
        <v>26.919741406496367</v>
      </c>
      <c r="Y35" s="2"/>
      <c r="Z35" s="2"/>
      <c r="AA35" s="2"/>
      <c r="AB35" s="2"/>
      <c r="AC35" s="2"/>
      <c r="AD35" s="2"/>
      <c r="AE35" s="2"/>
      <c r="AF35" s="2"/>
      <c r="AG35" s="2"/>
    </row>
    <row r="36" spans="1:45" x14ac:dyDescent="0.35">
      <c r="A36" s="41">
        <f>IFERROR(INDEX('Date Key'!$B$2:$B$19, MATCH(F36,'Date Key'!$A$2:$A$19, 0)), "")</f>
        <v>45250</v>
      </c>
      <c r="B36" s="4">
        <f t="shared" si="15"/>
        <v>4</v>
      </c>
      <c r="C36" s="26" t="str">
        <f>IFERROR(INDEX('Date Key'!$G$57:$G$62, MATCH(B36,'Date Key'!$A$57:$A$62, 0)), "")</f>
        <v>High HLR, Upper Outlet Height, No Plants</v>
      </c>
      <c r="D36" s="4" t="str">
        <f>IFERROR(INDEX('Date Key'!$G$2:$G$19, MATCH(F36, 'Date Key'!$A$2:$A$19, 0)), "")</f>
        <v>Yes</v>
      </c>
      <c r="E36" s="4" t="str">
        <f t="shared" si="1"/>
        <v>tank 2</v>
      </c>
      <c r="F36" s="4">
        <f t="shared" si="2"/>
        <v>10</v>
      </c>
      <c r="G36" s="4">
        <f t="shared" si="22"/>
        <v>1</v>
      </c>
      <c r="H36" s="11" cm="1">
        <f t="array" ref="H36">IFERROR(INDEX('Master Data Sheet'!$1:$1048576, MATCH(1, ('Master Data Sheet'!$H:$H=H$2) * (INDEX('Master Data Sheet'!$1:$1, , MATCH($F$1, 'Master Data Sheet'!$1:$1, 0)) = $F$1) * ('Master Data Sheet'!$G:$G=$B36) * ('Master Data Sheet'!$F:$F=$E36) * ('Master Data Sheet'!$A:$A=$F36), 0), MATCH($F$1, 'Master Data Sheet'!$1:$1, 0)), "")</f>
        <v>104.68421052631579</v>
      </c>
      <c r="I36" s="11" cm="1">
        <f t="array" ref="I36">IFERROR(INDEX('Master Data Sheet'!$1:$1048576, MATCH(1, ('Master Data Sheet'!$H:$H=I$2) * (INDEX('Master Data Sheet'!$1:$1, , MATCH($F$1, 'Master Data Sheet'!$1:$1, 0)) = $F$1) * ('Master Data Sheet'!$G:$G=$B36) * ('Master Data Sheet'!$F:$F=$E36) * ('Master Data Sheet'!$A:$A=$F36), 0), MATCH($F$1, 'Master Data Sheet'!$1:$1, 0)), "")</f>
        <v>105.44497607655504</v>
      </c>
      <c r="J36" s="11" cm="1">
        <f t="array" ref="J36">IFERROR(INDEX('Master Data Sheet'!$1:$1048576, MATCH(1, ('Master Data Sheet'!$H:$H=J$2) * (INDEX('Master Data Sheet'!$1:$1, , MATCH($F$1, 'Master Data Sheet'!$1:$1, 0)) = $F$1) * ('Master Data Sheet'!$G:$G=$B36) * ('Master Data Sheet'!$F:$F=$E36) * ('Master Data Sheet'!$A:$A=$F36), 0), MATCH($F$1, 'Master Data Sheet'!$1:$1, 0)), "")</f>
        <v>132.35885167464116</v>
      </c>
      <c r="K36" s="11" cm="1">
        <f t="array" ref="K36">IFERROR(INDEX('Master Data Sheet'!$1:$1048576, MATCH(1, ('Master Data Sheet'!$H:$H=K$2) * (INDEX('Master Data Sheet'!$1:$1, , MATCH($F$1, 'Master Data Sheet'!$1:$1, 0)) = $F$1) * ('Master Data Sheet'!$G:$G=$B36) * ('Master Data Sheet'!$F:$F=$E36) * ('Master Data Sheet'!$A:$A=$F36), 0), MATCH($F$1, 'Master Data Sheet'!$1:$1, 0)), "")</f>
        <v>139.17703349282297</v>
      </c>
      <c r="L36" s="11" cm="1">
        <f t="array" ref="L36">IFERROR(INDEX('Master Data Sheet'!$1:$1048576, MATCH(1, ('Master Data Sheet'!$H:$H=L$2) * (INDEX('Master Data Sheet'!$1:$1, , MATCH($F$1, 'Master Data Sheet'!$1:$1, 0)) = $F$1) * ('Master Data Sheet'!$G:$G=$B36) * ('Master Data Sheet'!$F:$F=$E36) * ('Master Data Sheet'!$A:$A=$F36), 0), MATCH($F$1, 'Master Data Sheet'!$1:$1, 0)), "")</f>
        <v>139.00478468899522</v>
      </c>
      <c r="M36" s="11" cm="1">
        <f t="array" ref="M36">IFERROR(INDEX('Master Data Sheet'!$1:$1048576, MATCH(1, ('Master Data Sheet'!$H:$H=M$2) * (INDEX('Master Data Sheet'!$1:$1, , MATCH($F$1, 'Master Data Sheet'!$1:$1, 0)) = $F$1) * ('Master Data Sheet'!$G:$G=$B36) * ('Master Data Sheet'!$F:$F=$E36) * ('Master Data Sheet'!$A:$A=$F36), 0), MATCH($F$1, 'Master Data Sheet'!$1:$1, 0)), "")</f>
        <v>141.21531100478467</v>
      </c>
      <c r="N36" s="11" cm="1">
        <f t="array" ref="N36">IFERROR(INDEX('Master Data Sheet'!$1:$1048576, MATCH(1, ('Master Data Sheet'!$H:$H=N$2) * (INDEX('Master Data Sheet'!$1:$1, , MATCH($F$1, 'Master Data Sheet'!$1:$1, 0)) = $F$1) * ('Master Data Sheet'!$G:$G=$B36) * ('Master Data Sheet'!$F:$F=$E36) * ('Master Data Sheet'!$A:$A=$F36), 0), MATCH($F$1, 'Master Data Sheet'!$1:$1, 0)), "")</f>
        <v>137.97129186602871</v>
      </c>
      <c r="O36" s="11">
        <f t="shared" si="8"/>
        <v>128.55092276144907</v>
      </c>
      <c r="P36" s="11">
        <f t="shared" si="4"/>
        <v>16.275403680850417</v>
      </c>
      <c r="Q36" s="11">
        <f>AVERAGE(N36:N38)</f>
        <v>92.04881450088179</v>
      </c>
      <c r="R36" s="46">
        <f>(1-(O36/O30))*100</f>
        <v>6.8111547151861078</v>
      </c>
      <c r="S36" s="46">
        <f>AVERAGE(R36:R38)</f>
        <v>27.942648332150672</v>
      </c>
      <c r="T36" s="46">
        <f>STDEV(R36:R38)</f>
        <v>31.046591398993471</v>
      </c>
      <c r="U36" s="47">
        <f>(1-(AVERAGE(H36:N38)/AVERAGE(H30:N32)))*100</f>
        <v>26.490129615276427</v>
      </c>
      <c r="V36" s="47"/>
      <c r="Y36" s="2"/>
      <c r="Z36" s="2"/>
      <c r="AA36" s="2"/>
      <c r="AB36" s="2"/>
      <c r="AC36" s="2"/>
      <c r="AD36" s="2"/>
      <c r="AE36" s="2"/>
      <c r="AF36" s="2"/>
      <c r="AG36" s="2"/>
    </row>
    <row r="37" spans="1:45" x14ac:dyDescent="0.35">
      <c r="A37" s="41">
        <f>IFERROR(INDEX('Date Key'!$B$2:$B$19, MATCH(F37,'Date Key'!$A$2:$A$19, 0)), "")</f>
        <v>45259</v>
      </c>
      <c r="B37" s="4">
        <f t="shared" si="15"/>
        <v>4</v>
      </c>
      <c r="C37" s="26" t="str">
        <f>IFERROR(INDEX('Date Key'!$G$57:$G$62, MATCH(B37,'Date Key'!$A$57:$A$62, 0)), "")</f>
        <v>High HLR, Upper Outlet Height, No Plants</v>
      </c>
      <c r="D37" s="4" t="str">
        <f>IFERROR(INDEX('Date Key'!$G$2:$G$19, MATCH(F37, 'Date Key'!$A$2:$A$19, 0)), "")</f>
        <v>No</v>
      </c>
      <c r="E37" s="4" t="str">
        <f t="shared" si="1"/>
        <v>tank 2</v>
      </c>
      <c r="F37" s="4">
        <f t="shared" si="2"/>
        <v>11</v>
      </c>
      <c r="G37" s="4">
        <f t="shared" si="22"/>
        <v>2</v>
      </c>
      <c r="H37" s="11" cm="1">
        <f t="array" ref="H37">IFERROR(INDEX('Master Data Sheet'!$1:$1048576, MATCH(1, ('Master Data Sheet'!$H:$H=H$2) * (INDEX('Master Data Sheet'!$1:$1, , MATCH($F$1, 'Master Data Sheet'!$1:$1, 0)) = $F$1) * ('Master Data Sheet'!$G:$G=$B37) * ('Master Data Sheet'!$F:$F=$E37) * ('Master Data Sheet'!$A:$A=$F37), 0), MATCH($F$1, 'Master Data Sheet'!$1:$1, 0)), "")</f>
        <v>67.478218780251694</v>
      </c>
      <c r="I37" s="11" cm="1">
        <f t="array" ref="I37">IFERROR(INDEX('Master Data Sheet'!$1:$1048576, MATCH(1, ('Master Data Sheet'!$H:$H=I$2) * (INDEX('Master Data Sheet'!$1:$1, , MATCH($F$1, 'Master Data Sheet'!$1:$1, 0)) = $F$1) * ('Master Data Sheet'!$G:$G=$B37) * ('Master Data Sheet'!$F:$F=$E37) * ('Master Data Sheet'!$A:$A=$F37), 0), MATCH($F$1, 'Master Data Sheet'!$1:$1, 0)), "")</f>
        <v>54.394966118102609</v>
      </c>
      <c r="J37" s="11" cm="1">
        <f t="array" ref="J37">IFERROR(INDEX('Master Data Sheet'!$1:$1048576, MATCH(1, ('Master Data Sheet'!$H:$H=J$2) * (INDEX('Master Data Sheet'!$1:$1, , MATCH($F$1, 'Master Data Sheet'!$1:$1, 0)) = $F$1) * ('Master Data Sheet'!$G:$G=$B37) * ('Master Data Sheet'!$F:$F=$E37) * ('Master Data Sheet'!$A:$A=$F37), 0), MATCH($F$1, 'Master Data Sheet'!$1:$1, 0)), "")</f>
        <v>80.648596321393995</v>
      </c>
      <c r="K37" s="11" cm="1">
        <f t="array" ref="K37">IFERROR(INDEX('Master Data Sheet'!$1:$1048576, MATCH(1, ('Master Data Sheet'!$H:$H=K$2) * (INDEX('Master Data Sheet'!$1:$1, , MATCH($F$1, 'Master Data Sheet'!$1:$1, 0)) = $F$1) * ('Master Data Sheet'!$G:$G=$B37) * ('Master Data Sheet'!$F:$F=$E37) * ('Master Data Sheet'!$A:$A=$F37), 0), MATCH($F$1, 'Master Data Sheet'!$1:$1, 0)), "")</f>
        <v>86.602129719264298</v>
      </c>
      <c r="L37" s="11" cm="1">
        <f t="array" ref="L37">IFERROR(INDEX('Master Data Sheet'!$1:$1048576, MATCH(1, ('Master Data Sheet'!$H:$H=L$2) * (INDEX('Master Data Sheet'!$1:$1, , MATCH($F$1, 'Master Data Sheet'!$1:$1, 0)) = $F$1) * ('Master Data Sheet'!$G:$G=$B37) * ('Master Data Sheet'!$F:$F=$E37) * ('Master Data Sheet'!$A:$A=$F37), 0), MATCH($F$1, 'Master Data Sheet'!$1:$1, 0)), "")</f>
        <v>87.023233301064849</v>
      </c>
      <c r="M37" s="11" cm="1">
        <f t="array" ref="M37">IFERROR(INDEX('Master Data Sheet'!$1:$1048576, MATCH(1, ('Master Data Sheet'!$H:$H=M$2) * (INDEX('Master Data Sheet'!$1:$1, , MATCH($F$1, 'Master Data Sheet'!$1:$1, 0)) = $F$1) * ('Master Data Sheet'!$G:$G=$B37) * ('Master Data Sheet'!$F:$F=$E37) * ('Master Data Sheet'!$A:$A=$F37), 0), MATCH($F$1, 'Master Data Sheet'!$1:$1, 0)), "")</f>
        <v>94.719264278799599</v>
      </c>
      <c r="N37" s="11" cm="1">
        <f t="array" ref="N37">IFERROR(INDEX('Master Data Sheet'!$1:$1048576, MATCH(1, ('Master Data Sheet'!$H:$H=N$2) * (INDEX('Master Data Sheet'!$1:$1, , MATCH($F$1, 'Master Data Sheet'!$1:$1, 0)) = $F$1) * ('Master Data Sheet'!$G:$G=$B37) * ('Master Data Sheet'!$F:$F=$E37) * ('Master Data Sheet'!$A:$A=$F37), 0), MATCH($F$1, 'Master Data Sheet'!$1:$1, 0)), "")</f>
        <v>97.071636011616647</v>
      </c>
      <c r="O37" s="11">
        <f t="shared" si="8"/>
        <v>81.134006361499104</v>
      </c>
      <c r="P37" s="11">
        <f t="shared" si="4"/>
        <v>15.301650613874333</v>
      </c>
      <c r="Q37" s="11"/>
      <c r="R37" s="46">
        <f>(1-(O37/O31))*100</f>
        <v>13.428805418446609</v>
      </c>
      <c r="X37" t="str">
        <f>IFERROR(INDEX('Date Key'!$G$57:$G$62, MATCH(B36,'Date Key'!$A$57:$A$62, 0)), "")</f>
        <v>High HLR, Upper Outlet Height, No Plants</v>
      </c>
      <c r="Y37" s="1">
        <f t="shared" ref="Y37:AE37" si="41">H36</f>
        <v>104.68421052631579</v>
      </c>
      <c r="Z37" s="1">
        <f t="shared" si="41"/>
        <v>105.44497607655504</v>
      </c>
      <c r="AA37" s="1">
        <f t="shared" si="41"/>
        <v>132.35885167464116</v>
      </c>
      <c r="AB37" s="1">
        <f t="shared" si="41"/>
        <v>139.17703349282297</v>
      </c>
      <c r="AC37" s="1">
        <f t="shared" si="41"/>
        <v>139.00478468899522</v>
      </c>
      <c r="AD37" s="1">
        <f t="shared" si="41"/>
        <v>141.21531100478467</v>
      </c>
      <c r="AE37" s="1">
        <f t="shared" si="41"/>
        <v>137.97129186602871</v>
      </c>
      <c r="AF37" s="1">
        <f t="shared" ref="AF37:AL37" si="42">H37</f>
        <v>67.478218780251694</v>
      </c>
      <c r="AG37" s="1">
        <f t="shared" si="42"/>
        <v>54.394966118102609</v>
      </c>
      <c r="AH37" s="1">
        <f t="shared" si="42"/>
        <v>80.648596321393995</v>
      </c>
      <c r="AI37" s="1">
        <f t="shared" si="42"/>
        <v>86.602129719264298</v>
      </c>
      <c r="AJ37" s="1">
        <f t="shared" si="42"/>
        <v>87.023233301064849</v>
      </c>
      <c r="AK37" s="1">
        <f t="shared" si="42"/>
        <v>94.719264278799599</v>
      </c>
      <c r="AL37" s="1">
        <f t="shared" si="42"/>
        <v>97.071636011616647</v>
      </c>
      <c r="AM37" s="1">
        <f t="shared" ref="AM37:AS37" si="43">H38</f>
        <v>25.766601562499996</v>
      </c>
      <c r="AN37" s="1">
        <f t="shared" si="43"/>
        <v>33.7646484375</v>
      </c>
      <c r="AO37" s="1">
        <f t="shared" si="43"/>
        <v>39.287109374999993</v>
      </c>
      <c r="AP37" s="1">
        <f t="shared" si="43"/>
        <v>27.158203125</v>
      </c>
      <c r="AQ37" s="1">
        <f t="shared" si="43"/>
        <v>48.911132812499993</v>
      </c>
      <c r="AR37" s="1">
        <f t="shared" si="43"/>
        <v>54.6240234375</v>
      </c>
      <c r="AS37" s="1">
        <f t="shared" si="43"/>
        <v>41.103515624999993</v>
      </c>
    </row>
    <row r="38" spans="1:45" x14ac:dyDescent="0.35">
      <c r="A38" s="42">
        <f>IFERROR(INDEX('Date Key'!$B$2:$B$19, MATCH(F38,'Date Key'!$A$2:$A$19, 0)), "")</f>
        <v>45266</v>
      </c>
      <c r="B38" s="27">
        <f t="shared" si="15"/>
        <v>4</v>
      </c>
      <c r="C38" s="51" t="str">
        <f>IFERROR(INDEX('Date Key'!$G$57:$G$62, MATCH(B38,'Date Key'!$A$57:$A$62, 0)), "")</f>
        <v>High HLR, Upper Outlet Height, No Plants</v>
      </c>
      <c r="D38" s="27" t="str">
        <f>IFERROR(INDEX('Date Key'!$G$2:$G$19, MATCH(F38, 'Date Key'!$A$2:$A$19, 0)), "")</f>
        <v>No</v>
      </c>
      <c r="E38" s="27" t="str">
        <f t="shared" si="1"/>
        <v>tank 2</v>
      </c>
      <c r="F38" s="27">
        <f t="shared" si="2"/>
        <v>12</v>
      </c>
      <c r="G38" s="27">
        <f t="shared" si="22"/>
        <v>3</v>
      </c>
      <c r="H38" s="28" cm="1">
        <f t="array" ref="H38">IFERROR(INDEX('Master Data Sheet'!$1:$1048576, MATCH(1, ('Master Data Sheet'!$H:$H=H$2) * (INDEX('Master Data Sheet'!$1:$1, , MATCH($F$1, 'Master Data Sheet'!$1:$1, 0)) = $F$1) * ('Master Data Sheet'!$G:$G=$B38) * ('Master Data Sheet'!$F:$F=$E38) * ('Master Data Sheet'!$A:$A=$F38), 0), MATCH($F$1, 'Master Data Sheet'!$1:$1, 0)), "")</f>
        <v>25.766601562499996</v>
      </c>
      <c r="I38" s="28" cm="1">
        <f t="array" ref="I38">IFERROR(INDEX('Master Data Sheet'!$1:$1048576, MATCH(1, ('Master Data Sheet'!$H:$H=I$2) * (INDEX('Master Data Sheet'!$1:$1, , MATCH($F$1, 'Master Data Sheet'!$1:$1, 0)) = $F$1) * ('Master Data Sheet'!$G:$G=$B38) * ('Master Data Sheet'!$F:$F=$E38) * ('Master Data Sheet'!$A:$A=$F38), 0), MATCH($F$1, 'Master Data Sheet'!$1:$1, 0)), "")</f>
        <v>33.7646484375</v>
      </c>
      <c r="J38" s="28" cm="1">
        <f t="array" ref="J38">IFERROR(INDEX('Master Data Sheet'!$1:$1048576, MATCH(1, ('Master Data Sheet'!$H:$H=J$2) * (INDEX('Master Data Sheet'!$1:$1, , MATCH($F$1, 'Master Data Sheet'!$1:$1, 0)) = $F$1) * ('Master Data Sheet'!$G:$G=$B38) * ('Master Data Sheet'!$F:$F=$E38) * ('Master Data Sheet'!$A:$A=$F38), 0), MATCH($F$1, 'Master Data Sheet'!$1:$1, 0)), "")</f>
        <v>39.287109374999993</v>
      </c>
      <c r="K38" s="28" cm="1">
        <f t="array" ref="K38">IFERROR(INDEX('Master Data Sheet'!$1:$1048576, MATCH(1, ('Master Data Sheet'!$H:$H=K$2) * (INDEX('Master Data Sheet'!$1:$1, , MATCH($F$1, 'Master Data Sheet'!$1:$1, 0)) = $F$1) * ('Master Data Sheet'!$G:$G=$B38) * ('Master Data Sheet'!$F:$F=$E38) * ('Master Data Sheet'!$A:$A=$F38), 0), MATCH($F$1, 'Master Data Sheet'!$1:$1, 0)), "")</f>
        <v>27.158203125</v>
      </c>
      <c r="L38" s="28" cm="1">
        <f t="array" ref="L38">IFERROR(INDEX('Master Data Sheet'!$1:$1048576, MATCH(1, ('Master Data Sheet'!$H:$H=L$2) * (INDEX('Master Data Sheet'!$1:$1, , MATCH($F$1, 'Master Data Sheet'!$1:$1, 0)) = $F$1) * ('Master Data Sheet'!$G:$G=$B38) * ('Master Data Sheet'!$F:$F=$E38) * ('Master Data Sheet'!$A:$A=$F38), 0), MATCH($F$1, 'Master Data Sheet'!$1:$1, 0)), "")</f>
        <v>48.911132812499993</v>
      </c>
      <c r="M38" s="28" cm="1">
        <f t="array" ref="M38">IFERROR(INDEX('Master Data Sheet'!$1:$1048576, MATCH(1, ('Master Data Sheet'!$H:$H=M$2) * (INDEX('Master Data Sheet'!$1:$1, , MATCH($F$1, 'Master Data Sheet'!$1:$1, 0)) = $F$1) * ('Master Data Sheet'!$G:$G=$B38) * ('Master Data Sheet'!$F:$F=$E38) * ('Master Data Sheet'!$A:$A=$F38), 0), MATCH($F$1, 'Master Data Sheet'!$1:$1, 0)), "")</f>
        <v>54.6240234375</v>
      </c>
      <c r="N38" s="28" cm="1">
        <f t="array" ref="N38">IFERROR(INDEX('Master Data Sheet'!$1:$1048576, MATCH(1, ('Master Data Sheet'!$H:$H=N$2) * (INDEX('Master Data Sheet'!$1:$1, , MATCH($F$1, 'Master Data Sheet'!$1:$1, 0)) = $F$1) * ('Master Data Sheet'!$G:$G=$B38) * ('Master Data Sheet'!$F:$F=$E38) * ('Master Data Sheet'!$A:$A=$F38), 0), MATCH($F$1, 'Master Data Sheet'!$1:$1, 0)), "")</f>
        <v>41.103515624999993</v>
      </c>
      <c r="O38" s="28">
        <f t="shared" si="8"/>
        <v>38.659319196428569</v>
      </c>
      <c r="P38" s="28">
        <f t="shared" si="4"/>
        <v>10.714439799699424</v>
      </c>
      <c r="Q38" s="28"/>
      <c r="R38" s="48">
        <f>(1-(O38/O32))*100</f>
        <v>63.587984862819305</v>
      </c>
      <c r="S38" s="27"/>
      <c r="T38" s="27"/>
      <c r="U38" s="27"/>
      <c r="V38" s="27"/>
    </row>
    <row r="39" spans="1:45" x14ac:dyDescent="0.35">
      <c r="A39" s="41">
        <f>IFERROR(INDEX('Date Key'!$B$2:$B$19, MATCH(F39,'Date Key'!$A$2:$A$19, 0)), "")</f>
        <v>45313</v>
      </c>
      <c r="B39" s="4">
        <f t="shared" si="15"/>
        <v>5</v>
      </c>
      <c r="C39" s="26" t="str">
        <f>IFERROR(INDEX('Date Key'!$G$57:$G$62, MATCH(B39,'Date Key'!$A$57:$A$62, 0)), "")</f>
        <v>High HLR, Lower Outlet Height, Yes Plants</v>
      </c>
      <c r="D39" s="4" t="str">
        <f>IFERROR(INDEX('Date Key'!$G$2:$G$19, MATCH(F39, 'Date Key'!$A$2:$A$19, 0)), "")</f>
        <v>Yes</v>
      </c>
      <c r="E39" s="4" t="str">
        <f t="shared" si="1"/>
        <v>in</v>
      </c>
      <c r="F39" s="4">
        <f t="shared" si="2"/>
        <v>13</v>
      </c>
      <c r="G39" s="4">
        <f t="shared" si="22"/>
        <v>1</v>
      </c>
      <c r="H39" s="11" cm="1">
        <f t="array" ref="H39">IFERROR(INDEX('Master Data Sheet'!$1:$1048576, MATCH(1, ('Master Data Sheet'!$H:$H=H$2) * (INDEX('Master Data Sheet'!$1:$1, , MATCH($F$1, 'Master Data Sheet'!$1:$1, 0)) = $F$1) * ('Master Data Sheet'!$G:$G=$B39) * ('Master Data Sheet'!$F:$F=$E39) * ('Master Data Sheet'!$A:$A=$F39), 0), MATCH($F$1, 'Master Data Sheet'!$1:$1, 0)), "")</f>
        <v>123.50867375489648</v>
      </c>
      <c r="I39" s="11" cm="1">
        <f t="array" ref="I39">IFERROR(INDEX('Master Data Sheet'!$1:$1048576, MATCH(1, ('Master Data Sheet'!$H:$H=I$2) * (INDEX('Master Data Sheet'!$1:$1, , MATCH($F$1, 'Master Data Sheet'!$1:$1, 0)) = $F$1) * ('Master Data Sheet'!$G:$G=$B39) * ('Master Data Sheet'!$F:$F=$E39) * ('Master Data Sheet'!$A:$A=$F39), 0), MATCH($F$1, 'Master Data Sheet'!$1:$1, 0)), "")</f>
        <v>127.06771124790151</v>
      </c>
      <c r="J39" s="11" cm="1">
        <f t="array" ref="J39">IFERROR(INDEX('Master Data Sheet'!$1:$1048576, MATCH(1, ('Master Data Sheet'!$H:$H=J$2) * (INDEX('Master Data Sheet'!$1:$1, , MATCH($F$1, 'Master Data Sheet'!$1:$1, 0)) = $F$1) * ('Master Data Sheet'!$G:$G=$B39) * ('Master Data Sheet'!$F:$F=$E39) * ('Master Data Sheet'!$A:$A=$F39), 0), MATCH($F$1, 'Master Data Sheet'!$1:$1, 0)), "")</f>
        <v>125.45607162842754</v>
      </c>
      <c r="K39" s="11" cm="1">
        <f t="array" ref="K39">IFERROR(INDEX('Master Data Sheet'!$1:$1048576, MATCH(1, ('Master Data Sheet'!$H:$H=K$2) * (INDEX('Master Data Sheet'!$1:$1, , MATCH($F$1, 'Master Data Sheet'!$1:$1, 0)) = $F$1) * ('Master Data Sheet'!$G:$G=$B39) * ('Master Data Sheet'!$F:$F=$E39) * ('Master Data Sheet'!$A:$A=$F39), 0), MATCH($F$1, 'Master Data Sheet'!$1:$1, 0)), "")</f>
        <v>121.9641857862339</v>
      </c>
      <c r="L39" s="11" cm="1">
        <f t="array" ref="L39">IFERROR(INDEX('Master Data Sheet'!$1:$1048576, MATCH(1, ('Master Data Sheet'!$H:$H=L$2) * (INDEX('Master Data Sheet'!$1:$1, , MATCH($F$1, 'Master Data Sheet'!$1:$1, 0)) = $F$1) * ('Master Data Sheet'!$G:$G=$B39) * ('Master Data Sheet'!$F:$F=$E39) * ('Master Data Sheet'!$A:$A=$F39), 0), MATCH($F$1, 'Master Data Sheet'!$1:$1, 0)), "")</f>
        <v>126.14437604924456</v>
      </c>
      <c r="M39" s="11" cm="1">
        <f t="array" ref="M39">IFERROR(INDEX('Master Data Sheet'!$1:$1048576, MATCH(1, ('Master Data Sheet'!$H:$H=M$2) * (INDEX('Master Data Sheet'!$1:$1, , MATCH($F$1, 'Master Data Sheet'!$1:$1, 0)) = $F$1) * ('Master Data Sheet'!$G:$G=$B39) * ('Master Data Sheet'!$F:$F=$E39) * ('Master Data Sheet'!$A:$A=$F39), 0), MATCH($F$1, 'Master Data Sheet'!$1:$1, 0)), "")</f>
        <v>118.8752098489088</v>
      </c>
      <c r="N39" s="11" cm="1">
        <f t="array" ref="N39">IFERROR(INDEX('Master Data Sheet'!$1:$1048576, MATCH(1, ('Master Data Sheet'!$H:$H=N$2) * (INDEX('Master Data Sheet'!$1:$1, , MATCH($F$1, 'Master Data Sheet'!$1:$1, 0)) = $F$1) * ('Master Data Sheet'!$G:$G=$B39) * ('Master Data Sheet'!$F:$F=$E39) * ('Master Data Sheet'!$A:$A=$F39), 0), MATCH($F$1, 'Master Data Sheet'!$1:$1, 0)), "")</f>
        <v>120.35254616675992</v>
      </c>
      <c r="O39" s="11">
        <f t="shared" si="8"/>
        <v>123.33839635462466</v>
      </c>
      <c r="P39" s="11">
        <f t="shared" si="4"/>
        <v>3.0827110469414221</v>
      </c>
      <c r="Q39" s="11">
        <f>AVERAGE(O39:O41)</f>
        <v>109.96162762810776</v>
      </c>
      <c r="S39" s="11">
        <f>AVERAGE(O39:O41)</f>
        <v>109.96162762810776</v>
      </c>
      <c r="T39" s="11">
        <f>AVERAGE(P39:P41)</f>
        <v>7.7968611603276914</v>
      </c>
      <c r="V39" s="47">
        <f>AVERAGE(U42, U45)</f>
        <v>9.4303203902552202</v>
      </c>
      <c r="X39" t="s">
        <v>343</v>
      </c>
    </row>
    <row r="40" spans="1:45" x14ac:dyDescent="0.35">
      <c r="A40" s="41">
        <f>IFERROR(INDEX('Date Key'!$B$2:$B$19, MATCH(F40,'Date Key'!$A$2:$A$19, 0)), "")</f>
        <v>45322</v>
      </c>
      <c r="B40" s="4">
        <f t="shared" si="15"/>
        <v>5</v>
      </c>
      <c r="C40" s="26" t="str">
        <f>IFERROR(INDEX('Date Key'!$G$57:$G$62, MATCH(B40,'Date Key'!$A$57:$A$62, 0)), "")</f>
        <v>High HLR, Lower Outlet Height, Yes Plants</v>
      </c>
      <c r="D40" s="4" t="str">
        <f>IFERROR(INDEX('Date Key'!$G$2:$G$19, MATCH(F40, 'Date Key'!$A$2:$A$19, 0)), "")</f>
        <v>No</v>
      </c>
      <c r="E40" s="4" t="str">
        <f t="shared" si="1"/>
        <v>in</v>
      </c>
      <c r="F40" s="4">
        <f t="shared" si="2"/>
        <v>14</v>
      </c>
      <c r="G40" s="4">
        <f t="shared" si="22"/>
        <v>2</v>
      </c>
      <c r="H40" s="11" cm="1">
        <f t="array" ref="H40">IFERROR(INDEX('Master Data Sheet'!$1:$1048576, MATCH(1, ('Master Data Sheet'!$H:$H=H$2) * (INDEX('Master Data Sheet'!$1:$1, , MATCH($F$1, 'Master Data Sheet'!$1:$1, 0)) = $F$1) * ('Master Data Sheet'!$G:$G=$B40) * ('Master Data Sheet'!$F:$F=$E40) * ('Master Data Sheet'!$A:$A=$F40), 0), MATCH($F$1, 'Master Data Sheet'!$1:$1, 0)), "")</f>
        <v>96.026860660324573</v>
      </c>
      <c r="I40" s="11" cm="1">
        <f t="array" ref="I40">IFERROR(INDEX('Master Data Sheet'!$1:$1048576, MATCH(1, ('Master Data Sheet'!$H:$H=I$2) * (INDEX('Master Data Sheet'!$1:$1, , MATCH($F$1, 'Master Data Sheet'!$1:$1, 0)) = $F$1) * ('Master Data Sheet'!$G:$G=$B40) * ('Master Data Sheet'!$F:$F=$E40) * ('Master Data Sheet'!$A:$A=$F40), 0), MATCH($F$1, 'Master Data Sheet'!$1:$1, 0)), "")</f>
        <v>102.08729714605485</v>
      </c>
      <c r="J40" s="11" cm="1">
        <f t="array" ref="J40">IFERROR(INDEX('Master Data Sheet'!$1:$1048576, MATCH(1, ('Master Data Sheet'!$H:$H=J$2) * (INDEX('Master Data Sheet'!$1:$1, , MATCH($F$1, 'Master Data Sheet'!$1:$1, 0)) = $F$1) * ('Master Data Sheet'!$G:$G=$B40) * ('Master Data Sheet'!$F:$F=$E40) * ('Master Data Sheet'!$A:$A=$F40), 0), MATCH($F$1, 'Master Data Sheet'!$1:$1, 0)), "")</f>
        <v>100.24062674874091</v>
      </c>
      <c r="K40" s="11" cm="1">
        <f t="array" ref="K40">IFERROR(INDEX('Master Data Sheet'!$1:$1048576, MATCH(1, ('Master Data Sheet'!$H:$H=K$2) * (INDEX('Master Data Sheet'!$1:$1, , MATCH($F$1, 'Master Data Sheet'!$1:$1, 0)) = $F$1) * ('Master Data Sheet'!$G:$G=$B40) * ('Master Data Sheet'!$F:$F=$E40) * ('Master Data Sheet'!$A:$A=$F40), 0), MATCH($F$1, 'Master Data Sheet'!$1:$1, 0)), "")</f>
        <v>99.770565193061003</v>
      </c>
      <c r="L40" s="11" cm="1">
        <f t="array" ref="L40">IFERROR(INDEX('Master Data Sheet'!$1:$1048576, MATCH(1, ('Master Data Sheet'!$H:$H=L$2) * (INDEX('Master Data Sheet'!$1:$1, , MATCH($F$1, 'Master Data Sheet'!$1:$1, 0)) = $F$1) * ('Master Data Sheet'!$G:$G=$B40) * ('Master Data Sheet'!$F:$F=$E40) * ('Master Data Sheet'!$A:$A=$F40), 0), MATCH($F$1, 'Master Data Sheet'!$1:$1, 0)), "")</f>
        <v>99.451594851706787</v>
      </c>
      <c r="M40" s="11" cm="1">
        <f t="array" ref="M40">IFERROR(INDEX('Master Data Sheet'!$1:$1048576, MATCH(1, ('Master Data Sheet'!$H:$H=M$2) * (INDEX('Master Data Sheet'!$1:$1, , MATCH($F$1, 'Master Data Sheet'!$1:$1, 0)) = $F$1) * ('Master Data Sheet'!$G:$G=$B40) * ('Master Data Sheet'!$F:$F=$E40) * ('Master Data Sheet'!$A:$A=$F40), 0), MATCH($F$1, 'Master Data Sheet'!$1:$1, 0)), "")</f>
        <v>101.0800223838836</v>
      </c>
      <c r="N40" s="11" cm="1">
        <f t="array" ref="N40">IFERROR(INDEX('Master Data Sheet'!$1:$1048576, MATCH(1, ('Master Data Sheet'!$H:$H=N$2) * (INDEX('Master Data Sheet'!$1:$1, , MATCH($F$1, 'Master Data Sheet'!$1:$1, 0)) = $F$1) * ('Master Data Sheet'!$G:$G=$B40) * ('Master Data Sheet'!$F:$F=$E40) * ('Master Data Sheet'!$A:$A=$F40), 0), MATCH($F$1, 'Master Data Sheet'!$1:$1, 0)), "")</f>
        <v>106.09960828203694</v>
      </c>
      <c r="O40" s="11">
        <f t="shared" si="8"/>
        <v>100.67951075225837</v>
      </c>
      <c r="P40" s="11">
        <f t="shared" si="4"/>
        <v>3.046677448874004</v>
      </c>
      <c r="Q40" s="11"/>
      <c r="X40" t="str">
        <f>IFERROR(INDEX('Date Key'!$G$57:$G$62, MATCH(B39,'Date Key'!$A$57:$A$62, 0)), "")</f>
        <v>High HLR, Lower Outlet Height, Yes Plants</v>
      </c>
      <c r="Y40" s="1">
        <f t="shared" ref="Y40:AE40" si="44">H39</f>
        <v>123.50867375489648</v>
      </c>
      <c r="Z40" s="1">
        <f t="shared" si="44"/>
        <v>127.06771124790151</v>
      </c>
      <c r="AA40" s="1">
        <f t="shared" si="44"/>
        <v>125.45607162842754</v>
      </c>
      <c r="AB40" s="1">
        <f t="shared" si="44"/>
        <v>121.9641857862339</v>
      </c>
      <c r="AC40" s="1">
        <f t="shared" si="44"/>
        <v>126.14437604924456</v>
      </c>
      <c r="AD40" s="1">
        <f t="shared" si="44"/>
        <v>118.8752098489088</v>
      </c>
      <c r="AE40" s="1">
        <f t="shared" si="44"/>
        <v>120.35254616675992</v>
      </c>
      <c r="AF40" s="1">
        <f t="shared" ref="AF40:AL40" si="45">H40</f>
        <v>96.026860660324573</v>
      </c>
      <c r="AG40" s="1">
        <f t="shared" si="45"/>
        <v>102.08729714605485</v>
      </c>
      <c r="AH40" s="1">
        <f t="shared" si="45"/>
        <v>100.24062674874091</v>
      </c>
      <c r="AI40" s="1">
        <f t="shared" si="45"/>
        <v>99.770565193061003</v>
      </c>
      <c r="AJ40" s="1">
        <f t="shared" si="45"/>
        <v>99.451594851706787</v>
      </c>
      <c r="AK40" s="1">
        <f t="shared" si="45"/>
        <v>101.0800223838836</v>
      </c>
      <c r="AL40" s="1">
        <f t="shared" si="45"/>
        <v>106.09960828203694</v>
      </c>
      <c r="AM40" s="1">
        <f t="shared" ref="AM40:AS40" si="46">H41</f>
        <v>131.96978175713485</v>
      </c>
      <c r="AN40" s="1">
        <f t="shared" si="46"/>
        <v>125.97649692221601</v>
      </c>
      <c r="AO40" s="1">
        <f t="shared" si="46"/>
        <v>107.94627867935087</v>
      </c>
      <c r="AP40" s="1">
        <f t="shared" si="46"/>
        <v>92.283156127588143</v>
      </c>
      <c r="AQ40" s="1">
        <f t="shared" si="46"/>
        <v>92.199216564073865</v>
      </c>
      <c r="AR40" s="1">
        <f t="shared" si="46"/>
        <v>88.102965864577499</v>
      </c>
      <c r="AS40" s="1">
        <f t="shared" si="46"/>
        <v>102.59093452714045</v>
      </c>
    </row>
    <row r="41" spans="1:45" x14ac:dyDescent="0.35">
      <c r="A41" s="41">
        <f>IFERROR(INDEX('Date Key'!$B$2:$B$19, MATCH(F41,'Date Key'!$A$2:$A$19, 0)), "")</f>
        <v>45330</v>
      </c>
      <c r="B41" s="4">
        <f t="shared" si="15"/>
        <v>5</v>
      </c>
      <c r="C41" s="26" t="str">
        <f>IFERROR(INDEX('Date Key'!$G$57:$G$62, MATCH(B41,'Date Key'!$A$57:$A$62, 0)), "")</f>
        <v>High HLR, Lower Outlet Height, Yes Plants</v>
      </c>
      <c r="D41" s="4" t="str">
        <f>IFERROR(INDEX('Date Key'!$G$2:$G$19, MATCH(F41, 'Date Key'!$A$2:$A$19, 0)), "")</f>
        <v>No</v>
      </c>
      <c r="E41" s="4" t="str">
        <f t="shared" si="1"/>
        <v>in</v>
      </c>
      <c r="F41" s="4">
        <f t="shared" si="2"/>
        <v>15</v>
      </c>
      <c r="G41" s="4">
        <f t="shared" si="22"/>
        <v>3</v>
      </c>
      <c r="H41" s="11" cm="1">
        <f t="array" ref="H41">IFERROR(INDEX('Master Data Sheet'!$1:$1048576, MATCH(1, ('Master Data Sheet'!$H:$H=H$2) * (INDEX('Master Data Sheet'!$1:$1, , MATCH($F$1, 'Master Data Sheet'!$1:$1, 0)) = $F$1) * ('Master Data Sheet'!$G:$G=$B41) * ('Master Data Sheet'!$F:$F=$E41) * ('Master Data Sheet'!$A:$A=$F41), 0), MATCH($F$1, 'Master Data Sheet'!$1:$1, 0)), "")</f>
        <v>131.96978175713485</v>
      </c>
      <c r="I41" s="11" cm="1">
        <f t="array" ref="I41">IFERROR(INDEX('Master Data Sheet'!$1:$1048576, MATCH(1, ('Master Data Sheet'!$H:$H=I$2) * (INDEX('Master Data Sheet'!$1:$1, , MATCH($F$1, 'Master Data Sheet'!$1:$1, 0)) = $F$1) * ('Master Data Sheet'!$G:$G=$B41) * ('Master Data Sheet'!$F:$F=$E41) * ('Master Data Sheet'!$A:$A=$F41), 0), MATCH($F$1, 'Master Data Sheet'!$1:$1, 0)), "")</f>
        <v>125.97649692221601</v>
      </c>
      <c r="J41" s="11" cm="1">
        <f t="array" ref="J41">IFERROR(INDEX('Master Data Sheet'!$1:$1048576, MATCH(1, ('Master Data Sheet'!$H:$H=J$2) * (INDEX('Master Data Sheet'!$1:$1, , MATCH($F$1, 'Master Data Sheet'!$1:$1, 0)) = $F$1) * ('Master Data Sheet'!$G:$G=$B41) * ('Master Data Sheet'!$F:$F=$E41) * ('Master Data Sheet'!$A:$A=$F41), 0), MATCH($F$1, 'Master Data Sheet'!$1:$1, 0)), "")</f>
        <v>107.94627867935087</v>
      </c>
      <c r="K41" s="11" cm="1">
        <f t="array" ref="K41">IFERROR(INDEX('Master Data Sheet'!$1:$1048576, MATCH(1, ('Master Data Sheet'!$H:$H=K$2) * (INDEX('Master Data Sheet'!$1:$1, , MATCH($F$1, 'Master Data Sheet'!$1:$1, 0)) = $F$1) * ('Master Data Sheet'!$G:$G=$B41) * ('Master Data Sheet'!$F:$F=$E41) * ('Master Data Sheet'!$A:$A=$F41), 0), MATCH($F$1, 'Master Data Sheet'!$1:$1, 0)), "")</f>
        <v>92.283156127588143</v>
      </c>
      <c r="L41" s="11" cm="1">
        <f t="array" ref="L41">IFERROR(INDEX('Master Data Sheet'!$1:$1048576, MATCH(1, ('Master Data Sheet'!$H:$H=L$2) * (INDEX('Master Data Sheet'!$1:$1, , MATCH($F$1, 'Master Data Sheet'!$1:$1, 0)) = $F$1) * ('Master Data Sheet'!$G:$G=$B41) * ('Master Data Sheet'!$F:$F=$E41) * ('Master Data Sheet'!$A:$A=$F41), 0), MATCH($F$1, 'Master Data Sheet'!$1:$1, 0)), "")</f>
        <v>92.199216564073865</v>
      </c>
      <c r="M41" s="11" cm="1">
        <f t="array" ref="M41">IFERROR(INDEX('Master Data Sheet'!$1:$1048576, MATCH(1, ('Master Data Sheet'!$H:$H=M$2) * (INDEX('Master Data Sheet'!$1:$1, , MATCH($F$1, 'Master Data Sheet'!$1:$1, 0)) = $F$1) * ('Master Data Sheet'!$G:$G=$B41) * ('Master Data Sheet'!$F:$F=$E41) * ('Master Data Sheet'!$A:$A=$F41), 0), MATCH($F$1, 'Master Data Sheet'!$1:$1, 0)), "")</f>
        <v>88.102965864577499</v>
      </c>
      <c r="N41" s="11" cm="1">
        <f t="array" ref="N41">IFERROR(INDEX('Master Data Sheet'!$1:$1048576, MATCH(1, ('Master Data Sheet'!$H:$H=N$2) * (INDEX('Master Data Sheet'!$1:$1, , MATCH($F$1, 'Master Data Sheet'!$1:$1, 0)) = $F$1) * ('Master Data Sheet'!$G:$G=$B41) * ('Master Data Sheet'!$F:$F=$E41) * ('Master Data Sheet'!$A:$A=$F41), 0), MATCH($F$1, 'Master Data Sheet'!$1:$1, 0)), "")</f>
        <v>102.59093452714045</v>
      </c>
      <c r="O41" s="11">
        <f t="shared" si="8"/>
        <v>105.86697577744026</v>
      </c>
      <c r="P41" s="11">
        <f t="shared" si="4"/>
        <v>17.261194985167648</v>
      </c>
      <c r="Q41" s="11"/>
      <c r="Y41" s="1"/>
      <c r="Z41" s="1"/>
      <c r="AA41" s="1"/>
      <c r="AB41" s="1"/>
      <c r="AC41" s="1"/>
      <c r="AD41" s="1"/>
      <c r="AE41" s="1"/>
      <c r="AF41" s="1"/>
      <c r="AG41" s="1"/>
      <c r="AH41" s="1"/>
      <c r="AI41" s="1"/>
      <c r="AJ41" s="1"/>
      <c r="AK41" s="1"/>
      <c r="AL41" s="1"/>
      <c r="AM41" s="1"/>
      <c r="AN41" s="1"/>
      <c r="AO41" s="1"/>
      <c r="AP41" s="1"/>
      <c r="AQ41" s="1"/>
      <c r="AR41" s="1"/>
      <c r="AS41" s="1"/>
    </row>
    <row r="42" spans="1:45" x14ac:dyDescent="0.35">
      <c r="A42" s="41">
        <f>IFERROR(INDEX('Date Key'!$B$2:$B$19, MATCH(F42,'Date Key'!$A$2:$A$19, 0)), "")</f>
        <v>45313</v>
      </c>
      <c r="B42" s="4">
        <f t="shared" si="15"/>
        <v>5</v>
      </c>
      <c r="C42" s="26" t="str">
        <f>IFERROR(INDEX('Date Key'!$G$57:$G$62, MATCH(B42,'Date Key'!$A$57:$A$62, 0)), "")</f>
        <v>High HLR, Lower Outlet Height, Yes Plants</v>
      </c>
      <c r="D42" s="4" t="str">
        <f>IFERROR(INDEX('Date Key'!$G$2:$G$19, MATCH(F42, 'Date Key'!$A$2:$A$19, 0)), "")</f>
        <v>Yes</v>
      </c>
      <c r="E42" s="4" t="str">
        <f t="shared" si="1"/>
        <v>tank 1</v>
      </c>
      <c r="F42" s="4">
        <f t="shared" si="2"/>
        <v>13</v>
      </c>
      <c r="G42" s="4">
        <f t="shared" si="22"/>
        <v>1</v>
      </c>
      <c r="H42" s="11" cm="1">
        <f t="array" ref="H42">IFERROR(INDEX('Master Data Sheet'!$1:$1048576, MATCH(1, ('Master Data Sheet'!$H:$H=H$2) * (INDEX('Master Data Sheet'!$1:$1, , MATCH($F$1, 'Master Data Sheet'!$1:$1, 0)) = $F$1) * ('Master Data Sheet'!$G:$G=$B42) * ('Master Data Sheet'!$F:$F=$E42) * ('Master Data Sheet'!$A:$A=$F42), 0), MATCH($F$1, 'Master Data Sheet'!$1:$1, 0)), "")</f>
        <v>39.65304980414102</v>
      </c>
      <c r="I42" s="11" cm="1">
        <f t="array" ref="I42">IFERROR(INDEX('Master Data Sheet'!$1:$1048576, MATCH(1, ('Master Data Sheet'!$H:$H=I$2) * (INDEX('Master Data Sheet'!$1:$1, , MATCH($F$1, 'Master Data Sheet'!$1:$1, 0)) = $F$1) * ('Master Data Sheet'!$G:$G=$B42) * ('Master Data Sheet'!$F:$F=$E42) * ('Master Data Sheet'!$A:$A=$F42), 0), MATCH($F$1, 'Master Data Sheet'!$1:$1, 0)), "")</f>
        <v>84.862898712926693</v>
      </c>
      <c r="J42" s="11" cm="1">
        <f t="array" ref="J42">IFERROR(INDEX('Master Data Sheet'!$1:$1048576, MATCH(1, ('Master Data Sheet'!$H:$H=J$2) * (INDEX('Master Data Sheet'!$1:$1, , MATCH($F$1, 'Master Data Sheet'!$1:$1, 0)) = $F$1) * ('Master Data Sheet'!$G:$G=$B42) * ('Master Data Sheet'!$F:$F=$E42) * ('Master Data Sheet'!$A:$A=$F42), 0), MATCH($F$1, 'Master Data Sheet'!$1:$1, 0)), "")</f>
        <v>116.1387800783436</v>
      </c>
      <c r="K42" s="11" cm="1">
        <f t="array" ref="K42">IFERROR(INDEX('Master Data Sheet'!$1:$1048576, MATCH(1, ('Master Data Sheet'!$H:$H=K$2) * (INDEX('Master Data Sheet'!$1:$1, , MATCH($F$1, 'Master Data Sheet'!$1:$1, 0)) = $F$1) * ('Master Data Sheet'!$G:$G=$B42) * ('Master Data Sheet'!$F:$F=$E42) * ('Master Data Sheet'!$A:$A=$F42), 0), MATCH($F$1, 'Master Data Sheet'!$1:$1, 0)), "")</f>
        <v>120.47006155567991</v>
      </c>
      <c r="L42" s="11" cm="1">
        <f t="array" ref="L42">IFERROR(INDEX('Master Data Sheet'!$1:$1048576, MATCH(1, ('Master Data Sheet'!$H:$H=L$2) * (INDEX('Master Data Sheet'!$1:$1, , MATCH($F$1, 'Master Data Sheet'!$1:$1, 0)) = $F$1) * ('Master Data Sheet'!$G:$G=$B42) * ('Master Data Sheet'!$F:$F=$E42) * ('Master Data Sheet'!$A:$A=$F42), 0), MATCH($F$1, 'Master Data Sheet'!$1:$1, 0)), "")</f>
        <v>126.1275881365417</v>
      </c>
      <c r="M42" s="11" cm="1">
        <f t="array" ref="M42">IFERROR(INDEX('Master Data Sheet'!$1:$1048576, MATCH(1, ('Master Data Sheet'!$H:$H=M$2) * (INDEX('Master Data Sheet'!$1:$1, , MATCH($F$1, 'Master Data Sheet'!$1:$1, 0)) = $F$1) * ('Master Data Sheet'!$G:$G=$B42) * ('Master Data Sheet'!$F:$F=$E42) * ('Master Data Sheet'!$A:$A=$F42), 0), MATCH($F$1, 'Master Data Sheet'!$1:$1, 0)), "")</f>
        <v>120.83939563514271</v>
      </c>
      <c r="N42" s="11" cm="1">
        <f t="array" ref="N42">IFERROR(INDEX('Master Data Sheet'!$1:$1048576, MATCH(1, ('Master Data Sheet'!$H:$H=N$2) * (INDEX('Master Data Sheet'!$1:$1, , MATCH($F$1, 'Master Data Sheet'!$1:$1, 0)) = $F$1) * ('Master Data Sheet'!$G:$G=$B42) * ('Master Data Sheet'!$F:$F=$E42) * ('Master Data Sheet'!$A:$A=$F42), 0), MATCH($F$1, 'Master Data Sheet'!$1:$1, 0)), "")</f>
        <v>120.35254616675992</v>
      </c>
      <c r="O42" s="11">
        <f t="shared" si="8"/>
        <v>104.06347429850508</v>
      </c>
      <c r="P42" s="11">
        <f t="shared" si="4"/>
        <v>31.532904824288018</v>
      </c>
      <c r="Q42" s="11">
        <f>AVERAGE(O42:O44)</f>
        <v>98.955951714765376</v>
      </c>
      <c r="R42" s="46">
        <f>(1-(O42/O39))*100</f>
        <v>15.627673640818218</v>
      </c>
      <c r="S42" s="46">
        <f>AVERAGE(R42:R44)</f>
        <v>9.6588627938613083</v>
      </c>
      <c r="T42" s="46">
        <f>STDEV(R42:R44)</f>
        <v>5.2374960354841278</v>
      </c>
      <c r="U42" s="47">
        <f>(1-(AVERAGE(H42:N44)/AVERAGE(H39:N41)))*100</f>
        <v>10.00865133659512</v>
      </c>
      <c r="V42" s="47"/>
      <c r="Y42" s="2"/>
      <c r="Z42" s="2"/>
      <c r="AA42" s="2"/>
      <c r="AB42" s="2"/>
      <c r="AC42" s="2"/>
      <c r="AD42" s="2"/>
      <c r="AE42" s="2"/>
      <c r="AF42" s="2"/>
      <c r="AG42" s="2"/>
    </row>
    <row r="43" spans="1:45" x14ac:dyDescent="0.35">
      <c r="A43" s="41">
        <f>IFERROR(INDEX('Date Key'!$B$2:$B$19, MATCH(F43,'Date Key'!$A$2:$A$19, 0)), "")</f>
        <v>45322</v>
      </c>
      <c r="B43" s="4">
        <f t="shared" si="15"/>
        <v>5</v>
      </c>
      <c r="C43" s="26" t="str">
        <f>IFERROR(INDEX('Date Key'!$G$57:$G$62, MATCH(B43,'Date Key'!$A$57:$A$62, 0)), "")</f>
        <v>High HLR, Lower Outlet Height, Yes Plants</v>
      </c>
      <c r="D43" s="4" t="str">
        <f>IFERROR(INDEX('Date Key'!$G$2:$G$19, MATCH(F43, 'Date Key'!$A$2:$A$19, 0)), "")</f>
        <v>No</v>
      </c>
      <c r="E43" s="4" t="str">
        <f t="shared" si="1"/>
        <v>tank 1</v>
      </c>
      <c r="F43" s="4">
        <f t="shared" si="2"/>
        <v>14</v>
      </c>
      <c r="G43" s="4">
        <f t="shared" si="22"/>
        <v>2</v>
      </c>
      <c r="H43" s="11" cm="1">
        <f t="array" ref="H43">IFERROR(INDEX('Master Data Sheet'!$1:$1048576, MATCH(1, ('Master Data Sheet'!$H:$H=H$2) * (INDEX('Master Data Sheet'!$1:$1, , MATCH($F$1, 'Master Data Sheet'!$1:$1, 0)) = $F$1) * ('Master Data Sheet'!$G:$G=$B43) * ('Master Data Sheet'!$F:$F=$E43) * ('Master Data Sheet'!$A:$A=$F43), 0), MATCH($F$1, 'Master Data Sheet'!$1:$1, 0)), "")</f>
        <v>81.052042529378852</v>
      </c>
      <c r="I43" s="11" cm="1">
        <f t="array" ref="I43">IFERROR(INDEX('Master Data Sheet'!$1:$1048576, MATCH(1, ('Master Data Sheet'!$H:$H=I$2) * (INDEX('Master Data Sheet'!$1:$1, , MATCH($F$1, 'Master Data Sheet'!$1:$1, 0)) = $F$1) * ('Master Data Sheet'!$G:$G=$B43) * ('Master Data Sheet'!$F:$F=$E43) * ('Master Data Sheet'!$A:$A=$F43), 0), MATCH($F$1, 'Master Data Sheet'!$1:$1, 0)), "")</f>
        <v>83.100167879127042</v>
      </c>
      <c r="J43" s="11" cm="1">
        <f t="array" ref="J43">IFERROR(INDEX('Master Data Sheet'!$1:$1048576, MATCH(1, ('Master Data Sheet'!$H:$H=J$2) * (INDEX('Master Data Sheet'!$1:$1, , MATCH($F$1, 'Master Data Sheet'!$1:$1, 0)) = $F$1) * ('Master Data Sheet'!$G:$G=$B43) * ('Master Data Sheet'!$F:$F=$E43) * ('Master Data Sheet'!$A:$A=$F43), 0), MATCH($F$1, 'Master Data Sheet'!$1:$1, 0)), "")</f>
        <v>92.887520984890884</v>
      </c>
      <c r="K43" s="11" cm="1">
        <f t="array" ref="K43">IFERROR(INDEX('Master Data Sheet'!$1:$1048576, MATCH(1, ('Master Data Sheet'!$H:$H=K$2) * (INDEX('Master Data Sheet'!$1:$1, , MATCH($F$1, 'Master Data Sheet'!$1:$1, 0)) = $F$1) * ('Master Data Sheet'!$G:$G=$B43) * ('Master Data Sheet'!$F:$F=$E43) * ('Master Data Sheet'!$A:$A=$F43), 0), MATCH($F$1, 'Master Data Sheet'!$1:$1, 0)), "")</f>
        <v>96.983771684387236</v>
      </c>
      <c r="L43" s="11" cm="1">
        <f t="array" ref="L43">IFERROR(INDEX('Master Data Sheet'!$1:$1048576, MATCH(1, ('Master Data Sheet'!$H:$H=L$2) * (INDEX('Master Data Sheet'!$1:$1, , MATCH($F$1, 'Master Data Sheet'!$1:$1, 0)) = $F$1) * ('Master Data Sheet'!$G:$G=$B43) * ('Master Data Sheet'!$F:$F=$E43) * ('Master Data Sheet'!$A:$A=$F43), 0), MATCH($F$1, 'Master Data Sheet'!$1:$1, 0)), "")</f>
        <v>99.283715724678217</v>
      </c>
      <c r="M43" s="11" cm="1">
        <f t="array" ref="M43">IFERROR(INDEX('Master Data Sheet'!$1:$1048576, MATCH(1, ('Master Data Sheet'!$H:$H=M$2) * (INDEX('Master Data Sheet'!$1:$1, , MATCH($F$1, 'Master Data Sheet'!$1:$1, 0)) = $F$1) * ('Master Data Sheet'!$G:$G=$B43) * ('Master Data Sheet'!$F:$F=$E43) * ('Master Data Sheet'!$A:$A=$F43), 0), MATCH($F$1, 'Master Data Sheet'!$1:$1, 0)), "")</f>
        <v>98.763290430889768</v>
      </c>
      <c r="N43" s="11" cm="1">
        <f t="array" ref="N43">IFERROR(INDEX('Master Data Sheet'!$1:$1048576, MATCH(1, ('Master Data Sheet'!$H:$H=N$2) * (INDEX('Master Data Sheet'!$1:$1, , MATCH($F$1, 'Master Data Sheet'!$1:$1, 0)) = $F$1) * ('Master Data Sheet'!$G:$G=$B43) * ('Master Data Sheet'!$F:$F=$E43) * ('Master Data Sheet'!$A:$A=$F43), 0), MATCH($F$1, 'Master Data Sheet'!$1:$1, 0)), "")</f>
        <v>99.703413542249578</v>
      </c>
      <c r="O43" s="11">
        <f t="shared" si="8"/>
        <v>93.110560396514515</v>
      </c>
      <c r="P43" s="11">
        <f t="shared" si="4"/>
        <v>7.8971961259701944</v>
      </c>
      <c r="Q43" s="11"/>
      <c r="R43" s="46">
        <f>(1-(O43/O40))*100</f>
        <v>7.5178656503096626</v>
      </c>
      <c r="X43" t="str">
        <f>IFERROR(INDEX('Date Key'!$G$57:$G$62, MATCH(B42,'Date Key'!$A$57:$A$62, 0)), "")</f>
        <v>High HLR, Lower Outlet Height, Yes Plants</v>
      </c>
      <c r="Y43" s="1">
        <f t="shared" ref="Y43:AE43" si="47">H42</f>
        <v>39.65304980414102</v>
      </c>
      <c r="Z43" s="1">
        <f t="shared" si="47"/>
        <v>84.862898712926693</v>
      </c>
      <c r="AA43" s="1">
        <f t="shared" si="47"/>
        <v>116.1387800783436</v>
      </c>
      <c r="AB43" s="1">
        <f t="shared" si="47"/>
        <v>120.47006155567991</v>
      </c>
      <c r="AC43" s="1">
        <f t="shared" si="47"/>
        <v>126.1275881365417</v>
      </c>
      <c r="AD43" s="1">
        <f t="shared" si="47"/>
        <v>120.83939563514271</v>
      </c>
      <c r="AE43" s="1">
        <f t="shared" si="47"/>
        <v>120.35254616675992</v>
      </c>
      <c r="AF43" s="1">
        <f t="shared" ref="AF43:AL43" si="48">H43</f>
        <v>81.052042529378852</v>
      </c>
      <c r="AG43" s="1">
        <f t="shared" si="48"/>
        <v>83.100167879127042</v>
      </c>
      <c r="AH43" s="1">
        <f t="shared" si="48"/>
        <v>92.887520984890884</v>
      </c>
      <c r="AI43" s="1">
        <f t="shared" si="48"/>
        <v>96.983771684387236</v>
      </c>
      <c r="AJ43" s="1">
        <f t="shared" si="48"/>
        <v>99.283715724678217</v>
      </c>
      <c r="AK43" s="1">
        <f t="shared" si="48"/>
        <v>98.763290430889768</v>
      </c>
      <c r="AL43" s="1">
        <f t="shared" si="48"/>
        <v>99.703413542249578</v>
      </c>
      <c r="AM43" s="1">
        <f t="shared" ref="AM43:AS43" si="49">H44</f>
        <v>75.780637940682723</v>
      </c>
      <c r="AN43" s="1">
        <f t="shared" si="49"/>
        <v>115.60156687185227</v>
      </c>
      <c r="AO43" s="1">
        <f t="shared" si="49"/>
        <v>112.98265249020706</v>
      </c>
      <c r="AP43" s="1">
        <f t="shared" si="49"/>
        <v>115.48405148293229</v>
      </c>
      <c r="AQ43" s="1">
        <f t="shared" si="49"/>
        <v>100.96250699496363</v>
      </c>
      <c r="AR43" s="1">
        <f t="shared" si="49"/>
        <v>90.285394515948525</v>
      </c>
      <c r="AS43" s="1">
        <f t="shared" si="49"/>
        <v>86.759932848349195</v>
      </c>
    </row>
    <row r="44" spans="1:45" x14ac:dyDescent="0.35">
      <c r="A44" s="41">
        <f>IFERROR(INDEX('Date Key'!$B$2:$B$19, MATCH(F44,'Date Key'!$A$2:$A$19, 0)), "")</f>
        <v>45330</v>
      </c>
      <c r="B44" s="4">
        <f t="shared" si="15"/>
        <v>5</v>
      </c>
      <c r="C44" s="26" t="str">
        <f>IFERROR(INDEX('Date Key'!$G$57:$G$62, MATCH(B44,'Date Key'!$A$57:$A$62, 0)), "")</f>
        <v>High HLR, Lower Outlet Height, Yes Plants</v>
      </c>
      <c r="D44" s="4" t="str">
        <f>IFERROR(INDEX('Date Key'!$G$2:$G$19, MATCH(F44, 'Date Key'!$A$2:$A$19, 0)), "")</f>
        <v>No</v>
      </c>
      <c r="E44" s="4" t="str">
        <f t="shared" si="1"/>
        <v>tank 1</v>
      </c>
      <c r="F44" s="4">
        <f t="shared" si="2"/>
        <v>15</v>
      </c>
      <c r="G44" s="4">
        <f t="shared" si="22"/>
        <v>3</v>
      </c>
      <c r="H44" s="11" cm="1">
        <f t="array" ref="H44">IFERROR(INDEX('Master Data Sheet'!$1:$1048576, MATCH(1, ('Master Data Sheet'!$H:$H=H$2) * (INDEX('Master Data Sheet'!$1:$1, , MATCH($F$1, 'Master Data Sheet'!$1:$1, 0)) = $F$1) * ('Master Data Sheet'!$G:$G=$B44) * ('Master Data Sheet'!$F:$F=$E44) * ('Master Data Sheet'!$A:$A=$F44), 0), MATCH($F$1, 'Master Data Sheet'!$1:$1, 0)), "")</f>
        <v>75.780637940682723</v>
      </c>
      <c r="I44" s="11" cm="1">
        <f t="array" ref="I44">IFERROR(INDEX('Master Data Sheet'!$1:$1048576, MATCH(1, ('Master Data Sheet'!$H:$H=I$2) * (INDEX('Master Data Sheet'!$1:$1, , MATCH($F$1, 'Master Data Sheet'!$1:$1, 0)) = $F$1) * ('Master Data Sheet'!$G:$G=$B44) * ('Master Data Sheet'!$F:$F=$E44) * ('Master Data Sheet'!$A:$A=$F44), 0), MATCH($F$1, 'Master Data Sheet'!$1:$1, 0)), "")</f>
        <v>115.60156687185227</v>
      </c>
      <c r="J44" s="11" cm="1">
        <f t="array" ref="J44">IFERROR(INDEX('Master Data Sheet'!$1:$1048576, MATCH(1, ('Master Data Sheet'!$H:$H=J$2) * (INDEX('Master Data Sheet'!$1:$1, , MATCH($F$1, 'Master Data Sheet'!$1:$1, 0)) = $F$1) * ('Master Data Sheet'!$G:$G=$B44) * ('Master Data Sheet'!$F:$F=$E44) * ('Master Data Sheet'!$A:$A=$F44), 0), MATCH($F$1, 'Master Data Sheet'!$1:$1, 0)), "")</f>
        <v>112.98265249020706</v>
      </c>
      <c r="K44" s="11" cm="1">
        <f t="array" ref="K44">IFERROR(INDEX('Master Data Sheet'!$1:$1048576, MATCH(1, ('Master Data Sheet'!$H:$H=K$2) * (INDEX('Master Data Sheet'!$1:$1, , MATCH($F$1, 'Master Data Sheet'!$1:$1, 0)) = $F$1) * ('Master Data Sheet'!$G:$G=$B44) * ('Master Data Sheet'!$F:$F=$E44) * ('Master Data Sheet'!$A:$A=$F44), 0), MATCH($F$1, 'Master Data Sheet'!$1:$1, 0)), "")</f>
        <v>115.48405148293229</v>
      </c>
      <c r="L44" s="11" cm="1">
        <f t="array" ref="L44">IFERROR(INDEX('Master Data Sheet'!$1:$1048576, MATCH(1, ('Master Data Sheet'!$H:$H=L$2) * (INDEX('Master Data Sheet'!$1:$1, , MATCH($F$1, 'Master Data Sheet'!$1:$1, 0)) = $F$1) * ('Master Data Sheet'!$G:$G=$B44) * ('Master Data Sheet'!$F:$F=$E44) * ('Master Data Sheet'!$A:$A=$F44), 0), MATCH($F$1, 'Master Data Sheet'!$1:$1, 0)), "")</f>
        <v>100.96250699496363</v>
      </c>
      <c r="M44" s="11" cm="1">
        <f t="array" ref="M44">IFERROR(INDEX('Master Data Sheet'!$1:$1048576, MATCH(1, ('Master Data Sheet'!$H:$H=M$2) * (INDEX('Master Data Sheet'!$1:$1, , MATCH($F$1, 'Master Data Sheet'!$1:$1, 0)) = $F$1) * ('Master Data Sheet'!$G:$G=$B44) * ('Master Data Sheet'!$F:$F=$E44) * ('Master Data Sheet'!$A:$A=$F44), 0), MATCH($F$1, 'Master Data Sheet'!$1:$1, 0)), "")</f>
        <v>90.285394515948525</v>
      </c>
      <c r="N44" s="11" cm="1">
        <f t="array" ref="N44">IFERROR(INDEX('Master Data Sheet'!$1:$1048576, MATCH(1, ('Master Data Sheet'!$H:$H=N$2) * (INDEX('Master Data Sheet'!$1:$1, , MATCH($F$1, 'Master Data Sheet'!$1:$1, 0)) = $F$1) * ('Master Data Sheet'!$G:$G=$B44) * ('Master Data Sheet'!$F:$F=$E44) * ('Master Data Sheet'!$A:$A=$F44), 0), MATCH($F$1, 'Master Data Sheet'!$1:$1, 0)), "")</f>
        <v>86.759932848349195</v>
      </c>
      <c r="O44" s="11">
        <f t="shared" si="8"/>
        <v>99.693820449276515</v>
      </c>
      <c r="P44" s="11">
        <f t="shared" si="4"/>
        <v>15.854729260855338</v>
      </c>
      <c r="Q44" s="11"/>
      <c r="R44" s="46">
        <f>(1-(O44/O41))*100</f>
        <v>5.8310490904560419</v>
      </c>
      <c r="Y44" s="2"/>
      <c r="Z44" s="2"/>
      <c r="AA44" s="2"/>
      <c r="AB44" s="2"/>
      <c r="AC44" s="2"/>
      <c r="AD44" s="2"/>
      <c r="AE44" s="2"/>
      <c r="AF44" s="2"/>
      <c r="AG44" s="2"/>
    </row>
    <row r="45" spans="1:45" x14ac:dyDescent="0.35">
      <c r="A45" s="41">
        <f>IFERROR(INDEX('Date Key'!$B$2:$B$19, MATCH(F45,'Date Key'!$A$2:$A$19, 0)), "")</f>
        <v>45313</v>
      </c>
      <c r="B45" s="4">
        <f t="shared" si="15"/>
        <v>5</v>
      </c>
      <c r="C45" s="26" t="str">
        <f>IFERROR(INDEX('Date Key'!$G$57:$G$62, MATCH(B45,'Date Key'!$A$57:$A$62, 0)), "")</f>
        <v>High HLR, Lower Outlet Height, Yes Plants</v>
      </c>
      <c r="D45" s="4" t="str">
        <f>IFERROR(INDEX('Date Key'!$G$2:$G$19, MATCH(F45, 'Date Key'!$A$2:$A$19, 0)), "")</f>
        <v>Yes</v>
      </c>
      <c r="E45" s="4" t="str">
        <f t="shared" si="1"/>
        <v>tank 2</v>
      </c>
      <c r="F45" s="4">
        <f t="shared" si="2"/>
        <v>13</v>
      </c>
      <c r="G45" s="4">
        <f t="shared" si="22"/>
        <v>1</v>
      </c>
      <c r="H45" s="11" cm="1">
        <f t="array" ref="H45">IFERROR(INDEX('Master Data Sheet'!$1:$1048576, MATCH(1, ('Master Data Sheet'!$H:$H=H$2) * (INDEX('Master Data Sheet'!$1:$1, , MATCH($F$1, 'Master Data Sheet'!$1:$1, 0)) = $F$1) * ('Master Data Sheet'!$G:$G=$B45) * ('Master Data Sheet'!$F:$F=$E45) * ('Master Data Sheet'!$A:$A=$F45), 0), MATCH($F$1, 'Master Data Sheet'!$1:$1, 0)), "")</f>
        <v>19.222160044767769</v>
      </c>
      <c r="I45" s="11" cm="1">
        <f t="array" ref="I45">IFERROR(INDEX('Master Data Sheet'!$1:$1048576, MATCH(1, ('Master Data Sheet'!$H:$H=I$2) * (INDEX('Master Data Sheet'!$1:$1, , MATCH($F$1, 'Master Data Sheet'!$1:$1, 0)) = $F$1) * ('Master Data Sheet'!$G:$G=$B45) * ('Master Data Sheet'!$F:$F=$E45) * ('Master Data Sheet'!$A:$A=$F45), 0), MATCH($F$1, 'Master Data Sheet'!$1:$1, 0)), "")</f>
        <v>72.255176273083379</v>
      </c>
      <c r="J45" s="11" cm="1">
        <f t="array" ref="J45">IFERROR(INDEX('Master Data Sheet'!$1:$1048576, MATCH(1, ('Master Data Sheet'!$H:$H=J$2) * (INDEX('Master Data Sheet'!$1:$1, , MATCH($F$1, 'Master Data Sheet'!$1:$1, 0)) = $F$1) * ('Master Data Sheet'!$G:$G=$B45) * ('Master Data Sheet'!$F:$F=$E45) * ('Master Data Sheet'!$A:$A=$F45), 0), MATCH($F$1, 'Master Data Sheet'!$1:$1, 0)), "")</f>
        <v>119.71460548405149</v>
      </c>
      <c r="K45" s="11" cm="1">
        <f t="array" ref="K45">IFERROR(INDEX('Master Data Sheet'!$1:$1048576, MATCH(1, ('Master Data Sheet'!$H:$H=K$2) * (INDEX('Master Data Sheet'!$1:$1, , MATCH($F$1, 'Master Data Sheet'!$1:$1, 0)) = $F$1) * ('Master Data Sheet'!$G:$G=$B45) * ('Master Data Sheet'!$F:$F=$E45) * ('Master Data Sheet'!$A:$A=$F45), 0), MATCH($F$1, 'Master Data Sheet'!$1:$1, 0)), "")</f>
        <v>126.88304420817012</v>
      </c>
      <c r="L45" s="11" cm="1">
        <f t="array" ref="L45">IFERROR(INDEX('Master Data Sheet'!$1:$1048576, MATCH(1, ('Master Data Sheet'!$H:$H=L$2) * (INDEX('Master Data Sheet'!$1:$1, , MATCH($F$1, 'Master Data Sheet'!$1:$1, 0)) = $F$1) * ('Master Data Sheet'!$G:$G=$B45) * ('Master Data Sheet'!$F:$F=$E45) * ('Master Data Sheet'!$A:$A=$F45), 0), MATCH($F$1, 'Master Data Sheet'!$1:$1, 0)), "")</f>
        <v>124.33128147733632</v>
      </c>
      <c r="M45" s="11" cm="1">
        <f t="array" ref="M45">IFERROR(INDEX('Master Data Sheet'!$1:$1048576, MATCH(1, ('Master Data Sheet'!$H:$H=M$2) * (INDEX('Master Data Sheet'!$1:$1, , MATCH($F$1, 'Master Data Sheet'!$1:$1, 0)) = $F$1) * ('Master Data Sheet'!$G:$G=$B45) * ('Master Data Sheet'!$F:$F=$E45) * ('Master Data Sheet'!$A:$A=$F45), 0), MATCH($F$1, 'Master Data Sheet'!$1:$1, 0)), "")</f>
        <v>127.08449916060437</v>
      </c>
      <c r="N45" s="11" cm="1">
        <f t="array" ref="N45">IFERROR(INDEX('Master Data Sheet'!$1:$1048576, MATCH(1, ('Master Data Sheet'!$H:$H=N$2) * (INDEX('Master Data Sheet'!$1:$1, , MATCH($F$1, 'Master Data Sheet'!$1:$1, 0)) = $F$1) * ('Master Data Sheet'!$G:$G=$B45) * ('Master Data Sheet'!$F:$F=$E45) * ('Master Data Sheet'!$A:$A=$F45), 0), MATCH($F$1, 'Master Data Sheet'!$1:$1, 0)), "")</f>
        <v>125.77504196978175</v>
      </c>
      <c r="O45" s="11">
        <f t="shared" si="8"/>
        <v>102.18082980254219</v>
      </c>
      <c r="P45" s="11">
        <f t="shared" si="4"/>
        <v>41.558874740183469</v>
      </c>
      <c r="Q45" s="11">
        <f>AVERAGE(N45:N47)</f>
        <v>110.83939563514269</v>
      </c>
      <c r="R45" s="46">
        <f>(1-(O45/O39))*100</f>
        <v>17.154079489772091</v>
      </c>
      <c r="S45" s="46">
        <f>AVERAGE(R45:R47)</f>
        <v>8.4546564002030493</v>
      </c>
      <c r="T45" s="46">
        <f>STDEV(R45:R47)</f>
        <v>11.270187170396003</v>
      </c>
      <c r="U45" s="47">
        <f>(1-(AVERAGE(H45:N47)/AVERAGE(H39:N41)))*100</f>
        <v>8.8519894439153202</v>
      </c>
      <c r="V45" s="47"/>
      <c r="Y45" s="2"/>
      <c r="Z45" s="2"/>
      <c r="AA45" s="2"/>
      <c r="AB45" s="2"/>
      <c r="AC45" s="2"/>
      <c r="AD45" s="2"/>
      <c r="AE45" s="2"/>
      <c r="AF45" s="2"/>
      <c r="AG45" s="2"/>
    </row>
    <row r="46" spans="1:45" x14ac:dyDescent="0.35">
      <c r="A46" s="41">
        <f>IFERROR(INDEX('Date Key'!$B$2:$B$19, MATCH(F46,'Date Key'!$A$2:$A$19, 0)), "")</f>
        <v>45322</v>
      </c>
      <c r="B46" s="4">
        <f t="shared" si="15"/>
        <v>5</v>
      </c>
      <c r="C46" s="26" t="str">
        <f>IFERROR(INDEX('Date Key'!$G$57:$G$62, MATCH(B46,'Date Key'!$A$57:$A$62, 0)), "")</f>
        <v>High HLR, Lower Outlet Height, Yes Plants</v>
      </c>
      <c r="D46" s="4" t="str">
        <f>IFERROR(INDEX('Date Key'!$G$2:$G$19, MATCH(F46, 'Date Key'!$A$2:$A$19, 0)), "")</f>
        <v>No</v>
      </c>
      <c r="E46" s="4" t="str">
        <f t="shared" si="1"/>
        <v>tank 2</v>
      </c>
      <c r="F46" s="4">
        <f t="shared" si="2"/>
        <v>14</v>
      </c>
      <c r="G46" s="4">
        <f t="shared" si="22"/>
        <v>2</v>
      </c>
      <c r="H46" s="11" cm="1">
        <f t="array" ref="H46">IFERROR(INDEX('Master Data Sheet'!$1:$1048576, MATCH(1, ('Master Data Sheet'!$H:$H=H$2) * (INDEX('Master Data Sheet'!$1:$1, , MATCH($F$1, 'Master Data Sheet'!$1:$1, 0)) = $F$1) * ('Master Data Sheet'!$G:$G=$B46) * ('Master Data Sheet'!$F:$F=$E46) * ('Master Data Sheet'!$A:$A=$F46), 0), MATCH($F$1, 'Master Data Sheet'!$1:$1, 0)), "")</f>
        <v>31.82988248461108</v>
      </c>
      <c r="I46" s="11" cm="1">
        <f t="array" ref="I46">IFERROR(INDEX('Master Data Sheet'!$1:$1048576, MATCH(1, ('Master Data Sheet'!$H:$H=I$2) * (INDEX('Master Data Sheet'!$1:$1, , MATCH($F$1, 'Master Data Sheet'!$1:$1, 0)) = $F$1) * ('Master Data Sheet'!$G:$G=$B46) * ('Master Data Sheet'!$F:$F=$E46) * ('Master Data Sheet'!$A:$A=$F46), 0), MATCH($F$1, 'Master Data Sheet'!$1:$1, 0)), "")</f>
        <v>69.820928931169561</v>
      </c>
      <c r="J46" s="11" cm="1">
        <f t="array" ref="J46">IFERROR(INDEX('Master Data Sheet'!$1:$1048576, MATCH(1, ('Master Data Sheet'!$H:$H=J$2) * (INDEX('Master Data Sheet'!$1:$1, , MATCH($F$1, 'Master Data Sheet'!$1:$1, 0)) = $F$1) * ('Master Data Sheet'!$G:$G=$B46) * ('Master Data Sheet'!$F:$F=$E46) * ('Master Data Sheet'!$A:$A=$F46), 0), MATCH($F$1, 'Master Data Sheet'!$1:$1, 0)), "")</f>
        <v>97.974258533855647</v>
      </c>
      <c r="K46" s="11" cm="1">
        <f t="array" ref="K46">IFERROR(INDEX('Master Data Sheet'!$1:$1048576, MATCH(1, ('Master Data Sheet'!$H:$H=K$2) * (INDEX('Master Data Sheet'!$1:$1, , MATCH($F$1, 'Master Data Sheet'!$1:$1, 0)) = $F$1) * ('Master Data Sheet'!$G:$G=$B46) * ('Master Data Sheet'!$F:$F=$E46) * ('Master Data Sheet'!$A:$A=$F46), 0), MATCH($F$1, 'Master Data Sheet'!$1:$1, 0)), "")</f>
        <v>102.85954113038612</v>
      </c>
      <c r="L46" s="11" cm="1">
        <f t="array" ref="L46">IFERROR(INDEX('Master Data Sheet'!$1:$1048576, MATCH(1, ('Master Data Sheet'!$H:$H=L$2) * (INDEX('Master Data Sheet'!$1:$1, , MATCH($F$1, 'Master Data Sheet'!$1:$1, 0)) = $F$1) * ('Master Data Sheet'!$G:$G=$B46) * ('Master Data Sheet'!$F:$F=$E46) * ('Master Data Sheet'!$A:$A=$F46), 0), MATCH($F$1, 'Master Data Sheet'!$1:$1, 0)), "")</f>
        <v>102.6077224398433</v>
      </c>
      <c r="M46" s="11" cm="1">
        <f t="array" ref="M46">IFERROR(INDEX('Master Data Sheet'!$1:$1048576, MATCH(1, ('Master Data Sheet'!$H:$H=M$2) * (INDEX('Master Data Sheet'!$1:$1, , MATCH($F$1, 'Master Data Sheet'!$1:$1, 0)) = $F$1) * ('Master Data Sheet'!$G:$G=$B46) * ('Master Data Sheet'!$F:$F=$E46) * ('Master Data Sheet'!$A:$A=$F46), 0), MATCH($F$1, 'Master Data Sheet'!$1:$1, 0)), "")</f>
        <v>105.99888080581981</v>
      </c>
      <c r="N46" s="11" cm="1">
        <f t="array" ref="N46">IFERROR(INDEX('Master Data Sheet'!$1:$1048576, MATCH(1, ('Master Data Sheet'!$H:$H=N$2) * (INDEX('Master Data Sheet'!$1:$1, , MATCH($F$1, 'Master Data Sheet'!$1:$1, 0)) = $F$1) * ('Master Data Sheet'!$G:$G=$B46) * ('Master Data Sheet'!$F:$F=$E46) * ('Master Data Sheet'!$A:$A=$F46), 0), MATCH($F$1, 'Master Data Sheet'!$1:$1, 0)), "")</f>
        <v>105.66312255176273</v>
      </c>
      <c r="O46" s="11">
        <f t="shared" si="8"/>
        <v>88.10776241106403</v>
      </c>
      <c r="P46" s="11">
        <f t="shared" si="4"/>
        <v>27.854091251805855</v>
      </c>
      <c r="Q46" s="11"/>
      <c r="R46" s="46">
        <f>(1-(O46/O40))*100</f>
        <v>12.486898523106237</v>
      </c>
      <c r="X46" t="str">
        <f>IFERROR(INDEX('Date Key'!$G$57:$G$62, MATCH(B45,'Date Key'!$A$57:$A$62, 0)), "")</f>
        <v>High HLR, Lower Outlet Height, Yes Plants</v>
      </c>
      <c r="Y46" s="1">
        <f t="shared" ref="Y46:AE46" si="50">H45</f>
        <v>19.222160044767769</v>
      </c>
      <c r="Z46" s="1">
        <f t="shared" si="50"/>
        <v>72.255176273083379</v>
      </c>
      <c r="AA46" s="1">
        <f t="shared" si="50"/>
        <v>119.71460548405149</v>
      </c>
      <c r="AB46" s="1">
        <f t="shared" si="50"/>
        <v>126.88304420817012</v>
      </c>
      <c r="AC46" s="1">
        <f t="shared" si="50"/>
        <v>124.33128147733632</v>
      </c>
      <c r="AD46" s="1">
        <f t="shared" si="50"/>
        <v>127.08449916060437</v>
      </c>
      <c r="AE46" s="1">
        <f t="shared" si="50"/>
        <v>125.77504196978175</v>
      </c>
      <c r="AF46" s="1">
        <f t="shared" ref="AF46:AL46" si="51">H46</f>
        <v>31.82988248461108</v>
      </c>
      <c r="AG46" s="1">
        <f t="shared" si="51"/>
        <v>69.820928931169561</v>
      </c>
      <c r="AH46" s="1">
        <f t="shared" si="51"/>
        <v>97.974258533855647</v>
      </c>
      <c r="AI46" s="1">
        <f t="shared" si="51"/>
        <v>102.85954113038612</v>
      </c>
      <c r="AJ46" s="1">
        <f t="shared" si="51"/>
        <v>102.6077224398433</v>
      </c>
      <c r="AK46" s="1">
        <f t="shared" si="51"/>
        <v>105.99888080581981</v>
      </c>
      <c r="AL46" s="1">
        <f t="shared" si="51"/>
        <v>105.66312255176273</v>
      </c>
      <c r="AM46" s="1">
        <f t="shared" ref="AM46:AS46" si="52">H47</f>
        <v>83.687744823726931</v>
      </c>
      <c r="AN46" s="1">
        <f t="shared" si="52"/>
        <v>128.54504756575267</v>
      </c>
      <c r="AO46" s="1">
        <f t="shared" si="52"/>
        <v>136.36821488528258</v>
      </c>
      <c r="AP46" s="1">
        <f t="shared" si="52"/>
        <v>115.50083939563515</v>
      </c>
      <c r="AQ46" s="1">
        <f t="shared" si="52"/>
        <v>106.45215444879686</v>
      </c>
      <c r="AR46" s="1">
        <f t="shared" si="52"/>
        <v>101.13038612199216</v>
      </c>
      <c r="AS46" s="1">
        <f t="shared" si="52"/>
        <v>101.0800223838836</v>
      </c>
    </row>
    <row r="47" spans="1:45" x14ac:dyDescent="0.35">
      <c r="A47" s="42">
        <f>IFERROR(INDEX('Date Key'!$B$2:$B$19, MATCH(F47,'Date Key'!$A$2:$A$19, 0)), "")</f>
        <v>45330</v>
      </c>
      <c r="B47" s="27">
        <f t="shared" si="15"/>
        <v>5</v>
      </c>
      <c r="C47" s="51" t="str">
        <f>IFERROR(INDEX('Date Key'!$G$57:$G$62, MATCH(B47,'Date Key'!$A$57:$A$62, 0)), "")</f>
        <v>High HLR, Lower Outlet Height, Yes Plants</v>
      </c>
      <c r="D47" s="27" t="str">
        <f>IFERROR(INDEX('Date Key'!$G$2:$G$19, MATCH(F47, 'Date Key'!$A$2:$A$19, 0)), "")</f>
        <v>No</v>
      </c>
      <c r="E47" s="27" t="str">
        <f t="shared" si="1"/>
        <v>tank 2</v>
      </c>
      <c r="F47" s="27">
        <f t="shared" si="2"/>
        <v>15</v>
      </c>
      <c r="G47" s="27">
        <f t="shared" si="22"/>
        <v>3</v>
      </c>
      <c r="H47" s="28" cm="1">
        <f t="array" ref="H47">IFERROR(INDEX('Master Data Sheet'!$1:$1048576, MATCH(1, ('Master Data Sheet'!$H:$H=H$2) * (INDEX('Master Data Sheet'!$1:$1, , MATCH($F$1, 'Master Data Sheet'!$1:$1, 0)) = $F$1) * ('Master Data Sheet'!$G:$G=$B47) * ('Master Data Sheet'!$F:$F=$E47) * ('Master Data Sheet'!$A:$A=$F47), 0), MATCH($F$1, 'Master Data Sheet'!$1:$1, 0)), "")</f>
        <v>83.687744823726931</v>
      </c>
      <c r="I47" s="28" cm="1">
        <f t="array" ref="I47">IFERROR(INDEX('Master Data Sheet'!$1:$1048576, MATCH(1, ('Master Data Sheet'!$H:$H=I$2) * (INDEX('Master Data Sheet'!$1:$1, , MATCH($F$1, 'Master Data Sheet'!$1:$1, 0)) = $F$1) * ('Master Data Sheet'!$G:$G=$B47) * ('Master Data Sheet'!$F:$F=$E47) * ('Master Data Sheet'!$A:$A=$F47), 0), MATCH($F$1, 'Master Data Sheet'!$1:$1, 0)), "")</f>
        <v>128.54504756575267</v>
      </c>
      <c r="J47" s="28" cm="1">
        <f t="array" ref="J47">IFERROR(INDEX('Master Data Sheet'!$1:$1048576, MATCH(1, ('Master Data Sheet'!$H:$H=J$2) * (INDEX('Master Data Sheet'!$1:$1, , MATCH($F$1, 'Master Data Sheet'!$1:$1, 0)) = $F$1) * ('Master Data Sheet'!$G:$G=$B47) * ('Master Data Sheet'!$F:$F=$E47) * ('Master Data Sheet'!$A:$A=$F47), 0), MATCH($F$1, 'Master Data Sheet'!$1:$1, 0)), "")</f>
        <v>136.36821488528258</v>
      </c>
      <c r="K47" s="28" cm="1">
        <f t="array" ref="K47">IFERROR(INDEX('Master Data Sheet'!$1:$1048576, MATCH(1, ('Master Data Sheet'!$H:$H=K$2) * (INDEX('Master Data Sheet'!$1:$1, , MATCH($F$1, 'Master Data Sheet'!$1:$1, 0)) = $F$1) * ('Master Data Sheet'!$G:$G=$B47) * ('Master Data Sheet'!$F:$F=$E47) * ('Master Data Sheet'!$A:$A=$F47), 0), MATCH($F$1, 'Master Data Sheet'!$1:$1, 0)), "")</f>
        <v>115.50083939563515</v>
      </c>
      <c r="L47" s="28" cm="1">
        <f t="array" ref="L47">IFERROR(INDEX('Master Data Sheet'!$1:$1048576, MATCH(1, ('Master Data Sheet'!$H:$H=L$2) * (INDEX('Master Data Sheet'!$1:$1, , MATCH($F$1, 'Master Data Sheet'!$1:$1, 0)) = $F$1) * ('Master Data Sheet'!$G:$G=$B47) * ('Master Data Sheet'!$F:$F=$E47) * ('Master Data Sheet'!$A:$A=$F47), 0), MATCH($F$1, 'Master Data Sheet'!$1:$1, 0)), "")</f>
        <v>106.45215444879686</v>
      </c>
      <c r="M47" s="28" cm="1">
        <f t="array" ref="M47">IFERROR(INDEX('Master Data Sheet'!$1:$1048576, MATCH(1, ('Master Data Sheet'!$H:$H=M$2) * (INDEX('Master Data Sheet'!$1:$1, , MATCH($F$1, 'Master Data Sheet'!$1:$1, 0)) = $F$1) * ('Master Data Sheet'!$G:$G=$B47) * ('Master Data Sheet'!$F:$F=$E47) * ('Master Data Sheet'!$A:$A=$F47), 0), MATCH($F$1, 'Master Data Sheet'!$1:$1, 0)), "")</f>
        <v>101.13038612199216</v>
      </c>
      <c r="N47" s="28" cm="1">
        <f t="array" ref="N47">IFERROR(INDEX('Master Data Sheet'!$1:$1048576, MATCH(1, ('Master Data Sheet'!$H:$H=N$2) * (INDEX('Master Data Sheet'!$1:$1, , MATCH($F$1, 'Master Data Sheet'!$1:$1, 0)) = $F$1) * ('Master Data Sheet'!$G:$G=$B47) * ('Master Data Sheet'!$F:$F=$E47) * ('Master Data Sheet'!$A:$A=$F47), 0), MATCH($F$1, 'Master Data Sheet'!$1:$1, 0)), "")</f>
        <v>101.0800223838836</v>
      </c>
      <c r="O47" s="28">
        <f t="shared" si="8"/>
        <v>110.39491566072427</v>
      </c>
      <c r="P47" s="28">
        <f t="shared" si="4"/>
        <v>17.942162181060759</v>
      </c>
      <c r="Q47" s="28"/>
      <c r="R47" s="48">
        <f>(1-(O47/O41))*100</f>
        <v>-4.2770088122691785</v>
      </c>
      <c r="S47" s="27"/>
      <c r="T47" s="27"/>
      <c r="U47" s="27"/>
      <c r="V47" s="27"/>
    </row>
    <row r="48" spans="1:45" x14ac:dyDescent="0.35">
      <c r="A48" s="41">
        <f>IFERROR(INDEX('Date Key'!$B$2:$B$19, MATCH(F48,'Date Key'!$A$2:$A$19, 0)), "")</f>
        <v>45371</v>
      </c>
      <c r="B48" s="4">
        <f t="shared" si="15"/>
        <v>6</v>
      </c>
      <c r="C48" s="26" t="str">
        <f>IFERROR(INDEX('Date Key'!$G$57:$G$62, MATCH(B48,'Date Key'!$A$57:$A$62, 0)), "")</f>
        <v>Medium HLR, Upper Outlet Height, Yes Plants</v>
      </c>
      <c r="D48" s="4" t="str">
        <f>IFERROR(INDEX('Date Key'!$G$2:$G$19, MATCH(F48, 'Date Key'!$A$2:$A$19, 0)), "")</f>
        <v>No</v>
      </c>
      <c r="E48" s="4" t="str">
        <f t="shared" si="1"/>
        <v>in</v>
      </c>
      <c r="F48" s="4">
        <f t="shared" si="2"/>
        <v>16</v>
      </c>
      <c r="G48" s="4">
        <f t="shared" si="22"/>
        <v>1</v>
      </c>
      <c r="H48" s="11" cm="1">
        <f t="array" ref="H48">IFERROR(INDEX('Master Data Sheet'!$1:$1048576, MATCH(1, ('Master Data Sheet'!$H:$H=H$2) * (INDEX('Master Data Sheet'!$1:$1, , MATCH($F$1, 'Master Data Sheet'!$1:$1, 0)) = $F$1) * ('Master Data Sheet'!$G:$G=$B48) * ('Master Data Sheet'!$F:$F=$E48) * ('Master Data Sheet'!$A:$A=$F48), 0), MATCH($F$1, 'Master Data Sheet'!$1:$1, 0)), "")</f>
        <v>141.52210408505874</v>
      </c>
      <c r="I48" s="11" cm="1">
        <f t="array" ref="I48">IFERROR(INDEX('Master Data Sheet'!$1:$1048576, MATCH(1, ('Master Data Sheet'!$H:$H=I$2) * (INDEX('Master Data Sheet'!$1:$1, , MATCH($F$1, 'Master Data Sheet'!$1:$1, 0)) = $F$1) * ('Master Data Sheet'!$G:$G=$B48) * ('Master Data Sheet'!$F:$F=$E48) * ('Master Data Sheet'!$A:$A=$F48), 0), MATCH($F$1, 'Master Data Sheet'!$1:$1, 0)), "")</f>
        <v>125.54001119194179</v>
      </c>
      <c r="J48" s="11" cm="1">
        <f t="array" ref="J48">IFERROR(INDEX('Master Data Sheet'!$1:$1048576, MATCH(1, ('Master Data Sheet'!$H:$H=J$2) * (INDEX('Master Data Sheet'!$1:$1, , MATCH($F$1, 'Master Data Sheet'!$1:$1, 0)) = $F$1) * ('Master Data Sheet'!$G:$G=$B48) * ('Master Data Sheet'!$F:$F=$E48) * ('Master Data Sheet'!$A:$A=$F48), 0), MATCH($F$1, 'Master Data Sheet'!$1:$1, 0)), "")</f>
        <v>109.42361499720201</v>
      </c>
      <c r="K48" s="11" cm="1">
        <f t="array" ref="K48">IFERROR(INDEX('Master Data Sheet'!$1:$1048576, MATCH(1, ('Master Data Sheet'!$H:$H=K$2) * (INDEX('Master Data Sheet'!$1:$1, , MATCH($F$1, 'Master Data Sheet'!$1:$1, 0)) = $F$1) * ('Master Data Sheet'!$G:$G=$B48) * ('Master Data Sheet'!$F:$F=$E48) * ('Master Data Sheet'!$A:$A=$F48), 0), MATCH($F$1, 'Master Data Sheet'!$1:$1, 0)), "")</f>
        <v>109.1382204812535</v>
      </c>
      <c r="L48" s="11" cm="1">
        <f t="array" ref="L48">IFERROR(INDEX('Master Data Sheet'!$1:$1048576, MATCH(1, ('Master Data Sheet'!$H:$H=L$2) * (INDEX('Master Data Sheet'!$1:$1, , MATCH($F$1, 'Master Data Sheet'!$1:$1, 0)) = $F$1) * ('Master Data Sheet'!$G:$G=$B48) * ('Master Data Sheet'!$F:$F=$E48) * ('Master Data Sheet'!$A:$A=$F48), 0), MATCH($F$1, 'Master Data Sheet'!$1:$1, 0)), "")</f>
        <v>110.73307218802462</v>
      </c>
      <c r="M48" s="11" cm="1">
        <f t="array" ref="M48">IFERROR(INDEX('Master Data Sheet'!$1:$1048576, MATCH(1, ('Master Data Sheet'!$H:$H=M$2) * (INDEX('Master Data Sheet'!$1:$1, , MATCH($F$1, 'Master Data Sheet'!$1:$1, 0)) = $F$1) * ('Master Data Sheet'!$G:$G=$B48) * ('Master Data Sheet'!$F:$F=$E48) * ('Master Data Sheet'!$A:$A=$F48), 0), MATCH($F$1, 'Master Data Sheet'!$1:$1, 0)), "")</f>
        <v>110.43088975937326</v>
      </c>
      <c r="N48" s="11" cm="1">
        <f t="array" ref="N48">IFERROR(INDEX('Master Data Sheet'!$1:$1048576, MATCH(1, ('Master Data Sheet'!$H:$H=N$2) * (INDEX('Master Data Sheet'!$1:$1, , MATCH($F$1, 'Master Data Sheet'!$1:$1, 0)) = $F$1) * ('Master Data Sheet'!$G:$G=$B48) * ('Master Data Sheet'!$F:$F=$E48) * ('Master Data Sheet'!$A:$A=$F48), 0), MATCH($F$1, 'Master Data Sheet'!$1:$1, 0)), "")</f>
        <v>116.47453833240067</v>
      </c>
      <c r="O48" s="11">
        <f t="shared" si="8"/>
        <v>117.60892157646494</v>
      </c>
      <c r="P48" s="11">
        <f t="shared" si="4"/>
        <v>12.066363522502627</v>
      </c>
      <c r="Q48" s="11">
        <f>AVERAGE(O48:O50)</f>
        <v>124.45747989598254</v>
      </c>
      <c r="S48" s="11">
        <f>AVERAGE(O48:O50)</f>
        <v>124.45747989598254</v>
      </c>
      <c r="T48" s="11">
        <f>AVERAGE(P48:P50)</f>
        <v>8.3494216664464869</v>
      </c>
      <c r="V48" s="47">
        <f>AVERAGE(U51, U54)</f>
        <v>52.65803751968636</v>
      </c>
      <c r="X48" t="s">
        <v>343</v>
      </c>
    </row>
    <row r="49" spans="1:46" x14ac:dyDescent="0.35">
      <c r="A49" s="41">
        <f>IFERROR(INDEX('Date Key'!$B$2:$B$19, MATCH(F49,'Date Key'!$A$2:$A$19, 0)), "")</f>
        <v>45392</v>
      </c>
      <c r="B49" s="4">
        <f t="shared" si="15"/>
        <v>6</v>
      </c>
      <c r="C49" s="26" t="str">
        <f>IFERROR(INDEX('Date Key'!$G$57:$G$62, MATCH(B49,'Date Key'!$A$57:$A$62, 0)), "")</f>
        <v>Medium HLR, Upper Outlet Height, Yes Plants</v>
      </c>
      <c r="D49" s="4" t="str">
        <f>IFERROR(INDEX('Date Key'!$G$2:$G$19, MATCH(F49, 'Date Key'!$A$2:$A$19, 0)), "")</f>
        <v>No</v>
      </c>
      <c r="E49" s="4" t="str">
        <f t="shared" si="1"/>
        <v>in</v>
      </c>
      <c r="F49" s="4">
        <f t="shared" si="2"/>
        <v>17</v>
      </c>
      <c r="G49" s="4">
        <f t="shared" si="22"/>
        <v>2</v>
      </c>
      <c r="H49" s="11" cm="1">
        <f t="array" ref="H49">IFERROR(INDEX('Master Data Sheet'!$1:$1048576, MATCH(1, ('Master Data Sheet'!$H:$H=H$2) * (INDEX('Master Data Sheet'!$1:$1, , MATCH($F$1, 'Master Data Sheet'!$1:$1, 0)) = $F$1) * ('Master Data Sheet'!$G:$G=$B49) * ('Master Data Sheet'!$F:$F=$E49) * ('Master Data Sheet'!$A:$A=$F49), 0), MATCH($F$1, 'Master Data Sheet'!$1:$1, 0)), "")</f>
        <v>138.66815892557361</v>
      </c>
      <c r="I49" s="11" cm="1">
        <f t="array" ref="I49">IFERROR(INDEX('Master Data Sheet'!$1:$1048576, MATCH(1, ('Master Data Sheet'!$H:$H=I$2) * (INDEX('Master Data Sheet'!$1:$1, , MATCH($F$1, 'Master Data Sheet'!$1:$1, 0)) = $F$1) * ('Master Data Sheet'!$G:$G=$B49) * ('Master Data Sheet'!$F:$F=$E49) * ('Master Data Sheet'!$A:$A=$F49), 0), MATCH($F$1, 'Master Data Sheet'!$1:$1, 0)), "")</f>
        <v>126.93340794627868</v>
      </c>
      <c r="J49" s="11" cm="1">
        <f t="array" ref="J49">IFERROR(INDEX('Master Data Sheet'!$1:$1048576, MATCH(1, ('Master Data Sheet'!$H:$H=J$2) * (INDEX('Master Data Sheet'!$1:$1, , MATCH($F$1, 'Master Data Sheet'!$1:$1, 0)) = $F$1) * ('Master Data Sheet'!$G:$G=$B49) * ('Master Data Sheet'!$F:$F=$E49) * ('Master Data Sheet'!$A:$A=$F49), 0), MATCH($F$1, 'Master Data Sheet'!$1:$1, 0)), "")</f>
        <v>109.97761611639619</v>
      </c>
      <c r="K49" s="11" cm="1">
        <f t="array" ref="K49">IFERROR(INDEX('Master Data Sheet'!$1:$1048576, MATCH(1, ('Master Data Sheet'!$H:$H=K$2) * (INDEX('Master Data Sheet'!$1:$1, , MATCH($F$1, 'Master Data Sheet'!$1:$1, 0)) = $F$1) * ('Master Data Sheet'!$G:$G=$B49) * ('Master Data Sheet'!$F:$F=$E49) * ('Master Data Sheet'!$A:$A=$F49), 0), MATCH($F$1, 'Master Data Sheet'!$1:$1, 0)), "")</f>
        <v>112.61331841074428</v>
      </c>
      <c r="L49" s="11" cm="1">
        <f t="array" ref="L49">IFERROR(INDEX('Master Data Sheet'!$1:$1048576, MATCH(1, ('Master Data Sheet'!$H:$H=L$2) * (INDEX('Master Data Sheet'!$1:$1, , MATCH($F$1, 'Master Data Sheet'!$1:$1, 0)) = $F$1) * ('Master Data Sheet'!$G:$G=$B49) * ('Master Data Sheet'!$F:$F=$E49) * ('Master Data Sheet'!$A:$A=$F49), 0), MATCH($F$1, 'Master Data Sheet'!$1:$1, 0)), "")</f>
        <v>116.60884163402351</v>
      </c>
      <c r="M49" s="11" cm="1">
        <f t="array" ref="M49">IFERROR(INDEX('Master Data Sheet'!$1:$1048576, MATCH(1, ('Master Data Sheet'!$H:$H=M$2) * (INDEX('Master Data Sheet'!$1:$1, , MATCH($F$1, 'Master Data Sheet'!$1:$1, 0)) = $F$1) * ('Master Data Sheet'!$G:$G=$B49) * ('Master Data Sheet'!$F:$F=$E49) * ('Master Data Sheet'!$A:$A=$F49), 0), MATCH($F$1, 'Master Data Sheet'!$1:$1, 0)), "")</f>
        <v>116.67599328483493</v>
      </c>
      <c r="N49" s="11" cm="1">
        <f t="array" ref="N49">IFERROR(INDEX('Master Data Sheet'!$1:$1048576, MATCH(1, ('Master Data Sheet'!$H:$H=N$2) * (INDEX('Master Data Sheet'!$1:$1, , MATCH($F$1, 'Master Data Sheet'!$1:$1, 0)) = $F$1) * ('Master Data Sheet'!$G:$G=$B49) * ('Master Data Sheet'!$F:$F=$E49) * ('Master Data Sheet'!$A:$A=$F49), 0), MATCH($F$1, 'Master Data Sheet'!$1:$1, 0)), "")</f>
        <v>119.02630106323447</v>
      </c>
      <c r="O49" s="11">
        <f t="shared" si="8"/>
        <v>120.07194819729794</v>
      </c>
      <c r="P49" s="11">
        <f t="shared" si="4"/>
        <v>9.7898278547578563</v>
      </c>
      <c r="Q49" s="11"/>
      <c r="X49" t="str">
        <f>IFERROR(INDEX('Date Key'!$G$57:$G$62, MATCH(B48,'Date Key'!$A$57:$A$62, 0)), "")</f>
        <v>Medium HLR, Upper Outlet Height, Yes Plants</v>
      </c>
      <c r="Y49" s="1">
        <f t="shared" ref="Y49:AE49" si="53">H48</f>
        <v>141.52210408505874</v>
      </c>
      <c r="Z49" s="1">
        <f t="shared" si="53"/>
        <v>125.54001119194179</v>
      </c>
      <c r="AA49" s="1">
        <f t="shared" si="53"/>
        <v>109.42361499720201</v>
      </c>
      <c r="AB49" s="1">
        <f t="shared" si="53"/>
        <v>109.1382204812535</v>
      </c>
      <c r="AC49" s="1">
        <f t="shared" si="53"/>
        <v>110.73307218802462</v>
      </c>
      <c r="AD49" s="1">
        <f t="shared" si="53"/>
        <v>110.43088975937326</v>
      </c>
      <c r="AE49" s="1">
        <f t="shared" si="53"/>
        <v>116.47453833240067</v>
      </c>
      <c r="AF49" s="1">
        <f t="shared" ref="AF49:AL49" si="54">H49</f>
        <v>138.66815892557361</v>
      </c>
      <c r="AG49" s="1">
        <f t="shared" si="54"/>
        <v>126.93340794627868</v>
      </c>
      <c r="AH49" s="1">
        <f t="shared" si="54"/>
        <v>109.97761611639619</v>
      </c>
      <c r="AI49" s="1">
        <f t="shared" si="54"/>
        <v>112.61331841074428</v>
      </c>
      <c r="AJ49" s="1">
        <f t="shared" si="54"/>
        <v>116.60884163402351</v>
      </c>
      <c r="AK49" s="1">
        <f t="shared" si="54"/>
        <v>116.67599328483493</v>
      </c>
      <c r="AL49" s="1">
        <f t="shared" si="54"/>
        <v>119.02630106323447</v>
      </c>
      <c r="AM49" s="1">
        <f t="shared" ref="AM49:AS49" si="55">H50</f>
        <v>138.03886925795052</v>
      </c>
      <c r="AN49" s="1">
        <f t="shared" si="55"/>
        <v>135.31802120141342</v>
      </c>
      <c r="AO49" s="1">
        <f t="shared" si="55"/>
        <v>141.62544169611309</v>
      </c>
      <c r="AP49" s="1">
        <f t="shared" si="55"/>
        <v>132.49116607773851</v>
      </c>
      <c r="AQ49" s="1">
        <f t="shared" si="55"/>
        <v>133.07420494699647</v>
      </c>
      <c r="AR49" s="1">
        <f t="shared" si="55"/>
        <v>135.35335689045934</v>
      </c>
      <c r="AS49" s="1">
        <f t="shared" si="55"/>
        <v>133.93992932862193</v>
      </c>
    </row>
    <row r="50" spans="1:46" x14ac:dyDescent="0.35">
      <c r="A50" s="41">
        <f>IFERROR(INDEX('Date Key'!$B$2:$B$19, MATCH(F50,'Date Key'!$A$2:$A$19, 0)), "")</f>
        <v>45400</v>
      </c>
      <c r="B50" s="4">
        <f t="shared" si="15"/>
        <v>6</v>
      </c>
      <c r="C50" s="26" t="str">
        <f>IFERROR(INDEX('Date Key'!$G$57:$G$62, MATCH(B50,'Date Key'!$A$57:$A$62, 0)), "")</f>
        <v>Medium HLR, Upper Outlet Height, Yes Plants</v>
      </c>
      <c r="D50" s="4" t="str">
        <f>IFERROR(INDEX('Date Key'!$G$2:$G$19, MATCH(F50, 'Date Key'!$A$2:$A$19, 0)), "")</f>
        <v>Yes</v>
      </c>
      <c r="E50" s="4" t="str">
        <f t="shared" si="1"/>
        <v>in</v>
      </c>
      <c r="F50" s="4">
        <f t="shared" si="2"/>
        <v>18</v>
      </c>
      <c r="G50" s="4">
        <f t="shared" si="22"/>
        <v>3</v>
      </c>
      <c r="H50" s="11" cm="1">
        <f t="array" ref="H50">IFERROR(INDEX('Master Data Sheet'!$1:$1048576, MATCH(1, ('Master Data Sheet'!$H:$H=H$2) * (INDEX('Master Data Sheet'!$1:$1, , MATCH($F$1, 'Master Data Sheet'!$1:$1, 0)) = $F$1) * ('Master Data Sheet'!$G:$G=$B50) * ('Master Data Sheet'!$F:$F=$E50) * ('Master Data Sheet'!$A:$A=$F50), 0), MATCH($F$1, 'Master Data Sheet'!$1:$1, 0)), "")</f>
        <v>138.03886925795052</v>
      </c>
      <c r="I50" s="11" cm="1">
        <f t="array" ref="I50">IFERROR(INDEX('Master Data Sheet'!$1:$1048576, MATCH(1, ('Master Data Sheet'!$H:$H=I$2) * (INDEX('Master Data Sheet'!$1:$1, , MATCH($F$1, 'Master Data Sheet'!$1:$1, 0)) = $F$1) * ('Master Data Sheet'!$G:$G=$B50) * ('Master Data Sheet'!$F:$F=$E50) * ('Master Data Sheet'!$A:$A=$F50), 0), MATCH($F$1, 'Master Data Sheet'!$1:$1, 0)), "")</f>
        <v>135.31802120141342</v>
      </c>
      <c r="J50" s="11" cm="1">
        <f t="array" ref="J50">IFERROR(INDEX('Master Data Sheet'!$1:$1048576, MATCH(1, ('Master Data Sheet'!$H:$H=J$2) * (INDEX('Master Data Sheet'!$1:$1, , MATCH($F$1, 'Master Data Sheet'!$1:$1, 0)) = $F$1) * ('Master Data Sheet'!$G:$G=$B50) * ('Master Data Sheet'!$F:$F=$E50) * ('Master Data Sheet'!$A:$A=$F50), 0), MATCH($F$1, 'Master Data Sheet'!$1:$1, 0)), "")</f>
        <v>141.62544169611309</v>
      </c>
      <c r="K50" s="11" cm="1">
        <f t="array" ref="K50">IFERROR(INDEX('Master Data Sheet'!$1:$1048576, MATCH(1, ('Master Data Sheet'!$H:$H=K$2) * (INDEX('Master Data Sheet'!$1:$1, , MATCH($F$1, 'Master Data Sheet'!$1:$1, 0)) = $F$1) * ('Master Data Sheet'!$G:$G=$B50) * ('Master Data Sheet'!$F:$F=$E50) * ('Master Data Sheet'!$A:$A=$F50), 0), MATCH($F$1, 'Master Data Sheet'!$1:$1, 0)), "")</f>
        <v>132.49116607773851</v>
      </c>
      <c r="L50" s="11" cm="1">
        <f t="array" ref="L50">IFERROR(INDEX('Master Data Sheet'!$1:$1048576, MATCH(1, ('Master Data Sheet'!$H:$H=L$2) * (INDEX('Master Data Sheet'!$1:$1, , MATCH($F$1, 'Master Data Sheet'!$1:$1, 0)) = $F$1) * ('Master Data Sheet'!$G:$G=$B50) * ('Master Data Sheet'!$F:$F=$E50) * ('Master Data Sheet'!$A:$A=$F50), 0), MATCH($F$1, 'Master Data Sheet'!$1:$1, 0)), "")</f>
        <v>133.07420494699647</v>
      </c>
      <c r="M50" s="11" cm="1">
        <f t="array" ref="M50">IFERROR(INDEX('Master Data Sheet'!$1:$1048576, MATCH(1, ('Master Data Sheet'!$H:$H=M$2) * (INDEX('Master Data Sheet'!$1:$1, , MATCH($F$1, 'Master Data Sheet'!$1:$1, 0)) = $F$1) * ('Master Data Sheet'!$G:$G=$B50) * ('Master Data Sheet'!$F:$F=$E50) * ('Master Data Sheet'!$A:$A=$F50), 0), MATCH($F$1, 'Master Data Sheet'!$1:$1, 0)), "")</f>
        <v>135.35335689045934</v>
      </c>
      <c r="N50" s="11" cm="1">
        <f t="array" ref="N50">IFERROR(INDEX('Master Data Sheet'!$1:$1048576, MATCH(1, ('Master Data Sheet'!$H:$H=N$2) * (INDEX('Master Data Sheet'!$1:$1, , MATCH($F$1, 'Master Data Sheet'!$1:$1, 0)) = $F$1) * ('Master Data Sheet'!$G:$G=$B50) * ('Master Data Sheet'!$F:$F=$E50) * ('Master Data Sheet'!$A:$A=$F50), 0), MATCH($F$1, 'Master Data Sheet'!$1:$1, 0)), "")</f>
        <v>133.93992932862193</v>
      </c>
      <c r="O50" s="11">
        <f t="shared" si="8"/>
        <v>135.69156991418475</v>
      </c>
      <c r="P50" s="11">
        <f t="shared" si="4"/>
        <v>3.1920736220789756</v>
      </c>
      <c r="Q50" s="11"/>
      <c r="Y50" s="1"/>
      <c r="Z50" s="1"/>
      <c r="AA50" s="1"/>
      <c r="AB50" s="1"/>
      <c r="AC50" s="1"/>
      <c r="AD50" s="1"/>
      <c r="AE50" s="1"/>
      <c r="AF50" s="1"/>
      <c r="AG50" s="1"/>
      <c r="AH50" s="1"/>
      <c r="AI50" s="1"/>
      <c r="AJ50" s="1"/>
      <c r="AK50" s="1"/>
      <c r="AL50" s="1"/>
      <c r="AM50" s="1"/>
      <c r="AN50" s="1"/>
      <c r="AO50" s="1"/>
      <c r="AP50" s="1"/>
      <c r="AQ50" s="1"/>
      <c r="AR50" s="1"/>
      <c r="AS50" s="1"/>
    </row>
    <row r="51" spans="1:46" x14ac:dyDescent="0.35">
      <c r="A51" s="41">
        <f>IFERROR(INDEX('Date Key'!$B$2:$B$19, MATCH(F51,'Date Key'!$A$2:$A$19, 0)), "")</f>
        <v>45371</v>
      </c>
      <c r="B51" s="4">
        <f t="shared" si="15"/>
        <v>6</v>
      </c>
      <c r="C51" s="26" t="str">
        <f>IFERROR(INDEX('Date Key'!$G$57:$G$62, MATCH(B51,'Date Key'!$A$57:$A$62, 0)), "")</f>
        <v>Medium HLR, Upper Outlet Height, Yes Plants</v>
      </c>
      <c r="D51" s="4" t="str">
        <f>IFERROR(INDEX('Date Key'!$G$2:$G$19, MATCH(F51, 'Date Key'!$A$2:$A$19, 0)), "")</f>
        <v>No</v>
      </c>
      <c r="E51" s="4" t="str">
        <f t="shared" si="1"/>
        <v>tank 1</v>
      </c>
      <c r="F51" s="4">
        <f t="shared" si="2"/>
        <v>16</v>
      </c>
      <c r="G51" s="4">
        <f t="shared" si="22"/>
        <v>1</v>
      </c>
      <c r="H51" s="11" cm="1">
        <f t="array" ref="H51">IFERROR(INDEX('Master Data Sheet'!$1:$1048576, MATCH(1, ('Master Data Sheet'!$H:$H=H$2) * (INDEX('Master Data Sheet'!$1:$1, , MATCH($F$1, 'Master Data Sheet'!$1:$1, 0)) = $F$1) * ('Master Data Sheet'!$G:$G=$B51) * ('Master Data Sheet'!$F:$F=$E51) * ('Master Data Sheet'!$A:$A=$F51), 0), MATCH($F$1, 'Master Data Sheet'!$1:$1, 0)), "")</f>
        <v>18.382764409625072</v>
      </c>
      <c r="I51" s="11" cm="1">
        <f t="array" ref="I51">IFERROR(INDEX('Master Data Sheet'!$1:$1048576, MATCH(1, ('Master Data Sheet'!$H:$H=I$2) * (INDEX('Master Data Sheet'!$1:$1, , MATCH($F$1, 'Master Data Sheet'!$1:$1, 0)) = $F$1) * ('Master Data Sheet'!$G:$G=$B51) * ('Master Data Sheet'!$F:$F=$E51) * ('Master Data Sheet'!$A:$A=$F51), 0), MATCH($F$1, 'Master Data Sheet'!$1:$1, 0)), "")</f>
        <v>15.243424734191384</v>
      </c>
      <c r="J51" s="11" cm="1">
        <f t="array" ref="J51">IFERROR(INDEX('Master Data Sheet'!$1:$1048576, MATCH(1, ('Master Data Sheet'!$H:$H=J$2) * (INDEX('Master Data Sheet'!$1:$1, , MATCH($F$1, 'Master Data Sheet'!$1:$1, 0)) = $F$1) * ('Master Data Sheet'!$G:$G=$B51) * ('Master Data Sheet'!$F:$F=$E51) * ('Master Data Sheet'!$A:$A=$F51), 0), MATCH($F$1, 'Master Data Sheet'!$1:$1, 0)), "")</f>
        <v>17.341913822048124</v>
      </c>
      <c r="K51" s="11" cm="1">
        <f t="array" ref="K51">IFERROR(INDEX('Master Data Sheet'!$1:$1048576, MATCH(1, ('Master Data Sheet'!$H:$H=K$2) * (INDEX('Master Data Sheet'!$1:$1, , MATCH($F$1, 'Master Data Sheet'!$1:$1, 0)) = $F$1) * ('Master Data Sheet'!$G:$G=$B51) * ('Master Data Sheet'!$F:$F=$E51) * ('Master Data Sheet'!$A:$A=$F51), 0), MATCH($F$1, 'Master Data Sheet'!$1:$1, 0)), "")</f>
        <v>20.716284275321769</v>
      </c>
      <c r="L51" s="11" cm="1">
        <f t="array" ref="L51">IFERROR(INDEX('Master Data Sheet'!$1:$1048576, MATCH(1, ('Master Data Sheet'!$H:$H=L$2) * (INDEX('Master Data Sheet'!$1:$1, , MATCH($F$1, 'Master Data Sheet'!$1:$1, 0)) = $F$1) * ('Master Data Sheet'!$G:$G=$B51) * ('Master Data Sheet'!$F:$F=$E51) * ('Master Data Sheet'!$A:$A=$F51), 0), MATCH($F$1, 'Master Data Sheet'!$1:$1, 0)), "")</f>
        <v>33.72691662003357</v>
      </c>
      <c r="M51" s="11" cm="1">
        <f t="array" ref="M51">IFERROR(INDEX('Master Data Sheet'!$1:$1048576, MATCH(1, ('Master Data Sheet'!$H:$H=M$2) * (INDEX('Master Data Sheet'!$1:$1, , MATCH($F$1, 'Master Data Sheet'!$1:$1, 0)) = $F$1) * ('Master Data Sheet'!$G:$G=$B51) * ('Master Data Sheet'!$F:$F=$E51) * ('Master Data Sheet'!$A:$A=$F51), 0), MATCH($F$1, 'Master Data Sheet'!$1:$1, 0)), "")</f>
        <v>54.745383324006724</v>
      </c>
      <c r="N51" s="11" cm="1">
        <f t="array" ref="N51">IFERROR(INDEX('Master Data Sheet'!$1:$1048576, MATCH(1, ('Master Data Sheet'!$H:$H=N$2) * (INDEX('Master Data Sheet'!$1:$1, , MATCH($F$1, 'Master Data Sheet'!$1:$1, 0)) = $F$1) * ('Master Data Sheet'!$G:$G=$B51) * ('Master Data Sheet'!$F:$F=$E51) * ('Master Data Sheet'!$A:$A=$F51), 0), MATCH($F$1, 'Master Data Sheet'!$1:$1, 0)), "")</f>
        <v>66.799104644655856</v>
      </c>
      <c r="O51" s="11">
        <f t="shared" si="8"/>
        <v>32.422255975697503</v>
      </c>
      <c r="P51" s="11">
        <f t="shared" si="4"/>
        <v>20.5688191914901</v>
      </c>
      <c r="Q51" s="11">
        <f>AVERAGE(O51:O53)</f>
        <v>58.145521796744504</v>
      </c>
      <c r="R51" s="46">
        <f>(1-(O51/O48))*100</f>
        <v>72.432145843104465</v>
      </c>
      <c r="S51" s="46">
        <f>AVERAGE(R51:R53)</f>
        <v>54.820940693728595</v>
      </c>
      <c r="T51" s="46">
        <f>STDEV(R51:R53)</f>
        <v>29.4839066072335</v>
      </c>
      <c r="U51" s="47">
        <f>(1-(AVERAGE(H51:N53)/AVERAGE(H48:N50)))*100</f>
        <v>53.280813780464939</v>
      </c>
      <c r="V51" s="47"/>
      <c r="Y51" s="2"/>
      <c r="Z51" s="2"/>
      <c r="AA51" s="2"/>
      <c r="AB51" s="2"/>
      <c r="AC51" s="2"/>
      <c r="AD51" s="2"/>
      <c r="AE51" s="2"/>
      <c r="AF51" s="2"/>
      <c r="AG51" s="2"/>
    </row>
    <row r="52" spans="1:46" x14ac:dyDescent="0.35">
      <c r="A52" s="41">
        <f>IFERROR(INDEX('Date Key'!$B$2:$B$19, MATCH(F52,'Date Key'!$A$2:$A$19, 0)), "")</f>
        <v>45392</v>
      </c>
      <c r="B52" s="4">
        <f t="shared" si="15"/>
        <v>6</v>
      </c>
      <c r="C52" s="26" t="str">
        <f>IFERROR(INDEX('Date Key'!$G$57:$G$62, MATCH(B52,'Date Key'!$A$57:$A$62, 0)), "")</f>
        <v>Medium HLR, Upper Outlet Height, Yes Plants</v>
      </c>
      <c r="D52" s="4" t="str">
        <f>IFERROR(INDEX('Date Key'!$G$2:$G$19, MATCH(F52, 'Date Key'!$A$2:$A$19, 0)), "")</f>
        <v>No</v>
      </c>
      <c r="E52" s="4" t="str">
        <f t="shared" si="1"/>
        <v>tank 1</v>
      </c>
      <c r="F52" s="4">
        <f t="shared" si="2"/>
        <v>17</v>
      </c>
      <c r="G52" s="4">
        <f t="shared" si="22"/>
        <v>2</v>
      </c>
      <c r="H52" s="11" cm="1">
        <f t="array" ref="H52">IFERROR(INDEX('Master Data Sheet'!$1:$1048576, MATCH(1, ('Master Data Sheet'!$H:$H=H$2) * (INDEX('Master Data Sheet'!$1:$1, , MATCH($F$1, 'Master Data Sheet'!$1:$1, 0)) = $F$1) * ('Master Data Sheet'!$G:$G=$B52) * ('Master Data Sheet'!$F:$F=$E52) * ('Master Data Sheet'!$A:$A=$F52), 0), MATCH($F$1, 'Master Data Sheet'!$1:$1, 0)), "")</f>
        <v>5.1538891997761613</v>
      </c>
      <c r="I52" s="11" cm="1">
        <f t="array" ref="I52">IFERROR(INDEX('Master Data Sheet'!$1:$1048576, MATCH(1, ('Master Data Sheet'!$H:$H=I$2) * (INDEX('Master Data Sheet'!$1:$1, , MATCH($F$1, 'Master Data Sheet'!$1:$1, 0)) = $F$1) * ('Master Data Sheet'!$G:$G=$B52) * ('Master Data Sheet'!$F:$F=$E52) * ('Master Data Sheet'!$A:$A=$F52), 0), MATCH($F$1, 'Master Data Sheet'!$1:$1, 0)), "")</f>
        <v>5.3385562395075548</v>
      </c>
      <c r="J52" s="11" cm="1">
        <f t="array" ref="J52">IFERROR(INDEX('Master Data Sheet'!$1:$1048576, MATCH(1, ('Master Data Sheet'!$H:$H=J$2) * (INDEX('Master Data Sheet'!$1:$1, , MATCH($F$1, 'Master Data Sheet'!$1:$1, 0)) = $F$1) * ('Master Data Sheet'!$G:$G=$B52) * ('Master Data Sheet'!$F:$F=$E52) * ('Master Data Sheet'!$A:$A=$F52), 0), MATCH($F$1, 'Master Data Sheet'!$1:$1, 0)), "")</f>
        <v>7.9238947957470618</v>
      </c>
      <c r="K52" s="11" cm="1">
        <f t="array" ref="K52">IFERROR(INDEX('Master Data Sheet'!$1:$1048576, MATCH(1, ('Master Data Sheet'!$H:$H=K$2) * (INDEX('Master Data Sheet'!$1:$1, , MATCH($F$1, 'Master Data Sheet'!$1:$1, 0)) = $F$1) * ('Master Data Sheet'!$G:$G=$B52) * ('Master Data Sheet'!$F:$F=$E52) * ('Master Data Sheet'!$A:$A=$F52), 0), MATCH($F$1, 'Master Data Sheet'!$1:$1, 0)), "")</f>
        <v>11.701175153889199</v>
      </c>
      <c r="L52" s="11" cm="1">
        <f t="array" ref="L52">IFERROR(INDEX('Master Data Sheet'!$1:$1048576, MATCH(1, ('Master Data Sheet'!$H:$H=L$2) * (INDEX('Master Data Sheet'!$1:$1, , MATCH($F$1, 'Master Data Sheet'!$1:$1, 0)) = $F$1) * ('Master Data Sheet'!$G:$G=$B52) * ('Master Data Sheet'!$F:$F=$E52) * ('Master Data Sheet'!$A:$A=$F52), 0), MATCH($F$1, 'Master Data Sheet'!$1:$1, 0)), "")</f>
        <v>49.104644655847785</v>
      </c>
      <c r="M52" s="11" cm="1">
        <f t="array" ref="M52">IFERROR(INDEX('Master Data Sheet'!$1:$1048576, MATCH(1, ('Master Data Sheet'!$H:$H=M$2) * (INDEX('Master Data Sheet'!$1:$1, , MATCH($F$1, 'Master Data Sheet'!$1:$1, 0)) = $F$1) * ('Master Data Sheet'!$G:$G=$B52) * ('Master Data Sheet'!$F:$F=$E52) * ('Master Data Sheet'!$A:$A=$F52), 0), MATCH($F$1, 'Master Data Sheet'!$1:$1, 0)), "")</f>
        <v>73.984331281477338</v>
      </c>
      <c r="N52" s="11" cm="1">
        <f t="array" ref="N52">IFERROR(INDEX('Master Data Sheet'!$1:$1048576, MATCH(1, ('Master Data Sheet'!$H:$H=N$2) * (INDEX('Master Data Sheet'!$1:$1, , MATCH($F$1, 'Master Data Sheet'!$1:$1, 0)) = $F$1) * ('Master Data Sheet'!$G:$G=$B52) * ('Master Data Sheet'!$F:$F=$E52) * ('Master Data Sheet'!$A:$A=$F52), 0), MATCH($F$1, 'Master Data Sheet'!$1:$1, 0)), "")</f>
        <v>88.455512031337435</v>
      </c>
      <c r="O52" s="11">
        <f t="shared" si="8"/>
        <v>34.523143336797503</v>
      </c>
      <c r="P52" s="11">
        <f t="shared" si="4"/>
        <v>35.639775053117972</v>
      </c>
      <c r="Q52" s="11"/>
      <c r="R52" s="46">
        <f>(1-(O52/O49))*100</f>
        <v>71.247952702432798</v>
      </c>
      <c r="X52" t="str">
        <f>IFERROR(INDEX('Date Key'!$G$57:$G$62, MATCH(B51,'Date Key'!$A$57:$A$62, 0)), "")</f>
        <v>Medium HLR, Upper Outlet Height, Yes Plants</v>
      </c>
      <c r="Y52" s="1">
        <f t="shared" ref="Y52:AE52" si="56">H51</f>
        <v>18.382764409625072</v>
      </c>
      <c r="Z52" s="1">
        <f t="shared" si="56"/>
        <v>15.243424734191384</v>
      </c>
      <c r="AA52" s="1">
        <f t="shared" si="56"/>
        <v>17.341913822048124</v>
      </c>
      <c r="AB52" s="1">
        <f t="shared" si="56"/>
        <v>20.716284275321769</v>
      </c>
      <c r="AC52" s="1">
        <f t="shared" si="56"/>
        <v>33.72691662003357</v>
      </c>
      <c r="AD52" s="1">
        <f t="shared" si="56"/>
        <v>54.745383324006724</v>
      </c>
      <c r="AE52" s="1">
        <f t="shared" si="56"/>
        <v>66.799104644655856</v>
      </c>
      <c r="AF52" s="1">
        <f t="shared" ref="AF52:AL52" si="57">H52</f>
        <v>5.1538891997761613</v>
      </c>
      <c r="AG52" s="1">
        <f t="shared" si="57"/>
        <v>5.3385562395075548</v>
      </c>
      <c r="AH52" s="1">
        <f t="shared" si="57"/>
        <v>7.9238947957470618</v>
      </c>
      <c r="AI52" s="1">
        <f t="shared" si="57"/>
        <v>11.701175153889199</v>
      </c>
      <c r="AJ52" s="1">
        <f t="shared" si="57"/>
        <v>49.104644655847785</v>
      </c>
      <c r="AK52" s="1">
        <f t="shared" si="57"/>
        <v>73.984331281477338</v>
      </c>
      <c r="AL52" s="1">
        <f t="shared" si="57"/>
        <v>88.455512031337435</v>
      </c>
      <c r="AM52" s="1">
        <f t="shared" ref="AM52:AS52" si="58">H53</f>
        <v>100.17667844522967</v>
      </c>
      <c r="AN52" s="1">
        <f t="shared" si="58"/>
        <v>101.74911660777386</v>
      </c>
      <c r="AO52" s="1">
        <f t="shared" si="58"/>
        <v>95.954063604240275</v>
      </c>
      <c r="AP52" s="1">
        <f t="shared" si="58"/>
        <v>102.73851590106007</v>
      </c>
      <c r="AQ52" s="1">
        <f t="shared" si="58"/>
        <v>115.03533568904594</v>
      </c>
      <c r="AR52" s="1">
        <f t="shared" si="58"/>
        <v>118.18021201413427</v>
      </c>
      <c r="AS52" s="1">
        <f t="shared" si="58"/>
        <v>118.60424028268551</v>
      </c>
    </row>
    <row r="53" spans="1:46" x14ac:dyDescent="0.35">
      <c r="A53" s="41">
        <f>IFERROR(INDEX('Date Key'!$B$2:$B$19, MATCH(F53,'Date Key'!$A$2:$A$19, 0)), "")</f>
        <v>45400</v>
      </c>
      <c r="B53" s="4">
        <f t="shared" si="15"/>
        <v>6</v>
      </c>
      <c r="C53" s="26" t="str">
        <f>IFERROR(INDEX('Date Key'!$G$57:$G$62, MATCH(B53,'Date Key'!$A$57:$A$62, 0)), "")</f>
        <v>Medium HLR, Upper Outlet Height, Yes Plants</v>
      </c>
      <c r="D53" s="4" t="str">
        <f>IFERROR(INDEX('Date Key'!$G$2:$G$19, MATCH(F53, 'Date Key'!$A$2:$A$19, 0)), "")</f>
        <v>Yes</v>
      </c>
      <c r="E53" s="4" t="str">
        <f t="shared" si="1"/>
        <v>tank 1</v>
      </c>
      <c r="F53" s="4">
        <f t="shared" si="2"/>
        <v>18</v>
      </c>
      <c r="G53" s="4">
        <f t="shared" si="22"/>
        <v>3</v>
      </c>
      <c r="H53" s="11" cm="1">
        <f t="array" ref="H53">IFERROR(INDEX('Master Data Sheet'!$1:$1048576, MATCH(1, ('Master Data Sheet'!$H:$H=H$2) * (INDEX('Master Data Sheet'!$1:$1, , MATCH($F$1, 'Master Data Sheet'!$1:$1, 0)) = $F$1) * ('Master Data Sheet'!$G:$G=$B53) * ('Master Data Sheet'!$F:$F=$E53) * ('Master Data Sheet'!$A:$A=$F53), 0), MATCH($F$1, 'Master Data Sheet'!$1:$1, 0)), "")</f>
        <v>100.17667844522967</v>
      </c>
      <c r="I53" s="11" cm="1">
        <f t="array" ref="I53">IFERROR(INDEX('Master Data Sheet'!$1:$1048576, MATCH(1, ('Master Data Sheet'!$H:$H=I$2) * (INDEX('Master Data Sheet'!$1:$1, , MATCH($F$1, 'Master Data Sheet'!$1:$1, 0)) = $F$1) * ('Master Data Sheet'!$G:$G=$B53) * ('Master Data Sheet'!$F:$F=$E53) * ('Master Data Sheet'!$A:$A=$F53), 0), MATCH($F$1, 'Master Data Sheet'!$1:$1, 0)), "")</f>
        <v>101.74911660777386</v>
      </c>
      <c r="J53" s="11" cm="1">
        <f t="array" ref="J53">IFERROR(INDEX('Master Data Sheet'!$1:$1048576, MATCH(1, ('Master Data Sheet'!$H:$H=J$2) * (INDEX('Master Data Sheet'!$1:$1, , MATCH($F$1, 'Master Data Sheet'!$1:$1, 0)) = $F$1) * ('Master Data Sheet'!$G:$G=$B53) * ('Master Data Sheet'!$F:$F=$E53) * ('Master Data Sheet'!$A:$A=$F53), 0), MATCH($F$1, 'Master Data Sheet'!$1:$1, 0)), "")</f>
        <v>95.954063604240275</v>
      </c>
      <c r="K53" s="11" cm="1">
        <f t="array" ref="K53">IFERROR(INDEX('Master Data Sheet'!$1:$1048576, MATCH(1, ('Master Data Sheet'!$H:$H=K$2) * (INDEX('Master Data Sheet'!$1:$1, , MATCH($F$1, 'Master Data Sheet'!$1:$1, 0)) = $F$1) * ('Master Data Sheet'!$G:$G=$B53) * ('Master Data Sheet'!$F:$F=$E53) * ('Master Data Sheet'!$A:$A=$F53), 0), MATCH($F$1, 'Master Data Sheet'!$1:$1, 0)), "")</f>
        <v>102.73851590106007</v>
      </c>
      <c r="L53" s="11" cm="1">
        <f t="array" ref="L53">IFERROR(INDEX('Master Data Sheet'!$1:$1048576, MATCH(1, ('Master Data Sheet'!$H:$H=L$2) * (INDEX('Master Data Sheet'!$1:$1, , MATCH($F$1, 'Master Data Sheet'!$1:$1, 0)) = $F$1) * ('Master Data Sheet'!$G:$G=$B53) * ('Master Data Sheet'!$F:$F=$E53) * ('Master Data Sheet'!$A:$A=$F53), 0), MATCH($F$1, 'Master Data Sheet'!$1:$1, 0)), "")</f>
        <v>115.03533568904594</v>
      </c>
      <c r="M53" s="11" cm="1">
        <f t="array" ref="M53">IFERROR(INDEX('Master Data Sheet'!$1:$1048576, MATCH(1, ('Master Data Sheet'!$H:$H=M$2) * (INDEX('Master Data Sheet'!$1:$1, , MATCH($F$1, 'Master Data Sheet'!$1:$1, 0)) = $F$1) * ('Master Data Sheet'!$G:$G=$B53) * ('Master Data Sheet'!$F:$F=$E53) * ('Master Data Sheet'!$A:$A=$F53), 0), MATCH($F$1, 'Master Data Sheet'!$1:$1, 0)), "")</f>
        <v>118.18021201413427</v>
      </c>
      <c r="N53" s="11" cm="1">
        <f t="array" ref="N53">IFERROR(INDEX('Master Data Sheet'!$1:$1048576, MATCH(1, ('Master Data Sheet'!$H:$H=N$2) * (INDEX('Master Data Sheet'!$1:$1, , MATCH($F$1, 'Master Data Sheet'!$1:$1, 0)) = $F$1) * ('Master Data Sheet'!$G:$G=$B53) * ('Master Data Sheet'!$F:$F=$E53) * ('Master Data Sheet'!$A:$A=$F53), 0), MATCH($F$1, 'Master Data Sheet'!$1:$1, 0)), "")</f>
        <v>118.60424028268551</v>
      </c>
      <c r="O53" s="11">
        <f t="shared" si="8"/>
        <v>107.49116607773851</v>
      </c>
      <c r="P53" s="11">
        <f t="shared" si="4"/>
        <v>9.4589983178870334</v>
      </c>
      <c r="Q53" s="11"/>
      <c r="R53" s="46">
        <f>(1-(O53/O50))*100</f>
        <v>20.782723535648518</v>
      </c>
      <c r="Y53" s="2"/>
      <c r="Z53" s="2"/>
      <c r="AA53" s="2"/>
      <c r="AB53" s="2"/>
      <c r="AC53" s="2"/>
      <c r="AD53" s="2"/>
      <c r="AE53" s="2"/>
      <c r="AF53" s="2"/>
      <c r="AG53" s="2"/>
    </row>
    <row r="54" spans="1:46" x14ac:dyDescent="0.35">
      <c r="A54" s="41">
        <f>IFERROR(INDEX('Date Key'!$B$2:$B$19, MATCH(F54,'Date Key'!$A$2:$A$19, 0)), "")</f>
        <v>45371</v>
      </c>
      <c r="B54" s="4">
        <f t="shared" si="15"/>
        <v>6</v>
      </c>
      <c r="C54" s="26" t="str">
        <f>IFERROR(INDEX('Date Key'!$G$57:$G$62, MATCH(B54,'Date Key'!$A$57:$A$62, 0)), "")</f>
        <v>Medium HLR, Upper Outlet Height, Yes Plants</v>
      </c>
      <c r="D54" s="4" t="str">
        <f>IFERROR(INDEX('Date Key'!$G$2:$G$19, MATCH(F54, 'Date Key'!$A$2:$A$19, 0)), "")</f>
        <v>No</v>
      </c>
      <c r="E54" s="4" t="str">
        <f t="shared" si="1"/>
        <v>tank 2</v>
      </c>
      <c r="F54" s="4">
        <f t="shared" si="2"/>
        <v>16</v>
      </c>
      <c r="G54" s="4">
        <f t="shared" si="22"/>
        <v>1</v>
      </c>
      <c r="H54" s="11" cm="1">
        <f t="array" ref="H54">IFERROR(INDEX('Master Data Sheet'!$1:$1048576, MATCH(1, ('Master Data Sheet'!$H:$H=H$2) * (INDEX('Master Data Sheet'!$1:$1, , MATCH($F$1, 'Master Data Sheet'!$1:$1, 0)) = $F$1) * ('Master Data Sheet'!$G:$G=$B54) * ('Master Data Sheet'!$F:$F=$E54) * ('Master Data Sheet'!$A:$A=$F54), 0), MATCH($F$1, 'Master Data Sheet'!$1:$1, 0)), "")</f>
        <v>3.4583100167879128</v>
      </c>
      <c r="I54" s="11" cm="1">
        <f t="array" ref="I54">IFERROR(INDEX('Master Data Sheet'!$1:$1048576, MATCH(1, ('Master Data Sheet'!$H:$H=I$2) * (INDEX('Master Data Sheet'!$1:$1, , MATCH($F$1, 'Master Data Sheet'!$1:$1, 0)) = $F$1) * ('Master Data Sheet'!$G:$G=$B54) * ('Master Data Sheet'!$F:$F=$E54) * ('Master Data Sheet'!$A:$A=$F54), 0), MATCH($F$1, 'Master Data Sheet'!$1:$1, 0)), "")</f>
        <v>5.5735870173475099</v>
      </c>
      <c r="J54" s="11" cm="1">
        <f t="array" ref="J54">IFERROR(INDEX('Master Data Sheet'!$1:$1048576, MATCH(1, ('Master Data Sheet'!$H:$H=J$2) * (INDEX('Master Data Sheet'!$1:$1, , MATCH($F$1, 'Master Data Sheet'!$1:$1, 0)) = $F$1) * ('Master Data Sheet'!$G:$G=$B54) * ('Master Data Sheet'!$F:$F=$E54) * ('Master Data Sheet'!$A:$A=$F54), 0), MATCH($F$1, 'Master Data Sheet'!$1:$1, 0)), "")</f>
        <v>3.2400671516508113</v>
      </c>
      <c r="K54" s="11" cm="1">
        <f t="array" ref="K54">IFERROR(INDEX('Master Data Sheet'!$1:$1048576, MATCH(1, ('Master Data Sheet'!$H:$H=K$2) * (INDEX('Master Data Sheet'!$1:$1, , MATCH($F$1, 'Master Data Sheet'!$1:$1, 0)) = $F$1) * ('Master Data Sheet'!$G:$G=$B54) * ('Master Data Sheet'!$F:$F=$E54) * ('Master Data Sheet'!$A:$A=$F54), 0), MATCH($F$1, 'Master Data Sheet'!$1:$1, 0)), "")</f>
        <v>9.6698377168438707</v>
      </c>
      <c r="L54" s="11" cm="1">
        <f t="array" ref="L54">IFERROR(INDEX('Master Data Sheet'!$1:$1048576, MATCH(1, ('Master Data Sheet'!$H:$H=L$2) * (INDEX('Master Data Sheet'!$1:$1, , MATCH($F$1, 'Master Data Sheet'!$1:$1, 0)) = $F$1) * ('Master Data Sheet'!$G:$G=$B54) * ('Master Data Sheet'!$F:$F=$E54) * ('Master Data Sheet'!$A:$A=$F54), 0), MATCH($F$1, 'Master Data Sheet'!$1:$1, 0)), "")</f>
        <v>26.323447118074991</v>
      </c>
      <c r="M54" s="11" cm="1">
        <f t="array" ref="M54">IFERROR(INDEX('Master Data Sheet'!$1:$1048576, MATCH(1, ('Master Data Sheet'!$H:$H=M$2) * (INDEX('Master Data Sheet'!$1:$1, , MATCH($F$1, 'Master Data Sheet'!$1:$1, 0)) = $F$1) * ('Master Data Sheet'!$G:$G=$B54) * ('Master Data Sheet'!$F:$F=$E54) * ('Master Data Sheet'!$A:$A=$F54), 0), MATCH($F$1, 'Master Data Sheet'!$1:$1, 0)), "")</f>
        <v>49.709009513150527</v>
      </c>
      <c r="N54" s="11" cm="1">
        <f t="array" ref="N54">IFERROR(INDEX('Master Data Sheet'!$1:$1048576, MATCH(1, ('Master Data Sheet'!$H:$H=N$2) * (INDEX('Master Data Sheet'!$1:$1, , MATCH($F$1, 'Master Data Sheet'!$1:$1, 0)) = $F$1) * ('Master Data Sheet'!$G:$G=$B54) * ('Master Data Sheet'!$F:$F=$E54) * ('Master Data Sheet'!$A:$A=$F54), 0), MATCH($F$1, 'Master Data Sheet'!$1:$1, 0)), "")</f>
        <v>63.911583659764965</v>
      </c>
      <c r="O54" s="11">
        <f t="shared" si="8"/>
        <v>23.12654888480294</v>
      </c>
      <c r="P54" s="11">
        <f t="shared" si="4"/>
        <v>24.670386278008561</v>
      </c>
      <c r="Q54" s="11">
        <f>AVERAGE(N54:N56)</f>
        <v>97.540686135899705</v>
      </c>
      <c r="R54" s="46">
        <f>(1-(O54/O48))*100</f>
        <v>80.336059055037822</v>
      </c>
      <c r="S54" s="46">
        <f>AVERAGE(R54:R56)</f>
        <v>54.00730641789962</v>
      </c>
      <c r="T54" s="46">
        <f>STDEV(R54:R56)</f>
        <v>37.54145510520776</v>
      </c>
      <c r="U54" s="47">
        <f>(1-(AVERAGE(H54:N56)/AVERAGE(H48:N50)))*100</f>
        <v>52.035261258907781</v>
      </c>
      <c r="Y54" s="2"/>
      <c r="Z54" s="2"/>
      <c r="AA54" s="2"/>
      <c r="AB54" s="2"/>
      <c r="AC54" s="2"/>
      <c r="AD54" s="2"/>
      <c r="AE54" s="2"/>
      <c r="AF54" s="2"/>
      <c r="AG54" s="2"/>
    </row>
    <row r="55" spans="1:46" x14ac:dyDescent="0.35">
      <c r="A55" s="41">
        <f>IFERROR(INDEX('Date Key'!$B$2:$B$19, MATCH(F55,'Date Key'!$A$2:$A$19, 0)), "")</f>
        <v>45392</v>
      </c>
      <c r="B55" s="4">
        <f t="shared" si="15"/>
        <v>6</v>
      </c>
      <c r="C55" s="26" t="str">
        <f>IFERROR(INDEX('Date Key'!$G$57:$G$62, MATCH(B55,'Date Key'!$A$57:$A$62, 0)), "")</f>
        <v>Medium HLR, Upper Outlet Height, Yes Plants</v>
      </c>
      <c r="D55" s="4" t="str">
        <f>IFERROR(INDEX('Date Key'!$G$2:$G$19, MATCH(F55, 'Date Key'!$A$2:$A$19, 0)), "")</f>
        <v>No</v>
      </c>
      <c r="E55" s="4" t="str">
        <f t="shared" si="1"/>
        <v>tank 2</v>
      </c>
      <c r="F55" s="4">
        <f t="shared" si="2"/>
        <v>17</v>
      </c>
      <c r="G55" s="4">
        <f t="shared" si="22"/>
        <v>2</v>
      </c>
      <c r="H55" s="11" cm="1">
        <f t="array" ref="H55">IFERROR(INDEX('Master Data Sheet'!$1:$1048576, MATCH(1, ('Master Data Sheet'!$H:$H=H$2) * (INDEX('Master Data Sheet'!$1:$1, , MATCH($F$1, 'Master Data Sheet'!$1:$1, 0)) = $F$1) * ('Master Data Sheet'!$G:$G=$B55) * ('Master Data Sheet'!$F:$F=$E55) * ('Master Data Sheet'!$A:$A=$F55), 0), MATCH($F$1, 'Master Data Sheet'!$1:$1, 0)), "")</f>
        <v>6.3122551762730845</v>
      </c>
      <c r="I55" s="11" cm="1">
        <f t="array" ref="I55">IFERROR(INDEX('Master Data Sheet'!$1:$1048576, MATCH(1, ('Master Data Sheet'!$H:$H=I$2) * (INDEX('Master Data Sheet'!$1:$1, , MATCH($F$1, 'Master Data Sheet'!$1:$1, 0)) = $F$1) * ('Master Data Sheet'!$G:$G=$B55) * ('Master Data Sheet'!$F:$F=$E55) * ('Master Data Sheet'!$A:$A=$F55), 0), MATCH($F$1, 'Master Data Sheet'!$1:$1, 0)), "")</f>
        <v>3.4415221040850588</v>
      </c>
      <c r="J55" s="11" cm="1">
        <f t="array" ref="J55">IFERROR(INDEX('Master Data Sheet'!$1:$1048576, MATCH(1, ('Master Data Sheet'!$H:$H=J$2) * (INDEX('Master Data Sheet'!$1:$1, , MATCH($F$1, 'Master Data Sheet'!$1:$1, 0)) = $F$1) * ('Master Data Sheet'!$G:$G=$B55) * ('Master Data Sheet'!$F:$F=$E55) * ('Master Data Sheet'!$A:$A=$F55), 0), MATCH($F$1, 'Master Data Sheet'!$1:$1, 0)), "")</f>
        <v>1.5109121432568551</v>
      </c>
      <c r="K55" s="11" cm="1">
        <f t="array" ref="K55">IFERROR(INDEX('Master Data Sheet'!$1:$1048576, MATCH(1, ('Master Data Sheet'!$H:$H=K$2) * (INDEX('Master Data Sheet'!$1:$1, , MATCH($F$1, 'Master Data Sheet'!$1:$1, 0)) = $F$1) * ('Master Data Sheet'!$G:$G=$B55) * ('Master Data Sheet'!$F:$F=$E55) * ('Master Data Sheet'!$A:$A=$F55), 0), MATCH($F$1, 'Master Data Sheet'!$1:$1, 0)), "")</f>
        <v>12.120872971460548</v>
      </c>
      <c r="L55" s="11" cm="1">
        <f t="array" ref="L55">IFERROR(INDEX('Master Data Sheet'!$1:$1048576, MATCH(1, ('Master Data Sheet'!$H:$H=L$2) * (INDEX('Master Data Sheet'!$1:$1, , MATCH($F$1, 'Master Data Sheet'!$1:$1, 0)) = $F$1) * ('Master Data Sheet'!$G:$G=$B55) * ('Master Data Sheet'!$F:$F=$E55) * ('Master Data Sheet'!$A:$A=$F55), 0), MATCH($F$1, 'Master Data Sheet'!$1:$1, 0)), "")</f>
        <v>49.776161163961945</v>
      </c>
      <c r="M55" s="11" cm="1">
        <f t="array" ref="M55">IFERROR(INDEX('Master Data Sheet'!$1:$1048576, MATCH(1, ('Master Data Sheet'!$H:$H=M$2) * (INDEX('Master Data Sheet'!$1:$1, , MATCH($F$1, 'Master Data Sheet'!$1:$1, 0)) = $F$1) * ('Master Data Sheet'!$G:$G=$B55) * ('Master Data Sheet'!$F:$F=$E55) * ('Master Data Sheet'!$A:$A=$F55), 0), MATCH($F$1, 'Master Data Sheet'!$1:$1, 0)), "")</f>
        <v>77.996642417459427</v>
      </c>
      <c r="N55" s="11" cm="1">
        <f t="array" ref="N55">IFERROR(INDEX('Master Data Sheet'!$1:$1048576, MATCH(1, ('Master Data Sheet'!$H:$H=N$2) * (INDEX('Master Data Sheet'!$1:$1, , MATCH($F$1, 'Master Data Sheet'!$1:$1, 0)) = $F$1) * ('Master Data Sheet'!$G:$G=$B55) * ('Master Data Sheet'!$F:$F=$E55) * ('Master Data Sheet'!$A:$A=$F55), 0), MATCH($F$1, 'Master Data Sheet'!$1:$1, 0)), "")</f>
        <v>95.388919977616112</v>
      </c>
      <c r="O55" s="11">
        <f t="shared" si="8"/>
        <v>35.221040850587578</v>
      </c>
      <c r="P55" s="11">
        <f t="shared" si="4"/>
        <v>39.109724983735823</v>
      </c>
      <c r="Q55" s="11"/>
      <c r="R55" s="46">
        <f>(1-(O55/O49))*100</f>
        <v>70.666719929692803</v>
      </c>
      <c r="X55" t="str">
        <f>IFERROR(INDEX('Date Key'!$G$57:$G$62, MATCH(B54,'Date Key'!$A$57:$A$62, 0)), "")</f>
        <v>Medium HLR, Upper Outlet Height, Yes Plants</v>
      </c>
      <c r="Y55" s="1">
        <f t="shared" ref="Y55:AE55" si="59">H54</f>
        <v>3.4583100167879128</v>
      </c>
      <c r="Z55" s="1">
        <f t="shared" si="59"/>
        <v>5.5735870173475099</v>
      </c>
      <c r="AA55" s="1">
        <f t="shared" si="59"/>
        <v>3.2400671516508113</v>
      </c>
      <c r="AB55" s="1">
        <f t="shared" si="59"/>
        <v>9.6698377168438707</v>
      </c>
      <c r="AC55" s="1">
        <f t="shared" si="59"/>
        <v>26.323447118074991</v>
      </c>
      <c r="AD55" s="1">
        <f t="shared" si="59"/>
        <v>49.709009513150527</v>
      </c>
      <c r="AE55" s="1">
        <f t="shared" si="59"/>
        <v>63.911583659764965</v>
      </c>
      <c r="AF55" s="1">
        <f t="shared" ref="AF55:AL55" si="60">H55</f>
        <v>6.3122551762730845</v>
      </c>
      <c r="AG55" s="1">
        <f t="shared" si="60"/>
        <v>3.4415221040850588</v>
      </c>
      <c r="AH55" s="1">
        <f t="shared" si="60"/>
        <v>1.5109121432568551</v>
      </c>
      <c r="AI55" s="1">
        <f t="shared" si="60"/>
        <v>12.120872971460548</v>
      </c>
      <c r="AJ55" s="1">
        <f t="shared" si="60"/>
        <v>49.776161163961945</v>
      </c>
      <c r="AK55" s="1">
        <f t="shared" si="60"/>
        <v>77.996642417459427</v>
      </c>
      <c r="AL55" s="1">
        <f t="shared" si="60"/>
        <v>95.388919977616112</v>
      </c>
      <c r="AM55" s="1">
        <f t="shared" ref="AM55:AS55" si="61">H56</f>
        <v>113.37455830388691</v>
      </c>
      <c r="AN55" s="1">
        <f t="shared" si="61"/>
        <v>103.67491166077738</v>
      </c>
      <c r="AO55" s="1">
        <f t="shared" si="61"/>
        <v>109.89399293286219</v>
      </c>
      <c r="AP55" s="1">
        <f t="shared" si="61"/>
        <v>117.17314487632508</v>
      </c>
      <c r="AQ55" s="1">
        <f t="shared" si="61"/>
        <v>131.60777385159011</v>
      </c>
      <c r="AR55" s="1">
        <f t="shared" si="61"/>
        <v>136.13074204946997</v>
      </c>
      <c r="AS55" s="1">
        <f t="shared" si="61"/>
        <v>133.32155477031802</v>
      </c>
    </row>
    <row r="56" spans="1:46" x14ac:dyDescent="0.35">
      <c r="A56" s="42">
        <f>IFERROR(INDEX('Date Key'!$B$2:$B$19, MATCH(F56,'Date Key'!$A$2:$A$19, 0)), "")</f>
        <v>45400</v>
      </c>
      <c r="B56" s="27">
        <f t="shared" si="15"/>
        <v>6</v>
      </c>
      <c r="C56" s="51" t="str">
        <f>IFERROR(INDEX('Date Key'!$G$57:$G$62, MATCH(B56,'Date Key'!$A$57:$A$62, 0)), "")</f>
        <v>Medium HLR, Upper Outlet Height, Yes Plants</v>
      </c>
      <c r="D56" s="27" t="str">
        <f>IFERROR(INDEX('Date Key'!$G$2:$G$19, MATCH(F56, 'Date Key'!$A$2:$A$19, 0)), "")</f>
        <v>Yes</v>
      </c>
      <c r="E56" s="27" t="str">
        <f t="shared" si="1"/>
        <v>tank 2</v>
      </c>
      <c r="F56" s="27">
        <f t="shared" si="2"/>
        <v>18</v>
      </c>
      <c r="G56" s="27">
        <f t="shared" si="22"/>
        <v>3</v>
      </c>
      <c r="H56" s="28" cm="1">
        <f t="array" ref="H56">IFERROR(INDEX('Master Data Sheet'!$1:$1048576, MATCH(1, ('Master Data Sheet'!$H:$H=H$2) * (INDEX('Master Data Sheet'!$1:$1, , MATCH($F$1, 'Master Data Sheet'!$1:$1, 0)) = $F$1) * ('Master Data Sheet'!$G:$G=$B56) * ('Master Data Sheet'!$F:$F=$E56) * ('Master Data Sheet'!$A:$A=$F56), 0), MATCH($F$1, 'Master Data Sheet'!$1:$1, 0)), "")</f>
        <v>113.37455830388691</v>
      </c>
      <c r="I56" s="28" cm="1">
        <f t="array" ref="I56">IFERROR(INDEX('Master Data Sheet'!$1:$1048576, MATCH(1, ('Master Data Sheet'!$H:$H=I$2) * (INDEX('Master Data Sheet'!$1:$1, , MATCH($F$1, 'Master Data Sheet'!$1:$1, 0)) = $F$1) * ('Master Data Sheet'!$G:$G=$B56) * ('Master Data Sheet'!$F:$F=$E56) * ('Master Data Sheet'!$A:$A=$F56), 0), MATCH($F$1, 'Master Data Sheet'!$1:$1, 0)), "")</f>
        <v>103.67491166077738</v>
      </c>
      <c r="J56" s="28" cm="1">
        <f t="array" ref="J56">IFERROR(INDEX('Master Data Sheet'!$1:$1048576, MATCH(1, ('Master Data Sheet'!$H:$H=J$2) * (INDEX('Master Data Sheet'!$1:$1, , MATCH($F$1, 'Master Data Sheet'!$1:$1, 0)) = $F$1) * ('Master Data Sheet'!$G:$G=$B56) * ('Master Data Sheet'!$F:$F=$E56) * ('Master Data Sheet'!$A:$A=$F56), 0), MATCH($F$1, 'Master Data Sheet'!$1:$1, 0)), "")</f>
        <v>109.89399293286219</v>
      </c>
      <c r="K56" s="28" cm="1">
        <f t="array" ref="K56">IFERROR(INDEX('Master Data Sheet'!$1:$1048576, MATCH(1, ('Master Data Sheet'!$H:$H=K$2) * (INDEX('Master Data Sheet'!$1:$1, , MATCH($F$1, 'Master Data Sheet'!$1:$1, 0)) = $F$1) * ('Master Data Sheet'!$G:$G=$B56) * ('Master Data Sheet'!$F:$F=$E56) * ('Master Data Sheet'!$A:$A=$F56), 0), MATCH($F$1, 'Master Data Sheet'!$1:$1, 0)), "")</f>
        <v>117.17314487632508</v>
      </c>
      <c r="L56" s="28" cm="1">
        <f t="array" ref="L56">IFERROR(INDEX('Master Data Sheet'!$1:$1048576, MATCH(1, ('Master Data Sheet'!$H:$H=L$2) * (INDEX('Master Data Sheet'!$1:$1, , MATCH($F$1, 'Master Data Sheet'!$1:$1, 0)) = $F$1) * ('Master Data Sheet'!$G:$G=$B56) * ('Master Data Sheet'!$F:$F=$E56) * ('Master Data Sheet'!$A:$A=$F56), 0), MATCH($F$1, 'Master Data Sheet'!$1:$1, 0)), "")</f>
        <v>131.60777385159011</v>
      </c>
      <c r="M56" s="28" cm="1">
        <f t="array" ref="M56">IFERROR(INDEX('Master Data Sheet'!$1:$1048576, MATCH(1, ('Master Data Sheet'!$H:$H=M$2) * (INDEX('Master Data Sheet'!$1:$1, , MATCH($F$1, 'Master Data Sheet'!$1:$1, 0)) = $F$1) * ('Master Data Sheet'!$G:$G=$B56) * ('Master Data Sheet'!$F:$F=$E56) * ('Master Data Sheet'!$A:$A=$F56), 0), MATCH($F$1, 'Master Data Sheet'!$1:$1, 0)), "")</f>
        <v>136.13074204946997</v>
      </c>
      <c r="N56" s="28" cm="1">
        <f t="array" ref="N56">IFERROR(INDEX('Master Data Sheet'!$1:$1048576, MATCH(1, ('Master Data Sheet'!$H:$H=N$2) * (INDEX('Master Data Sheet'!$1:$1, , MATCH($F$1, 'Master Data Sheet'!$1:$1, 0)) = $F$1) * ('Master Data Sheet'!$G:$G=$B56) * ('Master Data Sheet'!$F:$F=$E56) * ('Master Data Sheet'!$A:$A=$F56), 0), MATCH($F$1, 'Master Data Sheet'!$1:$1, 0)), "")</f>
        <v>133.32155477031802</v>
      </c>
      <c r="O56" s="28">
        <f t="shared" si="8"/>
        <v>120.73952549217566</v>
      </c>
      <c r="P56" s="28">
        <f t="shared" si="4"/>
        <v>12.839420186565016</v>
      </c>
      <c r="Q56" s="28"/>
      <c r="R56" s="48">
        <f>(1-(O56/O50))*100</f>
        <v>11.019140268968219</v>
      </c>
      <c r="S56" s="27"/>
      <c r="T56" s="27"/>
      <c r="U56" s="27"/>
      <c r="V56" s="27"/>
    </row>
    <row r="58" spans="1:46" x14ac:dyDescent="0.35">
      <c r="X58" t="s">
        <v>456</v>
      </c>
      <c r="Y58" t="s">
        <v>465</v>
      </c>
    </row>
    <row r="59" spans="1:46" x14ac:dyDescent="0.35">
      <c r="X59" t="s">
        <v>344</v>
      </c>
      <c r="Y59" s="30" t="s">
        <v>457</v>
      </c>
      <c r="Z59" s="1">
        <f t="shared" ref="Z59:AT59" si="62">Y4</f>
        <v>143.01957129543337</v>
      </c>
      <c r="AA59" s="1">
        <f t="shared" si="62"/>
        <v>131.01584342963653</v>
      </c>
      <c r="AB59" s="1">
        <f t="shared" si="62"/>
        <v>130.0465983224604</v>
      </c>
      <c r="AC59" s="1">
        <f t="shared" si="62"/>
        <v>116.16029822926374</v>
      </c>
      <c r="AD59" s="1">
        <f t="shared" si="62"/>
        <v>112.26467847157501</v>
      </c>
      <c r="AE59" s="1">
        <f t="shared" si="62"/>
        <v>110.25163094128611</v>
      </c>
      <c r="AF59" s="1">
        <f t="shared" si="62"/>
        <v>117.44641192917055</v>
      </c>
      <c r="AG59" s="1">
        <f t="shared" si="62"/>
        <v>124.56663560111835</v>
      </c>
      <c r="AH59" s="1">
        <f t="shared" si="62"/>
        <v>84.697110904007445</v>
      </c>
      <c r="AI59" s="1">
        <f t="shared" si="62"/>
        <v>87.343895619757689</v>
      </c>
      <c r="AJ59" s="1">
        <f t="shared" si="62"/>
        <v>98.0242311276794</v>
      </c>
      <c r="AK59" s="1">
        <f t="shared" si="62"/>
        <v>102.77726001863932</v>
      </c>
      <c r="AL59" s="1">
        <f t="shared" si="62"/>
        <v>109.05871388630008</v>
      </c>
      <c r="AM59" s="1">
        <f t="shared" si="62"/>
        <v>110.28890959925441</v>
      </c>
      <c r="AN59" s="1">
        <f t="shared" si="62"/>
        <v>127.88443616029822</v>
      </c>
      <c r="AO59" s="1">
        <f t="shared" si="62"/>
        <v>100.57781919850885</v>
      </c>
      <c r="AP59" s="1">
        <f t="shared" si="62"/>
        <v>80.055917986952466</v>
      </c>
      <c r="AQ59" s="1">
        <f t="shared" si="62"/>
        <v>84.249767008387678</v>
      </c>
      <c r="AR59" s="1">
        <f t="shared" si="62"/>
        <v>80.652376514445479</v>
      </c>
      <c r="AS59" s="1">
        <f t="shared" si="62"/>
        <v>81.379310344827573</v>
      </c>
      <c r="AT59" s="1">
        <f t="shared" si="62"/>
        <v>83.392357875116488</v>
      </c>
    </row>
    <row r="60" spans="1:46" x14ac:dyDescent="0.35">
      <c r="X60" t="s">
        <v>345</v>
      </c>
      <c r="Y60" s="30" t="s">
        <v>457</v>
      </c>
      <c r="Z60" s="1">
        <f t="shared" ref="Z60:AT60" si="63">Y7</f>
        <v>7.3625349487418452</v>
      </c>
      <c r="AA60" s="1">
        <f t="shared" si="63"/>
        <v>9.2823858341099719</v>
      </c>
      <c r="AB60" s="1">
        <f t="shared" si="63"/>
        <v>12.767940354147251</v>
      </c>
      <c r="AC60" s="1">
        <f t="shared" si="63"/>
        <v>23.168685927306619</v>
      </c>
      <c r="AD60" s="1">
        <f t="shared" si="63"/>
        <v>27.362534948741843</v>
      </c>
      <c r="AE60" s="1">
        <f t="shared" si="63"/>
        <v>62.833178005591797</v>
      </c>
      <c r="AF60" s="1">
        <f t="shared" si="63"/>
        <v>83.504193849021433</v>
      </c>
      <c r="AG60" s="1">
        <f t="shared" si="63"/>
        <v>74.482758620689651</v>
      </c>
      <c r="AH60" s="1">
        <f t="shared" si="63"/>
        <v>79.85088536812674</v>
      </c>
      <c r="AI60" s="1">
        <f t="shared" si="63"/>
        <v>90.904007455731588</v>
      </c>
      <c r="AJ60" s="1">
        <f t="shared" si="63"/>
        <v>94.911463187325239</v>
      </c>
      <c r="AK60" s="1">
        <f t="shared" si="63"/>
        <v>92.898415657036338</v>
      </c>
      <c r="AL60" s="1">
        <f t="shared" si="63"/>
        <v>92.544268406337366</v>
      </c>
      <c r="AM60" s="1">
        <f t="shared" si="63"/>
        <v>92.41379310344827</v>
      </c>
      <c r="AN60" s="1">
        <f t="shared" si="63"/>
        <v>54.501397949673809</v>
      </c>
      <c r="AO60" s="1">
        <f t="shared" si="63"/>
        <v>47.753960857409126</v>
      </c>
      <c r="AP60" s="1">
        <f t="shared" si="63"/>
        <v>49.95340167753961</v>
      </c>
      <c r="AQ60" s="1">
        <f t="shared" si="63"/>
        <v>51.239515377446409</v>
      </c>
      <c r="AR60" s="1">
        <f t="shared" si="63"/>
        <v>55.023299161230192</v>
      </c>
      <c r="AS60" s="1">
        <f t="shared" si="63"/>
        <v>61.491146318732518</v>
      </c>
      <c r="AT60" s="1">
        <f t="shared" si="63"/>
        <v>68.126747437092263</v>
      </c>
    </row>
    <row r="61" spans="1:46" x14ac:dyDescent="0.35">
      <c r="X61" t="s">
        <v>346</v>
      </c>
      <c r="Y61" s="30" t="s">
        <v>457</v>
      </c>
      <c r="Z61" s="1">
        <f t="shared" ref="Z61:AT61" si="64">Y10</f>
        <v>1.0624417520969245</v>
      </c>
      <c r="AA61" s="1">
        <f t="shared" si="64"/>
        <v>1.4725069897483689</v>
      </c>
      <c r="AB61" s="1">
        <f t="shared" si="64"/>
        <v>16.141658900279587</v>
      </c>
      <c r="AC61" s="1">
        <f t="shared" si="64"/>
        <v>59.086672879776323</v>
      </c>
      <c r="AD61" s="1">
        <f t="shared" si="64"/>
        <v>90.288909599254424</v>
      </c>
      <c r="AE61" s="1">
        <f t="shared" si="64"/>
        <v>102.36719478098787</v>
      </c>
      <c r="AF61" s="1">
        <f t="shared" si="64"/>
        <v>105.90866728797764</v>
      </c>
      <c r="AG61" s="1">
        <f t="shared" si="64"/>
        <v>56.719478098788443</v>
      </c>
      <c r="AH61" s="1">
        <f t="shared" si="64"/>
        <v>95.507921714818252</v>
      </c>
      <c r="AI61" s="1">
        <f t="shared" si="64"/>
        <v>96.607642124883498</v>
      </c>
      <c r="AJ61" s="1">
        <f t="shared" si="64"/>
        <v>82.963653308480886</v>
      </c>
      <c r="AK61" s="1">
        <f t="shared" si="64"/>
        <v>84.007455731593652</v>
      </c>
      <c r="AL61" s="1">
        <f t="shared" si="64"/>
        <v>88.052190121155633</v>
      </c>
      <c r="AM61" s="1">
        <f t="shared" si="64"/>
        <v>95.694315004659828</v>
      </c>
      <c r="AN61" s="1">
        <f t="shared" si="64"/>
        <v>3.9328984156570361</v>
      </c>
      <c r="AO61" s="1">
        <f t="shared" si="64"/>
        <v>0.950605778191985</v>
      </c>
      <c r="AP61" s="1">
        <f t="shared" si="64"/>
        <v>3.9515377446411928</v>
      </c>
      <c r="AQ61" s="1">
        <f t="shared" si="64"/>
        <v>17.054986020503261</v>
      </c>
      <c r="AR61" s="1">
        <f t="shared" si="64"/>
        <v>45.890027958993478</v>
      </c>
      <c r="AS61" s="1">
        <f t="shared" si="64"/>
        <v>56.682199440820128</v>
      </c>
      <c r="AT61" s="1">
        <f t="shared" si="64"/>
        <v>61.52842497670084</v>
      </c>
    </row>
    <row r="62" spans="1:46" x14ac:dyDescent="0.35">
      <c r="X62" t="s">
        <v>344</v>
      </c>
      <c r="Y62" s="30" t="s">
        <v>458</v>
      </c>
      <c r="Z62" s="1">
        <f t="shared" ref="Z62:AT62" si="65">Y13</f>
        <v>118.55685131195334</v>
      </c>
      <c r="AA62" s="1">
        <f t="shared" si="65"/>
        <v>137.49271137026238</v>
      </c>
      <c r="AB62" s="1">
        <f t="shared" si="65"/>
        <v>119.50437317784257</v>
      </c>
      <c r="AC62" s="1">
        <f t="shared" si="65"/>
        <v>120.29154518950436</v>
      </c>
      <c r="AD62" s="1">
        <f t="shared" si="65"/>
        <v>105.97667638483964</v>
      </c>
      <c r="AE62" s="1">
        <f t="shared" si="65"/>
        <v>103.96501457725947</v>
      </c>
      <c r="AF62" s="1">
        <f t="shared" si="65"/>
        <v>99.970845481049551</v>
      </c>
      <c r="AG62" s="1">
        <f t="shared" si="65"/>
        <v>95.27696793002913</v>
      </c>
      <c r="AH62" s="1">
        <f t="shared" si="65"/>
        <v>131.29737609329445</v>
      </c>
      <c r="AI62" s="1">
        <f t="shared" si="65"/>
        <v>114.05247813411079</v>
      </c>
      <c r="AJ62" s="1">
        <f t="shared" si="65"/>
        <v>107.09912536443149</v>
      </c>
      <c r="AK62" s="1">
        <f t="shared" si="65"/>
        <v>101.90962099125363</v>
      </c>
      <c r="AL62" s="1">
        <f t="shared" si="65"/>
        <v>102.98833819241982</v>
      </c>
      <c r="AM62" s="1">
        <f t="shared" si="65"/>
        <v>104.27113702623906</v>
      </c>
      <c r="AN62" s="1">
        <f t="shared" si="65"/>
        <v>139.39234449760767</v>
      </c>
      <c r="AO62" s="1">
        <f t="shared" si="65"/>
        <v>139.73684210526315</v>
      </c>
      <c r="AP62" s="1">
        <f t="shared" si="65"/>
        <v>139.01913875598086</v>
      </c>
      <c r="AQ62" s="1">
        <f t="shared" si="65"/>
        <v>147.94736842105263</v>
      </c>
      <c r="AR62" s="1">
        <f t="shared" si="65"/>
        <v>139.0622009569378</v>
      </c>
      <c r="AS62" s="1">
        <f t="shared" si="65"/>
        <v>136.79425837320574</v>
      </c>
      <c r="AT62" s="1">
        <f t="shared" si="65"/>
        <v>136.43540669856461</v>
      </c>
    </row>
    <row r="63" spans="1:46" x14ac:dyDescent="0.35">
      <c r="X63" t="s">
        <v>345</v>
      </c>
      <c r="Y63" s="30" t="s">
        <v>458</v>
      </c>
      <c r="Z63" s="1">
        <f t="shared" ref="Z63:AT63" si="66">Y16</f>
        <v>98.323615160349846</v>
      </c>
      <c r="AA63" s="1">
        <f t="shared" si="66"/>
        <v>86.413994169096199</v>
      </c>
      <c r="AB63" s="1">
        <f t="shared" si="66"/>
        <v>88.425655976676381</v>
      </c>
      <c r="AC63" s="1">
        <f t="shared" si="66"/>
        <v>107.12827988338192</v>
      </c>
      <c r="AD63" s="1">
        <f t="shared" si="66"/>
        <v>114.18367346938776</v>
      </c>
      <c r="AE63" s="1">
        <f t="shared" si="66"/>
        <v>112.82798833819241</v>
      </c>
      <c r="AF63" s="1">
        <f t="shared" si="66"/>
        <v>107.62390670553935</v>
      </c>
      <c r="AG63" s="1">
        <f t="shared" si="66"/>
        <v>62.915451895043731</v>
      </c>
      <c r="AH63" s="1">
        <f t="shared" si="66"/>
        <v>49.737609329446066</v>
      </c>
      <c r="AI63" s="1">
        <f t="shared" si="66"/>
        <v>64.008746355685133</v>
      </c>
      <c r="AJ63" s="1">
        <f t="shared" si="66"/>
        <v>90.874635568513099</v>
      </c>
      <c r="AK63" s="1">
        <f t="shared" si="66"/>
        <v>99.868804664723029</v>
      </c>
      <c r="AL63" s="1">
        <f t="shared" si="66"/>
        <v>101.06413994169095</v>
      </c>
      <c r="AM63" s="1">
        <f t="shared" si="66"/>
        <v>101.93877551020407</v>
      </c>
      <c r="AN63" s="1">
        <f t="shared" si="66"/>
        <v>108.30143540669856</v>
      </c>
      <c r="AO63" s="1">
        <f t="shared" si="66"/>
        <v>109.67942583732059</v>
      </c>
      <c r="AP63" s="1">
        <f t="shared" si="66"/>
        <v>118.22009569377992</v>
      </c>
      <c r="AQ63" s="1">
        <f t="shared" si="66"/>
        <v>128.65550239234449</v>
      </c>
      <c r="AR63" s="1">
        <f t="shared" si="66"/>
        <v>136.07655502392345</v>
      </c>
      <c r="AS63" s="1">
        <f t="shared" si="66"/>
        <v>135.24401913875599</v>
      </c>
      <c r="AT63" s="1">
        <f t="shared" si="66"/>
        <v>140.49760765550241</v>
      </c>
    </row>
    <row r="64" spans="1:46" x14ac:dyDescent="0.35">
      <c r="X64" t="s">
        <v>346</v>
      </c>
      <c r="Y64" s="30" t="s">
        <v>458</v>
      </c>
      <c r="Z64" s="1">
        <f t="shared" ref="Z64:AT64" si="67">Y19</f>
        <v>0</v>
      </c>
      <c r="AA64" s="1">
        <f t="shared" si="67"/>
        <v>35.568513119533527</v>
      </c>
      <c r="AB64" s="1">
        <f t="shared" si="67"/>
        <v>64.620991253644306</v>
      </c>
      <c r="AC64" s="1">
        <f t="shared" si="67"/>
        <v>106.86588921282799</v>
      </c>
      <c r="AD64" s="1">
        <f t="shared" si="67"/>
        <v>115.37900874635568</v>
      </c>
      <c r="AE64" s="1">
        <f t="shared" si="67"/>
        <v>111.19533527696792</v>
      </c>
      <c r="AF64" s="1">
        <f t="shared" si="67"/>
        <v>106.76384839650146</v>
      </c>
      <c r="AG64" s="1">
        <f t="shared" si="67"/>
        <v>11.967930029154518</v>
      </c>
      <c r="AH64" s="1">
        <f t="shared" si="67"/>
        <v>8.4839650145772598</v>
      </c>
      <c r="AI64" s="1">
        <f t="shared" si="67"/>
        <v>81.10787172011662</v>
      </c>
      <c r="AJ64" s="1">
        <f t="shared" si="67"/>
        <v>104.85422740524781</v>
      </c>
      <c r="AK64" s="1">
        <f t="shared" si="67"/>
        <v>108.52769679300292</v>
      </c>
      <c r="AL64" s="1">
        <f t="shared" si="67"/>
        <v>110.10204081632652</v>
      </c>
      <c r="AM64" s="1">
        <f t="shared" si="67"/>
        <v>106.72011661807581</v>
      </c>
      <c r="AN64" s="1">
        <f t="shared" si="67"/>
        <v>35.626794258373209</v>
      </c>
      <c r="AO64" s="1">
        <f t="shared" si="67"/>
        <v>48.602870813397139</v>
      </c>
      <c r="AP64" s="1">
        <f t="shared" si="67"/>
        <v>104.29665071770336</v>
      </c>
      <c r="AQ64" s="1">
        <f t="shared" si="67"/>
        <v>124.72248803827752</v>
      </c>
      <c r="AR64" s="1">
        <f t="shared" si="67"/>
        <v>132.61722488038279</v>
      </c>
      <c r="AS64" s="1">
        <f t="shared" si="67"/>
        <v>138.84688995215311</v>
      </c>
      <c r="AT64" s="1">
        <f t="shared" si="67"/>
        <v>141.51674641148324</v>
      </c>
    </row>
    <row r="65" spans="24:46" x14ac:dyDescent="0.35">
      <c r="X65" t="s">
        <v>344</v>
      </c>
      <c r="Y65" s="30" t="s">
        <v>459</v>
      </c>
      <c r="Z65" s="1">
        <f t="shared" ref="Z65:AT65" si="68">Y22</f>
        <v>124.95215311004786</v>
      </c>
      <c r="AA65" s="1">
        <f t="shared" si="68"/>
        <v>119.28229665071771</v>
      </c>
      <c r="AB65" s="1">
        <f t="shared" si="68"/>
        <v>109.20574162679425</v>
      </c>
      <c r="AC65" s="1">
        <f t="shared" si="68"/>
        <v>102.34449760765551</v>
      </c>
      <c r="AD65" s="1">
        <f t="shared" si="68"/>
        <v>103.19138755980862</v>
      </c>
      <c r="AE65" s="1">
        <f t="shared" si="68"/>
        <v>103.17703349282297</v>
      </c>
      <c r="AF65" s="1">
        <f t="shared" si="68"/>
        <v>107.00956937799045</v>
      </c>
      <c r="AG65" s="1">
        <f t="shared" si="68"/>
        <v>88.722488038277518</v>
      </c>
      <c r="AH65" s="1">
        <f t="shared" si="68"/>
        <v>107.35406698564594</v>
      </c>
      <c r="AI65" s="1">
        <f t="shared" si="68"/>
        <v>102.07177033492823</v>
      </c>
      <c r="AJ65" s="1">
        <f t="shared" si="68"/>
        <v>99.717703349282303</v>
      </c>
      <c r="AK65" s="1">
        <f t="shared" si="68"/>
        <v>99.100478468899524</v>
      </c>
      <c r="AL65" s="1">
        <f t="shared" si="68"/>
        <v>105.90430622009571</v>
      </c>
      <c r="AM65" s="1">
        <f t="shared" si="68"/>
        <v>102.57416267942584</v>
      </c>
      <c r="AN65" s="1">
        <f t="shared" si="68"/>
        <v>131.51196172248805</v>
      </c>
      <c r="AO65" s="1">
        <f t="shared" si="68"/>
        <v>132.48803827751198</v>
      </c>
      <c r="AP65" s="1">
        <f t="shared" si="68"/>
        <v>133.1626794258373</v>
      </c>
      <c r="AQ65" s="1">
        <f t="shared" si="68"/>
        <v>133.63636363636365</v>
      </c>
      <c r="AR65" s="1">
        <f t="shared" si="68"/>
        <v>133.2775119617225</v>
      </c>
      <c r="AS65" s="1">
        <f t="shared" si="68"/>
        <v>133.77990430622012</v>
      </c>
      <c r="AT65" s="1">
        <f t="shared" si="68"/>
        <v>136.88038277511961</v>
      </c>
    </row>
    <row r="66" spans="24:46" x14ac:dyDescent="0.35">
      <c r="X66" t="s">
        <v>345</v>
      </c>
      <c r="Y66" s="30" t="s">
        <v>459</v>
      </c>
      <c r="Z66" s="1">
        <f t="shared" ref="Z66:AT66" si="69">Y25</f>
        <v>113.87081339712918</v>
      </c>
      <c r="AA66" s="1">
        <f t="shared" si="69"/>
        <v>115.13397129186605</v>
      </c>
      <c r="AB66" s="1">
        <f t="shared" si="69"/>
        <v>117.30143540669857</v>
      </c>
      <c r="AC66" s="1">
        <f t="shared" si="69"/>
        <v>113.1244019138756</v>
      </c>
      <c r="AD66" s="1">
        <f t="shared" si="69"/>
        <v>107.23923444976077</v>
      </c>
      <c r="AE66" s="1">
        <f t="shared" si="69"/>
        <v>106.09090909090911</v>
      </c>
      <c r="AF66" s="1">
        <f t="shared" si="69"/>
        <v>106.34928229665073</v>
      </c>
      <c r="AG66" s="1">
        <f t="shared" si="69"/>
        <v>119.68421052631578</v>
      </c>
      <c r="AH66" s="1">
        <f t="shared" si="69"/>
        <v>108.66028708133972</v>
      </c>
      <c r="AI66" s="1">
        <f t="shared" si="69"/>
        <v>107.48325358851676</v>
      </c>
      <c r="AJ66" s="1">
        <f t="shared" si="69"/>
        <v>104.88516746411483</v>
      </c>
      <c r="AK66" s="1">
        <f t="shared" si="69"/>
        <v>102.5311004784689</v>
      </c>
      <c r="AL66" s="1">
        <f t="shared" si="69"/>
        <v>102.24401913875599</v>
      </c>
      <c r="AM66" s="1">
        <f t="shared" si="69"/>
        <v>104.00956937799043</v>
      </c>
      <c r="AN66" s="1">
        <f t="shared" si="69"/>
        <v>75.315789473684205</v>
      </c>
      <c r="AO66" s="1">
        <f t="shared" si="69"/>
        <v>102.83253588516746</v>
      </c>
      <c r="AP66" s="1">
        <f t="shared" si="69"/>
        <v>125.25358851674643</v>
      </c>
      <c r="AQ66" s="1">
        <f t="shared" si="69"/>
        <v>131.35406698564594</v>
      </c>
      <c r="AR66" s="1">
        <f t="shared" si="69"/>
        <v>132.97607655502392</v>
      </c>
      <c r="AS66" s="1">
        <f t="shared" si="69"/>
        <v>133.85167464114832</v>
      </c>
      <c r="AT66" s="1">
        <f t="shared" si="69"/>
        <v>130.37799043062202</v>
      </c>
    </row>
    <row r="67" spans="24:46" x14ac:dyDescent="0.35">
      <c r="X67" t="s">
        <v>346</v>
      </c>
      <c r="Y67" s="30" t="s">
        <v>459</v>
      </c>
      <c r="Z67" s="1">
        <f t="shared" ref="Z67:AT67" si="70">Y28</f>
        <v>57.703349282296649</v>
      </c>
      <c r="AA67" s="1">
        <f t="shared" si="70"/>
        <v>90.588516746411486</v>
      </c>
      <c r="AB67" s="1">
        <f t="shared" si="70"/>
        <v>111.64593301435407</v>
      </c>
      <c r="AC67" s="1">
        <f t="shared" si="70"/>
        <v>104.41148325358851</v>
      </c>
      <c r="AD67" s="1">
        <f t="shared" si="70"/>
        <v>109.96650717703348</v>
      </c>
      <c r="AE67" s="1">
        <f t="shared" si="70"/>
        <v>107.72727272727273</v>
      </c>
      <c r="AF67" s="1">
        <f t="shared" si="70"/>
        <v>108.45933014354067</v>
      </c>
      <c r="AG67" s="1">
        <f t="shared" si="70"/>
        <v>63.775119617224874</v>
      </c>
      <c r="AH67" s="1">
        <f t="shared" si="70"/>
        <v>87.74641148325361</v>
      </c>
      <c r="AI67" s="1">
        <f t="shared" si="70"/>
        <v>104.92822966507177</v>
      </c>
      <c r="AJ67" s="1">
        <f t="shared" si="70"/>
        <v>104.59808612440192</v>
      </c>
      <c r="AK67" s="1">
        <f t="shared" si="70"/>
        <v>105.04306220095694</v>
      </c>
      <c r="AL67" s="1">
        <f t="shared" si="70"/>
        <v>100.90909090909091</v>
      </c>
      <c r="AM67" s="1">
        <f t="shared" si="70"/>
        <v>105.933014354067</v>
      </c>
      <c r="AN67" s="1">
        <f t="shared" si="70"/>
        <v>10.794258373205743</v>
      </c>
      <c r="AO67" s="1">
        <f t="shared" si="70"/>
        <v>111.15789473684211</v>
      </c>
      <c r="AP67" s="1">
        <f t="shared" si="70"/>
        <v>131.03827751196172</v>
      </c>
      <c r="AQ67" s="1">
        <f t="shared" si="70"/>
        <v>136.22009569377991</v>
      </c>
      <c r="AR67" s="1">
        <f t="shared" si="70"/>
        <v>138.4019138755981</v>
      </c>
      <c r="AS67" s="1">
        <f t="shared" si="70"/>
        <v>138.31578947368419</v>
      </c>
      <c r="AT67" s="1">
        <f t="shared" si="70"/>
        <v>130.33492822966508</v>
      </c>
    </row>
    <row r="68" spans="24:46" x14ac:dyDescent="0.35">
      <c r="X68" t="s">
        <v>344</v>
      </c>
      <c r="Y68" s="30" t="s">
        <v>460</v>
      </c>
      <c r="Z68" s="1">
        <f t="shared" ref="Z68:AT68" si="71">Y31</f>
        <v>136.47846889952152</v>
      </c>
      <c r="AA68" s="1">
        <f t="shared" si="71"/>
        <v>134.97129186602874</v>
      </c>
      <c r="AB68" s="1">
        <f t="shared" si="71"/>
        <v>137.66985645933013</v>
      </c>
      <c r="AC68" s="1">
        <f t="shared" si="71"/>
        <v>138.20095693779905</v>
      </c>
      <c r="AD68" s="1">
        <f t="shared" si="71"/>
        <v>137.05263157894737</v>
      </c>
      <c r="AE68" s="1">
        <f t="shared" si="71"/>
        <v>143.75598086124404</v>
      </c>
      <c r="AF68" s="1">
        <f t="shared" si="71"/>
        <v>137.49760765550241</v>
      </c>
      <c r="AG68" s="1">
        <f t="shared" si="71"/>
        <v>82.289448209099703</v>
      </c>
      <c r="AH68" s="1">
        <f t="shared" si="71"/>
        <v>95.764762826718297</v>
      </c>
      <c r="AI68" s="1">
        <f t="shared" si="71"/>
        <v>89.840271055179088</v>
      </c>
      <c r="AJ68" s="1">
        <f t="shared" si="71"/>
        <v>96.519845111326248</v>
      </c>
      <c r="AK68" s="1">
        <f t="shared" si="71"/>
        <v>94.574056147144248</v>
      </c>
      <c r="AL68" s="1">
        <f t="shared" si="71"/>
        <v>98.654404646660197</v>
      </c>
      <c r="AM68" s="1">
        <f t="shared" si="71"/>
        <v>98.39303000968053</v>
      </c>
      <c r="AN68" s="1">
        <f t="shared" si="71"/>
        <v>126.50390624999999</v>
      </c>
      <c r="AO68" s="1">
        <f t="shared" si="71"/>
        <v>96.005859374999986</v>
      </c>
      <c r="AP68" s="1">
        <f t="shared" si="71"/>
        <v>103.28613281249999</v>
      </c>
      <c r="AQ68" s="1">
        <f t="shared" si="71"/>
        <v>110.52246093749999</v>
      </c>
      <c r="AR68" s="1">
        <f t="shared" si="71"/>
        <v>90.5712890625</v>
      </c>
      <c r="AS68" s="1">
        <f t="shared" si="71"/>
        <v>103.59375</v>
      </c>
      <c r="AT68" s="1">
        <f t="shared" si="71"/>
        <v>112.7197265625</v>
      </c>
    </row>
    <row r="69" spans="24:46" x14ac:dyDescent="0.35">
      <c r="X69" t="s">
        <v>345</v>
      </c>
      <c r="Y69" s="30" t="s">
        <v>460</v>
      </c>
      <c r="Z69" s="1">
        <f t="shared" ref="Z69:AT69" si="72">Y34</f>
        <v>114.78947368421053</v>
      </c>
      <c r="AA69" s="1">
        <f t="shared" si="72"/>
        <v>118.49282296650719</v>
      </c>
      <c r="AB69" s="1">
        <f t="shared" si="72"/>
        <v>130.60765550239236</v>
      </c>
      <c r="AC69" s="1">
        <f t="shared" si="72"/>
        <v>135.3732057416268</v>
      </c>
      <c r="AD69" s="1">
        <f t="shared" si="72"/>
        <v>137.38277511961724</v>
      </c>
      <c r="AE69" s="1">
        <f t="shared" si="72"/>
        <v>138.45933014354068</v>
      </c>
      <c r="AF69" s="1">
        <f t="shared" si="72"/>
        <v>139.0622009569378</v>
      </c>
      <c r="AG69" s="1">
        <f t="shared" si="72"/>
        <v>98.654404646660197</v>
      </c>
      <c r="AH69" s="1">
        <f t="shared" si="72"/>
        <v>102.60406582768636</v>
      </c>
      <c r="AI69" s="1">
        <f t="shared" si="72"/>
        <v>103.28654404646662</v>
      </c>
      <c r="AJ69" s="1">
        <f t="shared" si="72"/>
        <v>88.41723136495645</v>
      </c>
      <c r="AK69" s="1">
        <f t="shared" si="72"/>
        <v>94.980638915779281</v>
      </c>
      <c r="AL69" s="1">
        <f t="shared" si="72"/>
        <v>102.63310745401742</v>
      </c>
      <c r="AM69" s="1">
        <f t="shared" si="72"/>
        <v>99.249757986447236</v>
      </c>
      <c r="AN69" s="1">
        <f t="shared" si="72"/>
        <v>88.7841796875</v>
      </c>
      <c r="AO69" s="1">
        <f t="shared" si="72"/>
        <v>87.612304687499986</v>
      </c>
      <c r="AP69" s="1">
        <f t="shared" si="72"/>
        <v>94.599609375</v>
      </c>
      <c r="AQ69" s="1">
        <f t="shared" si="72"/>
        <v>69.462890624999986</v>
      </c>
      <c r="AR69" s="1">
        <f t="shared" si="72"/>
        <v>64.8046875</v>
      </c>
      <c r="AS69" s="1">
        <f t="shared" si="72"/>
        <v>84.873046874999986</v>
      </c>
      <c r="AT69" s="1">
        <f t="shared" si="72"/>
        <v>52.998046874999993</v>
      </c>
    </row>
    <row r="70" spans="24:46" x14ac:dyDescent="0.35">
      <c r="X70" t="s">
        <v>346</v>
      </c>
      <c r="Y70" s="30" t="s">
        <v>460</v>
      </c>
      <c r="Z70" s="1">
        <f t="shared" ref="Z70:AT70" si="73">Y37</f>
        <v>104.68421052631579</v>
      </c>
      <c r="AA70" s="1">
        <f t="shared" si="73"/>
        <v>105.44497607655504</v>
      </c>
      <c r="AB70" s="1">
        <f t="shared" si="73"/>
        <v>132.35885167464116</v>
      </c>
      <c r="AC70" s="1">
        <f t="shared" si="73"/>
        <v>139.17703349282297</v>
      </c>
      <c r="AD70" s="1">
        <f t="shared" si="73"/>
        <v>139.00478468899522</v>
      </c>
      <c r="AE70" s="1">
        <f t="shared" si="73"/>
        <v>141.21531100478467</v>
      </c>
      <c r="AF70" s="1">
        <f t="shared" si="73"/>
        <v>137.97129186602871</v>
      </c>
      <c r="AG70" s="1">
        <f t="shared" si="73"/>
        <v>67.478218780251694</v>
      </c>
      <c r="AH70" s="1">
        <f t="shared" si="73"/>
        <v>54.394966118102609</v>
      </c>
      <c r="AI70" s="1">
        <f t="shared" si="73"/>
        <v>80.648596321393995</v>
      </c>
      <c r="AJ70" s="1">
        <f t="shared" si="73"/>
        <v>86.602129719264298</v>
      </c>
      <c r="AK70" s="1">
        <f t="shared" si="73"/>
        <v>87.023233301064849</v>
      </c>
      <c r="AL70" s="1">
        <f t="shared" si="73"/>
        <v>94.719264278799599</v>
      </c>
      <c r="AM70" s="1">
        <f t="shared" si="73"/>
        <v>97.071636011616647</v>
      </c>
      <c r="AN70" s="1">
        <f t="shared" si="73"/>
        <v>25.766601562499996</v>
      </c>
      <c r="AO70" s="1">
        <f t="shared" si="73"/>
        <v>33.7646484375</v>
      </c>
      <c r="AP70" s="1">
        <f t="shared" si="73"/>
        <v>39.287109374999993</v>
      </c>
      <c r="AQ70" s="1">
        <f t="shared" si="73"/>
        <v>27.158203125</v>
      </c>
      <c r="AR70" s="1">
        <f t="shared" si="73"/>
        <v>48.911132812499993</v>
      </c>
      <c r="AS70" s="1">
        <f t="shared" si="73"/>
        <v>54.6240234375</v>
      </c>
      <c r="AT70" s="1">
        <f t="shared" si="73"/>
        <v>41.103515624999993</v>
      </c>
    </row>
    <row r="71" spans="24:46" x14ac:dyDescent="0.35">
      <c r="X71" t="s">
        <v>344</v>
      </c>
      <c r="Y71" s="30" t="s">
        <v>461</v>
      </c>
      <c r="Z71" s="1">
        <f t="shared" ref="Z71:AT71" si="74">Y40</f>
        <v>123.50867375489648</v>
      </c>
      <c r="AA71" s="1">
        <f t="shared" si="74"/>
        <v>127.06771124790151</v>
      </c>
      <c r="AB71" s="1">
        <f t="shared" si="74"/>
        <v>125.45607162842754</v>
      </c>
      <c r="AC71" s="1">
        <f t="shared" si="74"/>
        <v>121.9641857862339</v>
      </c>
      <c r="AD71" s="1">
        <f t="shared" si="74"/>
        <v>126.14437604924456</v>
      </c>
      <c r="AE71" s="1">
        <f t="shared" si="74"/>
        <v>118.8752098489088</v>
      </c>
      <c r="AF71" s="1">
        <f t="shared" si="74"/>
        <v>120.35254616675992</v>
      </c>
      <c r="AG71" s="1">
        <f t="shared" si="74"/>
        <v>96.026860660324573</v>
      </c>
      <c r="AH71" s="1">
        <f t="shared" si="74"/>
        <v>102.08729714605485</v>
      </c>
      <c r="AI71" s="1">
        <f t="shared" si="74"/>
        <v>100.24062674874091</v>
      </c>
      <c r="AJ71" s="1">
        <f t="shared" si="74"/>
        <v>99.770565193061003</v>
      </c>
      <c r="AK71" s="1">
        <f t="shared" si="74"/>
        <v>99.451594851706787</v>
      </c>
      <c r="AL71" s="1">
        <f t="shared" si="74"/>
        <v>101.0800223838836</v>
      </c>
      <c r="AM71" s="1">
        <f t="shared" si="74"/>
        <v>106.09960828203694</v>
      </c>
      <c r="AN71" s="1">
        <f t="shared" si="74"/>
        <v>131.96978175713485</v>
      </c>
      <c r="AO71" s="1">
        <f t="shared" si="74"/>
        <v>125.97649692221601</v>
      </c>
      <c r="AP71" s="1">
        <f t="shared" si="74"/>
        <v>107.94627867935087</v>
      </c>
      <c r="AQ71" s="1">
        <f t="shared" si="74"/>
        <v>92.283156127588143</v>
      </c>
      <c r="AR71" s="1">
        <f t="shared" si="74"/>
        <v>92.199216564073865</v>
      </c>
      <c r="AS71" s="1">
        <f t="shared" si="74"/>
        <v>88.102965864577499</v>
      </c>
      <c r="AT71" s="1">
        <f t="shared" si="74"/>
        <v>102.59093452714045</v>
      </c>
    </row>
    <row r="72" spans="24:46" x14ac:dyDescent="0.35">
      <c r="X72" t="s">
        <v>345</v>
      </c>
      <c r="Y72" s="30" t="s">
        <v>461</v>
      </c>
      <c r="Z72" s="1">
        <f t="shared" ref="Z72:AT72" si="75">Y43</f>
        <v>39.65304980414102</v>
      </c>
      <c r="AA72" s="1">
        <f t="shared" si="75"/>
        <v>84.862898712926693</v>
      </c>
      <c r="AB72" s="1">
        <f t="shared" si="75"/>
        <v>116.1387800783436</v>
      </c>
      <c r="AC72" s="1">
        <f t="shared" si="75"/>
        <v>120.47006155567991</v>
      </c>
      <c r="AD72" s="1">
        <f t="shared" si="75"/>
        <v>126.1275881365417</v>
      </c>
      <c r="AE72" s="1">
        <f t="shared" si="75"/>
        <v>120.83939563514271</v>
      </c>
      <c r="AF72" s="1">
        <f t="shared" si="75"/>
        <v>120.35254616675992</v>
      </c>
      <c r="AG72" s="1">
        <f t="shared" si="75"/>
        <v>81.052042529378852</v>
      </c>
      <c r="AH72" s="1">
        <f t="shared" si="75"/>
        <v>83.100167879127042</v>
      </c>
      <c r="AI72" s="1">
        <f t="shared" si="75"/>
        <v>92.887520984890884</v>
      </c>
      <c r="AJ72" s="1">
        <f t="shared" si="75"/>
        <v>96.983771684387236</v>
      </c>
      <c r="AK72" s="1">
        <f t="shared" si="75"/>
        <v>99.283715724678217</v>
      </c>
      <c r="AL72" s="1">
        <f t="shared" si="75"/>
        <v>98.763290430889768</v>
      </c>
      <c r="AM72" s="1">
        <f t="shared" si="75"/>
        <v>99.703413542249578</v>
      </c>
      <c r="AN72" s="1">
        <f t="shared" si="75"/>
        <v>75.780637940682723</v>
      </c>
      <c r="AO72" s="1">
        <f t="shared" si="75"/>
        <v>115.60156687185227</v>
      </c>
      <c r="AP72" s="1">
        <f t="shared" si="75"/>
        <v>112.98265249020706</v>
      </c>
      <c r="AQ72" s="1">
        <f t="shared" si="75"/>
        <v>115.48405148293229</v>
      </c>
      <c r="AR72" s="1">
        <f t="shared" si="75"/>
        <v>100.96250699496363</v>
      </c>
      <c r="AS72" s="1">
        <f t="shared" si="75"/>
        <v>90.285394515948525</v>
      </c>
      <c r="AT72" s="1">
        <f t="shared" si="75"/>
        <v>86.759932848349195</v>
      </c>
    </row>
    <row r="73" spans="24:46" x14ac:dyDescent="0.35">
      <c r="X73" t="s">
        <v>346</v>
      </c>
      <c r="Y73" s="30" t="s">
        <v>461</v>
      </c>
      <c r="Z73" s="1">
        <f t="shared" ref="Z73:AT73" si="76">Y46</f>
        <v>19.222160044767769</v>
      </c>
      <c r="AA73" s="1">
        <f t="shared" si="76"/>
        <v>72.255176273083379</v>
      </c>
      <c r="AB73" s="1">
        <f t="shared" si="76"/>
        <v>119.71460548405149</v>
      </c>
      <c r="AC73" s="1">
        <f t="shared" si="76"/>
        <v>126.88304420817012</v>
      </c>
      <c r="AD73" s="1">
        <f t="shared" si="76"/>
        <v>124.33128147733632</v>
      </c>
      <c r="AE73" s="1">
        <f t="shared" si="76"/>
        <v>127.08449916060437</v>
      </c>
      <c r="AF73" s="1">
        <f t="shared" si="76"/>
        <v>125.77504196978175</v>
      </c>
      <c r="AG73" s="1">
        <f t="shared" si="76"/>
        <v>31.82988248461108</v>
      </c>
      <c r="AH73" s="1">
        <f t="shared" si="76"/>
        <v>69.820928931169561</v>
      </c>
      <c r="AI73" s="1">
        <f t="shared" si="76"/>
        <v>97.974258533855647</v>
      </c>
      <c r="AJ73" s="1">
        <f t="shared" si="76"/>
        <v>102.85954113038612</v>
      </c>
      <c r="AK73" s="1">
        <f t="shared" si="76"/>
        <v>102.6077224398433</v>
      </c>
      <c r="AL73" s="1">
        <f t="shared" si="76"/>
        <v>105.99888080581981</v>
      </c>
      <c r="AM73" s="1">
        <f t="shared" si="76"/>
        <v>105.66312255176273</v>
      </c>
      <c r="AN73" s="1">
        <f t="shared" si="76"/>
        <v>83.687744823726931</v>
      </c>
      <c r="AO73" s="1">
        <f t="shared" si="76"/>
        <v>128.54504756575267</v>
      </c>
      <c r="AP73" s="1">
        <f t="shared" si="76"/>
        <v>136.36821488528258</v>
      </c>
      <c r="AQ73" s="1">
        <f t="shared" si="76"/>
        <v>115.50083939563515</v>
      </c>
      <c r="AR73" s="1">
        <f t="shared" si="76"/>
        <v>106.45215444879686</v>
      </c>
      <c r="AS73" s="1">
        <f t="shared" si="76"/>
        <v>101.13038612199216</v>
      </c>
      <c r="AT73" s="1">
        <f t="shared" si="76"/>
        <v>101.0800223838836</v>
      </c>
    </row>
    <row r="74" spans="24:46" x14ac:dyDescent="0.35">
      <c r="X74" t="s">
        <v>344</v>
      </c>
      <c r="Y74" s="30" t="s">
        <v>462</v>
      </c>
      <c r="Z74" s="1">
        <f t="shared" ref="Z74:AT74" si="77">Y49</f>
        <v>141.52210408505874</v>
      </c>
      <c r="AA74" s="1">
        <f t="shared" si="77"/>
        <v>125.54001119194179</v>
      </c>
      <c r="AB74" s="1">
        <f t="shared" si="77"/>
        <v>109.42361499720201</v>
      </c>
      <c r="AC74" s="1">
        <f t="shared" si="77"/>
        <v>109.1382204812535</v>
      </c>
      <c r="AD74" s="1">
        <f t="shared" si="77"/>
        <v>110.73307218802462</v>
      </c>
      <c r="AE74" s="1">
        <f t="shared" si="77"/>
        <v>110.43088975937326</v>
      </c>
      <c r="AF74" s="1">
        <f t="shared" si="77"/>
        <v>116.47453833240067</v>
      </c>
      <c r="AG74" s="1">
        <f t="shared" si="77"/>
        <v>138.66815892557361</v>
      </c>
      <c r="AH74" s="1">
        <f t="shared" si="77"/>
        <v>126.93340794627868</v>
      </c>
      <c r="AI74" s="1">
        <f t="shared" si="77"/>
        <v>109.97761611639619</v>
      </c>
      <c r="AJ74" s="1">
        <f t="shared" si="77"/>
        <v>112.61331841074428</v>
      </c>
      <c r="AK74" s="1">
        <f t="shared" si="77"/>
        <v>116.60884163402351</v>
      </c>
      <c r="AL74" s="1">
        <f t="shared" si="77"/>
        <v>116.67599328483493</v>
      </c>
      <c r="AM74" s="1">
        <f t="shared" si="77"/>
        <v>119.02630106323447</v>
      </c>
      <c r="AN74" s="1">
        <f t="shared" si="77"/>
        <v>138.03886925795052</v>
      </c>
      <c r="AO74" s="1">
        <f t="shared" si="77"/>
        <v>135.31802120141342</v>
      </c>
      <c r="AP74" s="1">
        <f t="shared" si="77"/>
        <v>141.62544169611309</v>
      </c>
      <c r="AQ74" s="1">
        <f t="shared" si="77"/>
        <v>132.49116607773851</v>
      </c>
      <c r="AR74" s="1">
        <f t="shared" si="77"/>
        <v>133.07420494699647</v>
      </c>
      <c r="AS74" s="1">
        <f t="shared" si="77"/>
        <v>135.35335689045934</v>
      </c>
      <c r="AT74" s="1">
        <f t="shared" si="77"/>
        <v>133.93992932862193</v>
      </c>
    </row>
    <row r="75" spans="24:46" x14ac:dyDescent="0.35">
      <c r="X75" t="s">
        <v>345</v>
      </c>
      <c r="Y75" s="30" t="s">
        <v>462</v>
      </c>
      <c r="Z75" s="1">
        <f t="shared" ref="Z75:AT75" si="78">Y52</f>
        <v>18.382764409625072</v>
      </c>
      <c r="AA75" s="1">
        <f t="shared" si="78"/>
        <v>15.243424734191384</v>
      </c>
      <c r="AB75" s="1">
        <f t="shared" si="78"/>
        <v>17.341913822048124</v>
      </c>
      <c r="AC75" s="1">
        <f t="shared" si="78"/>
        <v>20.716284275321769</v>
      </c>
      <c r="AD75" s="1">
        <f t="shared" si="78"/>
        <v>33.72691662003357</v>
      </c>
      <c r="AE75" s="1">
        <f t="shared" si="78"/>
        <v>54.745383324006724</v>
      </c>
      <c r="AF75" s="1">
        <f t="shared" si="78"/>
        <v>66.799104644655856</v>
      </c>
      <c r="AG75" s="1">
        <f t="shared" si="78"/>
        <v>5.1538891997761613</v>
      </c>
      <c r="AH75" s="1">
        <f t="shared" si="78"/>
        <v>5.3385562395075548</v>
      </c>
      <c r="AI75" s="1">
        <f t="shared" si="78"/>
        <v>7.9238947957470618</v>
      </c>
      <c r="AJ75" s="1">
        <f t="shared" si="78"/>
        <v>11.701175153889199</v>
      </c>
      <c r="AK75" s="1">
        <f t="shared" si="78"/>
        <v>49.104644655847785</v>
      </c>
      <c r="AL75" s="1">
        <f t="shared" si="78"/>
        <v>73.984331281477338</v>
      </c>
      <c r="AM75" s="1">
        <f t="shared" si="78"/>
        <v>88.455512031337435</v>
      </c>
      <c r="AN75" s="1">
        <f t="shared" si="78"/>
        <v>100.17667844522967</v>
      </c>
      <c r="AO75" s="1">
        <f t="shared" si="78"/>
        <v>101.74911660777386</v>
      </c>
      <c r="AP75" s="1">
        <f t="shared" si="78"/>
        <v>95.954063604240275</v>
      </c>
      <c r="AQ75" s="1">
        <f t="shared" si="78"/>
        <v>102.73851590106007</v>
      </c>
      <c r="AR75" s="1">
        <f t="shared" si="78"/>
        <v>115.03533568904594</v>
      </c>
      <c r="AS75" s="1">
        <f t="shared" si="78"/>
        <v>118.18021201413427</v>
      </c>
      <c r="AT75" s="1">
        <f t="shared" si="78"/>
        <v>118.60424028268551</v>
      </c>
    </row>
    <row r="76" spans="24:46" x14ac:dyDescent="0.35">
      <c r="X76" t="s">
        <v>346</v>
      </c>
      <c r="Y76" s="30" t="s">
        <v>462</v>
      </c>
      <c r="Z76" s="1">
        <f t="shared" ref="Z76:AT76" si="79">Y55</f>
        <v>3.4583100167879128</v>
      </c>
      <c r="AA76" s="1">
        <f t="shared" si="79"/>
        <v>5.5735870173475099</v>
      </c>
      <c r="AB76" s="1">
        <f t="shared" si="79"/>
        <v>3.2400671516508113</v>
      </c>
      <c r="AC76" s="1">
        <f t="shared" si="79"/>
        <v>9.6698377168438707</v>
      </c>
      <c r="AD76" s="1">
        <f t="shared" si="79"/>
        <v>26.323447118074991</v>
      </c>
      <c r="AE76" s="1">
        <f t="shared" si="79"/>
        <v>49.709009513150527</v>
      </c>
      <c r="AF76" s="1">
        <f t="shared" si="79"/>
        <v>63.911583659764965</v>
      </c>
      <c r="AG76" s="1">
        <f t="shared" si="79"/>
        <v>6.3122551762730845</v>
      </c>
      <c r="AH76" s="1">
        <f t="shared" si="79"/>
        <v>3.4415221040850588</v>
      </c>
      <c r="AI76" s="1">
        <f t="shared" si="79"/>
        <v>1.5109121432568551</v>
      </c>
      <c r="AJ76" s="1">
        <f t="shared" si="79"/>
        <v>12.120872971460548</v>
      </c>
      <c r="AK76" s="1">
        <f t="shared" si="79"/>
        <v>49.776161163961945</v>
      </c>
      <c r="AL76" s="1">
        <f t="shared" si="79"/>
        <v>77.996642417459427</v>
      </c>
      <c r="AM76" s="1">
        <f t="shared" si="79"/>
        <v>95.388919977616112</v>
      </c>
      <c r="AN76" s="1">
        <f t="shared" si="79"/>
        <v>113.37455830388691</v>
      </c>
      <c r="AO76" s="1">
        <f t="shared" si="79"/>
        <v>103.67491166077738</v>
      </c>
      <c r="AP76" s="1">
        <f t="shared" si="79"/>
        <v>109.89399293286219</v>
      </c>
      <c r="AQ76" s="1">
        <f t="shared" si="79"/>
        <v>117.17314487632508</v>
      </c>
      <c r="AR76" s="1">
        <f t="shared" si="79"/>
        <v>131.60777385159011</v>
      </c>
      <c r="AS76" s="1">
        <f t="shared" si="79"/>
        <v>136.13074204946997</v>
      </c>
      <c r="AT76" s="1">
        <f t="shared" si="79"/>
        <v>133.32155477031802</v>
      </c>
    </row>
    <row r="79" spans="24:46" x14ac:dyDescent="0.35">
      <c r="X79" t="s">
        <v>530</v>
      </c>
    </row>
    <row r="80" spans="24:46" x14ac:dyDescent="0.35">
      <c r="X80" t="s">
        <v>529</v>
      </c>
      <c r="Y80" t="s">
        <v>528</v>
      </c>
    </row>
    <row r="81" spans="24:25" x14ac:dyDescent="0.35">
      <c r="X81">
        <v>0</v>
      </c>
      <c r="Y81" s="1">
        <f>AVERAGE(H52:H53)</f>
        <v>52.665283822502914</v>
      </c>
    </row>
    <row r="82" spans="24:25" x14ac:dyDescent="0.35">
      <c r="X82">
        <f t="shared" ref="X82:X87" si="80">X81+30</f>
        <v>30</v>
      </c>
      <c r="Y82" s="1">
        <f>AVERAGE(I51:I53)</f>
        <v>40.777032527157594</v>
      </c>
    </row>
    <row r="83" spans="24:25" x14ac:dyDescent="0.35">
      <c r="X83">
        <f t="shared" si="80"/>
        <v>60</v>
      </c>
      <c r="Y83" s="1">
        <f>AVERAGE(J51:J53)</f>
        <v>40.406624074011823</v>
      </c>
    </row>
    <row r="84" spans="24:25" x14ac:dyDescent="0.35">
      <c r="X84">
        <f t="shared" si="80"/>
        <v>90</v>
      </c>
      <c r="Y84" s="1">
        <f>AVERAGE(K51:K53)</f>
        <v>45.051991776757006</v>
      </c>
    </row>
    <row r="85" spans="24:25" x14ac:dyDescent="0.35">
      <c r="X85">
        <f t="shared" si="80"/>
        <v>120</v>
      </c>
      <c r="Y85" s="1">
        <f>AVERAGE(L51:L53)</f>
        <v>65.955632321642426</v>
      </c>
    </row>
    <row r="86" spans="24:25" x14ac:dyDescent="0.35">
      <c r="X86">
        <f t="shared" si="80"/>
        <v>150</v>
      </c>
      <c r="Y86" s="1">
        <f>AVERAGE(M51:M53)</f>
        <v>82.303308873206106</v>
      </c>
    </row>
    <row r="87" spans="24:25" x14ac:dyDescent="0.35">
      <c r="X87">
        <f t="shared" si="80"/>
        <v>180</v>
      </c>
      <c r="Y87" s="1">
        <f>AVERAGE(N51:N53)</f>
        <v>91.286285652892943</v>
      </c>
    </row>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84C424-21C7-4456-9F22-E8CECE136337}">
  <sheetPr codeName="Sheet18">
    <tabColor theme="8" tint="0.39997558519241921"/>
  </sheetPr>
  <dimension ref="A1:AW146"/>
  <sheetViews>
    <sheetView topLeftCell="F1" zoomScale="75" zoomScaleNormal="75" workbookViewId="0">
      <selection activeCell="W26" sqref="W26"/>
    </sheetView>
  </sheetViews>
  <sheetFormatPr defaultColWidth="11" defaultRowHeight="15.5" x14ac:dyDescent="0.35"/>
  <cols>
    <col min="1" max="1" width="14.6640625" style="65" customWidth="1"/>
    <col min="2" max="2" width="12.08203125" style="4" customWidth="1"/>
    <col min="3" max="3" width="41.33203125" style="4" customWidth="1"/>
    <col min="4" max="4" width="8.5" style="4" customWidth="1"/>
    <col min="5" max="25" width="11" style="4"/>
    <col min="27" max="27" width="17" customWidth="1"/>
  </cols>
  <sheetData>
    <row r="1" spans="1:48" ht="23.5" x14ac:dyDescent="0.35">
      <c r="A1" s="50" t="s">
        <v>467</v>
      </c>
      <c r="C1" s="26" t="s">
        <v>468</v>
      </c>
      <c r="F1" s="70" t="s">
        <v>22</v>
      </c>
      <c r="G1" s="26" t="s">
        <v>527</v>
      </c>
    </row>
    <row r="2" spans="1:48" ht="49.5" customHeight="1" x14ac:dyDescent="0.35">
      <c r="A2" s="18"/>
      <c r="B2" s="18" t="s">
        <v>433</v>
      </c>
      <c r="C2" s="18" t="s">
        <v>466</v>
      </c>
      <c r="D2" s="18" t="s">
        <v>497</v>
      </c>
      <c r="E2" s="18" t="s">
        <v>387</v>
      </c>
      <c r="F2" s="18" t="s">
        <v>404</v>
      </c>
      <c r="G2" s="18" t="s">
        <v>454</v>
      </c>
      <c r="H2" s="18">
        <v>0</v>
      </c>
      <c r="I2" s="18">
        <v>30</v>
      </c>
      <c r="J2" s="18">
        <v>60</v>
      </c>
      <c r="K2" s="18">
        <v>90</v>
      </c>
      <c r="L2" s="18">
        <v>120</v>
      </c>
      <c r="M2" s="18">
        <v>150</v>
      </c>
      <c r="N2" s="18">
        <v>180</v>
      </c>
      <c r="O2" s="19" t="s">
        <v>340</v>
      </c>
      <c r="P2" s="19" t="s">
        <v>547</v>
      </c>
      <c r="Q2" s="19" t="s">
        <v>340</v>
      </c>
      <c r="R2" s="19" t="s">
        <v>341</v>
      </c>
      <c r="S2" s="19" t="s">
        <v>342</v>
      </c>
      <c r="T2" s="19" t="s">
        <v>547</v>
      </c>
      <c r="U2" s="19" t="s">
        <v>475</v>
      </c>
      <c r="V2" s="19" t="s">
        <v>533</v>
      </c>
      <c r="W2" s="19" t="s">
        <v>547</v>
      </c>
      <c r="X2" s="19" t="s">
        <v>579</v>
      </c>
      <c r="Y2" s="19" t="s">
        <v>580</v>
      </c>
    </row>
    <row r="3" spans="1:48" x14ac:dyDescent="0.35">
      <c r="A3" s="41">
        <f>IFERROR(INDEX('Date Key'!$B$2:$B$19, MATCH(F3,'Date Key'!$A$2:$A$19, 0)), "")</f>
        <v>45175</v>
      </c>
      <c r="B3" s="4">
        <f>INT((ROW(A1)-1)/9)+1</f>
        <v>1</v>
      </c>
      <c r="C3" s="26" t="str">
        <f>IFERROR(INDEX('Date Key'!$G$57:$G$62, MATCH(B3,'Date Key'!$A$57:$A$62, 0)), "")</f>
        <v>Low HLR, Lower Outlet Height, No Plants</v>
      </c>
      <c r="D3" s="4" t="str">
        <f>IFERROR(INDEX('Date Key'!$G$2:$G$19, MATCH(F3, 'Date Key'!$A$2:$A$19, 0)), "")</f>
        <v>No</v>
      </c>
      <c r="E3" s="4" t="str">
        <f>CHOOSE(MOD(ROW(G3)-ROW($G$3), 9) + 1, "in", "in", "in", "tank 1", "tank 1", "tank 1", "tank 2", "tank 2", "tank 2")</f>
        <v>in</v>
      </c>
      <c r="F3" s="4">
        <f>MOD(ROW(G3)-ROW($G$3), 3) + 1 + 3 * INT((ROW(G3)-ROW($G$3))/9)</f>
        <v>1</v>
      </c>
      <c r="G3" s="4">
        <f>MOD(ROW(G3)-ROW($G$3), 3) + 1</f>
        <v>1</v>
      </c>
      <c r="H3" s="11" cm="1">
        <f t="array" ref="H3">IFERROR(INDEX('Master Data Sheet'!$1:$1048576, MATCH(1, ('Master Data Sheet'!$H:$H=H$2) * (INDEX('Master Data Sheet'!$1:$1, , MATCH($F$1, 'Master Data Sheet'!$1:$1, 0)) = $F$1) * ('Master Data Sheet'!$G:$G=$B3) * ('Master Data Sheet'!$F:$F=$E3) * ('Master Data Sheet'!$A:$A=$F3), 0), MATCH($F$1, 'Master Data Sheet'!$1:$1, 0)), "")</f>
        <v>6.7864258201379855</v>
      </c>
      <c r="I3" s="11" cm="1">
        <f t="array" ref="I3">IFERROR(INDEX('Master Data Sheet'!$1:$1048576, MATCH(1, ('Master Data Sheet'!$H:$H=I$2) * (INDEX('Master Data Sheet'!$1:$1, , MATCH($F$1, 'Master Data Sheet'!$1:$1, 0)) = $F$1) * ('Master Data Sheet'!$G:$G=$B3) * ('Master Data Sheet'!$F:$F=$E3) * ('Master Data Sheet'!$A:$A=$F3), 0), MATCH($F$1, 'Master Data Sheet'!$1:$1, 0)), "")</f>
        <v>3.6718610975715427</v>
      </c>
      <c r="J3" s="11" cm="1">
        <f t="array" ref="J3">IFERROR(INDEX('Master Data Sheet'!$1:$1048576, MATCH(1, ('Master Data Sheet'!$H:$H=J$2) * (INDEX('Master Data Sheet'!$1:$1, , MATCH($F$1, 'Master Data Sheet'!$1:$1, 0)) = $F$1) * ('Master Data Sheet'!$G:$G=$B3) * ('Master Data Sheet'!$F:$F=$E3) * ('Master Data Sheet'!$A:$A=$F3), 0), MATCH($F$1, 'Master Data Sheet'!$1:$1, 0)), "")</f>
        <v>3.9701639422620665</v>
      </c>
      <c r="K3" s="11" cm="1">
        <f t="array" ref="K3">IFERROR(INDEX('Master Data Sheet'!$1:$1048576, MATCH(1, ('Master Data Sheet'!$H:$H=K$2) * (INDEX('Master Data Sheet'!$1:$1, , MATCH($F$1, 'Master Data Sheet'!$1:$1, 0)) = $F$1) * ('Master Data Sheet'!$G:$G=$B3) * ('Master Data Sheet'!$F:$F=$E3) * ('Master Data Sheet'!$A:$A=$F3), 0), MATCH($F$1, 'Master Data Sheet'!$1:$1, 0)), "")</f>
        <v>3.6579243049808268</v>
      </c>
      <c r="L3" s="11" cm="1">
        <f t="array" ref="L3">IFERROR(INDEX('Master Data Sheet'!$1:$1048576, MATCH(1, ('Master Data Sheet'!$H:$H=L$2) * (INDEX('Master Data Sheet'!$1:$1, , MATCH($F$1, 'Master Data Sheet'!$1:$1, 0)) = $F$1) * ('Master Data Sheet'!$G:$G=$B3) * ('Master Data Sheet'!$F:$F=$E3) * ('Master Data Sheet'!$A:$A=$F3), 0), MATCH($F$1, 'Master Data Sheet'!$1:$1, 0)), "")</f>
        <v>2.800981582233288</v>
      </c>
      <c r="M3" s="11" cm="1">
        <f t="array" ref="M3">IFERROR(INDEX('Master Data Sheet'!$1:$1048576, MATCH(1, ('Master Data Sheet'!$H:$H=M$2) * (INDEX('Master Data Sheet'!$1:$1, , MATCH($F$1, 'Master Data Sheet'!$1:$1, 0)) = $F$1) * ('Master Data Sheet'!$G:$G=$B3) * ('Master Data Sheet'!$F:$F=$E3) * ('Master Data Sheet'!$A:$A=$F3), 0), MATCH($F$1, 'Master Data Sheet'!$1:$1, 0)), "")</f>
        <v>3.2223223100286869</v>
      </c>
      <c r="N3" s="11" cm="1">
        <f t="array" ref="N3">IFERROR(INDEX('Master Data Sheet'!$1:$1048576, MATCH(1, ('Master Data Sheet'!$H:$H=N$2) * (INDEX('Master Data Sheet'!$1:$1, , MATCH($F$1, 'Master Data Sheet'!$1:$1, 0)) = $F$1) * ('Master Data Sheet'!$G:$G=$B3) * ('Master Data Sheet'!$F:$F=$E3) * ('Master Data Sheet'!$A:$A=$F3), 0), MATCH($F$1, 'Master Data Sheet'!$1:$1, 0)), "")</f>
        <v>3.5667076301494847</v>
      </c>
      <c r="O3" s="11">
        <f>AVERAGE(H3:N3)</f>
        <v>3.9537695267662687</v>
      </c>
      <c r="P3" s="11">
        <f>STDEV(H3:N3)</f>
        <v>1.3041574035041734</v>
      </c>
      <c r="Q3" s="11">
        <f>AVERAGE(O3,O5)</f>
        <v>2.7216552525675235</v>
      </c>
      <c r="S3" s="46">
        <f>AVERAGE(O3:O5)</f>
        <v>2.7915126589300621</v>
      </c>
      <c r="T3" s="46">
        <f>AVERAGE(P3:P5)</f>
        <v>1.4735839862941436</v>
      </c>
      <c r="V3" s="47">
        <f>AVERAGE(U6, U9)</f>
        <v>74.188807335578403</v>
      </c>
      <c r="W3" s="47">
        <f>_xlfn.STDEV.S(U6,U9)</f>
        <v>6.0978718791580153</v>
      </c>
      <c r="X3" s="47"/>
      <c r="Y3" s="47"/>
      <c r="AA3" t="s">
        <v>343</v>
      </c>
    </row>
    <row r="4" spans="1:48" x14ac:dyDescent="0.35">
      <c r="A4" s="41">
        <f>IFERROR(INDEX('Date Key'!$B$2:$B$19, MATCH(F4,'Date Key'!$A$2:$A$19, 0)), "")</f>
        <v>45181</v>
      </c>
      <c r="B4" s="4">
        <f t="shared" ref="B4:B11" si="0">INT((ROW(B2)-1)/9)+1</f>
        <v>1</v>
      </c>
      <c r="C4" s="26" t="str">
        <f>IFERROR(INDEX('Date Key'!$G$57:$G$62, MATCH(B4,'Date Key'!$A$57:$A$62, 0)), "")</f>
        <v>Low HLR, Lower Outlet Height, No Plants</v>
      </c>
      <c r="D4" s="4" t="str">
        <f>IFERROR(INDEX('Date Key'!$G$2:$G$19, MATCH(F4, 'Date Key'!$A$2:$A$19, 0)), "")</f>
        <v>No</v>
      </c>
      <c r="E4" s="4" t="str">
        <f t="shared" ref="E4:E56" si="1">CHOOSE(MOD(ROW(G4)-ROW($G$3), 9) + 1, "in", "in", "in", "tank 1", "tank 1", "tank 1", "tank 2", "tank 2", "tank 2")</f>
        <v>in</v>
      </c>
      <c r="F4" s="4">
        <f t="shared" ref="F4:F56" si="2">MOD(ROW(G4)-ROW($G$3), 3) + 1 + 3 * INT((ROW(G4)-ROW($G$3))/9)</f>
        <v>2</v>
      </c>
      <c r="G4" s="4">
        <f t="shared" ref="G4:G15" si="3">MOD(ROW(G4)-ROW($G$3), 3) + 1</f>
        <v>2</v>
      </c>
      <c r="H4" s="11" cm="1">
        <f t="array" ref="H4">IFERROR(INDEX('Master Data Sheet'!$1:$1048576, MATCH(1, ('Master Data Sheet'!$H:$H=H$2) * (INDEX('Master Data Sheet'!$1:$1, , MATCH($F$1, 'Master Data Sheet'!$1:$1, 0)) = $F$1) * ('Master Data Sheet'!$G:$G=$B4) * ('Master Data Sheet'!$F:$F=$E4) * ('Master Data Sheet'!$A:$A=$F4), 0), MATCH($F$1, 'Master Data Sheet'!$1:$1, 0)), "")</f>
        <v>6.0052880352484941</v>
      </c>
      <c r="I4" s="11" cm="1">
        <f t="array" ref="I4">IFERROR(INDEX('Master Data Sheet'!$1:$1048576, MATCH(1, ('Master Data Sheet'!$H:$H=I$2) * (INDEX('Master Data Sheet'!$1:$1, , MATCH($F$1, 'Master Data Sheet'!$1:$1, 0)) = $F$1) * ('Master Data Sheet'!$G:$G=$B4) * ('Master Data Sheet'!$F:$F=$E4) * ('Master Data Sheet'!$A:$A=$F4), 0), MATCH($F$1, 'Master Data Sheet'!$1:$1, 0)), "")</f>
        <v>2.605218021341932</v>
      </c>
      <c r="J4" s="11" cm="1">
        <f t="array" ref="J4">IFERROR(INDEX('Master Data Sheet'!$1:$1048576, MATCH(1, ('Master Data Sheet'!$H:$H=J$2) * (INDEX('Master Data Sheet'!$1:$1, , MATCH($F$1, 'Master Data Sheet'!$1:$1, 0)) = $F$1) * ('Master Data Sheet'!$G:$G=$B4) * ('Master Data Sheet'!$F:$F=$E4) * ('Master Data Sheet'!$A:$A=$F4), 0), MATCH($F$1, 'Master Data Sheet'!$1:$1, 0)), "")</f>
        <v>1.9785209571728168</v>
      </c>
      <c r="K4" s="11" cm="1">
        <f t="array" ref="K4">IFERROR(INDEX('Master Data Sheet'!$1:$1048576, MATCH(1, ('Master Data Sheet'!$H:$H=K$2) * (INDEX('Master Data Sheet'!$1:$1, , MATCH($F$1, 'Master Data Sheet'!$1:$1, 0)) = $F$1) * ('Master Data Sheet'!$G:$G=$B4) * ('Master Data Sheet'!$F:$F=$E4) * ('Master Data Sheet'!$A:$A=$F4), 0), MATCH($F$1, 'Master Data Sheet'!$1:$1, 0)), "")</f>
        <v>1.9609170627724697</v>
      </c>
      <c r="L4" s="11" cm="1">
        <f t="array" ref="L4">IFERROR(INDEX('Master Data Sheet'!$1:$1048576, MATCH(1, ('Master Data Sheet'!$H:$H=L$2) * (INDEX('Master Data Sheet'!$1:$1, , MATCH($F$1, 'Master Data Sheet'!$1:$1, 0)) = $F$1) * ('Master Data Sheet'!$G:$G=$B4) * ('Master Data Sheet'!$F:$F=$E4) * ('Master Data Sheet'!$A:$A=$F4), 0), MATCH($F$1, 'Master Data Sheet'!$1:$1, 0)), "")</f>
        <v>1.9567892225347985</v>
      </c>
      <c r="M4" s="11" cm="1">
        <f t="array" ref="M4">IFERROR(INDEX('Master Data Sheet'!$1:$1048576, MATCH(1, ('Master Data Sheet'!$H:$H=M$2) * (INDEX('Master Data Sheet'!$1:$1, , MATCH($F$1, 'Master Data Sheet'!$1:$1, 0)) = $F$1) * ('Master Data Sheet'!$G:$G=$B4) * ('Master Data Sheet'!$F:$F=$E4) * ('Master Data Sheet'!$A:$A=$F4), 0), MATCH($F$1, 'Master Data Sheet'!$1:$1, 0)), "")</f>
        <v>2.4717146617135231</v>
      </c>
      <c r="N4" s="11" cm="1">
        <f t="array" ref="N4">IFERROR(INDEX('Master Data Sheet'!$1:$1048576, MATCH(1, ('Master Data Sheet'!$H:$H=N$2) * (INDEX('Master Data Sheet'!$1:$1, , MATCH($F$1, 'Master Data Sheet'!$1:$1, 0)) = $F$1) * ('Master Data Sheet'!$G:$G=$B4) * ('Master Data Sheet'!$F:$F=$E4) * ('Master Data Sheet'!$A:$A=$F4), 0), MATCH($F$1, 'Master Data Sheet'!$1:$1, 0)), "")</f>
        <v>3.5401443408019464</v>
      </c>
      <c r="O4" s="11">
        <f>AVERAGE(H4:N4)</f>
        <v>2.9312274716551405</v>
      </c>
      <c r="P4" s="11">
        <f t="shared" ref="P4:P56" si="4">STDEV(H4:N4)</f>
        <v>1.4683746218203999</v>
      </c>
      <c r="Q4" s="11"/>
      <c r="W4" s="47"/>
      <c r="AA4" t="str">
        <f>IFERROR(INDEX('Date Key'!$G$57:$G$62, MATCH(B3,'Date Key'!$A$57:$A$62, 0)), "")</f>
        <v>Low HLR, Lower Outlet Height, No Plants</v>
      </c>
      <c r="AB4" s="1">
        <f t="shared" ref="AB4:AH4" si="5">H3</f>
        <v>6.7864258201379855</v>
      </c>
      <c r="AC4" s="1">
        <f t="shared" si="5"/>
        <v>3.6718610975715427</v>
      </c>
      <c r="AD4" s="1">
        <f t="shared" si="5"/>
        <v>3.9701639422620665</v>
      </c>
      <c r="AE4" s="1">
        <f t="shared" si="5"/>
        <v>3.6579243049808268</v>
      </c>
      <c r="AF4" s="1">
        <f t="shared" si="5"/>
        <v>2.800981582233288</v>
      </c>
      <c r="AG4" s="1">
        <f t="shared" si="5"/>
        <v>3.2223223100286869</v>
      </c>
      <c r="AH4" s="1">
        <f t="shared" si="5"/>
        <v>3.5667076301494847</v>
      </c>
      <c r="AI4" s="1">
        <f t="shared" ref="AI4:AO4" si="6">H4</f>
        <v>6.0052880352484941</v>
      </c>
      <c r="AJ4" s="1">
        <f t="shared" si="6"/>
        <v>2.605218021341932</v>
      </c>
      <c r="AK4" s="1">
        <f t="shared" si="6"/>
        <v>1.9785209571728168</v>
      </c>
      <c r="AL4" s="1">
        <f t="shared" si="6"/>
        <v>1.9609170627724697</v>
      </c>
      <c r="AM4" s="1">
        <f t="shared" si="6"/>
        <v>1.9567892225347985</v>
      </c>
      <c r="AN4" s="1">
        <f t="shared" si="6"/>
        <v>2.4717146617135231</v>
      </c>
      <c r="AO4" s="1">
        <f t="shared" si="6"/>
        <v>3.5401443408019464</v>
      </c>
      <c r="AP4" s="1">
        <f t="shared" ref="AP4:AV4" si="7">H5</f>
        <v>5.2054491784097259</v>
      </c>
      <c r="AQ4" s="1">
        <f t="shared" si="7"/>
        <v>1.1763301515023006</v>
      </c>
      <c r="AR4" s="1">
        <f t="shared" si="7"/>
        <v>0.73184342812513203</v>
      </c>
      <c r="AS4" s="1">
        <f t="shared" si="7"/>
        <v>0.96197232387737008</v>
      </c>
      <c r="AT4" s="1">
        <f t="shared" si="7"/>
        <v>0.90833325458351177</v>
      </c>
      <c r="AU4" s="1">
        <f t="shared" si="7"/>
        <v>0.61309872922776143</v>
      </c>
      <c r="AV4" s="1">
        <f t="shared" si="7"/>
        <v>0.82975978285564445</v>
      </c>
    </row>
    <row r="5" spans="1:48" x14ac:dyDescent="0.35">
      <c r="A5" s="41">
        <f>IFERROR(INDEX('Date Key'!$B$2:$B$19, MATCH(F5,'Date Key'!$A$2:$A$19, 0)), "")</f>
        <v>45195</v>
      </c>
      <c r="B5" s="4">
        <f t="shared" si="0"/>
        <v>1</v>
      </c>
      <c r="C5" s="26" t="str">
        <f>IFERROR(INDEX('Date Key'!$G$57:$G$62, MATCH(B5,'Date Key'!$A$57:$A$62, 0)), "")</f>
        <v>Low HLR, Lower Outlet Height, No Plants</v>
      </c>
      <c r="D5" s="4" t="str">
        <f>IFERROR(INDEX('Date Key'!$G$2:$G$19, MATCH(F5, 'Date Key'!$A$2:$A$19, 0)), "")</f>
        <v>No</v>
      </c>
      <c r="E5" s="4" t="str">
        <f t="shared" si="1"/>
        <v>in</v>
      </c>
      <c r="F5" s="4">
        <f t="shared" si="2"/>
        <v>3</v>
      </c>
      <c r="G5" s="4">
        <f t="shared" si="3"/>
        <v>3</v>
      </c>
      <c r="H5" s="11" cm="1">
        <f t="array" ref="H5">IFERROR(INDEX('Master Data Sheet'!$1:$1048576, MATCH(1, ('Master Data Sheet'!$H:$H=H$2) * (INDEX('Master Data Sheet'!$1:$1, , MATCH($F$1, 'Master Data Sheet'!$1:$1, 0)) = $F$1) * ('Master Data Sheet'!$G:$G=$B5) * ('Master Data Sheet'!$F:$F=$E5) * ('Master Data Sheet'!$A:$A=$F5), 0), MATCH($F$1, 'Master Data Sheet'!$1:$1, 0)), "")</f>
        <v>5.2054491784097259</v>
      </c>
      <c r="I5" s="11" cm="1">
        <f t="array" ref="I5">IFERROR(INDEX('Master Data Sheet'!$1:$1048576, MATCH(1, ('Master Data Sheet'!$H:$H=I$2) * (INDEX('Master Data Sheet'!$1:$1, , MATCH($F$1, 'Master Data Sheet'!$1:$1, 0)) = $F$1) * ('Master Data Sheet'!$G:$G=$B5) * ('Master Data Sheet'!$F:$F=$E5) * ('Master Data Sheet'!$A:$A=$F5), 0), MATCH($F$1, 'Master Data Sheet'!$1:$1, 0)), "")</f>
        <v>1.1763301515023006</v>
      </c>
      <c r="J5" s="11" cm="1">
        <f t="array" ref="J5">IFERROR(INDEX('Master Data Sheet'!$1:$1048576, MATCH(1, ('Master Data Sheet'!$H:$H=J$2) * (INDEX('Master Data Sheet'!$1:$1, , MATCH($F$1, 'Master Data Sheet'!$1:$1, 0)) = $F$1) * ('Master Data Sheet'!$G:$G=$B5) * ('Master Data Sheet'!$F:$F=$E5) * ('Master Data Sheet'!$A:$A=$F5), 0), MATCH($F$1, 'Master Data Sheet'!$1:$1, 0)), "")</f>
        <v>0.73184342812513203</v>
      </c>
      <c r="K5" s="11" cm="1">
        <f t="array" ref="K5">IFERROR(INDEX('Master Data Sheet'!$1:$1048576, MATCH(1, ('Master Data Sheet'!$H:$H=K$2) * (INDEX('Master Data Sheet'!$1:$1, , MATCH($F$1, 'Master Data Sheet'!$1:$1, 0)) = $F$1) * ('Master Data Sheet'!$G:$G=$B5) * ('Master Data Sheet'!$F:$F=$E5) * ('Master Data Sheet'!$A:$A=$F5), 0), MATCH($F$1, 'Master Data Sheet'!$1:$1, 0)), "")</f>
        <v>0.96197232387737008</v>
      </c>
      <c r="L5" s="11" cm="1">
        <f t="array" ref="L5">IFERROR(INDEX('Master Data Sheet'!$1:$1048576, MATCH(1, ('Master Data Sheet'!$H:$H=L$2) * (INDEX('Master Data Sheet'!$1:$1, , MATCH($F$1, 'Master Data Sheet'!$1:$1, 0)) = $F$1) * ('Master Data Sheet'!$G:$G=$B5) * ('Master Data Sheet'!$F:$F=$E5) * ('Master Data Sheet'!$A:$A=$F5), 0), MATCH($F$1, 'Master Data Sheet'!$1:$1, 0)), "")</f>
        <v>0.90833325458351177</v>
      </c>
      <c r="M5" s="11" cm="1">
        <f t="array" ref="M5">IFERROR(INDEX('Master Data Sheet'!$1:$1048576, MATCH(1, ('Master Data Sheet'!$H:$H=M$2) * (INDEX('Master Data Sheet'!$1:$1, , MATCH($F$1, 'Master Data Sheet'!$1:$1, 0)) = $F$1) * ('Master Data Sheet'!$G:$G=$B5) * ('Master Data Sheet'!$F:$F=$E5) * ('Master Data Sheet'!$A:$A=$F5), 0), MATCH($F$1, 'Master Data Sheet'!$1:$1, 0)), "")</f>
        <v>0.61309872922776143</v>
      </c>
      <c r="N5" s="11" cm="1">
        <f t="array" ref="N5">IFERROR(INDEX('Master Data Sheet'!$1:$1048576, MATCH(1, ('Master Data Sheet'!$H:$H=N$2) * (INDEX('Master Data Sheet'!$1:$1, , MATCH($F$1, 'Master Data Sheet'!$1:$1, 0)) = $F$1) * ('Master Data Sheet'!$G:$G=$B5) * ('Master Data Sheet'!$F:$F=$E5) * ('Master Data Sheet'!$A:$A=$F5), 0), MATCH($F$1, 'Master Data Sheet'!$1:$1, 0)), "")</f>
        <v>0.82975978285564445</v>
      </c>
      <c r="O5" s="11">
        <f>AVERAGE(H5:N5)</f>
        <v>1.4895409783687781</v>
      </c>
      <c r="P5" s="11">
        <f t="shared" si="4"/>
        <v>1.6482199335578567</v>
      </c>
      <c r="Q5" s="11"/>
      <c r="AB5" s="1"/>
      <c r="AC5" s="1"/>
      <c r="AD5" s="1"/>
      <c r="AE5" s="1"/>
      <c r="AF5" s="1"/>
      <c r="AG5" s="1"/>
      <c r="AH5" s="1"/>
      <c r="AI5" s="1"/>
      <c r="AJ5" s="1"/>
      <c r="AK5" s="1"/>
      <c r="AL5" s="1"/>
      <c r="AM5" s="1"/>
      <c r="AN5" s="1"/>
      <c r="AO5" s="1"/>
      <c r="AP5" s="1"/>
      <c r="AQ5" s="1"/>
      <c r="AR5" s="1"/>
      <c r="AS5" s="1"/>
      <c r="AT5" s="1"/>
      <c r="AU5" s="1"/>
      <c r="AV5" s="1"/>
    </row>
    <row r="6" spans="1:48" x14ac:dyDescent="0.35">
      <c r="A6" s="41">
        <f>IFERROR(INDEX('Date Key'!$B$2:$B$19, MATCH(F6,'Date Key'!$A$2:$A$19, 0)), "")</f>
        <v>45175</v>
      </c>
      <c r="B6" s="4">
        <f t="shared" si="0"/>
        <v>1</v>
      </c>
      <c r="C6" s="26" t="str">
        <f>IFERROR(INDEX('Date Key'!$G$57:$G$62, MATCH(B6,'Date Key'!$A$57:$A$62, 0)), "")</f>
        <v>Low HLR, Lower Outlet Height, No Plants</v>
      </c>
      <c r="D6" s="4" t="str">
        <f>IFERROR(INDEX('Date Key'!$G$2:$G$19, MATCH(F6, 'Date Key'!$A$2:$A$19, 0)), "")</f>
        <v>No</v>
      </c>
      <c r="E6" s="4" t="str">
        <f t="shared" si="1"/>
        <v>tank 1</v>
      </c>
      <c r="F6" s="4">
        <f t="shared" si="2"/>
        <v>1</v>
      </c>
      <c r="G6" s="4">
        <f t="shared" si="3"/>
        <v>1</v>
      </c>
      <c r="H6" s="11" cm="1">
        <f t="array" ref="H6">IFERROR(INDEX('Master Data Sheet'!$1:$1048576, MATCH(1, ('Master Data Sheet'!$H:$H=H$2) * (INDEX('Master Data Sheet'!$1:$1, , MATCH($F$1, 'Master Data Sheet'!$1:$1, 0)) = $F$1) * ('Master Data Sheet'!$G:$G=$B6) * ('Master Data Sheet'!$F:$F=$E6) * ('Master Data Sheet'!$A:$A=$F6), 0), MATCH($F$1, 'Master Data Sheet'!$1:$1, 0)), "")</f>
        <v>0.35618582162709378</v>
      </c>
      <c r="I6" s="11" cm="1">
        <f t="array" ref="I6">IFERROR(INDEX('Master Data Sheet'!$1:$1048576, MATCH(1, ('Master Data Sheet'!$H:$H=I$2) * (INDEX('Master Data Sheet'!$1:$1, , MATCH($F$1, 'Master Data Sheet'!$1:$1, 0)) = $F$1) * ('Master Data Sheet'!$G:$G=$B6) * ('Master Data Sheet'!$F:$F=$E6) * ('Master Data Sheet'!$A:$A=$F6), 0), MATCH($F$1, 'Master Data Sheet'!$1:$1, 0)), "")</f>
        <v>0.48032539873361624</v>
      </c>
      <c r="J6" s="11" cm="1">
        <f t="array" ref="J6">IFERROR(INDEX('Master Data Sheet'!$1:$1048576, MATCH(1, ('Master Data Sheet'!$H:$H=J$2) * (INDEX('Master Data Sheet'!$1:$1, , MATCH($F$1, 'Master Data Sheet'!$1:$1, 0)) = $F$1) * ('Master Data Sheet'!$G:$G=$B6) * ('Master Data Sheet'!$F:$F=$E6) * ('Master Data Sheet'!$A:$A=$F6), 0), MATCH($F$1, 'Master Data Sheet'!$1:$1, 0)), "")</f>
        <v>0.73296138614480744</v>
      </c>
      <c r="K6" s="11" cm="1">
        <f t="array" ref="K6">IFERROR(INDEX('Master Data Sheet'!$1:$1048576, MATCH(1, ('Master Data Sheet'!$H:$H=K$2) * (INDEX('Master Data Sheet'!$1:$1, , MATCH($F$1, 'Master Data Sheet'!$1:$1, 0)) = $F$1) * ('Master Data Sheet'!$G:$G=$B6) * ('Master Data Sheet'!$F:$F=$E6) * ('Master Data Sheet'!$A:$A=$F6), 0), MATCH($F$1, 'Master Data Sheet'!$1:$1, 0)), "")</f>
        <v>0.78786036406747639</v>
      </c>
      <c r="L6" s="11" cm="1">
        <f t="array" ref="L6">IFERROR(INDEX('Master Data Sheet'!$1:$1048576, MATCH(1, ('Master Data Sheet'!$H:$H=L$2) * (INDEX('Master Data Sheet'!$1:$1, , MATCH($F$1, 'Master Data Sheet'!$1:$1, 0)) = $F$1) * ('Master Data Sheet'!$G:$G=$B6) * ('Master Data Sheet'!$F:$F=$E6) * ('Master Data Sheet'!$A:$A=$F6), 0), MATCH($F$1, 'Master Data Sheet'!$1:$1, 0)), "")</f>
        <v>1.4089140819077663</v>
      </c>
      <c r="M6" s="11" cm="1">
        <f t="array" ref="M6">IFERROR(INDEX('Master Data Sheet'!$1:$1048576, MATCH(1, ('Master Data Sheet'!$H:$H=M$2) * (INDEX('Master Data Sheet'!$1:$1, , MATCH($F$1, 'Master Data Sheet'!$1:$1, 0)) = $F$1) * ('Master Data Sheet'!$G:$G=$B6) * ('Master Data Sheet'!$F:$F=$E6) * ('Master Data Sheet'!$A:$A=$F6), 0), MATCH($F$1, 'Master Data Sheet'!$1:$1, 0)), "")</f>
        <v>1.1860449947186162</v>
      </c>
      <c r="N6" s="11" cm="1">
        <f t="array" ref="N6">IFERROR(INDEX('Master Data Sheet'!$1:$1048576, MATCH(1, ('Master Data Sheet'!$H:$H=N$2) * (INDEX('Master Data Sheet'!$1:$1, , MATCH($F$1, 'Master Data Sheet'!$1:$1, 0)) = $F$1) * ('Master Data Sheet'!$G:$G=$B6) * ('Master Data Sheet'!$F:$F=$E6) * ('Master Data Sheet'!$A:$A=$F6), 0), MATCH($F$1, 'Master Data Sheet'!$1:$1, 0)), "")</f>
        <v>1.3285608631297592</v>
      </c>
      <c r="O6" s="11">
        <f>AVERAGE(H6:N6)</f>
        <v>0.8972647014755909</v>
      </c>
      <c r="P6" s="11">
        <f t="shared" si="4"/>
        <v>0.41568520745495985</v>
      </c>
      <c r="Q6" s="11">
        <f>AVERAGE(O6,O8)</f>
        <v>0.58513808261230338</v>
      </c>
      <c r="R6" s="46">
        <f>(1-(O6/O3))*100</f>
        <v>77.306094970855554</v>
      </c>
      <c r="S6" s="46">
        <f>AVERAGE(R6:R8)</f>
        <v>79.488765746499212</v>
      </c>
      <c r="T6" s="46">
        <f>STDEV(R6:R8)</f>
        <v>3.0867626131106536</v>
      </c>
      <c r="U6" s="47">
        <f>(1-(AVERAGE(H6:N6,H8:N8)/AVERAGE(H3:N3,H5:N5)))*100</f>
        <v>78.500653892137791</v>
      </c>
      <c r="V6" s="47"/>
      <c r="X6" s="47">
        <f>(O3-O6)/70.1</f>
        <v>4.3602065981322082E-2</v>
      </c>
      <c r="Y6" s="47">
        <f>O3/70.1</f>
        <v>5.6401847742742782E-2</v>
      </c>
      <c r="Z6" s="14"/>
      <c r="AB6" s="2"/>
      <c r="AC6" s="2"/>
      <c r="AD6" s="2"/>
      <c r="AE6" s="2"/>
      <c r="AF6" s="2"/>
      <c r="AG6" s="2"/>
      <c r="AH6" s="2"/>
      <c r="AI6" s="2"/>
      <c r="AJ6" s="2"/>
    </row>
    <row r="7" spans="1:48" x14ac:dyDescent="0.35">
      <c r="A7" s="41">
        <f>IFERROR(INDEX('Date Key'!$B$2:$B$19, MATCH(F7,'Date Key'!$A$2:$A$19, 0)), "")</f>
        <v>45181</v>
      </c>
      <c r="B7" s="4">
        <f t="shared" si="0"/>
        <v>1</v>
      </c>
      <c r="C7" s="26" t="str">
        <f>IFERROR(INDEX('Date Key'!$G$57:$G$62, MATCH(B7,'Date Key'!$A$57:$A$62, 0)), "")</f>
        <v>Low HLR, Lower Outlet Height, No Plants</v>
      </c>
      <c r="D7" s="4" t="str">
        <f>IFERROR(INDEX('Date Key'!$G$2:$G$19, MATCH(F7, 'Date Key'!$A$2:$A$19, 0)), "")</f>
        <v>No</v>
      </c>
      <c r="E7" s="4" t="str">
        <f t="shared" si="1"/>
        <v>tank 1</v>
      </c>
      <c r="F7" s="4">
        <f t="shared" si="2"/>
        <v>2</v>
      </c>
      <c r="G7" s="4">
        <f t="shared" si="3"/>
        <v>2</v>
      </c>
      <c r="H7" s="11" cm="1">
        <f t="array" ref="H7">IFERROR(INDEX('Master Data Sheet'!$1:$1048576, MATCH(1, ('Master Data Sheet'!$H:$H=H$2) * (INDEX('Master Data Sheet'!$1:$1, , MATCH($F$1, 'Master Data Sheet'!$1:$1, 0)) = $F$1) * ('Master Data Sheet'!$G:$G=$B7) * ('Master Data Sheet'!$F:$F=$E7) * ('Master Data Sheet'!$A:$A=$F7), 0), MATCH($F$1, 'Master Data Sheet'!$1:$1, 0)), "")</f>
        <v>0.88448060278669793</v>
      </c>
      <c r="I7" s="11" cm="1">
        <f t="array" ref="I7">IFERROR(INDEX('Master Data Sheet'!$1:$1048576, MATCH(1, ('Master Data Sheet'!$H:$H=I$2) * (INDEX('Master Data Sheet'!$1:$1, , MATCH($F$1, 'Master Data Sheet'!$1:$1, 0)) = $F$1) * ('Master Data Sheet'!$G:$G=$B7) * ('Master Data Sheet'!$F:$F=$E7) * ('Master Data Sheet'!$A:$A=$F7), 0), MATCH($F$1, 'Master Data Sheet'!$1:$1, 0)), "")</f>
        <v>1.3902472057379733</v>
      </c>
      <c r="J7" s="11" cm="1">
        <f t="array" ref="J7">IFERROR(INDEX('Master Data Sheet'!$1:$1048576, MATCH(1, ('Master Data Sheet'!$H:$H=J$2) * (INDEX('Master Data Sheet'!$1:$1, , MATCH($F$1, 'Master Data Sheet'!$1:$1, 0)) = $F$1) * ('Master Data Sheet'!$G:$G=$B7) * ('Master Data Sheet'!$F:$F=$E7) * ('Master Data Sheet'!$A:$A=$F7), 0), MATCH($F$1, 'Master Data Sheet'!$1:$1, 0)), "")</f>
        <v>0.66980285166110276</v>
      </c>
      <c r="K7" s="11" cm="1">
        <f t="array" ref="K7">IFERROR(INDEX('Master Data Sheet'!$1:$1048576, MATCH(1, ('Master Data Sheet'!$H:$H=K$2) * (INDEX('Master Data Sheet'!$1:$1, , MATCH($F$1, 'Master Data Sheet'!$1:$1, 0)) = $F$1) * ('Master Data Sheet'!$G:$G=$B7) * ('Master Data Sheet'!$F:$F=$E7) * ('Master Data Sheet'!$A:$A=$F7), 0), MATCH($F$1, 'Master Data Sheet'!$1:$1, 0)), "")</f>
        <v>0.89385079335348105</v>
      </c>
      <c r="L7" s="11" cm="1">
        <f t="array" ref="L7">IFERROR(INDEX('Master Data Sheet'!$1:$1048576, MATCH(1, ('Master Data Sheet'!$H:$H=L$2) * (INDEX('Master Data Sheet'!$1:$1, , MATCH($F$1, 'Master Data Sheet'!$1:$1, 0)) = $F$1) * ('Master Data Sheet'!$G:$G=$B7) * ('Master Data Sheet'!$F:$F=$E7) * ('Master Data Sheet'!$A:$A=$F7), 0), MATCH($F$1, 'Master Data Sheet'!$1:$1, 0)), "")</f>
        <v>0.89032154091940996</v>
      </c>
      <c r="M7" s="11" cm="1">
        <f t="array" ref="M7">IFERROR(INDEX('Master Data Sheet'!$1:$1048576, MATCH(1, ('Master Data Sheet'!$H:$H=M$2) * (INDEX('Master Data Sheet'!$1:$1, , MATCH($F$1, 'Master Data Sheet'!$1:$1, 0)) = $F$1) * ('Master Data Sheet'!$G:$G=$B7) * ('Master Data Sheet'!$F:$F=$E7) * ('Master Data Sheet'!$A:$A=$F7), 0), MATCH($F$1, 'Master Data Sheet'!$1:$1, 0)), "")</f>
        <v>0.43529949702789206</v>
      </c>
      <c r="N7" s="11" cm="1">
        <f t="array" ref="N7">IFERROR(INDEX('Master Data Sheet'!$1:$1048576, MATCH(1, ('Master Data Sheet'!$H:$H=N$2) * (INDEX('Master Data Sheet'!$1:$1, , MATCH($F$1, 'Master Data Sheet'!$1:$1, 0)) = $F$1) * ('Master Data Sheet'!$G:$G=$B7) * ('Master Data Sheet'!$F:$F=$E7) * ('Master Data Sheet'!$A:$A=$F7), 0), MATCH($F$1, 'Master Data Sheet'!$1:$1, 0)), "")</f>
        <v>1.2802926383173299</v>
      </c>
      <c r="O7" s="11">
        <f t="shared" ref="O7:O56" si="8">AVERAGE(H7:N7)</f>
        <v>0.92061358997198384</v>
      </c>
      <c r="P7" s="11">
        <f t="shared" si="4"/>
        <v>0.32946926877930605</v>
      </c>
      <c r="Q7" s="11"/>
      <c r="R7" s="46"/>
      <c r="X7" s="47">
        <f>(O4-O7)/70.1</f>
        <v>2.8682081051114937E-2</v>
      </c>
      <c r="Y7" s="47">
        <f>O4/70.1</f>
        <v>4.1814942534310139E-2</v>
      </c>
      <c r="AA7" t="str">
        <f>IFERROR(INDEX('Date Key'!$G$57:$G$62, MATCH(B6,'Date Key'!$A$57:$A$62, 0)), "")</f>
        <v>Low HLR, Lower Outlet Height, No Plants</v>
      </c>
      <c r="AB7" s="1">
        <f t="shared" ref="AB7:AH7" si="9">H6</f>
        <v>0.35618582162709378</v>
      </c>
      <c r="AC7" s="1">
        <f t="shared" si="9"/>
        <v>0.48032539873361624</v>
      </c>
      <c r="AD7" s="1">
        <f t="shared" si="9"/>
        <v>0.73296138614480744</v>
      </c>
      <c r="AE7" s="1">
        <f t="shared" si="9"/>
        <v>0.78786036406747639</v>
      </c>
      <c r="AF7" s="1">
        <f t="shared" si="9"/>
        <v>1.4089140819077663</v>
      </c>
      <c r="AG7" s="1">
        <f t="shared" si="9"/>
        <v>1.1860449947186162</v>
      </c>
      <c r="AH7" s="1">
        <f t="shared" si="9"/>
        <v>1.3285608631297592</v>
      </c>
      <c r="AI7" s="1">
        <f t="shared" ref="AI7:AO7" si="10">H7</f>
        <v>0.88448060278669793</v>
      </c>
      <c r="AJ7" s="1">
        <f t="shared" si="10"/>
        <v>1.3902472057379733</v>
      </c>
      <c r="AK7" s="1">
        <f t="shared" si="10"/>
        <v>0.66980285166110276</v>
      </c>
      <c r="AL7" s="1">
        <f t="shared" si="10"/>
        <v>0.89385079335348105</v>
      </c>
      <c r="AM7" s="1">
        <f t="shared" si="10"/>
        <v>0.89032154091940996</v>
      </c>
      <c r="AN7" s="1">
        <f t="shared" si="10"/>
        <v>0.43529949702789206</v>
      </c>
      <c r="AO7" s="1">
        <f t="shared" si="10"/>
        <v>1.2802926383173299</v>
      </c>
      <c r="AP7" s="1">
        <f t="shared" ref="AP7:AV7" si="11">H8</f>
        <v>0.26123833757421538</v>
      </c>
      <c r="AQ7" s="1">
        <f t="shared" si="11"/>
        <v>0.28498727735368956</v>
      </c>
      <c r="AR7" s="1">
        <f t="shared" si="11"/>
        <v>0.19176050084693275</v>
      </c>
      <c r="AS7" s="1">
        <f t="shared" si="11"/>
        <v>0.11689214230460229</v>
      </c>
      <c r="AT7" s="1">
        <f t="shared" si="11"/>
        <v>0.3799830364715861</v>
      </c>
      <c r="AU7" s="1">
        <f t="shared" si="11"/>
        <v>0.31088921999938801</v>
      </c>
      <c r="AV7" s="1">
        <f t="shared" si="11"/>
        <v>0.3653297316926965</v>
      </c>
    </row>
    <row r="8" spans="1:48" x14ac:dyDescent="0.35">
      <c r="A8" s="41">
        <f>IFERROR(INDEX('Date Key'!$B$2:$B$19, MATCH(F8,'Date Key'!$A$2:$A$19, 0)), "")</f>
        <v>45195</v>
      </c>
      <c r="B8" s="4">
        <f t="shared" si="0"/>
        <v>1</v>
      </c>
      <c r="C8" s="26" t="str">
        <f>IFERROR(INDEX('Date Key'!$G$57:$G$62, MATCH(B8,'Date Key'!$A$57:$A$62, 0)), "")</f>
        <v>Low HLR, Lower Outlet Height, No Plants</v>
      </c>
      <c r="D8" s="4" t="str">
        <f>IFERROR(INDEX('Date Key'!$G$2:$G$19, MATCH(F8, 'Date Key'!$A$2:$A$19, 0)), "")</f>
        <v>No</v>
      </c>
      <c r="E8" s="4" t="str">
        <f t="shared" si="1"/>
        <v>tank 1</v>
      </c>
      <c r="F8" s="4">
        <f t="shared" si="2"/>
        <v>3</v>
      </c>
      <c r="G8" s="4">
        <f t="shared" si="3"/>
        <v>3</v>
      </c>
      <c r="H8" s="11" cm="1">
        <f t="array" ref="H8">IFERROR(INDEX('Master Data Sheet'!$1:$1048576, MATCH(1, ('Master Data Sheet'!$H:$H=H$2) * (INDEX('Master Data Sheet'!$1:$1, , MATCH($F$1, 'Master Data Sheet'!$1:$1, 0)) = $F$1) * ('Master Data Sheet'!$G:$G=$B8) * ('Master Data Sheet'!$F:$F=$E8) * ('Master Data Sheet'!$A:$A=$F8), 0), MATCH($F$1, 'Master Data Sheet'!$1:$1, 0)), "")</f>
        <v>0.26123833757421538</v>
      </c>
      <c r="I8" s="11" cm="1">
        <f t="array" ref="I8">IFERROR(INDEX('Master Data Sheet'!$1:$1048576, MATCH(1, ('Master Data Sheet'!$H:$H=I$2) * (INDEX('Master Data Sheet'!$1:$1, , MATCH($F$1, 'Master Data Sheet'!$1:$1, 0)) = $F$1) * ('Master Data Sheet'!$G:$G=$B8) * ('Master Data Sheet'!$F:$F=$E8) * ('Master Data Sheet'!$A:$A=$F8), 0), MATCH($F$1, 'Master Data Sheet'!$1:$1, 0)), "")</f>
        <v>0.28498727735368956</v>
      </c>
      <c r="J8" s="11" cm="1">
        <f t="array" ref="J8">IFERROR(INDEX('Master Data Sheet'!$1:$1048576, MATCH(1, ('Master Data Sheet'!$H:$H=J$2) * (INDEX('Master Data Sheet'!$1:$1, , MATCH($F$1, 'Master Data Sheet'!$1:$1, 0)) = $F$1) * ('Master Data Sheet'!$G:$G=$B8) * ('Master Data Sheet'!$F:$F=$E8) * ('Master Data Sheet'!$A:$A=$F8), 0), MATCH($F$1, 'Master Data Sheet'!$1:$1, 0)), "")</f>
        <v>0.19176050084693275</v>
      </c>
      <c r="K8" s="11" cm="1">
        <f t="array" ref="K8">IFERROR(INDEX('Master Data Sheet'!$1:$1048576, MATCH(1, ('Master Data Sheet'!$H:$H=K$2) * (INDEX('Master Data Sheet'!$1:$1, , MATCH($F$1, 'Master Data Sheet'!$1:$1, 0)) = $F$1) * ('Master Data Sheet'!$G:$G=$B8) * ('Master Data Sheet'!$F:$F=$E8) * ('Master Data Sheet'!$A:$A=$F8), 0), MATCH($F$1, 'Master Data Sheet'!$1:$1, 0)), "")</f>
        <v>0.11689214230460229</v>
      </c>
      <c r="L8" s="11" cm="1">
        <f t="array" ref="L8">IFERROR(INDEX('Master Data Sheet'!$1:$1048576, MATCH(1, ('Master Data Sheet'!$H:$H=L$2) * (INDEX('Master Data Sheet'!$1:$1, , MATCH($F$1, 'Master Data Sheet'!$1:$1, 0)) = $F$1) * ('Master Data Sheet'!$G:$G=$B8) * ('Master Data Sheet'!$F:$F=$E8) * ('Master Data Sheet'!$A:$A=$F8), 0), MATCH($F$1, 'Master Data Sheet'!$1:$1, 0)), "")</f>
        <v>0.3799830364715861</v>
      </c>
      <c r="M8" s="11" cm="1">
        <f t="array" ref="M8">IFERROR(INDEX('Master Data Sheet'!$1:$1048576, MATCH(1, ('Master Data Sheet'!$H:$H=M$2) * (INDEX('Master Data Sheet'!$1:$1, , MATCH($F$1, 'Master Data Sheet'!$1:$1, 0)) = $F$1) * ('Master Data Sheet'!$G:$G=$B8) * ('Master Data Sheet'!$F:$F=$E8) * ('Master Data Sheet'!$A:$A=$F8), 0), MATCH($F$1, 'Master Data Sheet'!$1:$1, 0)), "")</f>
        <v>0.31088921999938801</v>
      </c>
      <c r="N8" s="11" cm="1">
        <f t="array" ref="N8">IFERROR(INDEX('Master Data Sheet'!$1:$1048576, MATCH(1, ('Master Data Sheet'!$H:$H=N$2) * (INDEX('Master Data Sheet'!$1:$1, , MATCH($F$1, 'Master Data Sheet'!$1:$1, 0)) = $F$1) * ('Master Data Sheet'!$G:$G=$B8) * ('Master Data Sheet'!$F:$F=$E8) * ('Master Data Sheet'!$A:$A=$F8), 0), MATCH($F$1, 'Master Data Sheet'!$1:$1, 0)), "")</f>
        <v>0.3653297316926965</v>
      </c>
      <c r="O8" s="11">
        <f t="shared" si="8"/>
        <v>0.2730114637490158</v>
      </c>
      <c r="P8" s="11">
        <f t="shared" si="4"/>
        <v>9.3681457163469137E-2</v>
      </c>
      <c r="Q8" s="11"/>
      <c r="R8" s="46">
        <f>(1-(O8/O5))*100</f>
        <v>81.671436522142855</v>
      </c>
      <c r="X8" s="47">
        <f>(O5-O8)/70.1</f>
        <v>1.735420134978263E-2</v>
      </c>
      <c r="Y8" s="47">
        <f>O5/70.1</f>
        <v>2.1248801403263597E-2</v>
      </c>
      <c r="AB8" s="2"/>
      <c r="AC8" s="2"/>
      <c r="AD8" s="2"/>
      <c r="AE8" s="2"/>
      <c r="AF8" s="2"/>
      <c r="AG8" s="2"/>
      <c r="AH8" s="2"/>
      <c r="AI8" s="2"/>
      <c r="AJ8" s="2"/>
    </row>
    <row r="9" spans="1:48" x14ac:dyDescent="0.35">
      <c r="A9" s="41">
        <f>IFERROR(INDEX('Date Key'!$B$2:$B$19, MATCH(F9,'Date Key'!$A$2:$A$19, 0)), "")</f>
        <v>45175</v>
      </c>
      <c r="B9" s="4">
        <f t="shared" si="0"/>
        <v>1</v>
      </c>
      <c r="C9" s="26" t="str">
        <f>IFERROR(INDEX('Date Key'!$G$57:$G$62, MATCH(B9,'Date Key'!$A$57:$A$62, 0)), "")</f>
        <v>Low HLR, Lower Outlet Height, No Plants</v>
      </c>
      <c r="D9" s="4" t="str">
        <f>IFERROR(INDEX('Date Key'!$G$2:$G$19, MATCH(F9, 'Date Key'!$A$2:$A$19, 0)), "")</f>
        <v>No</v>
      </c>
      <c r="E9" s="4" t="str">
        <f t="shared" si="1"/>
        <v>tank 2</v>
      </c>
      <c r="F9" s="4">
        <f t="shared" si="2"/>
        <v>1</v>
      </c>
      <c r="G9" s="4">
        <f t="shared" si="3"/>
        <v>1</v>
      </c>
      <c r="H9" s="11" cm="1">
        <f t="array" ref="H9">IFERROR(INDEX('Master Data Sheet'!$1:$1048576, MATCH(1, ('Master Data Sheet'!$H:$H=H$2) * (INDEX('Master Data Sheet'!$1:$1, , MATCH($F$1, 'Master Data Sheet'!$1:$1, 0)) = $F$1) * ('Master Data Sheet'!$G:$G=$B9) * ('Master Data Sheet'!$F:$F=$E9) * ('Master Data Sheet'!$A:$A=$F9), 0), MATCH($F$1, 'Master Data Sheet'!$1:$1, 0)), "")</f>
        <v>4.503230975062042E-2</v>
      </c>
      <c r="I9" s="11" cm="1">
        <f t="array" ref="I9">IFERROR(INDEX('Master Data Sheet'!$1:$1048576, MATCH(1, ('Master Data Sheet'!$H:$H=I$2) * (INDEX('Master Data Sheet'!$1:$1, , MATCH($F$1, 'Master Data Sheet'!$1:$1, 0)) = $F$1) * ('Master Data Sheet'!$G:$G=$B9) * ('Master Data Sheet'!$F:$F=$E9) * ('Master Data Sheet'!$A:$A=$F9), 0), MATCH($F$1, 'Master Data Sheet'!$1:$1, 0)), "")</f>
        <v>0.1733576634617052</v>
      </c>
      <c r="J9" s="11" cm="1">
        <f t="array" ref="J9">IFERROR(INDEX('Master Data Sheet'!$1:$1048576, MATCH(1, ('Master Data Sheet'!$H:$H=J$2) * (INDEX('Master Data Sheet'!$1:$1, , MATCH($F$1, 'Master Data Sheet'!$1:$1, 0)) = $F$1) * ('Master Data Sheet'!$G:$G=$B9) * ('Master Data Sheet'!$F:$F=$E9) * ('Master Data Sheet'!$A:$A=$F9), 0), MATCH($F$1, 'Master Data Sheet'!$1:$1, 0)), "")</f>
        <v>0.81224246260138289</v>
      </c>
      <c r="K9" s="11" cm="1">
        <f t="array" ref="K9">IFERROR(INDEX('Master Data Sheet'!$1:$1048576, MATCH(1, ('Master Data Sheet'!$H:$H=K$2) * (INDEX('Master Data Sheet'!$1:$1, , MATCH($F$1, 'Master Data Sheet'!$1:$1, 0)) = $F$1) * ('Master Data Sheet'!$G:$G=$B9) * ('Master Data Sheet'!$F:$F=$E9) * ('Master Data Sheet'!$A:$A=$F9), 0), MATCH($F$1, 'Master Data Sheet'!$1:$1, 0)), "")</f>
        <v>1.5746710035510729</v>
      </c>
      <c r="L9" s="11" cm="1">
        <f t="array" ref="L9">IFERROR(INDEX('Master Data Sheet'!$1:$1048576, MATCH(1, ('Master Data Sheet'!$H:$H=L$2) * (INDEX('Master Data Sheet'!$1:$1, , MATCH($F$1, 'Master Data Sheet'!$1:$1, 0)) = $F$1) * ('Master Data Sheet'!$G:$G=$B9) * ('Master Data Sheet'!$F:$F=$E9) * ('Master Data Sheet'!$A:$A=$F9), 0), MATCH($F$1, 'Master Data Sheet'!$1:$1, 0)), "")</f>
        <v>2.1397515745379412</v>
      </c>
      <c r="M9" s="11" cm="1">
        <f t="array" ref="M9">IFERROR(INDEX('Master Data Sheet'!$1:$1048576, MATCH(1, ('Master Data Sheet'!$H:$H=M$2) * (INDEX('Master Data Sheet'!$1:$1, , MATCH($F$1, 'Master Data Sheet'!$1:$1, 0)) = $F$1) * ('Master Data Sheet'!$G:$G=$B9) * ('Master Data Sheet'!$F:$F=$E9) * ('Master Data Sheet'!$A:$A=$F9), 0), MATCH($F$1, 'Master Data Sheet'!$1:$1, 0)), "")</f>
        <v>3.0110586210862111</v>
      </c>
      <c r="N9" s="11" cm="1">
        <f t="array" ref="N9">IFERROR(INDEX('Master Data Sheet'!$1:$1048576, MATCH(1, ('Master Data Sheet'!$H:$H=N$2) * (INDEX('Master Data Sheet'!$1:$1, , MATCH($F$1, 'Master Data Sheet'!$1:$1, 0)) = $F$1) * ('Master Data Sheet'!$G:$G=$B9) * ('Master Data Sheet'!$F:$F=$E9) * ('Master Data Sheet'!$A:$A=$F9), 0), MATCH($F$1, 'Master Data Sheet'!$1:$1, 0)), "")</f>
        <v>2.4869919843011781</v>
      </c>
      <c r="O9" s="11">
        <f t="shared" si="8"/>
        <v>1.4633008027557304</v>
      </c>
      <c r="P9" s="11">
        <f t="shared" si="4"/>
        <v>1.15562412075281</v>
      </c>
      <c r="Q9" s="11">
        <f>AVERAGE(N9,N11)</f>
        <v>1.3643936939141841</v>
      </c>
      <c r="R9" s="46">
        <f>(1-(O9/O3))*100</f>
        <v>62.98972934943572</v>
      </c>
      <c r="S9" s="46">
        <f>AVERAGE(R9:R11)</f>
        <v>75.573921303994183</v>
      </c>
      <c r="T9" s="46">
        <f>STDEV(R9:R11)</f>
        <v>17.796734933642941</v>
      </c>
      <c r="U9" s="47">
        <f>(1-(AVERAGE(H9:N9,H11:N11)/AVERAGE(H3:N3,H5:N5)))*100</f>
        <v>69.876960779019015</v>
      </c>
      <c r="V9" s="47"/>
      <c r="W9" s="47"/>
      <c r="X9" s="47">
        <f>(O6-O9)/45.6</f>
        <v>-1.2413072396494286E-2</v>
      </c>
      <c r="Y9" s="47">
        <f>O3/45.6</f>
        <v>8.670547207820764E-2</v>
      </c>
      <c r="AB9" s="2"/>
      <c r="AC9" s="2"/>
      <c r="AD9" s="2"/>
      <c r="AE9" s="2"/>
      <c r="AF9" s="2"/>
      <c r="AG9" s="2"/>
      <c r="AH9" s="2"/>
      <c r="AI9" s="2"/>
      <c r="AJ9" s="2"/>
    </row>
    <row r="10" spans="1:48" x14ac:dyDescent="0.35">
      <c r="A10" s="41">
        <f>IFERROR(INDEX('Date Key'!$B$2:$B$19, MATCH(F10,'Date Key'!$A$2:$A$19, 0)), "")</f>
        <v>45181</v>
      </c>
      <c r="B10" s="4">
        <f t="shared" si="0"/>
        <v>1</v>
      </c>
      <c r="C10" s="26" t="str">
        <f>IFERROR(INDEX('Date Key'!$G$57:$G$62, MATCH(B10,'Date Key'!$A$57:$A$62, 0)), "")</f>
        <v>Low HLR, Lower Outlet Height, No Plants</v>
      </c>
      <c r="D10" s="4" t="str">
        <f>IFERROR(INDEX('Date Key'!$G$2:$G$19, MATCH(F10, 'Date Key'!$A$2:$A$19, 0)), "")</f>
        <v>No</v>
      </c>
      <c r="E10" s="4" t="str">
        <f t="shared" si="1"/>
        <v>tank 2</v>
      </c>
      <c r="F10" s="4">
        <f t="shared" si="2"/>
        <v>2</v>
      </c>
      <c r="G10" s="4">
        <f t="shared" si="3"/>
        <v>2</v>
      </c>
      <c r="H10" s="11" cm="1">
        <f t="array" ref="H10">IFERROR(INDEX('Master Data Sheet'!$1:$1048576, MATCH(1, ('Master Data Sheet'!$H:$H=H$2) * (INDEX('Master Data Sheet'!$1:$1, , MATCH($F$1, 'Master Data Sheet'!$1:$1, 0)) = $F$1) * ('Master Data Sheet'!$G:$G=$B10) * ('Master Data Sheet'!$F:$F=$E10) * ('Master Data Sheet'!$A:$A=$F10), 0), MATCH($F$1, 'Master Data Sheet'!$1:$1, 0)), "")</f>
        <v>1.8991111918926666</v>
      </c>
      <c r="I10" s="11" cm="1">
        <f t="array" ref="I10">IFERROR(INDEX('Master Data Sheet'!$1:$1048576, MATCH(1, ('Master Data Sheet'!$H:$H=I$2) * (INDEX('Master Data Sheet'!$1:$1, , MATCH($F$1, 'Master Data Sheet'!$1:$1, 0)) = $F$1) * ('Master Data Sheet'!$G:$G=$B10) * ('Master Data Sheet'!$F:$F=$E10) * ('Master Data Sheet'!$A:$A=$F10), 0), MATCH($F$1, 'Master Data Sheet'!$1:$1, 0)), "")</f>
        <v>4.0584914172022293</v>
      </c>
      <c r="J10" s="11" cm="1">
        <f t="array" ref="J10">IFERROR(INDEX('Master Data Sheet'!$1:$1048576, MATCH(1, ('Master Data Sheet'!$H:$H=J$2) * (INDEX('Master Data Sheet'!$1:$1, , MATCH($F$1, 'Master Data Sheet'!$1:$1, 0)) = $F$1) * ('Master Data Sheet'!$G:$G=$B10) * ('Master Data Sheet'!$F:$F=$E10) * ('Master Data Sheet'!$A:$A=$F10), 0), MATCH($F$1, 'Master Data Sheet'!$1:$1, 0)), "")</f>
        <v>3.4268480925833531</v>
      </c>
      <c r="K10" s="11" cm="1">
        <f t="array" ref="K10">IFERROR(INDEX('Master Data Sheet'!$1:$1048576, MATCH(1, ('Master Data Sheet'!$H:$H=K$2) * (INDEX('Master Data Sheet'!$1:$1, , MATCH($F$1, 'Master Data Sheet'!$1:$1, 0)) = $F$1) * ('Master Data Sheet'!$G:$G=$B10) * ('Master Data Sheet'!$F:$F=$E10) * ('Master Data Sheet'!$A:$A=$F10), 0), MATCH($F$1, 'Master Data Sheet'!$1:$1, 0)), "")</f>
        <v>2.1855837628487924</v>
      </c>
      <c r="L10" s="11" cm="1">
        <f t="array" ref="L10">IFERROR(INDEX('Master Data Sheet'!$1:$1048576, MATCH(1, ('Master Data Sheet'!$H:$H=L$2) * (INDEX('Master Data Sheet'!$1:$1, , MATCH($F$1, 'Master Data Sheet'!$1:$1, 0)) = $F$1) * ('Master Data Sheet'!$G:$G=$B10) * ('Master Data Sheet'!$F:$F=$E10) * ('Master Data Sheet'!$A:$A=$F10), 0), MATCH($F$1, 'Master Data Sheet'!$1:$1, 0)), "")</f>
        <v>1.1317757852082493</v>
      </c>
      <c r="M10" s="11" cm="1">
        <f t="array" ref="M10">IFERROR(INDEX('Master Data Sheet'!$1:$1048576, MATCH(1, ('Master Data Sheet'!$H:$H=M$2) * (INDEX('Master Data Sheet'!$1:$1, , MATCH($F$1, 'Master Data Sheet'!$1:$1, 0)) = $F$1) * ('Master Data Sheet'!$G:$G=$B10) * ('Master Data Sheet'!$F:$F=$E10) * ('Master Data Sheet'!$A:$A=$F10), 0), MATCH($F$1, 'Master Data Sheet'!$1:$1, 0)), "")</f>
        <v>1.1486228513012053</v>
      </c>
      <c r="N10" s="11" cm="1">
        <f t="array" ref="N10">IFERROR(INDEX('Master Data Sheet'!$1:$1048576, MATCH(1, ('Master Data Sheet'!$H:$H=N$2) * (INDEX('Master Data Sheet'!$1:$1, , MATCH($F$1, 'Master Data Sheet'!$1:$1, 0)) = $F$1) * ('Master Data Sheet'!$G:$G=$B10) * ('Master Data Sheet'!$F:$F=$E10) * ('Master Data Sheet'!$A:$A=$F10), 0), MATCH($F$1, 'Master Data Sheet'!$1:$1, 0)), "")</f>
        <v>1.4693599781080544</v>
      </c>
      <c r="O10" s="11">
        <f t="shared" si="8"/>
        <v>2.1885418684492213</v>
      </c>
      <c r="P10" s="11">
        <f t="shared" si="4"/>
        <v>1.1423149882906565</v>
      </c>
      <c r="Q10" s="11"/>
      <c r="R10" s="46"/>
      <c r="X10" s="47">
        <f>(O7-O10)/45.6</f>
        <v>-2.7805444703448187E-2</v>
      </c>
      <c r="Y10" s="47">
        <f>O4/45.6</f>
        <v>6.4281304202963602E-2</v>
      </c>
      <c r="AA10" t="str">
        <f>IFERROR(INDEX('Date Key'!$G$57:$G$62, MATCH(B9,'Date Key'!$A$57:$A$62, 0)), "")</f>
        <v>Low HLR, Lower Outlet Height, No Plants</v>
      </c>
      <c r="AB10" s="1">
        <f t="shared" ref="AB10:AH10" si="12">H9</f>
        <v>4.503230975062042E-2</v>
      </c>
      <c r="AC10" s="1">
        <f t="shared" si="12"/>
        <v>0.1733576634617052</v>
      </c>
      <c r="AD10" s="1">
        <f t="shared" si="12"/>
        <v>0.81224246260138289</v>
      </c>
      <c r="AE10" s="1">
        <f t="shared" si="12"/>
        <v>1.5746710035510729</v>
      </c>
      <c r="AF10" s="1">
        <f t="shared" si="12"/>
        <v>2.1397515745379412</v>
      </c>
      <c r="AG10" s="1">
        <f t="shared" si="12"/>
        <v>3.0110586210862111</v>
      </c>
      <c r="AH10" s="1">
        <f t="shared" si="12"/>
        <v>2.4869919843011781</v>
      </c>
      <c r="AI10" s="1">
        <f t="shared" ref="AI10:AO10" si="13">H10</f>
        <v>1.8991111918926666</v>
      </c>
      <c r="AJ10" s="1">
        <f t="shared" si="13"/>
        <v>4.0584914172022293</v>
      </c>
      <c r="AK10" s="1">
        <f t="shared" si="13"/>
        <v>3.4268480925833531</v>
      </c>
      <c r="AL10" s="1">
        <f t="shared" si="13"/>
        <v>2.1855837628487924</v>
      </c>
      <c r="AM10" s="1">
        <f t="shared" si="13"/>
        <v>1.1317757852082493</v>
      </c>
      <c r="AN10" s="1">
        <f t="shared" si="13"/>
        <v>1.1486228513012053</v>
      </c>
      <c r="AO10" s="1">
        <f t="shared" si="13"/>
        <v>1.4693599781080544</v>
      </c>
      <c r="AP10" s="1">
        <f t="shared" ref="AP10:AV10" si="14">H11</f>
        <v>9.5296205391352459E-2</v>
      </c>
      <c r="AQ10" s="1">
        <f t="shared" si="14"/>
        <v>4.0321450306231424E-2</v>
      </c>
      <c r="AR10" s="1">
        <f t="shared" si="14"/>
        <v>0.21374045801526714</v>
      </c>
      <c r="AS10" s="1">
        <f t="shared" si="14"/>
        <v>0.1894407977812288</v>
      </c>
      <c r="AT10" s="1">
        <f t="shared" si="14"/>
        <v>0.36778318083237665</v>
      </c>
      <c r="AU10" s="1">
        <f t="shared" si="14"/>
        <v>8.6350793527495903E-2</v>
      </c>
      <c r="AV10" s="1">
        <f t="shared" si="14"/>
        <v>0.24179540352718989</v>
      </c>
    </row>
    <row r="11" spans="1:48" x14ac:dyDescent="0.35">
      <c r="A11" s="42">
        <f>IFERROR(INDEX('Date Key'!$B$2:$B$19, MATCH(F11,'Date Key'!$A$2:$A$19, 0)), "")</f>
        <v>45195</v>
      </c>
      <c r="B11" s="27">
        <f t="shared" si="0"/>
        <v>1</v>
      </c>
      <c r="C11" s="51" t="str">
        <f>IFERROR(INDEX('Date Key'!$G$57:$G$62, MATCH(B11,'Date Key'!$A$57:$A$62, 0)), "")</f>
        <v>Low HLR, Lower Outlet Height, No Plants</v>
      </c>
      <c r="D11" s="27" t="str">
        <f>IFERROR(INDEX('Date Key'!$G$2:$G$19, MATCH(F11, 'Date Key'!$A$2:$A$19, 0)), "")</f>
        <v>No</v>
      </c>
      <c r="E11" s="27" t="str">
        <f t="shared" si="1"/>
        <v>tank 2</v>
      </c>
      <c r="F11" s="27">
        <f t="shared" si="2"/>
        <v>3</v>
      </c>
      <c r="G11" s="27">
        <f t="shared" si="3"/>
        <v>3</v>
      </c>
      <c r="H11" s="28" cm="1">
        <f t="array" ref="H11">IFERROR(INDEX('Master Data Sheet'!$1:$1048576, MATCH(1, ('Master Data Sheet'!$H:$H=H$2) * (INDEX('Master Data Sheet'!$1:$1, , MATCH($F$1, 'Master Data Sheet'!$1:$1, 0)) = $F$1) * ('Master Data Sheet'!$G:$G=$B11) * ('Master Data Sheet'!$F:$F=$E11) * ('Master Data Sheet'!$A:$A=$F11), 0), MATCH($F$1, 'Master Data Sheet'!$1:$1, 0)), "")</f>
        <v>9.5296205391352459E-2</v>
      </c>
      <c r="I11" s="28" cm="1">
        <f t="array" ref="I11">IFERROR(INDEX('Master Data Sheet'!$1:$1048576, MATCH(1, ('Master Data Sheet'!$H:$H=I$2) * (INDEX('Master Data Sheet'!$1:$1, , MATCH($F$1, 'Master Data Sheet'!$1:$1, 0)) = $F$1) * ('Master Data Sheet'!$G:$G=$B11) * ('Master Data Sheet'!$F:$F=$E11) * ('Master Data Sheet'!$A:$A=$F11), 0), MATCH($F$1, 'Master Data Sheet'!$1:$1, 0)), "")</f>
        <v>4.0321450306231424E-2</v>
      </c>
      <c r="J11" s="28" cm="1">
        <f t="array" ref="J11">IFERROR(INDEX('Master Data Sheet'!$1:$1048576, MATCH(1, ('Master Data Sheet'!$H:$H=J$2) * (INDEX('Master Data Sheet'!$1:$1, , MATCH($F$1, 'Master Data Sheet'!$1:$1, 0)) = $F$1) * ('Master Data Sheet'!$G:$G=$B11) * ('Master Data Sheet'!$F:$F=$E11) * ('Master Data Sheet'!$A:$A=$F11), 0), MATCH($F$1, 'Master Data Sheet'!$1:$1, 0)), "")</f>
        <v>0.21374045801526714</v>
      </c>
      <c r="K11" s="28" cm="1">
        <f t="array" ref="K11">IFERROR(INDEX('Master Data Sheet'!$1:$1048576, MATCH(1, ('Master Data Sheet'!$H:$H=K$2) * (INDEX('Master Data Sheet'!$1:$1, , MATCH($F$1, 'Master Data Sheet'!$1:$1, 0)) = $F$1) * ('Master Data Sheet'!$G:$G=$B11) * ('Master Data Sheet'!$F:$F=$E11) * ('Master Data Sheet'!$A:$A=$F11), 0), MATCH($F$1, 'Master Data Sheet'!$1:$1, 0)), "")</f>
        <v>0.1894407977812288</v>
      </c>
      <c r="L11" s="28" cm="1">
        <f t="array" ref="L11">IFERROR(INDEX('Master Data Sheet'!$1:$1048576, MATCH(1, ('Master Data Sheet'!$H:$H=L$2) * (INDEX('Master Data Sheet'!$1:$1, , MATCH($F$1, 'Master Data Sheet'!$1:$1, 0)) = $F$1) * ('Master Data Sheet'!$G:$G=$B11) * ('Master Data Sheet'!$F:$F=$E11) * ('Master Data Sheet'!$A:$A=$F11), 0), MATCH($F$1, 'Master Data Sheet'!$1:$1, 0)), "")</f>
        <v>0.36778318083237665</v>
      </c>
      <c r="M11" s="28" cm="1">
        <f t="array" ref="M11">IFERROR(INDEX('Master Data Sheet'!$1:$1048576, MATCH(1, ('Master Data Sheet'!$H:$H=M$2) * (INDEX('Master Data Sheet'!$1:$1, , MATCH($F$1, 'Master Data Sheet'!$1:$1, 0)) = $F$1) * ('Master Data Sheet'!$G:$G=$B11) * ('Master Data Sheet'!$F:$F=$E11) * ('Master Data Sheet'!$A:$A=$F11), 0), MATCH($F$1, 'Master Data Sheet'!$1:$1, 0)), "")</f>
        <v>8.6350793527495903E-2</v>
      </c>
      <c r="N11" s="28" cm="1">
        <f t="array" ref="N11">IFERROR(INDEX('Master Data Sheet'!$1:$1048576, MATCH(1, ('Master Data Sheet'!$H:$H=N$2) * (INDEX('Master Data Sheet'!$1:$1, , MATCH($F$1, 'Master Data Sheet'!$1:$1, 0)) = $F$1) * ('Master Data Sheet'!$G:$G=$B11) * ('Master Data Sheet'!$F:$F=$E11) * ('Master Data Sheet'!$A:$A=$F11), 0), MATCH($F$1, 'Master Data Sheet'!$1:$1, 0)), "")</f>
        <v>0.24179540352718989</v>
      </c>
      <c r="O11" s="28">
        <f t="shared" si="8"/>
        <v>0.17638975562587747</v>
      </c>
      <c r="P11" s="28">
        <f t="shared" si="4"/>
        <v>0.11230353879697454</v>
      </c>
      <c r="Q11" s="28"/>
      <c r="R11" s="48">
        <f>(1-(O11/O5))*100</f>
        <v>88.158113258552646</v>
      </c>
      <c r="S11" s="27"/>
      <c r="T11" s="27"/>
      <c r="U11" s="27"/>
      <c r="V11" s="27"/>
      <c r="W11" s="27"/>
      <c r="X11" s="47">
        <f>(O8-O11)/45.6</f>
        <v>2.1188971079635598E-3</v>
      </c>
      <c r="Y11" s="47">
        <f>O5/45.6</f>
        <v>3.2665372332648643E-2</v>
      </c>
    </row>
    <row r="12" spans="1:48" x14ac:dyDescent="0.35">
      <c r="A12" s="41">
        <f>IFERROR(INDEX('Date Key'!$B$2:$B$19, MATCH(F12,'Date Key'!$A$2:$A$19, 0)), "")</f>
        <v>45217</v>
      </c>
      <c r="B12" s="4">
        <f>INT((ROW(B10)-1)/9)+1</f>
        <v>2</v>
      </c>
      <c r="C12" s="26" t="str">
        <f>IFERROR(INDEX('Date Key'!$G$57:$G$62, MATCH(B12,'Date Key'!$A$57:$A$62, 0)), "")</f>
        <v>Medium HLR, Lower Outlet Height, No Plants</v>
      </c>
      <c r="D12" s="4" t="str">
        <f>IFERROR(INDEX('Date Key'!$G$2:$G$19, MATCH(F12, 'Date Key'!$A$2:$A$19, 0)), "")</f>
        <v>No</v>
      </c>
      <c r="E12" s="4" t="str">
        <f t="shared" si="1"/>
        <v>in</v>
      </c>
      <c r="F12" s="4">
        <f t="shared" si="2"/>
        <v>4</v>
      </c>
      <c r="G12" s="4">
        <f t="shared" si="3"/>
        <v>1</v>
      </c>
      <c r="H12" s="11" cm="1">
        <f t="array" ref="H12">IFERROR(INDEX('Master Data Sheet'!$1:$1048576, MATCH(1, ('Master Data Sheet'!$H:$H=H$2) * (INDEX('Master Data Sheet'!$1:$1, , MATCH($F$1, 'Master Data Sheet'!$1:$1, 0)) = $F$1) * ('Master Data Sheet'!$G:$G=$B12) * ('Master Data Sheet'!$F:$F=$E12) * ('Master Data Sheet'!$A:$A=$F12), 0), MATCH($F$1, 'Master Data Sheet'!$1:$1, 0)), "")</f>
        <v>3.6693650023900903</v>
      </c>
      <c r="I12" s="11" cm="1">
        <f t="array" ref="I12">IFERROR(INDEX('Master Data Sheet'!$1:$1048576, MATCH(1, ('Master Data Sheet'!$H:$H=I$2) * (INDEX('Master Data Sheet'!$1:$1, , MATCH($F$1, 'Master Data Sheet'!$1:$1, 0)) = $F$1) * ('Master Data Sheet'!$G:$G=$B12) * ('Master Data Sheet'!$F:$F=$E12) * ('Master Data Sheet'!$A:$A=$F12), 0), MATCH($F$1, 'Master Data Sheet'!$1:$1, 0)), "")</f>
        <v>3.4584988059507777</v>
      </c>
      <c r="J12" s="11" cm="1">
        <f t="array" ref="J12">IFERROR(INDEX('Master Data Sheet'!$1:$1048576, MATCH(1, ('Master Data Sheet'!$H:$H=J$2) * (INDEX('Master Data Sheet'!$1:$1, , MATCH($F$1, 'Master Data Sheet'!$1:$1, 0)) = $F$1) * ('Master Data Sheet'!$G:$G=$B12) * ('Master Data Sheet'!$F:$F=$E12) * ('Master Data Sheet'!$A:$A=$F12), 0), MATCH($F$1, 'Master Data Sheet'!$1:$1, 0)), "")</f>
        <v>0.97816094302232937</v>
      </c>
      <c r="K12" s="11" cm="1">
        <f t="array" ref="K12">IFERROR(INDEX('Master Data Sheet'!$1:$1048576, MATCH(1, ('Master Data Sheet'!$H:$H=K$2) * (INDEX('Master Data Sheet'!$1:$1, , MATCH($F$1, 'Master Data Sheet'!$1:$1, 0)) = $F$1) * ('Master Data Sheet'!$G:$G=$B12) * ('Master Data Sheet'!$F:$F=$E12) * ('Master Data Sheet'!$A:$A=$F12), 0), MATCH($F$1, 'Master Data Sheet'!$1:$1, 0)), "")</f>
        <v>1.0287332002560565</v>
      </c>
      <c r="L12" s="11" cm="1">
        <f t="array" ref="L12">IFERROR(INDEX('Master Data Sheet'!$1:$1048576, MATCH(1, ('Master Data Sheet'!$H:$H=L$2) * (INDEX('Master Data Sheet'!$1:$1, , MATCH($F$1, 'Master Data Sheet'!$1:$1, 0)) = $F$1) * ('Master Data Sheet'!$G:$G=$B12) * ('Master Data Sheet'!$F:$F=$E12) * ('Master Data Sheet'!$A:$A=$F12), 0), MATCH($F$1, 'Master Data Sheet'!$1:$1, 0)), "")</f>
        <v>0.78872180169355988</v>
      </c>
      <c r="M12" s="11" cm="1">
        <f t="array" ref="M12">IFERROR(INDEX('Master Data Sheet'!$1:$1048576, MATCH(1, ('Master Data Sheet'!$H:$H=M$2) * (INDEX('Master Data Sheet'!$1:$1, , MATCH($F$1, 'Master Data Sheet'!$1:$1, 0)) = $F$1) * ('Master Data Sheet'!$G:$G=$B12) * ('Master Data Sheet'!$F:$F=$E12) * ('Master Data Sheet'!$A:$A=$F12), 0), MATCH($F$1, 'Master Data Sheet'!$1:$1, 0)), "")</f>
        <v>0.792393289086882</v>
      </c>
      <c r="N12" s="11" cm="1">
        <f t="array" ref="N12">IFERROR(INDEX('Master Data Sheet'!$1:$1048576, MATCH(1, ('Master Data Sheet'!$H:$H=N$2) * (INDEX('Master Data Sheet'!$1:$1, , MATCH($F$1, 'Master Data Sheet'!$1:$1, 0)) = $F$1) * ('Master Data Sheet'!$G:$G=$B12) * ('Master Data Sheet'!$F:$F=$E12) * ('Master Data Sheet'!$A:$A=$F12), 0), MATCH($F$1, 'Master Data Sheet'!$1:$1, 0)), "")</f>
        <v>0.77228487130110235</v>
      </c>
      <c r="O12" s="11">
        <f t="shared" si="8"/>
        <v>1.641165416242971</v>
      </c>
      <c r="P12" s="11">
        <f t="shared" si="4"/>
        <v>1.3186464020909887</v>
      </c>
      <c r="Q12" s="11">
        <f>AVERAGE(O12:O14)</f>
        <v>1.8024963990414389</v>
      </c>
      <c r="S12" s="11">
        <f>AVERAGE(O12:O14)</f>
        <v>1.8024963990414389</v>
      </c>
      <c r="T12" s="11">
        <f>AVERAGE(P12:P14)</f>
        <v>0.80741653954017467</v>
      </c>
      <c r="V12" s="47">
        <f>AVERAGE(U15, U18)</f>
        <v>72.119840244999565</v>
      </c>
      <c r="W12" s="47">
        <f>_xlfn.STDEV.S(U15,U18)</f>
        <v>19.68957863793884</v>
      </c>
      <c r="X12" s="47"/>
      <c r="Y12" s="47"/>
      <c r="AA12" t="s">
        <v>343</v>
      </c>
    </row>
    <row r="13" spans="1:48" x14ac:dyDescent="0.35">
      <c r="A13" s="41">
        <f>IFERROR(INDEX('Date Key'!$B$2:$B$19, MATCH(F13,'Date Key'!$A$2:$A$19, 0)), "")</f>
        <v>45224</v>
      </c>
      <c r="B13" s="4">
        <f t="shared" ref="B13:B56" si="15">INT((ROW(B11)-1)/9)+1</f>
        <v>2</v>
      </c>
      <c r="C13" s="26" t="str">
        <f>IFERROR(INDEX('Date Key'!$G$57:$G$62, MATCH(B13,'Date Key'!$A$57:$A$62, 0)), "")</f>
        <v>Medium HLR, Lower Outlet Height, No Plants</v>
      </c>
      <c r="D13" s="4" t="str">
        <f>IFERROR(INDEX('Date Key'!$G$2:$G$19, MATCH(F13, 'Date Key'!$A$2:$A$19, 0)), "")</f>
        <v>No</v>
      </c>
      <c r="E13" s="4" t="str">
        <f t="shared" si="1"/>
        <v>in</v>
      </c>
      <c r="F13" s="4">
        <f t="shared" si="2"/>
        <v>5</v>
      </c>
      <c r="G13" s="4">
        <f t="shared" si="3"/>
        <v>2</v>
      </c>
      <c r="H13" s="11" cm="1">
        <f t="array" ref="H13">IFERROR(INDEX('Master Data Sheet'!$1:$1048576, MATCH(1, ('Master Data Sheet'!$H:$H=H$2) * (INDEX('Master Data Sheet'!$1:$1, , MATCH($F$1, 'Master Data Sheet'!$1:$1, 0)) = $F$1) * ('Master Data Sheet'!$G:$G=$B13) * ('Master Data Sheet'!$F:$F=$E13) * ('Master Data Sheet'!$A:$A=$F13), 0), MATCH($F$1, 'Master Data Sheet'!$1:$1, 0)), "")</f>
        <v>3.4536471054631894</v>
      </c>
      <c r="I13" s="11" cm="1">
        <f t="array" ref="I13">IFERROR(INDEX('Master Data Sheet'!$1:$1048576, MATCH(1, ('Master Data Sheet'!$H:$H=I$2) * (INDEX('Master Data Sheet'!$1:$1, , MATCH($F$1, 'Master Data Sheet'!$1:$1, 0)) = $F$1) * ('Master Data Sheet'!$G:$G=$B13) * ('Master Data Sheet'!$F:$F=$E13) * ('Master Data Sheet'!$A:$A=$F13), 0), MATCH($F$1, 'Master Data Sheet'!$1:$1, 0)), "")</f>
        <v>1.0890343719197133</v>
      </c>
      <c r="J13" s="11" cm="1">
        <f t="array" ref="J13">IFERROR(INDEX('Master Data Sheet'!$1:$1048576, MATCH(1, ('Master Data Sheet'!$H:$H=J$2) * (INDEX('Master Data Sheet'!$1:$1, , MATCH($F$1, 'Master Data Sheet'!$1:$1, 0)) = $F$1) * ('Master Data Sheet'!$G:$G=$B13) * ('Master Data Sheet'!$F:$F=$E13) * ('Master Data Sheet'!$A:$A=$F13), 0), MATCH($F$1, 'Master Data Sheet'!$1:$1, 0)), "")</f>
        <v>0.84945555578254917</v>
      </c>
      <c r="K13" s="11" cm="1">
        <f t="array" ref="K13">IFERROR(INDEX('Master Data Sheet'!$1:$1048576, MATCH(1, ('Master Data Sheet'!$H:$H=K$2) * (INDEX('Master Data Sheet'!$1:$1, , MATCH($F$1, 'Master Data Sheet'!$1:$1, 0)) = $F$1) * ('Master Data Sheet'!$G:$G=$B13) * ('Master Data Sheet'!$F:$F=$E13) * ('Master Data Sheet'!$A:$A=$F13), 0), MATCH($F$1, 'Master Data Sheet'!$1:$1, 0)), "")</f>
        <v>1.1591682376346673</v>
      </c>
      <c r="L13" s="11" cm="1">
        <f t="array" ref="L13">IFERROR(INDEX('Master Data Sheet'!$1:$1048576, MATCH(1, ('Master Data Sheet'!$H:$H=L$2) * (INDEX('Master Data Sheet'!$1:$1, , MATCH($F$1, 'Master Data Sheet'!$1:$1, 0)) = $F$1) * ('Master Data Sheet'!$G:$G=$B13) * ('Master Data Sheet'!$F:$F=$E13) * ('Master Data Sheet'!$A:$A=$F13), 0), MATCH($F$1, 'Master Data Sheet'!$1:$1, 0)), "")</f>
        <v>0.69361406314487417</v>
      </c>
      <c r="M13" s="11" cm="1">
        <f t="array" ref="M13">IFERROR(INDEX('Master Data Sheet'!$1:$1048576, MATCH(1, ('Master Data Sheet'!$H:$H=M$2) * (INDEX('Master Data Sheet'!$1:$1, , MATCH($F$1, 'Master Data Sheet'!$1:$1, 0)) = $F$1) * ('Master Data Sheet'!$G:$G=$B13) * ('Master Data Sheet'!$F:$F=$E13) * ('Master Data Sheet'!$A:$A=$F13), 0), MATCH($F$1, 'Master Data Sheet'!$1:$1, 0)), "")</f>
        <v>0.81476034931845986</v>
      </c>
      <c r="N13" s="11" cm="1">
        <f t="array" ref="N13">IFERROR(INDEX('Master Data Sheet'!$1:$1048576, MATCH(1, ('Master Data Sheet'!$H:$H=N$2) * (INDEX('Master Data Sheet'!$1:$1, , MATCH($F$1, 'Master Data Sheet'!$1:$1, 0)) = $F$1) * ('Master Data Sheet'!$G:$G=$B13) * ('Master Data Sheet'!$F:$F=$E13) * ('Master Data Sheet'!$A:$A=$F13), 0), MATCH($F$1, 'Master Data Sheet'!$1:$1, 0)), "")</f>
        <v>0.7229215322613094</v>
      </c>
      <c r="O13" s="11">
        <f t="shared" si="8"/>
        <v>1.2546573165035377</v>
      </c>
      <c r="P13" s="11">
        <f t="shared" si="4"/>
        <v>0.98550456627706184</v>
      </c>
      <c r="Q13" s="11"/>
      <c r="W13" s="47"/>
      <c r="AA13" t="str">
        <f>IFERROR(INDEX('Date Key'!$G$57:$G$62, MATCH(B12,'Date Key'!$A$57:$A$62, 0)), "")</f>
        <v>Medium HLR, Lower Outlet Height, No Plants</v>
      </c>
      <c r="AB13" s="1">
        <f t="shared" ref="AB13:AH13" si="16">H12</f>
        <v>3.6693650023900903</v>
      </c>
      <c r="AC13" s="1">
        <f t="shared" si="16"/>
        <v>3.4584988059507777</v>
      </c>
      <c r="AD13" s="1">
        <f t="shared" si="16"/>
        <v>0.97816094302232937</v>
      </c>
      <c r="AE13" s="1">
        <f t="shared" si="16"/>
        <v>1.0287332002560565</v>
      </c>
      <c r="AF13" s="1">
        <f t="shared" si="16"/>
        <v>0.78872180169355988</v>
      </c>
      <c r="AG13" s="1">
        <f t="shared" si="16"/>
        <v>0.792393289086882</v>
      </c>
      <c r="AH13" s="1">
        <f t="shared" si="16"/>
        <v>0.77228487130110235</v>
      </c>
      <c r="AI13" s="1">
        <f t="shared" ref="AI13:AO13" si="17">H13</f>
        <v>3.4536471054631894</v>
      </c>
      <c r="AJ13" s="1">
        <f t="shared" si="17"/>
        <v>1.0890343719197133</v>
      </c>
      <c r="AK13" s="1">
        <f t="shared" si="17"/>
        <v>0.84945555578254917</v>
      </c>
      <c r="AL13" s="1">
        <f t="shared" si="17"/>
        <v>1.1591682376346673</v>
      </c>
      <c r="AM13" s="1">
        <f t="shared" si="17"/>
        <v>0.69361406314487417</v>
      </c>
      <c r="AN13" s="1">
        <f t="shared" si="17"/>
        <v>0.81476034931845986</v>
      </c>
      <c r="AO13" s="1">
        <f t="shared" si="17"/>
        <v>0.7229215322613094</v>
      </c>
      <c r="AP13" s="1">
        <f t="shared" ref="AP13:AV13" si="18">H14</f>
        <v>2.7327513366209781</v>
      </c>
      <c r="AQ13" s="1">
        <f t="shared" si="18"/>
        <v>2.4166414474579767</v>
      </c>
      <c r="AR13" s="1">
        <f t="shared" si="18"/>
        <v>2.600645718665858</v>
      </c>
      <c r="AS13" s="1">
        <f t="shared" si="18"/>
        <v>2.5090624868037295</v>
      </c>
      <c r="AT13" s="1">
        <f t="shared" si="18"/>
        <v>2.4042884101706443</v>
      </c>
      <c r="AU13" s="1">
        <f t="shared" si="18"/>
        <v>2.4791734296248231</v>
      </c>
      <c r="AV13" s="1">
        <f t="shared" si="18"/>
        <v>2.4391024213006482</v>
      </c>
    </row>
    <row r="14" spans="1:48" x14ac:dyDescent="0.35">
      <c r="A14" s="41">
        <f>IFERROR(INDEX('Date Key'!$B$2:$B$19, MATCH(F14,'Date Key'!$A$2:$A$19, 0)), "")</f>
        <v>45230</v>
      </c>
      <c r="B14" s="4">
        <f t="shared" si="15"/>
        <v>2</v>
      </c>
      <c r="C14" s="26" t="str">
        <f>IFERROR(INDEX('Date Key'!$G$57:$G$62, MATCH(B14,'Date Key'!$A$57:$A$62, 0)), "")</f>
        <v>Medium HLR, Lower Outlet Height, No Plants</v>
      </c>
      <c r="D14" s="4" t="str">
        <f>IFERROR(INDEX('Date Key'!$G$2:$G$19, MATCH(F14, 'Date Key'!$A$2:$A$19, 0)), "")</f>
        <v>Yes</v>
      </c>
      <c r="E14" s="4" t="str">
        <f t="shared" si="1"/>
        <v>in</v>
      </c>
      <c r="F14" s="4">
        <f t="shared" si="2"/>
        <v>6</v>
      </c>
      <c r="G14" s="4">
        <f t="shared" si="3"/>
        <v>3</v>
      </c>
      <c r="H14" s="11" cm="1">
        <f t="array" ref="H14">IFERROR(INDEX('Master Data Sheet'!$1:$1048576, MATCH(1, ('Master Data Sheet'!$H:$H=H$2) * (INDEX('Master Data Sheet'!$1:$1, , MATCH($F$1, 'Master Data Sheet'!$1:$1, 0)) = $F$1) * ('Master Data Sheet'!$G:$G=$B14) * ('Master Data Sheet'!$F:$F=$E14) * ('Master Data Sheet'!$A:$A=$F14), 0), MATCH($F$1, 'Master Data Sheet'!$1:$1, 0)), "")</f>
        <v>2.7327513366209781</v>
      </c>
      <c r="I14" s="11" cm="1">
        <f t="array" ref="I14">IFERROR(INDEX('Master Data Sheet'!$1:$1048576, MATCH(1, ('Master Data Sheet'!$H:$H=I$2) * (INDEX('Master Data Sheet'!$1:$1, , MATCH($F$1, 'Master Data Sheet'!$1:$1, 0)) = $F$1) * ('Master Data Sheet'!$G:$G=$B14) * ('Master Data Sheet'!$F:$F=$E14) * ('Master Data Sheet'!$A:$A=$F14), 0), MATCH($F$1, 'Master Data Sheet'!$1:$1, 0)), "")</f>
        <v>2.4166414474579767</v>
      </c>
      <c r="J14" s="11" cm="1">
        <f t="array" ref="J14">IFERROR(INDEX('Master Data Sheet'!$1:$1048576, MATCH(1, ('Master Data Sheet'!$H:$H=J$2) * (INDEX('Master Data Sheet'!$1:$1, , MATCH($F$1, 'Master Data Sheet'!$1:$1, 0)) = $F$1) * ('Master Data Sheet'!$G:$G=$B14) * ('Master Data Sheet'!$F:$F=$E14) * ('Master Data Sheet'!$A:$A=$F14), 0), MATCH($F$1, 'Master Data Sheet'!$1:$1, 0)), "")</f>
        <v>2.600645718665858</v>
      </c>
      <c r="K14" s="11" cm="1">
        <f t="array" ref="K14">IFERROR(INDEX('Master Data Sheet'!$1:$1048576, MATCH(1, ('Master Data Sheet'!$H:$H=K$2) * (INDEX('Master Data Sheet'!$1:$1, , MATCH($F$1, 'Master Data Sheet'!$1:$1, 0)) = $F$1) * ('Master Data Sheet'!$G:$G=$B14) * ('Master Data Sheet'!$F:$F=$E14) * ('Master Data Sheet'!$A:$A=$F14), 0), MATCH($F$1, 'Master Data Sheet'!$1:$1, 0)), "")</f>
        <v>2.5090624868037295</v>
      </c>
      <c r="L14" s="11" cm="1">
        <f t="array" ref="L14">IFERROR(INDEX('Master Data Sheet'!$1:$1048576, MATCH(1, ('Master Data Sheet'!$H:$H=L$2) * (INDEX('Master Data Sheet'!$1:$1, , MATCH($F$1, 'Master Data Sheet'!$1:$1, 0)) = $F$1) * ('Master Data Sheet'!$G:$G=$B14) * ('Master Data Sheet'!$F:$F=$E14) * ('Master Data Sheet'!$A:$A=$F14), 0), MATCH($F$1, 'Master Data Sheet'!$1:$1, 0)), "")</f>
        <v>2.4042884101706443</v>
      </c>
      <c r="M14" s="11" cm="1">
        <f t="array" ref="M14">IFERROR(INDEX('Master Data Sheet'!$1:$1048576, MATCH(1, ('Master Data Sheet'!$H:$H=M$2) * (INDEX('Master Data Sheet'!$1:$1, , MATCH($F$1, 'Master Data Sheet'!$1:$1, 0)) = $F$1) * ('Master Data Sheet'!$G:$G=$B14) * ('Master Data Sheet'!$F:$F=$E14) * ('Master Data Sheet'!$A:$A=$F14), 0), MATCH($F$1, 'Master Data Sheet'!$1:$1, 0)), "")</f>
        <v>2.4791734296248231</v>
      </c>
      <c r="N14" s="11" cm="1">
        <f t="array" ref="N14">IFERROR(INDEX('Master Data Sheet'!$1:$1048576, MATCH(1, ('Master Data Sheet'!$H:$H=N$2) * (INDEX('Master Data Sheet'!$1:$1, , MATCH($F$1, 'Master Data Sheet'!$1:$1, 0)) = $F$1) * ('Master Data Sheet'!$G:$G=$B14) * ('Master Data Sheet'!$F:$F=$E14) * ('Master Data Sheet'!$A:$A=$F14), 0), MATCH($F$1, 'Master Data Sheet'!$1:$1, 0)), "")</f>
        <v>2.4391024213006482</v>
      </c>
      <c r="O14" s="11">
        <f t="shared" si="8"/>
        <v>2.5116664643778082</v>
      </c>
      <c r="P14" s="11">
        <f t="shared" si="4"/>
        <v>0.11809865025247326</v>
      </c>
      <c r="Q14" s="11"/>
      <c r="AB14" s="1"/>
      <c r="AC14" s="1"/>
      <c r="AD14" s="1"/>
      <c r="AE14" s="1"/>
      <c r="AF14" s="1"/>
      <c r="AG14" s="1"/>
      <c r="AH14" s="1"/>
      <c r="AI14" s="1"/>
      <c r="AJ14" s="1"/>
      <c r="AK14" s="1"/>
      <c r="AL14" s="1"/>
      <c r="AM14" s="1"/>
      <c r="AN14" s="1"/>
      <c r="AO14" s="1"/>
      <c r="AP14" s="1"/>
      <c r="AQ14" s="1"/>
      <c r="AR14" s="1"/>
      <c r="AS14" s="1"/>
      <c r="AT14" s="1"/>
      <c r="AU14" s="1"/>
      <c r="AV14" s="1"/>
    </row>
    <row r="15" spans="1:48" x14ac:dyDescent="0.35">
      <c r="A15" s="41">
        <f>IFERROR(INDEX('Date Key'!$B$2:$B$19, MATCH(F15,'Date Key'!$A$2:$A$19, 0)), "")</f>
        <v>45217</v>
      </c>
      <c r="B15" s="4">
        <f t="shared" si="15"/>
        <v>2</v>
      </c>
      <c r="C15" s="26" t="str">
        <f>IFERROR(INDEX('Date Key'!$G$57:$G$62, MATCH(B15,'Date Key'!$A$57:$A$62, 0)), "")</f>
        <v>Medium HLR, Lower Outlet Height, No Plants</v>
      </c>
      <c r="D15" s="4" t="str">
        <f>IFERROR(INDEX('Date Key'!$G$2:$G$19, MATCH(F15, 'Date Key'!$A$2:$A$19, 0)), "")</f>
        <v>No</v>
      </c>
      <c r="E15" s="4" t="str">
        <f t="shared" si="1"/>
        <v>tank 1</v>
      </c>
      <c r="F15" s="4">
        <f t="shared" si="2"/>
        <v>4</v>
      </c>
      <c r="G15" s="4">
        <f t="shared" si="3"/>
        <v>1</v>
      </c>
      <c r="H15" s="11" cm="1">
        <f t="array" ref="H15">IFERROR(INDEX('Master Data Sheet'!$1:$1048576, MATCH(1, ('Master Data Sheet'!$H:$H=H$2) * (INDEX('Master Data Sheet'!$1:$1, , MATCH($F$1, 'Master Data Sheet'!$1:$1, 0)) = $F$1) * ('Master Data Sheet'!$G:$G=$B15) * ('Master Data Sheet'!$F:$F=$E15) * ('Master Data Sheet'!$A:$A=$F15), 0), MATCH($F$1, 'Master Data Sheet'!$1:$1, 0)), "")</f>
        <v>0.23099845698784571</v>
      </c>
      <c r="I15" s="11" cm="1">
        <f t="array" ref="I15">IFERROR(INDEX('Master Data Sheet'!$1:$1048576, MATCH(1, ('Master Data Sheet'!$H:$H=I$2) * (INDEX('Master Data Sheet'!$1:$1, , MATCH($F$1, 'Master Data Sheet'!$1:$1, 0)) = $F$1) * ('Master Data Sheet'!$G:$G=$B15) * ('Master Data Sheet'!$F:$F=$E15) * ('Master Data Sheet'!$A:$A=$F15), 0), MATCH($F$1, 'Master Data Sheet'!$1:$1, 0)), "")</f>
        <v>0.22271711837027647</v>
      </c>
      <c r="J15" s="11" cm="1">
        <f t="array" ref="J15">IFERROR(INDEX('Master Data Sheet'!$1:$1048576, MATCH(1, ('Master Data Sheet'!$H:$H=J$2) * (INDEX('Master Data Sheet'!$1:$1, , MATCH($F$1, 'Master Data Sheet'!$1:$1, 0)) = $F$1) * ('Master Data Sheet'!$G:$G=$B15) * ('Master Data Sheet'!$F:$F=$E15) * ('Master Data Sheet'!$A:$A=$F15), 0), MATCH($F$1, 'Master Data Sheet'!$1:$1, 0)), "")</f>
        <v>0.54995520493459116</v>
      </c>
      <c r="K15" s="11" cm="1">
        <f t="array" ref="K15">IFERROR(INDEX('Master Data Sheet'!$1:$1048576, MATCH(1, ('Master Data Sheet'!$H:$H=K$2) * (INDEX('Master Data Sheet'!$1:$1, , MATCH($F$1, 'Master Data Sheet'!$1:$1, 0)) = $F$1) * ('Master Data Sheet'!$G:$G=$B15) * ('Master Data Sheet'!$F:$F=$E15) * ('Master Data Sheet'!$A:$A=$F15), 0), MATCH($F$1, 'Master Data Sheet'!$1:$1, 0)), "")</f>
        <v>0.8244496705466382</v>
      </c>
      <c r="L15" s="11" cm="1">
        <f t="array" ref="L15">IFERROR(INDEX('Master Data Sheet'!$1:$1048576, MATCH(1, ('Master Data Sheet'!$H:$H=L$2) * (INDEX('Master Data Sheet'!$1:$1, , MATCH($F$1, 'Master Data Sheet'!$1:$1, 0)) = $F$1) * ('Master Data Sheet'!$G:$G=$B15) * ('Master Data Sheet'!$F:$F=$E15) * ('Master Data Sheet'!$A:$A=$F15), 0), MATCH($F$1, 'Master Data Sheet'!$1:$1, 0)), "")</f>
        <v>0.63866997576435014</v>
      </c>
      <c r="M15" s="11" cm="1">
        <f t="array" ref="M15">IFERROR(INDEX('Master Data Sheet'!$1:$1048576, MATCH(1, ('Master Data Sheet'!$H:$H=M$2) * (INDEX('Master Data Sheet'!$1:$1, , MATCH($F$1, 'Master Data Sheet'!$1:$1, 0)) = $F$1) * ('Master Data Sheet'!$G:$G=$B15) * ('Master Data Sheet'!$F:$F=$E15) * ('Master Data Sheet'!$A:$A=$F15), 0), MATCH($F$1, 'Master Data Sheet'!$1:$1, 0)), "")</f>
        <v>0.2794476725695153</v>
      </c>
      <c r="N15" s="11" cm="1">
        <f t="array" ref="N15">IFERROR(INDEX('Master Data Sheet'!$1:$1048576, MATCH(1, ('Master Data Sheet'!$H:$H=N$2) * (INDEX('Master Data Sheet'!$1:$1, , MATCH($F$1, 'Master Data Sheet'!$1:$1, 0)) = $F$1) * ('Master Data Sheet'!$G:$G=$B15) * ('Master Data Sheet'!$F:$F=$E15) * ('Master Data Sheet'!$A:$A=$F15), 0), MATCH($F$1, 'Master Data Sheet'!$1:$1, 0)), "")</f>
        <v>0.60871152011194662</v>
      </c>
      <c r="O15" s="11">
        <f t="shared" si="8"/>
        <v>0.47927851704073771</v>
      </c>
      <c r="P15" s="11">
        <f t="shared" si="4"/>
        <v>0.2358304351053967</v>
      </c>
      <c r="Q15" s="11">
        <f>AVERAGE(O15:O17)</f>
        <v>0.25158388879018317</v>
      </c>
      <c r="R15" s="46">
        <f>(1-(O15/O12))*100</f>
        <v>70.796452795238423</v>
      </c>
      <c r="S15" s="46">
        <f>AVERAGE(R15:R17)</f>
        <v>85.765335958036317</v>
      </c>
      <c r="T15" s="46">
        <f>STDEV(R15:R17)</f>
        <v>13.073071870796927</v>
      </c>
      <c r="U15" s="47">
        <f>(1-(AVERAGE(H15:N17)/AVERAGE(H12:N14)))*100</f>
        <v>86.042474818591899</v>
      </c>
      <c r="X15" s="47">
        <f>(O12-O15)/70.1</f>
        <v>1.6574706122713743E-2</v>
      </c>
      <c r="Y15" s="47">
        <f>O12/70.1</f>
        <v>2.3411774839414708E-2</v>
      </c>
      <c r="AB15" s="2"/>
      <c r="AC15" s="2"/>
      <c r="AD15" s="2"/>
      <c r="AE15" s="2"/>
      <c r="AF15" s="2"/>
      <c r="AG15" s="2"/>
      <c r="AH15" s="2"/>
      <c r="AI15" s="2"/>
      <c r="AJ15" s="2"/>
    </row>
    <row r="16" spans="1:48" x14ac:dyDescent="0.35">
      <c r="A16" s="41">
        <f>IFERROR(INDEX('Date Key'!$B$2:$B$19, MATCH(F16,'Date Key'!$A$2:$A$19, 0)), "")</f>
        <v>45224</v>
      </c>
      <c r="B16" s="4">
        <f t="shared" si="15"/>
        <v>2</v>
      </c>
      <c r="C16" s="26" t="str">
        <f>IFERROR(INDEX('Date Key'!$G$57:$G$62, MATCH(B16,'Date Key'!$A$57:$A$62, 0)), "")</f>
        <v>Medium HLR, Lower Outlet Height, No Plants</v>
      </c>
      <c r="D16" s="4" t="str">
        <f>IFERROR(INDEX('Date Key'!$G$2:$G$19, MATCH(F16, 'Date Key'!$A$2:$A$19, 0)), "")</f>
        <v>No</v>
      </c>
      <c r="E16" s="4" t="str">
        <f t="shared" si="1"/>
        <v>tank 1</v>
      </c>
      <c r="F16" s="4">
        <f t="shared" si="2"/>
        <v>5</v>
      </c>
      <c r="G16" s="4">
        <f>MOD(ROW(G16)-ROW($G$3), 3) + 1</f>
        <v>2</v>
      </c>
      <c r="H16" s="11" cm="1">
        <f t="array" ref="H16">IFERROR(INDEX('Master Data Sheet'!$1:$1048576, MATCH(1, ('Master Data Sheet'!$H:$H=H$2) * (INDEX('Master Data Sheet'!$1:$1, , MATCH($F$1, 'Master Data Sheet'!$1:$1, 0)) = $F$1) * ('Master Data Sheet'!$G:$G=$B16) * ('Master Data Sheet'!$F:$F=$E16) * ('Master Data Sheet'!$A:$A=$F16), 0), MATCH($F$1, 'Master Data Sheet'!$1:$1, 0)), "")</f>
        <v>8.7974955211727227E-2</v>
      </c>
      <c r="I16" s="11" cm="1">
        <f t="array" ref="I16">IFERROR(INDEX('Master Data Sheet'!$1:$1048576, MATCH(1, ('Master Data Sheet'!$H:$H=I$2) * (INDEX('Master Data Sheet'!$1:$1, , MATCH($F$1, 'Master Data Sheet'!$1:$1, 0)) = $F$1) * ('Master Data Sheet'!$G:$G=$B16) * ('Master Data Sheet'!$F:$F=$E16) * ('Master Data Sheet'!$A:$A=$F16), 0), MATCH($F$1, 'Master Data Sheet'!$1:$1, 0)), "")</f>
        <v>2.5741077447956038E-2</v>
      </c>
      <c r="J16" s="11" cm="1">
        <f t="array" ref="J16">IFERROR(INDEX('Master Data Sheet'!$1:$1048576, MATCH(1, ('Master Data Sheet'!$H:$H=J$2) * (INDEX('Master Data Sheet'!$1:$1, , MATCH($F$1, 'Master Data Sheet'!$1:$1, 0)) = $F$1) * ('Master Data Sheet'!$G:$G=$B16) * ('Master Data Sheet'!$F:$F=$E16) * ('Master Data Sheet'!$A:$A=$F16), 0), MATCH($F$1, 'Master Data Sheet'!$1:$1, 0)), "")</f>
        <v>9.4197065709098207E-2</v>
      </c>
      <c r="K16" s="11" cm="1">
        <f t="array" ref="K16">IFERROR(INDEX('Master Data Sheet'!$1:$1048576, MATCH(1, ('Master Data Sheet'!$H:$H=K$2) * (INDEX('Master Data Sheet'!$1:$1, , MATCH($F$1, 'Master Data Sheet'!$1:$1, 0)) = $F$1) * ('Master Data Sheet'!$G:$G=$B16) * ('Master Data Sheet'!$F:$F=$E16) * ('Master Data Sheet'!$A:$A=$F16), 0), MATCH($F$1, 'Master Data Sheet'!$1:$1, 0)), "")</f>
        <v>3.6492800315815144E-2</v>
      </c>
      <c r="L16" s="11" cm="1">
        <f t="array" ref="L16">IFERROR(INDEX('Master Data Sheet'!$1:$1048576, MATCH(1, ('Master Data Sheet'!$H:$H=L$2) * (INDEX('Master Data Sheet'!$1:$1, , MATCH($F$1, 'Master Data Sheet'!$1:$1, 0)) = $F$1) * ('Master Data Sheet'!$G:$G=$B16) * ('Master Data Sheet'!$F:$F=$E16) * ('Master Data Sheet'!$A:$A=$F16), 0), MATCH($F$1, 'Master Data Sheet'!$1:$1, 0)), "")</f>
        <v>0</v>
      </c>
      <c r="M16" s="11" cm="1">
        <f t="array" ref="M16">IFERROR(INDEX('Master Data Sheet'!$1:$1048576, MATCH(1, ('Master Data Sheet'!$H:$H=M$2) * (INDEX('Master Data Sheet'!$1:$1, , MATCH($F$1, 'Master Data Sheet'!$1:$1, 0)) = $F$1) * ('Master Data Sheet'!$G:$G=$B16) * ('Master Data Sheet'!$F:$F=$E16) * ('Master Data Sheet'!$A:$A=$F16), 0), MATCH($F$1, 'Master Data Sheet'!$1:$1, 0)), "")</f>
        <v>0.10911925175370227</v>
      </c>
      <c r="N16" s="11" cm="1">
        <f t="array" ref="N16">IFERROR(INDEX('Master Data Sheet'!$1:$1048576, MATCH(1, ('Master Data Sheet'!$H:$H=N$2) * (INDEX('Master Data Sheet'!$1:$1, , MATCH($F$1, 'Master Data Sheet'!$1:$1, 0)) = $F$1) * ('Master Data Sheet'!$G:$G=$B16) * ('Master Data Sheet'!$F:$F=$E16) * ('Master Data Sheet'!$A:$A=$F16), 0), MATCH($F$1, 'Master Data Sheet'!$1:$1, 0)), "")</f>
        <v>9.0932709794751876E-2</v>
      </c>
      <c r="O16" s="11">
        <f t="shared" si="8"/>
        <v>6.3493980033292971E-2</v>
      </c>
      <c r="P16" s="11">
        <f t="shared" si="4"/>
        <v>4.1957076849259853E-2</v>
      </c>
      <c r="Q16" s="11"/>
      <c r="R16" s="46">
        <f>(1-(O16/O13))*100</f>
        <v>94.939336885211247</v>
      </c>
      <c r="X16" s="47">
        <f>(O13-O16)/70.1</f>
        <v>1.6992344314839442E-2</v>
      </c>
      <c r="Y16" s="47">
        <f>O13/70.1</f>
        <v>1.7898107225442765E-2</v>
      </c>
      <c r="AA16" t="str">
        <f>IFERROR(INDEX('Date Key'!$G$57:$G$62, MATCH(B15,'Date Key'!$A$57:$A$62, 0)), "")</f>
        <v>Medium HLR, Lower Outlet Height, No Plants</v>
      </c>
      <c r="AB16" s="1">
        <f t="shared" ref="AB16:AH16" si="19">H15</f>
        <v>0.23099845698784571</v>
      </c>
      <c r="AC16" s="1">
        <f t="shared" si="19"/>
        <v>0.22271711837027647</v>
      </c>
      <c r="AD16" s="1">
        <f t="shared" si="19"/>
        <v>0.54995520493459116</v>
      </c>
      <c r="AE16" s="1">
        <f t="shared" si="19"/>
        <v>0.8244496705466382</v>
      </c>
      <c r="AF16" s="1">
        <f t="shared" si="19"/>
        <v>0.63866997576435014</v>
      </c>
      <c r="AG16" s="1">
        <f t="shared" si="19"/>
        <v>0.2794476725695153</v>
      </c>
      <c r="AH16" s="1">
        <f t="shared" si="19"/>
        <v>0.60871152011194662</v>
      </c>
      <c r="AI16" s="1">
        <f t="shared" ref="AI16:AO16" si="20">H16</f>
        <v>8.7974955211727227E-2</v>
      </c>
      <c r="AJ16" s="1">
        <f t="shared" si="20"/>
        <v>2.5741077447956038E-2</v>
      </c>
      <c r="AK16" s="1">
        <f t="shared" si="20"/>
        <v>9.4197065709098207E-2</v>
      </c>
      <c r="AL16" s="1">
        <f t="shared" si="20"/>
        <v>3.6492800315815144E-2</v>
      </c>
      <c r="AM16" s="1">
        <f t="shared" si="20"/>
        <v>0</v>
      </c>
      <c r="AN16" s="1">
        <f t="shared" si="20"/>
        <v>0.10911925175370227</v>
      </c>
      <c r="AO16" s="1">
        <f t="shared" si="20"/>
        <v>9.0932709794751876E-2</v>
      </c>
      <c r="AP16" s="1">
        <f t="shared" ref="AP16:AV16" si="21">H17</f>
        <v>5.1187202007584962E-2</v>
      </c>
      <c r="AQ16" s="1">
        <f t="shared" si="21"/>
        <v>0.2842398236046737</v>
      </c>
      <c r="AR16" s="1">
        <f t="shared" si="21"/>
        <v>0.35493423982415701</v>
      </c>
      <c r="AS16" s="1">
        <f t="shared" si="21"/>
        <v>0.1555426144021769</v>
      </c>
      <c r="AT16" s="1">
        <f t="shared" si="21"/>
        <v>0.11925008778026991</v>
      </c>
      <c r="AU16" s="1">
        <f t="shared" si="21"/>
        <v>0.20145319109739593</v>
      </c>
      <c r="AV16" s="1">
        <f t="shared" si="21"/>
        <v>0.31724702635937335</v>
      </c>
    </row>
    <row r="17" spans="1:48" x14ac:dyDescent="0.35">
      <c r="A17" s="41">
        <f>IFERROR(INDEX('Date Key'!$B$2:$B$19, MATCH(F17,'Date Key'!$A$2:$A$19, 0)), "")</f>
        <v>45230</v>
      </c>
      <c r="B17" s="4">
        <f t="shared" si="15"/>
        <v>2</v>
      </c>
      <c r="C17" s="26" t="str">
        <f>IFERROR(INDEX('Date Key'!$G$57:$G$62, MATCH(B17,'Date Key'!$A$57:$A$62, 0)), "")</f>
        <v>Medium HLR, Lower Outlet Height, No Plants</v>
      </c>
      <c r="D17" s="4" t="str">
        <f>IFERROR(INDEX('Date Key'!$G$2:$G$19, MATCH(F17, 'Date Key'!$A$2:$A$19, 0)), "")</f>
        <v>Yes</v>
      </c>
      <c r="E17" s="4" t="str">
        <f t="shared" si="1"/>
        <v>tank 1</v>
      </c>
      <c r="F17" s="4">
        <f t="shared" si="2"/>
        <v>6</v>
      </c>
      <c r="G17" s="4">
        <f t="shared" ref="G17:G56" si="22">MOD(ROW(G17)-ROW($G$3), 3) + 1</f>
        <v>3</v>
      </c>
      <c r="H17" s="11" cm="1">
        <f t="array" ref="H17">IFERROR(INDEX('Master Data Sheet'!$1:$1048576, MATCH(1, ('Master Data Sheet'!$H:$H=H$2) * (INDEX('Master Data Sheet'!$1:$1, , MATCH($F$1, 'Master Data Sheet'!$1:$1, 0)) = $F$1) * ('Master Data Sheet'!$G:$G=$B17) * ('Master Data Sheet'!$F:$F=$E17) * ('Master Data Sheet'!$A:$A=$F17), 0), MATCH($F$1, 'Master Data Sheet'!$1:$1, 0)), "")</f>
        <v>5.1187202007584962E-2</v>
      </c>
      <c r="I17" s="11" cm="1">
        <f t="array" ref="I17">IFERROR(INDEX('Master Data Sheet'!$1:$1048576, MATCH(1, ('Master Data Sheet'!$H:$H=I$2) * (INDEX('Master Data Sheet'!$1:$1, , MATCH($F$1, 'Master Data Sheet'!$1:$1, 0)) = $F$1) * ('Master Data Sheet'!$G:$G=$B17) * ('Master Data Sheet'!$F:$F=$E17) * ('Master Data Sheet'!$A:$A=$F17), 0), MATCH($F$1, 'Master Data Sheet'!$1:$1, 0)), "")</f>
        <v>0.2842398236046737</v>
      </c>
      <c r="J17" s="11" cm="1">
        <f t="array" ref="J17">IFERROR(INDEX('Master Data Sheet'!$1:$1048576, MATCH(1, ('Master Data Sheet'!$H:$H=J$2) * (INDEX('Master Data Sheet'!$1:$1, , MATCH($F$1, 'Master Data Sheet'!$1:$1, 0)) = $F$1) * ('Master Data Sheet'!$G:$G=$B17) * ('Master Data Sheet'!$F:$F=$E17) * ('Master Data Sheet'!$A:$A=$F17), 0), MATCH($F$1, 'Master Data Sheet'!$1:$1, 0)), "")</f>
        <v>0.35493423982415701</v>
      </c>
      <c r="K17" s="11" cm="1">
        <f t="array" ref="K17">IFERROR(INDEX('Master Data Sheet'!$1:$1048576, MATCH(1, ('Master Data Sheet'!$H:$H=K$2) * (INDEX('Master Data Sheet'!$1:$1, , MATCH($F$1, 'Master Data Sheet'!$1:$1, 0)) = $F$1) * ('Master Data Sheet'!$G:$G=$B17) * ('Master Data Sheet'!$F:$F=$E17) * ('Master Data Sheet'!$A:$A=$F17), 0), MATCH($F$1, 'Master Data Sheet'!$1:$1, 0)), "")</f>
        <v>0.1555426144021769</v>
      </c>
      <c r="L17" s="11" cm="1">
        <f t="array" ref="L17">IFERROR(INDEX('Master Data Sheet'!$1:$1048576, MATCH(1, ('Master Data Sheet'!$H:$H=L$2) * (INDEX('Master Data Sheet'!$1:$1, , MATCH($F$1, 'Master Data Sheet'!$1:$1, 0)) = $F$1) * ('Master Data Sheet'!$G:$G=$B17) * ('Master Data Sheet'!$F:$F=$E17) * ('Master Data Sheet'!$A:$A=$F17), 0), MATCH($F$1, 'Master Data Sheet'!$1:$1, 0)), "")</f>
        <v>0.11925008778026991</v>
      </c>
      <c r="M17" s="11" cm="1">
        <f t="array" ref="M17">IFERROR(INDEX('Master Data Sheet'!$1:$1048576, MATCH(1, ('Master Data Sheet'!$H:$H=M$2) * (INDEX('Master Data Sheet'!$1:$1, , MATCH($F$1, 'Master Data Sheet'!$1:$1, 0)) = $F$1) * ('Master Data Sheet'!$G:$G=$B17) * ('Master Data Sheet'!$F:$F=$E17) * ('Master Data Sheet'!$A:$A=$F17), 0), MATCH($F$1, 'Master Data Sheet'!$1:$1, 0)), "")</f>
        <v>0.20145319109739593</v>
      </c>
      <c r="N17" s="11" cm="1">
        <f t="array" ref="N17">IFERROR(INDEX('Master Data Sheet'!$1:$1048576, MATCH(1, ('Master Data Sheet'!$H:$H=N$2) * (INDEX('Master Data Sheet'!$1:$1, , MATCH($F$1, 'Master Data Sheet'!$1:$1, 0)) = $F$1) * ('Master Data Sheet'!$G:$G=$B17) * ('Master Data Sheet'!$F:$F=$E17) * ('Master Data Sheet'!$A:$A=$F17), 0), MATCH($F$1, 'Master Data Sheet'!$1:$1, 0)), "")</f>
        <v>0.31724702635937335</v>
      </c>
      <c r="O17" s="11">
        <f t="shared" si="8"/>
        <v>0.21197916929651886</v>
      </c>
      <c r="P17" s="11">
        <f t="shared" si="4"/>
        <v>0.1114208959532078</v>
      </c>
      <c r="Q17" s="11"/>
      <c r="R17" s="46">
        <f>(1-(O17/O14))*100</f>
        <v>91.56021819365931</v>
      </c>
      <c r="X17" s="47">
        <f>(O14-O17)/70.1</f>
        <v>3.2805810200874315E-2</v>
      </c>
      <c r="Y17" s="47">
        <f>O14/70.1</f>
        <v>3.582976411380611E-2</v>
      </c>
      <c r="AB17" s="2"/>
      <c r="AC17" s="2"/>
      <c r="AD17" s="2"/>
      <c r="AE17" s="2"/>
      <c r="AF17" s="2"/>
      <c r="AG17" s="2"/>
      <c r="AH17" s="2"/>
      <c r="AI17" s="2"/>
      <c r="AJ17" s="2"/>
    </row>
    <row r="18" spans="1:48" x14ac:dyDescent="0.35">
      <c r="A18" s="41">
        <f>IFERROR(INDEX('Date Key'!$B$2:$B$19, MATCH(F18,'Date Key'!$A$2:$A$19, 0)), "")</f>
        <v>45217</v>
      </c>
      <c r="B18" s="4">
        <f t="shared" si="15"/>
        <v>2</v>
      </c>
      <c r="C18" s="26" t="str">
        <f>IFERROR(INDEX('Date Key'!$G$57:$G$62, MATCH(B18,'Date Key'!$A$57:$A$62, 0)), "")</f>
        <v>Medium HLR, Lower Outlet Height, No Plants</v>
      </c>
      <c r="D18" s="4" t="str">
        <f>IFERROR(INDEX('Date Key'!$G$2:$G$19, MATCH(F18, 'Date Key'!$A$2:$A$19, 0)), "")</f>
        <v>No</v>
      </c>
      <c r="E18" s="4" t="str">
        <f t="shared" si="1"/>
        <v>tank 2</v>
      </c>
      <c r="F18" s="4">
        <f t="shared" si="2"/>
        <v>4</v>
      </c>
      <c r="G18" s="4">
        <f t="shared" si="22"/>
        <v>1</v>
      </c>
      <c r="H18" s="11" cm="1">
        <f t="array" ref="H18">IFERROR(INDEX('Master Data Sheet'!$1:$1048576, MATCH(1, ('Master Data Sheet'!$H:$H=H$2) * (INDEX('Master Data Sheet'!$1:$1, , MATCH($F$1, 'Master Data Sheet'!$1:$1, 0)) = $F$1) * ('Master Data Sheet'!$G:$G=$B18) * ('Master Data Sheet'!$F:$F=$E18) * ('Master Data Sheet'!$A:$A=$F18), 0), MATCH($F$1, 'Master Data Sheet'!$1:$1, 0)), "")</f>
        <v>0.15445850553457693</v>
      </c>
      <c r="I18" s="11" cm="1">
        <f t="array" ref="I18">IFERROR(INDEX('Master Data Sheet'!$1:$1048576, MATCH(1, ('Master Data Sheet'!$H:$H=I$2) * (INDEX('Master Data Sheet'!$1:$1, , MATCH($F$1, 'Master Data Sheet'!$1:$1, 0)) = $F$1) * ('Master Data Sheet'!$G:$G=$B18) * ('Master Data Sheet'!$F:$F=$E18) * ('Master Data Sheet'!$A:$A=$F18), 0), MATCH($F$1, 'Master Data Sheet'!$1:$1, 0)), "")</f>
        <v>3.008380488503689E-2</v>
      </c>
      <c r="J18" s="11" cm="1">
        <f t="array" ref="J18">IFERROR(INDEX('Master Data Sheet'!$1:$1048576, MATCH(1, ('Master Data Sheet'!$H:$H=J$2) * (INDEX('Master Data Sheet'!$1:$1, , MATCH($F$1, 'Master Data Sheet'!$1:$1, 0)) = $F$1) * ('Master Data Sheet'!$G:$G=$B18) * ('Master Data Sheet'!$F:$F=$E18) * ('Master Data Sheet'!$A:$A=$F18), 0), MATCH($F$1, 'Master Data Sheet'!$1:$1, 0)), "")</f>
        <v>0.94501597158523776</v>
      </c>
      <c r="K18" s="11" cm="1">
        <f t="array" ref="K18">IFERROR(INDEX('Master Data Sheet'!$1:$1048576, MATCH(1, ('Master Data Sheet'!$H:$H=K$2) * (INDEX('Master Data Sheet'!$1:$1, , MATCH($F$1, 'Master Data Sheet'!$1:$1, 0)) = $F$1) * ('Master Data Sheet'!$G:$G=$B18) * ('Master Data Sheet'!$F:$F=$E18) * ('Master Data Sheet'!$A:$A=$F18), 0), MATCH($F$1, 'Master Data Sheet'!$1:$1, 0)), "")</f>
        <v>1.2203315057774062</v>
      </c>
      <c r="L18" s="11" cm="1">
        <f t="array" ref="L18">IFERROR(INDEX('Master Data Sheet'!$1:$1048576, MATCH(1, ('Master Data Sheet'!$H:$H=L$2) * (INDEX('Master Data Sheet'!$1:$1, , MATCH($F$1, 'Master Data Sheet'!$1:$1, 0)) = $F$1) * ('Master Data Sheet'!$G:$G=$B18) * ('Master Data Sheet'!$F:$F=$E18) * ('Master Data Sheet'!$A:$A=$F18), 0), MATCH($F$1, 'Master Data Sheet'!$1:$1, 0)), "")</f>
        <v>0.78836584882433036</v>
      </c>
      <c r="M18" s="11" cm="1">
        <f t="array" ref="M18">IFERROR(INDEX('Master Data Sheet'!$1:$1048576, MATCH(1, ('Master Data Sheet'!$H:$H=M$2) * (INDEX('Master Data Sheet'!$1:$1, , MATCH($F$1, 'Master Data Sheet'!$1:$1, 0)) = $F$1) * ('Master Data Sheet'!$G:$G=$B18) * ('Master Data Sheet'!$F:$F=$E18) * ('Master Data Sheet'!$A:$A=$F18), 0), MATCH($F$1, 'Master Data Sheet'!$1:$1, 0)), "")</f>
        <v>0.59592646014599715</v>
      </c>
      <c r="N18" s="11" cm="1">
        <f t="array" ref="N18">IFERROR(INDEX('Master Data Sheet'!$1:$1048576, MATCH(1, ('Master Data Sheet'!$H:$H=N$2) * (INDEX('Master Data Sheet'!$1:$1, , MATCH($F$1, 'Master Data Sheet'!$1:$1, 0)) = $F$1) * ('Master Data Sheet'!$G:$G=$B18) * ('Master Data Sheet'!$F:$F=$E18) * ('Master Data Sheet'!$A:$A=$F18), 0), MATCH($F$1, 'Master Data Sheet'!$1:$1, 0)), "")</f>
        <v>0.58941236899037586</v>
      </c>
      <c r="O18" s="11">
        <f t="shared" si="8"/>
        <v>0.6176563522489944</v>
      </c>
      <c r="P18" s="11">
        <f t="shared" si="4"/>
        <v>0.42043371409597857</v>
      </c>
      <c r="Q18" s="11">
        <f>AVERAGE(N18:N20)</f>
        <v>0.88096461092196454</v>
      </c>
      <c r="R18" s="46">
        <f>(1-(O18/O12))*100</f>
        <v>62.364771635088381</v>
      </c>
      <c r="S18" s="46">
        <f>AVERAGE(R18:R20)</f>
        <v>58.903209820643305</v>
      </c>
      <c r="T18" s="46">
        <f>STDEV(R18:R20)</f>
        <v>3.8219299586640569</v>
      </c>
      <c r="U18" s="47">
        <f>(1-(AVERAGE(H18:N20)/AVERAGE(H12:N14)))*100</f>
        <v>58.197205671407239</v>
      </c>
      <c r="V18" s="47"/>
      <c r="W18" s="47"/>
      <c r="X18" s="47">
        <f>(O15-O18)/45.6</f>
        <v>-3.0346016493038746E-3</v>
      </c>
      <c r="Y18" s="47">
        <f>O12/45.6</f>
        <v>3.5990469654451115E-2</v>
      </c>
      <c r="AB18" s="2"/>
      <c r="AC18" s="2"/>
      <c r="AD18" s="2"/>
      <c r="AE18" s="2"/>
      <c r="AF18" s="2"/>
      <c r="AG18" s="2"/>
      <c r="AH18" s="2"/>
      <c r="AI18" s="2"/>
      <c r="AJ18" s="2"/>
    </row>
    <row r="19" spans="1:48" x14ac:dyDescent="0.35">
      <c r="A19" s="41">
        <f>IFERROR(INDEX('Date Key'!$B$2:$B$19, MATCH(F19,'Date Key'!$A$2:$A$19, 0)), "")</f>
        <v>45224</v>
      </c>
      <c r="B19" s="4">
        <f t="shared" si="15"/>
        <v>2</v>
      </c>
      <c r="C19" s="26" t="str">
        <f>IFERROR(INDEX('Date Key'!$G$57:$G$62, MATCH(B19,'Date Key'!$A$57:$A$62, 0)), "")</f>
        <v>Medium HLR, Lower Outlet Height, No Plants</v>
      </c>
      <c r="D19" s="4" t="str">
        <f>IFERROR(INDEX('Date Key'!$G$2:$G$19, MATCH(F19, 'Date Key'!$A$2:$A$19, 0)), "")</f>
        <v>No</v>
      </c>
      <c r="E19" s="4" t="str">
        <f t="shared" si="1"/>
        <v>tank 2</v>
      </c>
      <c r="F19" s="4">
        <f t="shared" si="2"/>
        <v>5</v>
      </c>
      <c r="G19" s="4">
        <f t="shared" si="22"/>
        <v>2</v>
      </c>
      <c r="H19" s="11" cm="1">
        <f t="array" ref="H19">IFERROR(INDEX('Master Data Sheet'!$1:$1048576, MATCH(1, ('Master Data Sheet'!$H:$H=H$2) * (INDEX('Master Data Sheet'!$1:$1, , MATCH($F$1, 'Master Data Sheet'!$1:$1, 0)) = $F$1) * ('Master Data Sheet'!$G:$G=$B19) * ('Master Data Sheet'!$F:$F=$E19) * ('Master Data Sheet'!$A:$A=$F19), 0), MATCH($F$1, 'Master Data Sheet'!$1:$1, 0)), "")</f>
        <v>6.2233877763771164E-2</v>
      </c>
      <c r="I19" s="11" cm="1">
        <f t="array" ref="I19">IFERROR(INDEX('Master Data Sheet'!$1:$1048576, MATCH(1, ('Master Data Sheet'!$H:$H=I$2) * (INDEX('Master Data Sheet'!$1:$1, , MATCH($F$1, 'Master Data Sheet'!$1:$1, 0)) = $F$1) * ('Master Data Sheet'!$G:$G=$B19) * ('Master Data Sheet'!$F:$F=$E19) * ('Master Data Sheet'!$A:$A=$F19), 0), MATCH($F$1, 'Master Data Sheet'!$1:$1, 0)), "")</f>
        <v>1.7160718298637353E-2</v>
      </c>
      <c r="J19" s="11" cm="1">
        <f t="array" ref="J19">IFERROR(INDEX('Master Data Sheet'!$1:$1048576, MATCH(1, ('Master Data Sheet'!$H:$H=J$2) * (INDEX('Master Data Sheet'!$1:$1, , MATCH($F$1, 'Master Data Sheet'!$1:$1, 0)) = $F$1) * ('Master Data Sheet'!$G:$G=$B19) * ('Master Data Sheet'!$F:$F=$E19) * ('Master Data Sheet'!$A:$A=$F19), 0), MATCH($F$1, 'Master Data Sheet'!$1:$1, 0)), "")</f>
        <v>0.90969901993132307</v>
      </c>
      <c r="K19" s="11" cm="1">
        <f t="array" ref="K19">IFERROR(INDEX('Master Data Sheet'!$1:$1048576, MATCH(1, ('Master Data Sheet'!$H:$H=K$2) * (INDEX('Master Data Sheet'!$1:$1, , MATCH($F$1, 'Master Data Sheet'!$1:$1, 0)) = $F$1) * ('Master Data Sheet'!$G:$G=$B19) * ('Master Data Sheet'!$F:$F=$E19) * ('Master Data Sheet'!$A:$A=$F19), 0), MATCH($F$1, 'Master Data Sheet'!$1:$1, 0)), "")</f>
        <v>0.9203588984947354</v>
      </c>
      <c r="L19" s="11" cm="1">
        <f t="array" ref="L19">IFERROR(INDEX('Master Data Sheet'!$1:$1048576, MATCH(1, ('Master Data Sheet'!$H:$H=L$2) * (INDEX('Master Data Sheet'!$1:$1, , MATCH($F$1, 'Master Data Sheet'!$1:$1, 0)) = $F$1) * ('Master Data Sheet'!$G:$G=$B19) * ('Master Data Sheet'!$F:$F=$E19) * ('Master Data Sheet'!$A:$A=$F19), 0), MATCH($F$1, 'Master Data Sheet'!$1:$1, 0)), "")</f>
        <v>0.59972771903311628</v>
      </c>
      <c r="M19" s="11" cm="1">
        <f t="array" ref="M19">IFERROR(INDEX('Master Data Sheet'!$1:$1048576, MATCH(1, ('Master Data Sheet'!$H:$H=M$2) * (INDEX('Master Data Sheet'!$1:$1, , MATCH($F$1, 'Master Data Sheet'!$1:$1, 0)) = $F$1) * ('Master Data Sheet'!$G:$G=$B19) * ('Master Data Sheet'!$F:$F=$E19) * ('Master Data Sheet'!$A:$A=$F19), 0), MATCH($F$1, 'Master Data Sheet'!$1:$1, 0)), "")</f>
        <v>0.60395073007228262</v>
      </c>
      <c r="N19" s="11" cm="1">
        <f t="array" ref="N19">IFERROR(INDEX('Master Data Sheet'!$1:$1048576, MATCH(1, ('Master Data Sheet'!$H:$H=N$2) * (INDEX('Master Data Sheet'!$1:$1, , MATCH($F$1, 'Master Data Sheet'!$1:$1, 0)) = $F$1) * ('Master Data Sheet'!$G:$G=$B19) * ('Master Data Sheet'!$F:$F=$E19) * ('Master Data Sheet'!$A:$A=$F19), 0), MATCH($F$1, 'Master Data Sheet'!$1:$1, 0)), "")</f>
        <v>0.44003241964590056</v>
      </c>
      <c r="O19" s="11">
        <f t="shared" si="8"/>
        <v>0.50759476903425238</v>
      </c>
      <c r="P19" s="11">
        <f t="shared" si="4"/>
        <v>0.36360957988637471</v>
      </c>
      <c r="Q19" s="11"/>
      <c r="R19" s="46">
        <f>(1-(O19/O13))*100</f>
        <v>59.54315474373427</v>
      </c>
      <c r="X19" s="47">
        <f>(O16-O19)/45.6</f>
        <v>-9.7390523903719169E-3</v>
      </c>
      <c r="Y19" s="47">
        <f>O13/45.6</f>
        <v>2.7514414835603896E-2</v>
      </c>
      <c r="AA19" t="str">
        <f>IFERROR(INDEX('Date Key'!$G$57:$G$62, MATCH(B18,'Date Key'!$A$57:$A$62, 0)), "")</f>
        <v>Medium HLR, Lower Outlet Height, No Plants</v>
      </c>
      <c r="AB19" s="1">
        <f t="shared" ref="AB19:AH19" si="23">H18</f>
        <v>0.15445850553457693</v>
      </c>
      <c r="AC19" s="1">
        <f t="shared" si="23"/>
        <v>3.008380488503689E-2</v>
      </c>
      <c r="AD19" s="1">
        <f t="shared" si="23"/>
        <v>0.94501597158523776</v>
      </c>
      <c r="AE19" s="1">
        <f t="shared" si="23"/>
        <v>1.2203315057774062</v>
      </c>
      <c r="AF19" s="1">
        <f t="shared" si="23"/>
        <v>0.78836584882433036</v>
      </c>
      <c r="AG19" s="1">
        <f t="shared" si="23"/>
        <v>0.59592646014599715</v>
      </c>
      <c r="AH19" s="1">
        <f t="shared" si="23"/>
        <v>0.58941236899037586</v>
      </c>
      <c r="AI19" s="1">
        <f t="shared" ref="AI19:AO19" si="24">H19</f>
        <v>6.2233877763771164E-2</v>
      </c>
      <c r="AJ19" s="1">
        <f t="shared" si="24"/>
        <v>1.7160718298637353E-2</v>
      </c>
      <c r="AK19" s="1">
        <f t="shared" si="24"/>
        <v>0.90969901993132307</v>
      </c>
      <c r="AL19" s="1">
        <f t="shared" si="24"/>
        <v>0.9203588984947354</v>
      </c>
      <c r="AM19" s="1">
        <f t="shared" si="24"/>
        <v>0.59972771903311628</v>
      </c>
      <c r="AN19" s="1">
        <f t="shared" si="24"/>
        <v>0.60395073007228262</v>
      </c>
      <c r="AO19" s="1">
        <f t="shared" si="24"/>
        <v>0.44003241964590056</v>
      </c>
      <c r="AP19" s="1">
        <f t="shared" ref="AP19:AV19" si="25">H20</f>
        <v>0.18186541958950375</v>
      </c>
      <c r="AQ19" s="1">
        <f t="shared" si="25"/>
        <v>3.1602701852725332E-2</v>
      </c>
      <c r="AR19" s="1">
        <f t="shared" si="25"/>
        <v>0.9450196098174547</v>
      </c>
      <c r="AS19" s="1">
        <f t="shared" si="25"/>
        <v>1.6558907619010519</v>
      </c>
      <c r="AT19" s="1">
        <f t="shared" si="25"/>
        <v>1.7249595914620528</v>
      </c>
      <c r="AU19" s="1">
        <f t="shared" si="25"/>
        <v>1.7938261341681196</v>
      </c>
      <c r="AV19" s="1">
        <f t="shared" si="25"/>
        <v>1.6134490441296168</v>
      </c>
    </row>
    <row r="20" spans="1:48" x14ac:dyDescent="0.35">
      <c r="A20" s="42">
        <f>IFERROR(INDEX('Date Key'!$B$2:$B$19, MATCH(F20,'Date Key'!$A$2:$A$19, 0)), "")</f>
        <v>45230</v>
      </c>
      <c r="B20" s="27">
        <f t="shared" si="15"/>
        <v>2</v>
      </c>
      <c r="C20" s="51" t="str">
        <f>IFERROR(INDEX('Date Key'!$G$57:$G$62, MATCH(B20,'Date Key'!$A$57:$A$62, 0)), "")</f>
        <v>Medium HLR, Lower Outlet Height, No Plants</v>
      </c>
      <c r="D20" s="27" t="str">
        <f>IFERROR(INDEX('Date Key'!$G$2:$G$19, MATCH(F20, 'Date Key'!$A$2:$A$19, 0)), "")</f>
        <v>Yes</v>
      </c>
      <c r="E20" s="27" t="str">
        <f t="shared" si="1"/>
        <v>tank 2</v>
      </c>
      <c r="F20" s="27">
        <f t="shared" si="2"/>
        <v>6</v>
      </c>
      <c r="G20" s="27">
        <f t="shared" si="22"/>
        <v>3</v>
      </c>
      <c r="H20" s="28" cm="1">
        <f t="array" ref="H20">IFERROR(INDEX('Master Data Sheet'!$1:$1048576, MATCH(1, ('Master Data Sheet'!$H:$H=H$2) * (INDEX('Master Data Sheet'!$1:$1, , MATCH($F$1, 'Master Data Sheet'!$1:$1, 0)) = $F$1) * ('Master Data Sheet'!$G:$G=$B20) * ('Master Data Sheet'!$F:$F=$E20) * ('Master Data Sheet'!$A:$A=$F20), 0), MATCH($F$1, 'Master Data Sheet'!$1:$1, 0)), "")</f>
        <v>0.18186541958950375</v>
      </c>
      <c r="I20" s="28" cm="1">
        <f t="array" ref="I20">IFERROR(INDEX('Master Data Sheet'!$1:$1048576, MATCH(1, ('Master Data Sheet'!$H:$H=I$2) * (INDEX('Master Data Sheet'!$1:$1, , MATCH($F$1, 'Master Data Sheet'!$1:$1, 0)) = $F$1) * ('Master Data Sheet'!$G:$G=$B20) * ('Master Data Sheet'!$F:$F=$E20) * ('Master Data Sheet'!$A:$A=$F20), 0), MATCH($F$1, 'Master Data Sheet'!$1:$1, 0)), "")</f>
        <v>3.1602701852725332E-2</v>
      </c>
      <c r="J20" s="28" cm="1">
        <f t="array" ref="J20">IFERROR(INDEX('Master Data Sheet'!$1:$1048576, MATCH(1, ('Master Data Sheet'!$H:$H=J$2) * (INDEX('Master Data Sheet'!$1:$1, , MATCH($F$1, 'Master Data Sheet'!$1:$1, 0)) = $F$1) * ('Master Data Sheet'!$G:$G=$B20) * ('Master Data Sheet'!$F:$F=$E20) * ('Master Data Sheet'!$A:$A=$F20), 0), MATCH($F$1, 'Master Data Sheet'!$1:$1, 0)), "")</f>
        <v>0.9450196098174547</v>
      </c>
      <c r="K20" s="28" cm="1">
        <f t="array" ref="K20">IFERROR(INDEX('Master Data Sheet'!$1:$1048576, MATCH(1, ('Master Data Sheet'!$H:$H=K$2) * (INDEX('Master Data Sheet'!$1:$1, , MATCH($F$1, 'Master Data Sheet'!$1:$1, 0)) = $F$1) * ('Master Data Sheet'!$G:$G=$B20) * ('Master Data Sheet'!$F:$F=$E20) * ('Master Data Sheet'!$A:$A=$F20), 0), MATCH($F$1, 'Master Data Sheet'!$1:$1, 0)), "")</f>
        <v>1.6558907619010519</v>
      </c>
      <c r="L20" s="28" cm="1">
        <f t="array" ref="L20">IFERROR(INDEX('Master Data Sheet'!$1:$1048576, MATCH(1, ('Master Data Sheet'!$H:$H=L$2) * (INDEX('Master Data Sheet'!$1:$1, , MATCH($F$1, 'Master Data Sheet'!$1:$1, 0)) = $F$1) * ('Master Data Sheet'!$G:$G=$B20) * ('Master Data Sheet'!$F:$F=$E20) * ('Master Data Sheet'!$A:$A=$F20), 0), MATCH($F$1, 'Master Data Sheet'!$1:$1, 0)), "")</f>
        <v>1.7249595914620528</v>
      </c>
      <c r="M20" s="28" cm="1">
        <f t="array" ref="M20">IFERROR(INDEX('Master Data Sheet'!$1:$1048576, MATCH(1, ('Master Data Sheet'!$H:$H=M$2) * (INDEX('Master Data Sheet'!$1:$1, , MATCH($F$1, 'Master Data Sheet'!$1:$1, 0)) = $F$1) * ('Master Data Sheet'!$G:$G=$B20) * ('Master Data Sheet'!$F:$F=$E20) * ('Master Data Sheet'!$A:$A=$F20), 0), MATCH($F$1, 'Master Data Sheet'!$1:$1, 0)), "")</f>
        <v>1.7938261341681196</v>
      </c>
      <c r="N20" s="28" cm="1">
        <f t="array" ref="N20">IFERROR(INDEX('Master Data Sheet'!$1:$1048576, MATCH(1, ('Master Data Sheet'!$H:$H=N$2) * (INDEX('Master Data Sheet'!$1:$1, , MATCH($F$1, 'Master Data Sheet'!$1:$1, 0)) = $F$1) * ('Master Data Sheet'!$G:$G=$B20) * ('Master Data Sheet'!$F:$F=$E20) * ('Master Data Sheet'!$A:$A=$F20), 0), MATCH($F$1, 'Master Data Sheet'!$1:$1, 0)), "")</f>
        <v>1.6134490441296168</v>
      </c>
      <c r="O20" s="28">
        <f t="shared" si="8"/>
        <v>1.1352304661315036</v>
      </c>
      <c r="P20" s="28">
        <f t="shared" si="4"/>
        <v>0.75767057167212959</v>
      </c>
      <c r="Q20" s="28"/>
      <c r="R20" s="48">
        <f>(1-(O20/O14))*100</f>
        <v>54.80170308310727</v>
      </c>
      <c r="S20" s="27"/>
      <c r="T20" s="27"/>
      <c r="U20" s="27"/>
      <c r="V20" s="27"/>
      <c r="W20" s="27"/>
      <c r="X20" s="47">
        <f>(O17-O20)/45.6</f>
        <v>-2.0246738965679488E-2</v>
      </c>
      <c r="Y20" s="47">
        <f>O14/45.6</f>
        <v>5.508040492056597E-2</v>
      </c>
    </row>
    <row r="21" spans="1:48" x14ac:dyDescent="0.35">
      <c r="A21" s="41">
        <f>IFERROR(INDEX('Date Key'!$B$2:$B$19, MATCH(F21,'Date Key'!$A$2:$A$19, 0)), "")</f>
        <v>45233</v>
      </c>
      <c r="B21" s="4">
        <f t="shared" si="15"/>
        <v>3</v>
      </c>
      <c r="C21" s="26" t="str">
        <f>IFERROR(INDEX('Date Key'!$G$57:$G$62, MATCH(B21,'Date Key'!$A$57:$A$62, 0)), "")</f>
        <v>High HLR, Lower Outlet Height, No Plants</v>
      </c>
      <c r="D21" s="4" t="str">
        <f>IFERROR(INDEX('Date Key'!$G$2:$G$19, MATCH(F21, 'Date Key'!$A$2:$A$19, 0)), "")</f>
        <v>No</v>
      </c>
      <c r="E21" s="4" t="str">
        <f t="shared" si="1"/>
        <v>in</v>
      </c>
      <c r="F21" s="4">
        <f t="shared" si="2"/>
        <v>7</v>
      </c>
      <c r="G21" s="4">
        <f t="shared" si="22"/>
        <v>1</v>
      </c>
      <c r="H21" s="11" cm="1">
        <f t="array" ref="H21">IFERROR(INDEX('Master Data Sheet'!$1:$1048576, MATCH(1, ('Master Data Sheet'!$H:$H=H$2) * (INDEX('Master Data Sheet'!$1:$1, , MATCH($F$1, 'Master Data Sheet'!$1:$1, 0)) = $F$1) * ('Master Data Sheet'!$G:$G=$B21) * ('Master Data Sheet'!$F:$F=$E21) * ('Master Data Sheet'!$A:$A=$F21), 0), MATCH($F$1, 'Master Data Sheet'!$1:$1, 0)), "")</f>
        <v>1.2083462812883385</v>
      </c>
      <c r="I21" s="11" cm="1">
        <f t="array" ref="I21">IFERROR(INDEX('Master Data Sheet'!$1:$1048576, MATCH(1, ('Master Data Sheet'!$H:$H=I$2) * (INDEX('Master Data Sheet'!$1:$1, , MATCH($F$1, 'Master Data Sheet'!$1:$1, 0)) = $F$1) * ('Master Data Sheet'!$G:$G=$B21) * ('Master Data Sheet'!$F:$F=$E21) * ('Master Data Sheet'!$A:$A=$F21), 0), MATCH($F$1, 'Master Data Sheet'!$1:$1, 0)), "")</f>
        <v>0.94821687566932522</v>
      </c>
      <c r="J21" s="11" cm="1">
        <f t="array" ref="J21">IFERROR(INDEX('Master Data Sheet'!$1:$1048576, MATCH(1, ('Master Data Sheet'!$H:$H=J$2) * (INDEX('Master Data Sheet'!$1:$1, , MATCH($F$1, 'Master Data Sheet'!$1:$1, 0)) = $F$1) * ('Master Data Sheet'!$G:$G=$B21) * ('Master Data Sheet'!$F:$F=$E21) * ('Master Data Sheet'!$A:$A=$F21), 0), MATCH($F$1, 'Master Data Sheet'!$1:$1, 0)), "")</f>
        <v>0.83275835500345297</v>
      </c>
      <c r="K21" s="11" cm="1">
        <f t="array" ref="K21">IFERROR(INDEX('Master Data Sheet'!$1:$1048576, MATCH(1, ('Master Data Sheet'!$H:$H=K$2) * (INDEX('Master Data Sheet'!$1:$1, , MATCH($F$1, 'Master Data Sheet'!$1:$1, 0)) = $F$1) * ('Master Data Sheet'!$G:$G=$B21) * ('Master Data Sheet'!$F:$F=$E21) * ('Master Data Sheet'!$A:$A=$F21), 0), MATCH($F$1, 'Master Data Sheet'!$1:$1, 0)), "")</f>
        <v>0.66413816665663894</v>
      </c>
      <c r="L21" s="11" cm="1">
        <f t="array" ref="L21">IFERROR(INDEX('Master Data Sheet'!$1:$1048576, MATCH(1, ('Master Data Sheet'!$H:$H=L$2) * (INDEX('Master Data Sheet'!$1:$1, , MATCH($F$1, 'Master Data Sheet'!$1:$1, 0)) = $F$1) * ('Master Data Sheet'!$G:$G=$B21) * ('Master Data Sheet'!$F:$F=$E21) * ('Master Data Sheet'!$A:$A=$F21), 0), MATCH($F$1, 'Master Data Sheet'!$1:$1, 0)), "")</f>
        <v>0.71030677200500214</v>
      </c>
      <c r="M21" s="11" cm="1">
        <f t="array" ref="M21">IFERROR(INDEX('Master Data Sheet'!$1:$1048576, MATCH(1, ('Master Data Sheet'!$H:$H=M$2) * (INDEX('Master Data Sheet'!$1:$1, , MATCH($F$1, 'Master Data Sheet'!$1:$1, 0)) = $F$1) * ('Master Data Sheet'!$G:$G=$B21) * ('Master Data Sheet'!$F:$F=$E21) * ('Master Data Sheet'!$A:$A=$F21), 0), MATCH($F$1, 'Master Data Sheet'!$1:$1, 0)), "")</f>
        <v>0.71030677200500214</v>
      </c>
      <c r="N21" s="11" cm="1">
        <f t="array" ref="N21">IFERROR(INDEX('Master Data Sheet'!$1:$1048576, MATCH(1, ('Master Data Sheet'!$H:$H=N$2) * (INDEX('Master Data Sheet'!$1:$1, , MATCH($F$1, 'Master Data Sheet'!$1:$1, 0)) = $F$1) * ('Master Data Sheet'!$G:$G=$B21) * ('Master Data Sheet'!$F:$F=$E21) * ('Master Data Sheet'!$A:$A=$F21), 0), MATCH($F$1, 'Master Data Sheet'!$1:$1, 0)), "")</f>
        <v>1.0970849065632269</v>
      </c>
      <c r="O21" s="11">
        <f t="shared" si="8"/>
        <v>0.88159401845585528</v>
      </c>
      <c r="P21" s="11">
        <f t="shared" si="4"/>
        <v>0.21055188605453323</v>
      </c>
      <c r="Q21" s="11">
        <f>AVERAGE(O21:O23)</f>
        <v>0.9639249813692633</v>
      </c>
      <c r="S21" s="11">
        <f>AVERAGE(O21:O23)</f>
        <v>0.9639249813692633</v>
      </c>
      <c r="T21" s="11">
        <f>AVERAGE(P21:P23)</f>
        <v>0.18812791541710125</v>
      </c>
      <c r="V21" s="47">
        <f>AVERAGE(U24, U27)</f>
        <v>49.299104372202507</v>
      </c>
      <c r="W21" s="47">
        <f>_xlfn.STDEV.S(U24,U27)</f>
        <v>17.452420576390448</v>
      </c>
      <c r="X21" s="47"/>
      <c r="Y21" s="47"/>
      <c r="AA21" t="s">
        <v>343</v>
      </c>
    </row>
    <row r="22" spans="1:48" x14ac:dyDescent="0.35">
      <c r="A22" s="41">
        <f>IFERROR(INDEX('Date Key'!$B$2:$B$19, MATCH(F22,'Date Key'!$A$2:$A$19, 0)), "")</f>
        <v>45238</v>
      </c>
      <c r="B22" s="4">
        <f t="shared" si="15"/>
        <v>3</v>
      </c>
      <c r="C22" s="26" t="str">
        <f>IFERROR(INDEX('Date Key'!$G$57:$G$62, MATCH(B22,'Date Key'!$A$57:$A$62, 0)), "")</f>
        <v>High HLR, Lower Outlet Height, No Plants</v>
      </c>
      <c r="D22" s="4" t="str">
        <f>IFERROR(INDEX('Date Key'!$G$2:$G$19, MATCH(F22, 'Date Key'!$A$2:$A$19, 0)), "")</f>
        <v>No</v>
      </c>
      <c r="E22" s="4" t="str">
        <f t="shared" si="1"/>
        <v>in</v>
      </c>
      <c r="F22" s="4">
        <f t="shared" si="2"/>
        <v>8</v>
      </c>
      <c r="G22" s="4">
        <f t="shared" si="22"/>
        <v>2</v>
      </c>
      <c r="H22" s="11" cm="1">
        <f t="array" ref="H22">IFERROR(INDEX('Master Data Sheet'!$1:$1048576, MATCH(1, ('Master Data Sheet'!$H:$H=H$2) * (INDEX('Master Data Sheet'!$1:$1, , MATCH($F$1, 'Master Data Sheet'!$1:$1, 0)) = $F$1) * ('Master Data Sheet'!$G:$G=$B22) * ('Master Data Sheet'!$F:$F=$E22) * ('Master Data Sheet'!$A:$A=$F22), 0), MATCH($F$1, 'Master Data Sheet'!$1:$1, 0)), "")</f>
        <v>0.20097032632807221</v>
      </c>
      <c r="I22" s="11" cm="1">
        <f t="array" ref="I22">IFERROR(INDEX('Master Data Sheet'!$1:$1048576, MATCH(1, ('Master Data Sheet'!$H:$H=I$2) * (INDEX('Master Data Sheet'!$1:$1, , MATCH($F$1, 'Master Data Sheet'!$1:$1, 0)) = $F$1) * ('Master Data Sheet'!$G:$G=$B22) * ('Master Data Sheet'!$F:$F=$E22) * ('Master Data Sheet'!$A:$A=$F22), 0), MATCH($F$1, 'Master Data Sheet'!$1:$1, 0)), "")</f>
        <v>0.553530585351936</v>
      </c>
      <c r="J22" s="11" cm="1">
        <f t="array" ref="J22">IFERROR(INDEX('Master Data Sheet'!$1:$1048576, MATCH(1, ('Master Data Sheet'!$H:$H=J$2) * (INDEX('Master Data Sheet'!$1:$1, , MATCH($F$1, 'Master Data Sheet'!$1:$1, 0)) = $F$1) * ('Master Data Sheet'!$G:$G=$B22) * ('Master Data Sheet'!$F:$F=$E22) * ('Master Data Sheet'!$A:$A=$F22), 0), MATCH($F$1, 'Master Data Sheet'!$1:$1, 0)), "")</f>
        <v>0.54933343941117585</v>
      </c>
      <c r="K22" s="11" cm="1">
        <f t="array" ref="K22">IFERROR(INDEX('Master Data Sheet'!$1:$1048576, MATCH(1, ('Master Data Sheet'!$H:$H=K$2) * (INDEX('Master Data Sheet'!$1:$1, , MATCH($F$1, 'Master Data Sheet'!$1:$1, 0)) = $F$1) * ('Master Data Sheet'!$G:$G=$B22) * ('Master Data Sheet'!$F:$F=$E22) * ('Master Data Sheet'!$A:$A=$F22), 0), MATCH($F$1, 'Master Data Sheet'!$1:$1, 0)), "")</f>
        <v>0.46119337465520982</v>
      </c>
      <c r="L22" s="11" cm="1">
        <f t="array" ref="L22">IFERROR(INDEX('Master Data Sheet'!$1:$1048576, MATCH(1, ('Master Data Sheet'!$H:$H=L$2) * (INDEX('Master Data Sheet'!$1:$1, , MATCH($F$1, 'Master Data Sheet'!$1:$1, 0)) = $F$1) * ('Master Data Sheet'!$G:$G=$B22) * ('Master Data Sheet'!$F:$F=$E22) * ('Master Data Sheet'!$A:$A=$F22), 0), MATCH($F$1, 'Master Data Sheet'!$1:$1, 0)), "")</f>
        <v>0.49270897650587631</v>
      </c>
      <c r="M22" s="11" cm="1">
        <f t="array" ref="M22">IFERROR(INDEX('Master Data Sheet'!$1:$1048576, MATCH(1, ('Master Data Sheet'!$H:$H=M$2) * (INDEX('Master Data Sheet'!$1:$1, , MATCH($F$1, 'Master Data Sheet'!$1:$1, 0)) = $F$1) * ('Master Data Sheet'!$G:$G=$B22) * ('Master Data Sheet'!$F:$F=$E22) * ('Master Data Sheet'!$A:$A=$F22), 0), MATCH($F$1, 'Master Data Sheet'!$1:$1, 0)), "")</f>
        <v>0.52415056376661406</v>
      </c>
      <c r="N22" s="11" cm="1">
        <f t="array" ref="N22">IFERROR(INDEX('Master Data Sheet'!$1:$1048576, MATCH(1, ('Master Data Sheet'!$H:$H=N$2) * (INDEX('Master Data Sheet'!$1:$1, , MATCH($F$1, 'Master Data Sheet'!$1:$1, 0)) = $F$1) * ('Master Data Sheet'!$G:$G=$B22) * ('Master Data Sheet'!$F:$F=$E22) * ('Master Data Sheet'!$A:$A=$F22), 0), MATCH($F$1, 'Master Data Sheet'!$1:$1, 0)), "")</f>
        <v>0.53254485564813459</v>
      </c>
      <c r="O22" s="11">
        <f t="shared" si="8"/>
        <v>0.47349030309528839</v>
      </c>
      <c r="P22" s="11">
        <f t="shared" si="4"/>
        <v>0.12449915655161754</v>
      </c>
      <c r="Q22" s="11"/>
      <c r="AA22" t="str">
        <f>IFERROR(INDEX('Date Key'!$G$57:$G$62, MATCH(B21,'Date Key'!$A$57:$A$62, 0)), "")</f>
        <v>High HLR, Lower Outlet Height, No Plants</v>
      </c>
      <c r="AB22" s="1">
        <f t="shared" ref="AB22:AH22" si="26">H21</f>
        <v>1.2083462812883385</v>
      </c>
      <c r="AC22" s="1">
        <f t="shared" si="26"/>
        <v>0.94821687566932522</v>
      </c>
      <c r="AD22" s="1">
        <f t="shared" si="26"/>
        <v>0.83275835500345297</v>
      </c>
      <c r="AE22" s="1">
        <f t="shared" si="26"/>
        <v>0.66413816665663894</v>
      </c>
      <c r="AF22" s="1">
        <f t="shared" si="26"/>
        <v>0.71030677200500214</v>
      </c>
      <c r="AG22" s="1">
        <f t="shared" si="26"/>
        <v>0.71030677200500214</v>
      </c>
      <c r="AH22" s="1">
        <f t="shared" si="26"/>
        <v>1.0970849065632269</v>
      </c>
      <c r="AI22" s="1">
        <f t="shared" ref="AI22:AO22" si="27">H22</f>
        <v>0.20097032632807221</v>
      </c>
      <c r="AJ22" s="1">
        <f t="shared" si="27"/>
        <v>0.553530585351936</v>
      </c>
      <c r="AK22" s="1">
        <f t="shared" si="27"/>
        <v>0.54933343941117585</v>
      </c>
      <c r="AL22" s="1">
        <f t="shared" si="27"/>
        <v>0.46119337465520982</v>
      </c>
      <c r="AM22" s="1">
        <f t="shared" si="27"/>
        <v>0.49270897650587631</v>
      </c>
      <c r="AN22" s="1">
        <f t="shared" si="27"/>
        <v>0.52415056376661406</v>
      </c>
      <c r="AO22" s="1">
        <f t="shared" si="27"/>
        <v>0.53254485564813459</v>
      </c>
      <c r="AP22" s="1">
        <f t="shared" ref="AP22:AV22" si="28">H23</f>
        <v>1.4911272175193047</v>
      </c>
      <c r="AQ22" s="1">
        <f t="shared" si="28"/>
        <v>2.0045475383106752</v>
      </c>
      <c r="AR22" s="1">
        <f t="shared" si="28"/>
        <v>1.4309692161527516</v>
      </c>
      <c r="AS22" s="1">
        <f t="shared" si="28"/>
        <v>1.5121064045170409</v>
      </c>
      <c r="AT22" s="1">
        <f t="shared" si="28"/>
        <v>1.4239696111141078</v>
      </c>
      <c r="AU22" s="1">
        <f t="shared" si="28"/>
        <v>1.6114334061933135</v>
      </c>
      <c r="AV22" s="1">
        <f t="shared" si="28"/>
        <v>1.2826809640893297</v>
      </c>
    </row>
    <row r="23" spans="1:48" x14ac:dyDescent="0.35">
      <c r="A23" s="41">
        <f>IFERROR(INDEX('Date Key'!$B$2:$B$19, MATCH(F23,'Date Key'!$A$2:$A$19, 0)), "")</f>
        <v>45246</v>
      </c>
      <c r="B23" s="4">
        <f t="shared" si="15"/>
        <v>3</v>
      </c>
      <c r="C23" s="26" t="str">
        <f>IFERROR(INDEX('Date Key'!$G$57:$G$62, MATCH(B23,'Date Key'!$A$57:$A$62, 0)), "")</f>
        <v>High HLR, Lower Outlet Height, No Plants</v>
      </c>
      <c r="D23" s="4" t="str">
        <f>IFERROR(INDEX('Date Key'!$G$2:$G$19, MATCH(F23, 'Date Key'!$A$2:$A$19, 0)), "")</f>
        <v>Yes</v>
      </c>
      <c r="E23" s="4" t="str">
        <f t="shared" si="1"/>
        <v>in</v>
      </c>
      <c r="F23" s="4">
        <f t="shared" si="2"/>
        <v>9</v>
      </c>
      <c r="G23" s="4">
        <f t="shared" si="22"/>
        <v>3</v>
      </c>
      <c r="H23" s="11" cm="1">
        <f t="array" ref="H23">IFERROR(INDEX('Master Data Sheet'!$1:$1048576, MATCH(1, ('Master Data Sheet'!$H:$H=H$2) * (INDEX('Master Data Sheet'!$1:$1, , MATCH($F$1, 'Master Data Sheet'!$1:$1, 0)) = $F$1) * ('Master Data Sheet'!$G:$G=$B23) * ('Master Data Sheet'!$F:$F=$E23) * ('Master Data Sheet'!$A:$A=$F23), 0), MATCH($F$1, 'Master Data Sheet'!$1:$1, 0)), "")</f>
        <v>1.4911272175193047</v>
      </c>
      <c r="I23" s="11" cm="1">
        <f t="array" ref="I23">IFERROR(INDEX('Master Data Sheet'!$1:$1048576, MATCH(1, ('Master Data Sheet'!$H:$H=I$2) * (INDEX('Master Data Sheet'!$1:$1, , MATCH($F$1, 'Master Data Sheet'!$1:$1, 0)) = $F$1) * ('Master Data Sheet'!$G:$G=$B23) * ('Master Data Sheet'!$F:$F=$E23) * ('Master Data Sheet'!$A:$A=$F23), 0), MATCH($F$1, 'Master Data Sheet'!$1:$1, 0)), "")</f>
        <v>2.0045475383106752</v>
      </c>
      <c r="J23" s="11" cm="1">
        <f t="array" ref="J23">IFERROR(INDEX('Master Data Sheet'!$1:$1048576, MATCH(1, ('Master Data Sheet'!$H:$H=J$2) * (INDEX('Master Data Sheet'!$1:$1, , MATCH($F$1, 'Master Data Sheet'!$1:$1, 0)) = $F$1) * ('Master Data Sheet'!$G:$G=$B23) * ('Master Data Sheet'!$F:$F=$E23) * ('Master Data Sheet'!$A:$A=$F23), 0), MATCH($F$1, 'Master Data Sheet'!$1:$1, 0)), "")</f>
        <v>1.4309692161527516</v>
      </c>
      <c r="K23" s="11" cm="1">
        <f t="array" ref="K23">IFERROR(INDEX('Master Data Sheet'!$1:$1048576, MATCH(1, ('Master Data Sheet'!$H:$H=K$2) * (INDEX('Master Data Sheet'!$1:$1, , MATCH($F$1, 'Master Data Sheet'!$1:$1, 0)) = $F$1) * ('Master Data Sheet'!$G:$G=$B23) * ('Master Data Sheet'!$F:$F=$E23) * ('Master Data Sheet'!$A:$A=$F23), 0), MATCH($F$1, 'Master Data Sheet'!$1:$1, 0)), "")</f>
        <v>1.5121064045170409</v>
      </c>
      <c r="L23" s="11" cm="1">
        <f t="array" ref="L23">IFERROR(INDEX('Master Data Sheet'!$1:$1048576, MATCH(1, ('Master Data Sheet'!$H:$H=L$2) * (INDEX('Master Data Sheet'!$1:$1, , MATCH($F$1, 'Master Data Sheet'!$1:$1, 0)) = $F$1) * ('Master Data Sheet'!$G:$G=$B23) * ('Master Data Sheet'!$F:$F=$E23) * ('Master Data Sheet'!$A:$A=$F23), 0), MATCH($F$1, 'Master Data Sheet'!$1:$1, 0)), "")</f>
        <v>1.4239696111141078</v>
      </c>
      <c r="M23" s="11" cm="1">
        <f t="array" ref="M23">IFERROR(INDEX('Master Data Sheet'!$1:$1048576, MATCH(1, ('Master Data Sheet'!$H:$H=M$2) * (INDEX('Master Data Sheet'!$1:$1, , MATCH($F$1, 'Master Data Sheet'!$1:$1, 0)) = $F$1) * ('Master Data Sheet'!$G:$G=$B23) * ('Master Data Sheet'!$F:$F=$E23) * ('Master Data Sheet'!$A:$A=$F23), 0), MATCH($F$1, 'Master Data Sheet'!$1:$1, 0)), "")</f>
        <v>1.6114334061933135</v>
      </c>
      <c r="N23" s="11" cm="1">
        <f t="array" ref="N23">IFERROR(INDEX('Master Data Sheet'!$1:$1048576, MATCH(1, ('Master Data Sheet'!$H:$H=N$2) * (INDEX('Master Data Sheet'!$1:$1, , MATCH($F$1, 'Master Data Sheet'!$1:$1, 0)) = $F$1) * ('Master Data Sheet'!$G:$G=$B23) * ('Master Data Sheet'!$F:$F=$E23) * ('Master Data Sheet'!$A:$A=$F23), 0), MATCH($F$1, 'Master Data Sheet'!$1:$1, 0)), "")</f>
        <v>1.2826809640893297</v>
      </c>
      <c r="O23" s="11">
        <f t="shared" si="8"/>
        <v>1.5366906225566463</v>
      </c>
      <c r="P23" s="11">
        <f t="shared" si="4"/>
        <v>0.22933270364515299</v>
      </c>
      <c r="Q23" s="11"/>
      <c r="AB23" s="1"/>
      <c r="AC23" s="1"/>
      <c r="AD23" s="1"/>
      <c r="AE23" s="1"/>
      <c r="AF23" s="1"/>
      <c r="AG23" s="1"/>
      <c r="AH23" s="1"/>
      <c r="AI23" s="1"/>
      <c r="AJ23" s="1"/>
      <c r="AK23" s="1"/>
      <c r="AL23" s="1"/>
      <c r="AM23" s="1"/>
      <c r="AN23" s="1"/>
      <c r="AO23" s="1"/>
      <c r="AP23" s="1"/>
      <c r="AQ23" s="1"/>
      <c r="AR23" s="1"/>
      <c r="AS23" s="1"/>
      <c r="AT23" s="1"/>
      <c r="AU23" s="1"/>
      <c r="AV23" s="1"/>
    </row>
    <row r="24" spans="1:48" x14ac:dyDescent="0.35">
      <c r="A24" s="41">
        <f>IFERROR(INDEX('Date Key'!$B$2:$B$19, MATCH(F24,'Date Key'!$A$2:$A$19, 0)), "")</f>
        <v>45233</v>
      </c>
      <c r="B24" s="4">
        <f t="shared" si="15"/>
        <v>3</v>
      </c>
      <c r="C24" s="26" t="str">
        <f>IFERROR(INDEX('Date Key'!$G$57:$G$62, MATCH(B24,'Date Key'!$A$57:$A$62, 0)), "")</f>
        <v>High HLR, Lower Outlet Height, No Plants</v>
      </c>
      <c r="D24" s="4" t="str">
        <f>IFERROR(INDEX('Date Key'!$G$2:$G$19, MATCH(F24, 'Date Key'!$A$2:$A$19, 0)), "")</f>
        <v>No</v>
      </c>
      <c r="E24" s="4" t="str">
        <f t="shared" si="1"/>
        <v>tank 1</v>
      </c>
      <c r="F24" s="4">
        <f t="shared" si="2"/>
        <v>7</v>
      </c>
      <c r="G24" s="4">
        <f t="shared" si="22"/>
        <v>1</v>
      </c>
      <c r="H24" s="11" cm="1">
        <f t="array" ref="H24">IFERROR(INDEX('Master Data Sheet'!$1:$1048576, MATCH(1, ('Master Data Sheet'!$H:$H=H$2) * (INDEX('Master Data Sheet'!$1:$1, , MATCH($F$1, 'Master Data Sheet'!$1:$1, 0)) = $F$1) * ('Master Data Sheet'!$G:$G=$B24) * ('Master Data Sheet'!$F:$F=$E24) * ('Master Data Sheet'!$A:$A=$F24), 0), MATCH($F$1, 'Master Data Sheet'!$1:$1, 0)), "")</f>
        <v>0.41706343551103464</v>
      </c>
      <c r="I24" s="11" cm="1">
        <f t="array" ref="I24">IFERROR(INDEX('Master Data Sheet'!$1:$1048576, MATCH(1, ('Master Data Sheet'!$H:$H=I$2) * (INDEX('Master Data Sheet'!$1:$1, , MATCH($F$1, 'Master Data Sheet'!$1:$1, 0)) = $F$1) * ('Master Data Sheet'!$G:$G=$B24) * ('Master Data Sheet'!$F:$F=$E24) * ('Master Data Sheet'!$A:$A=$F24), 0), MATCH($F$1, 'Master Data Sheet'!$1:$1, 0)), "")</f>
        <v>0.10574682788443608</v>
      </c>
      <c r="J24" s="11" cm="1">
        <f t="array" ref="J24">IFERROR(INDEX('Master Data Sheet'!$1:$1048576, MATCH(1, ('Master Data Sheet'!$H:$H=J$2) * (INDEX('Master Data Sheet'!$1:$1, , MATCH($F$1, 'Master Data Sheet'!$1:$1, 0)) = $F$1) * ('Master Data Sheet'!$G:$G=$B24) * ('Master Data Sheet'!$F:$F=$E24) * ('Master Data Sheet'!$A:$A=$F24), 0), MATCH($F$1, 'Master Data Sheet'!$1:$1, 0)), "")</f>
        <v>0.15199599052879298</v>
      </c>
      <c r="K24" s="11" cm="1">
        <f t="array" ref="K24">IFERROR(INDEX('Master Data Sheet'!$1:$1048576, MATCH(1, ('Master Data Sheet'!$H:$H=K$2) * (INDEX('Master Data Sheet'!$1:$1, , MATCH($F$1, 'Master Data Sheet'!$1:$1, 0)) = $F$1) * ('Master Data Sheet'!$G:$G=$B24) * ('Master Data Sheet'!$F:$F=$E24) * ('Master Data Sheet'!$A:$A=$F24), 0), MATCH($F$1, 'Master Data Sheet'!$1:$1, 0)), "")</f>
        <v>0.24935506923777362</v>
      </c>
      <c r="L24" s="11" cm="1">
        <f t="array" ref="L24">IFERROR(INDEX('Master Data Sheet'!$1:$1048576, MATCH(1, ('Master Data Sheet'!$H:$H=L$2) * (INDEX('Master Data Sheet'!$1:$1, , MATCH($F$1, 'Master Data Sheet'!$1:$1, 0)) = $F$1) * ('Master Data Sheet'!$G:$G=$B24) * ('Master Data Sheet'!$F:$F=$E24) * ('Master Data Sheet'!$A:$A=$F24), 0), MATCH($F$1, 'Master Data Sheet'!$1:$1, 0)), "")</f>
        <v>4.0737887156713684E-2</v>
      </c>
      <c r="M24" s="11" cm="1">
        <f t="array" ref="M24">IFERROR(INDEX('Master Data Sheet'!$1:$1048576, MATCH(1, ('Master Data Sheet'!$H:$H=M$2) * (INDEX('Master Data Sheet'!$1:$1, , MATCH($F$1, 'Master Data Sheet'!$1:$1, 0)) = $F$1) * ('Master Data Sheet'!$G:$G=$B24) * ('Master Data Sheet'!$F:$F=$E24) * ('Master Data Sheet'!$A:$A=$F24), 0), MATCH($F$1, 'Master Data Sheet'!$1:$1, 0)), "")</f>
        <v>0.29750843332523025</v>
      </c>
      <c r="N24" s="11" cm="1">
        <f t="array" ref="N24">IFERROR(INDEX('Master Data Sheet'!$1:$1048576, MATCH(1, ('Master Data Sheet'!$H:$H=N$2) * (INDEX('Master Data Sheet'!$1:$1, , MATCH($F$1, 'Master Data Sheet'!$1:$1, 0)) = $F$1) * ('Master Data Sheet'!$G:$G=$B24) * ('Master Data Sheet'!$F:$F=$E24) * ('Master Data Sheet'!$A:$A=$F24), 0), MATCH($F$1, 'Master Data Sheet'!$1:$1, 0)), "")</f>
        <v>0.57804051846453242</v>
      </c>
      <c r="O24" s="11">
        <f t="shared" si="8"/>
        <v>0.26292116601550192</v>
      </c>
      <c r="P24" s="11">
        <f t="shared" si="4"/>
        <v>0.18744507644596634</v>
      </c>
      <c r="Q24" s="11">
        <f>AVERAGE(O24:O26)</f>
        <v>0.36976326817788124</v>
      </c>
      <c r="R24" s="46">
        <f>(1-(O24/O21))*100</f>
        <v>70.17661638902473</v>
      </c>
      <c r="S24" s="46">
        <f>AVERAGE(R24:R26)</f>
        <v>61.537160674502758</v>
      </c>
      <c r="T24" s="46">
        <f>STDEV(R24:R26)</f>
        <v>7.5911549525645947</v>
      </c>
      <c r="U24" s="47">
        <f>(1-(AVERAGE(H24:N26)/AVERAGE(H21:N23)))*100</f>
        <v>61.63982930988783</v>
      </c>
      <c r="V24" s="47"/>
      <c r="W24" s="47"/>
      <c r="X24" s="47">
        <f>(O21-O24)/70.1</f>
        <v>8.8255756410892065E-3</v>
      </c>
      <c r="Y24" s="47">
        <f>O21/70.1</f>
        <v>1.2576234214776823E-2</v>
      </c>
      <c r="AB24" s="2"/>
      <c r="AC24" s="2"/>
      <c r="AD24" s="2"/>
      <c r="AE24" s="2"/>
      <c r="AF24" s="2"/>
      <c r="AG24" s="2"/>
      <c r="AH24" s="2"/>
      <c r="AI24" s="2"/>
      <c r="AJ24" s="2"/>
    </row>
    <row r="25" spans="1:48" x14ac:dyDescent="0.35">
      <c r="A25" s="41">
        <f>IFERROR(INDEX('Date Key'!$B$2:$B$19, MATCH(F25,'Date Key'!$A$2:$A$19, 0)), "")</f>
        <v>45238</v>
      </c>
      <c r="B25" s="4">
        <f t="shared" si="15"/>
        <v>3</v>
      </c>
      <c r="C25" s="26" t="str">
        <f>IFERROR(INDEX('Date Key'!$G$57:$G$62, MATCH(B25,'Date Key'!$A$57:$A$62, 0)), "")</f>
        <v>High HLR, Lower Outlet Height, No Plants</v>
      </c>
      <c r="D25" s="4" t="str">
        <f>IFERROR(INDEX('Date Key'!$G$2:$G$19, MATCH(F25, 'Date Key'!$A$2:$A$19, 0)), "")</f>
        <v>No</v>
      </c>
      <c r="E25" s="4" t="str">
        <f t="shared" si="1"/>
        <v>tank 1</v>
      </c>
      <c r="F25" s="4">
        <f t="shared" si="2"/>
        <v>8</v>
      </c>
      <c r="G25" s="4">
        <f t="shared" si="22"/>
        <v>2</v>
      </c>
      <c r="H25" s="11" cm="1">
        <f t="array" ref="H25">IFERROR(INDEX('Master Data Sheet'!$1:$1048576, MATCH(1, ('Master Data Sheet'!$H:$H=H$2) * (INDEX('Master Data Sheet'!$1:$1, , MATCH($F$1, 'Master Data Sheet'!$1:$1, 0)) = $F$1) * ('Master Data Sheet'!$G:$G=$B25) * ('Master Data Sheet'!$F:$F=$E25) * ('Master Data Sheet'!$A:$A=$F25), 0), MATCH($F$1, 'Master Data Sheet'!$1:$1, 0)), "")</f>
        <v>7.9993987468491817E-2</v>
      </c>
      <c r="I25" s="11" cm="1">
        <f t="array" ref="I25">IFERROR(INDEX('Master Data Sheet'!$1:$1048576, MATCH(1, ('Master Data Sheet'!$H:$H=I$2) * (INDEX('Master Data Sheet'!$1:$1, , MATCH($F$1, 'Master Data Sheet'!$1:$1, 0)) = $F$1) * ('Master Data Sheet'!$G:$G=$B25) * ('Master Data Sheet'!$F:$F=$E25) * ('Master Data Sheet'!$A:$A=$F25), 0), MATCH($F$1, 'Master Data Sheet'!$1:$1, 0)), "")</f>
        <v>0.42693624288445814</v>
      </c>
      <c r="J25" s="11" cm="1">
        <f t="array" ref="J25">IFERROR(INDEX('Master Data Sheet'!$1:$1048576, MATCH(1, ('Master Data Sheet'!$H:$H=J$2) * (INDEX('Master Data Sheet'!$1:$1, , MATCH($F$1, 'Master Data Sheet'!$1:$1, 0)) = $F$1) * ('Master Data Sheet'!$G:$G=$B25) * ('Master Data Sheet'!$F:$F=$E25) * ('Master Data Sheet'!$A:$A=$F25), 0), MATCH($F$1, 'Master Data Sheet'!$1:$1, 0)), "")</f>
        <v>0.1368601222617726</v>
      </c>
      <c r="K25" s="11" cm="1">
        <f t="array" ref="K25">IFERROR(INDEX('Master Data Sheet'!$1:$1048576, MATCH(1, ('Master Data Sheet'!$H:$H=K$2) * (INDEX('Master Data Sheet'!$1:$1, , MATCH($F$1, 'Master Data Sheet'!$1:$1, 0)) = $F$1) * ('Master Data Sheet'!$G:$G=$B25) * ('Master Data Sheet'!$F:$F=$E25) * ('Master Data Sheet'!$A:$A=$F25), 0), MATCH($F$1, 'Master Data Sheet'!$1:$1, 0)), "")</f>
        <v>0.15381636332286636</v>
      </c>
      <c r="L25" s="11" cm="1">
        <f t="array" ref="L25">IFERROR(INDEX('Master Data Sheet'!$1:$1048576, MATCH(1, ('Master Data Sheet'!$H:$H=L$2) * (INDEX('Master Data Sheet'!$1:$1, , MATCH($F$1, 'Master Data Sheet'!$1:$1, 0)) = $F$1) * ('Master Data Sheet'!$G:$G=$B25) * ('Master Data Sheet'!$F:$F=$E25) * ('Master Data Sheet'!$A:$A=$F25), 0), MATCH($F$1, 'Master Data Sheet'!$1:$1, 0)), "")</f>
        <v>0.23281797142181143</v>
      </c>
      <c r="M25" s="11" cm="1">
        <f t="array" ref="M25">IFERROR(INDEX('Master Data Sheet'!$1:$1048576, MATCH(1, ('Master Data Sheet'!$H:$H=M$2) * (INDEX('Master Data Sheet'!$1:$1, , MATCH($F$1, 'Master Data Sheet'!$1:$1, 0)) = $F$1) * ('Master Data Sheet'!$G:$G=$B25) * ('Master Data Sheet'!$F:$F=$E25) * ('Master Data Sheet'!$A:$A=$F25), 0), MATCH($F$1, 'Master Data Sheet'!$1:$1, 0)), "")</f>
        <v>0.21257640649351039</v>
      </c>
      <c r="N25" s="11" cm="1">
        <f t="array" ref="N25">IFERROR(INDEX('Master Data Sheet'!$1:$1048576, MATCH(1, ('Master Data Sheet'!$H:$H=N$2) * (INDEX('Master Data Sheet'!$1:$1, , MATCH($F$1, 'Master Data Sheet'!$1:$1, 0)) = $F$1) * ('Master Data Sheet'!$G:$G=$B25) * ('Master Data Sheet'!$F:$F=$E25) * ('Master Data Sheet'!$A:$A=$F25), 0), MATCH($F$1, 'Master Data Sheet'!$1:$1, 0)), "")</f>
        <v>0.21751444585673846</v>
      </c>
      <c r="O25" s="11">
        <f t="shared" si="8"/>
        <v>0.20864507710137845</v>
      </c>
      <c r="P25" s="11">
        <f t="shared" si="4"/>
        <v>0.11033271907532698</v>
      </c>
      <c r="Q25" s="11"/>
      <c r="R25" s="46">
        <f>(1-(O25/O22))*100</f>
        <v>55.934667354868871</v>
      </c>
      <c r="X25" s="47">
        <f>(O22-O25)/70.1</f>
        <v>3.7781059342925812E-3</v>
      </c>
      <c r="Y25" s="47">
        <f>O22/70.1</f>
        <v>6.7544979043550422E-3</v>
      </c>
      <c r="AA25" t="str">
        <f>IFERROR(INDEX('Date Key'!$G$57:$G$62, MATCH(B24,'Date Key'!$A$57:$A$62, 0)), "")</f>
        <v>High HLR, Lower Outlet Height, No Plants</v>
      </c>
      <c r="AB25" s="1">
        <f t="shared" ref="AB25:AH25" si="29">H24</f>
        <v>0.41706343551103464</v>
      </c>
      <c r="AC25" s="1">
        <f t="shared" si="29"/>
        <v>0.10574682788443608</v>
      </c>
      <c r="AD25" s="1">
        <f t="shared" si="29"/>
        <v>0.15199599052879298</v>
      </c>
      <c r="AE25" s="1">
        <f t="shared" si="29"/>
        <v>0.24935506923777362</v>
      </c>
      <c r="AF25" s="1">
        <f t="shared" si="29"/>
        <v>4.0737887156713684E-2</v>
      </c>
      <c r="AG25" s="1">
        <f t="shared" si="29"/>
        <v>0.29750843332523025</v>
      </c>
      <c r="AH25" s="1">
        <f t="shared" si="29"/>
        <v>0.57804051846453242</v>
      </c>
      <c r="AI25" s="1">
        <f t="shared" ref="AI25:AO25" si="30">H25</f>
        <v>7.9993987468491817E-2</v>
      </c>
      <c r="AJ25" s="1">
        <f t="shared" si="30"/>
        <v>0.42693624288445814</v>
      </c>
      <c r="AK25" s="1">
        <f t="shared" si="30"/>
        <v>0.1368601222617726</v>
      </c>
      <c r="AL25" s="1">
        <f t="shared" si="30"/>
        <v>0.15381636332286636</v>
      </c>
      <c r="AM25" s="1">
        <f t="shared" si="30"/>
        <v>0.23281797142181143</v>
      </c>
      <c r="AN25" s="1">
        <f t="shared" si="30"/>
        <v>0.21257640649351039</v>
      </c>
      <c r="AO25" s="1">
        <f t="shared" si="30"/>
        <v>0.21751444585673846</v>
      </c>
      <c r="AP25" s="1">
        <f t="shared" ref="AP25:AV25" si="31">H26</f>
        <v>0.21840616080545713</v>
      </c>
      <c r="AQ25" s="1">
        <f t="shared" si="31"/>
        <v>0.22097069837503092</v>
      </c>
      <c r="AR25" s="1">
        <f t="shared" si="31"/>
        <v>0.73851790087690483</v>
      </c>
      <c r="AS25" s="1">
        <f t="shared" si="31"/>
        <v>0.94030640657040609</v>
      </c>
      <c r="AT25" s="1">
        <f t="shared" si="31"/>
        <v>0.90467421607497323</v>
      </c>
      <c r="AU25" s="1">
        <f t="shared" si="31"/>
        <v>0.74938963032594019</v>
      </c>
      <c r="AV25" s="1">
        <f t="shared" si="31"/>
        <v>0.69179991688863229</v>
      </c>
    </row>
    <row r="26" spans="1:48" x14ac:dyDescent="0.35">
      <c r="A26" s="41">
        <f>IFERROR(INDEX('Date Key'!$B$2:$B$19, MATCH(F26,'Date Key'!$A$2:$A$19, 0)), "")</f>
        <v>45246</v>
      </c>
      <c r="B26" s="4">
        <f t="shared" si="15"/>
        <v>3</v>
      </c>
      <c r="C26" s="26" t="str">
        <f>IFERROR(INDEX('Date Key'!$G$57:$G$62, MATCH(B26,'Date Key'!$A$57:$A$62, 0)), "")</f>
        <v>High HLR, Lower Outlet Height, No Plants</v>
      </c>
      <c r="D26" s="4" t="str">
        <f>IFERROR(INDEX('Date Key'!$G$2:$G$19, MATCH(F26, 'Date Key'!$A$2:$A$19, 0)), "")</f>
        <v>Yes</v>
      </c>
      <c r="E26" s="4" t="str">
        <f t="shared" si="1"/>
        <v>tank 1</v>
      </c>
      <c r="F26" s="4">
        <f t="shared" si="2"/>
        <v>9</v>
      </c>
      <c r="G26" s="4">
        <f t="shared" si="22"/>
        <v>3</v>
      </c>
      <c r="H26" s="11" cm="1">
        <f t="array" ref="H26">IFERROR(INDEX('Master Data Sheet'!$1:$1048576, MATCH(1, ('Master Data Sheet'!$H:$H=H$2) * (INDEX('Master Data Sheet'!$1:$1, , MATCH($F$1, 'Master Data Sheet'!$1:$1, 0)) = $F$1) * ('Master Data Sheet'!$G:$G=$B26) * ('Master Data Sheet'!$F:$F=$E26) * ('Master Data Sheet'!$A:$A=$F26), 0), MATCH($F$1, 'Master Data Sheet'!$1:$1, 0)), "")</f>
        <v>0.21840616080545713</v>
      </c>
      <c r="I26" s="11" cm="1">
        <f t="array" ref="I26">IFERROR(INDEX('Master Data Sheet'!$1:$1048576, MATCH(1, ('Master Data Sheet'!$H:$H=I$2) * (INDEX('Master Data Sheet'!$1:$1, , MATCH($F$1, 'Master Data Sheet'!$1:$1, 0)) = $F$1) * ('Master Data Sheet'!$G:$G=$B26) * ('Master Data Sheet'!$F:$F=$E26) * ('Master Data Sheet'!$A:$A=$F26), 0), MATCH($F$1, 'Master Data Sheet'!$1:$1, 0)), "")</f>
        <v>0.22097069837503092</v>
      </c>
      <c r="J26" s="11" cm="1">
        <f t="array" ref="J26">IFERROR(INDEX('Master Data Sheet'!$1:$1048576, MATCH(1, ('Master Data Sheet'!$H:$H=J$2) * (INDEX('Master Data Sheet'!$1:$1, , MATCH($F$1, 'Master Data Sheet'!$1:$1, 0)) = $F$1) * ('Master Data Sheet'!$G:$G=$B26) * ('Master Data Sheet'!$F:$F=$E26) * ('Master Data Sheet'!$A:$A=$F26), 0), MATCH($F$1, 'Master Data Sheet'!$1:$1, 0)), "")</f>
        <v>0.73851790087690483</v>
      </c>
      <c r="K26" s="11" cm="1">
        <f t="array" ref="K26">IFERROR(INDEX('Master Data Sheet'!$1:$1048576, MATCH(1, ('Master Data Sheet'!$H:$H=K$2) * (INDEX('Master Data Sheet'!$1:$1, , MATCH($F$1, 'Master Data Sheet'!$1:$1, 0)) = $F$1) * ('Master Data Sheet'!$G:$G=$B26) * ('Master Data Sheet'!$F:$F=$E26) * ('Master Data Sheet'!$A:$A=$F26), 0), MATCH($F$1, 'Master Data Sheet'!$1:$1, 0)), "")</f>
        <v>0.94030640657040609</v>
      </c>
      <c r="L26" s="11" cm="1">
        <f t="array" ref="L26">IFERROR(INDEX('Master Data Sheet'!$1:$1048576, MATCH(1, ('Master Data Sheet'!$H:$H=L$2) * (INDEX('Master Data Sheet'!$1:$1, , MATCH($F$1, 'Master Data Sheet'!$1:$1, 0)) = $F$1) * ('Master Data Sheet'!$G:$G=$B26) * ('Master Data Sheet'!$F:$F=$E26) * ('Master Data Sheet'!$A:$A=$F26), 0), MATCH($F$1, 'Master Data Sheet'!$1:$1, 0)), "")</f>
        <v>0.90467421607497323</v>
      </c>
      <c r="M26" s="11" cm="1">
        <f t="array" ref="M26">IFERROR(INDEX('Master Data Sheet'!$1:$1048576, MATCH(1, ('Master Data Sheet'!$H:$H=M$2) * (INDEX('Master Data Sheet'!$1:$1, , MATCH($F$1, 'Master Data Sheet'!$1:$1, 0)) = $F$1) * ('Master Data Sheet'!$G:$G=$B26) * ('Master Data Sheet'!$F:$F=$E26) * ('Master Data Sheet'!$A:$A=$F26), 0), MATCH($F$1, 'Master Data Sheet'!$1:$1, 0)), "")</f>
        <v>0.74938963032594019</v>
      </c>
      <c r="N26" s="11" cm="1">
        <f t="array" ref="N26">IFERROR(INDEX('Master Data Sheet'!$1:$1048576, MATCH(1, ('Master Data Sheet'!$H:$H=N$2) * (INDEX('Master Data Sheet'!$1:$1, , MATCH($F$1, 'Master Data Sheet'!$1:$1, 0)) = $F$1) * ('Master Data Sheet'!$G:$G=$B26) * ('Master Data Sheet'!$F:$F=$E26) * ('Master Data Sheet'!$A:$A=$F26), 0), MATCH($F$1, 'Master Data Sheet'!$1:$1, 0)), "")</f>
        <v>0.69179991688863229</v>
      </c>
      <c r="O26" s="11">
        <f t="shared" si="8"/>
        <v>0.63772356141676345</v>
      </c>
      <c r="P26" s="11">
        <f t="shared" si="4"/>
        <v>0.29941112302500816</v>
      </c>
      <c r="Q26" s="11"/>
      <c r="R26" s="46">
        <f>(1-(O26/O23))*100</f>
        <v>58.500198279614658</v>
      </c>
      <c r="X26" s="47">
        <f>(O23-O26)/70.1</f>
        <v>1.282406649272301E-2</v>
      </c>
      <c r="Y26" s="47">
        <f>O23/70.1</f>
        <v>2.1921406883832331E-2</v>
      </c>
      <c r="AB26" s="2"/>
      <c r="AC26" s="2"/>
      <c r="AD26" s="2"/>
      <c r="AE26" s="2"/>
      <c r="AF26" s="2"/>
      <c r="AG26" s="2"/>
      <c r="AH26" s="2"/>
      <c r="AI26" s="2"/>
      <c r="AJ26" s="2"/>
    </row>
    <row r="27" spans="1:48" x14ac:dyDescent="0.35">
      <c r="A27" s="41">
        <f>IFERROR(INDEX('Date Key'!$B$2:$B$19, MATCH(F27,'Date Key'!$A$2:$A$19, 0)), "")</f>
        <v>45233</v>
      </c>
      <c r="B27" s="4">
        <f t="shared" si="15"/>
        <v>3</v>
      </c>
      <c r="C27" s="26" t="str">
        <f>IFERROR(INDEX('Date Key'!$G$57:$G$62, MATCH(B27,'Date Key'!$A$57:$A$62, 0)), "")</f>
        <v>High HLR, Lower Outlet Height, No Plants</v>
      </c>
      <c r="D27" s="4" t="str">
        <f>IFERROR(INDEX('Date Key'!$G$2:$G$19, MATCH(F27, 'Date Key'!$A$2:$A$19, 0)), "")</f>
        <v>No</v>
      </c>
      <c r="E27" s="4" t="str">
        <f t="shared" si="1"/>
        <v>tank 2</v>
      </c>
      <c r="F27" s="4">
        <f t="shared" si="2"/>
        <v>7</v>
      </c>
      <c r="G27" s="4">
        <f t="shared" si="22"/>
        <v>1</v>
      </c>
      <c r="H27" s="11" cm="1">
        <f t="array" ref="H27">IFERROR(INDEX('Master Data Sheet'!$1:$1048576, MATCH(1, ('Master Data Sheet'!$H:$H=H$2) * (INDEX('Master Data Sheet'!$1:$1, , MATCH($F$1, 'Master Data Sheet'!$1:$1, 0)) = $F$1) * ('Master Data Sheet'!$G:$G=$B27) * ('Master Data Sheet'!$F:$F=$E27) * ('Master Data Sheet'!$A:$A=$F27), 0), MATCH($F$1, 'Master Data Sheet'!$1:$1, 0)), "")</f>
        <v>0.10911925175370227</v>
      </c>
      <c r="I27" s="11" cm="1">
        <f t="array" ref="I27">IFERROR(INDEX('Master Data Sheet'!$1:$1048576, MATCH(1, ('Master Data Sheet'!$H:$H=I$2) * (INDEX('Master Data Sheet'!$1:$1, , MATCH($F$1, 'Master Data Sheet'!$1:$1, 0)) = $F$1) * ('Master Data Sheet'!$G:$G=$B27) * ('Master Data Sheet'!$F:$F=$E27) * ('Master Data Sheet'!$A:$A=$F27), 0), MATCH($F$1, 'Master Data Sheet'!$1:$1, 0)), "")</f>
        <v>0.18566352940996664</v>
      </c>
      <c r="J27" s="11" cm="1">
        <f t="array" ref="J27">IFERROR(INDEX('Master Data Sheet'!$1:$1048576, MATCH(1, ('Master Data Sheet'!$H:$H=J$2) * (INDEX('Master Data Sheet'!$1:$1, , MATCH($F$1, 'Master Data Sheet'!$1:$1, 0)) = $F$1) * ('Master Data Sheet'!$G:$G=$B27) * ('Master Data Sheet'!$F:$F=$E27) * ('Master Data Sheet'!$A:$A=$F27), 0), MATCH($F$1, 'Master Data Sheet'!$1:$1, 0)), "")</f>
        <v>0.26565751687845851</v>
      </c>
      <c r="K27" s="11" cm="1">
        <f t="array" ref="K27">IFERROR(INDEX('Master Data Sheet'!$1:$1048576, MATCH(1, ('Master Data Sheet'!$H:$H=K$2) * (INDEX('Master Data Sheet'!$1:$1, , MATCH($F$1, 'Master Data Sheet'!$1:$1, 0)) = $F$1) * ('Master Data Sheet'!$G:$G=$B27) * ('Master Data Sheet'!$F:$F=$E27) * ('Master Data Sheet'!$A:$A=$F27), 0), MATCH($F$1, 'Master Data Sheet'!$1:$1, 0)), "")</f>
        <v>0.48019809597958918</v>
      </c>
      <c r="L27" s="11" cm="1">
        <f t="array" ref="L27">IFERROR(INDEX('Master Data Sheet'!$1:$1048576, MATCH(1, ('Master Data Sheet'!$H:$H=L$2) * (INDEX('Master Data Sheet'!$1:$1, , MATCH($F$1, 'Master Data Sheet'!$1:$1, 0)) = $F$1) * ('Master Data Sheet'!$G:$G=$B27) * ('Master Data Sheet'!$F:$F=$E27) * ('Master Data Sheet'!$A:$A=$F27), 0), MATCH($F$1, 'Master Data Sheet'!$1:$1, 0)), "")</f>
        <v>0.38663385573803888</v>
      </c>
      <c r="M27" s="11" cm="1">
        <f t="array" ref="M27">IFERROR(INDEX('Master Data Sheet'!$1:$1048576, MATCH(1, ('Master Data Sheet'!$H:$H=M$2) * (INDEX('Master Data Sheet'!$1:$1, , MATCH($F$1, 'Master Data Sheet'!$1:$1, 0)) = $F$1) * ('Master Data Sheet'!$G:$G=$B27) * ('Master Data Sheet'!$F:$F=$E27) * ('Master Data Sheet'!$A:$A=$F27), 0), MATCH($F$1, 'Master Data Sheet'!$1:$1, 0)), "")</f>
        <v>0.44020764495140846</v>
      </c>
      <c r="N27" s="11" cm="1">
        <f t="array" ref="N27">IFERROR(INDEX('Master Data Sheet'!$1:$1048576, MATCH(1, ('Master Data Sheet'!$H:$H=N$2) * (INDEX('Master Data Sheet'!$1:$1, , MATCH($F$1, 'Master Data Sheet'!$1:$1, 0)) = $F$1) * ('Master Data Sheet'!$G:$G=$B27) * ('Master Data Sheet'!$F:$F=$E27) * ('Master Data Sheet'!$A:$A=$F27), 0), MATCH($F$1, 'Master Data Sheet'!$1:$1, 0)), "")</f>
        <v>0.79505478477350655</v>
      </c>
      <c r="O27" s="11">
        <f t="shared" si="8"/>
        <v>0.38036209706923862</v>
      </c>
      <c r="P27" s="11">
        <f t="shared" si="4"/>
        <v>0.22737466531846992</v>
      </c>
      <c r="Q27" s="11">
        <f>AVERAGE(N27:N29)</f>
        <v>0.98066274775521489</v>
      </c>
      <c r="R27" s="46">
        <f>(1-(O27/O21))*100</f>
        <v>56.855186275485735</v>
      </c>
      <c r="S27" s="46">
        <f>AVERAGE(R27:R29)</f>
        <v>37.41879605194827</v>
      </c>
      <c r="T27" s="46">
        <f>STDEV(R27:R29)</f>
        <v>16.862405120471969</v>
      </c>
      <c r="U27" s="47">
        <f>(1-(AVERAGE(H27:N29)/AVERAGE(H21:N23)))*100</f>
        <v>36.958379434517184</v>
      </c>
      <c r="V27" s="47"/>
      <c r="W27" s="47"/>
      <c r="X27" s="47">
        <f>(O24-O27)/45.6</f>
        <v>-2.5754590143363312E-3</v>
      </c>
      <c r="Y27" s="47">
        <f>O21/45.6</f>
        <v>1.9333202159119631E-2</v>
      </c>
      <c r="AB27" s="2"/>
      <c r="AC27" s="2"/>
      <c r="AD27" s="2"/>
      <c r="AE27" s="2"/>
      <c r="AF27" s="2"/>
      <c r="AG27" s="2"/>
      <c r="AH27" s="2"/>
      <c r="AI27" s="2"/>
      <c r="AJ27" s="2"/>
    </row>
    <row r="28" spans="1:48" x14ac:dyDescent="0.35">
      <c r="A28" s="41">
        <f>IFERROR(INDEX('Date Key'!$B$2:$B$19, MATCH(F28,'Date Key'!$A$2:$A$19, 0)), "")</f>
        <v>45238</v>
      </c>
      <c r="B28" s="4">
        <f t="shared" si="15"/>
        <v>3</v>
      </c>
      <c r="C28" s="26" t="str">
        <f>IFERROR(INDEX('Date Key'!$G$57:$G$62, MATCH(B28,'Date Key'!$A$57:$A$62, 0)), "")</f>
        <v>High HLR, Lower Outlet Height, No Plants</v>
      </c>
      <c r="D28" s="4" t="str">
        <f>IFERROR(INDEX('Date Key'!$G$2:$G$19, MATCH(F28, 'Date Key'!$A$2:$A$19, 0)), "")</f>
        <v>No</v>
      </c>
      <c r="E28" s="4" t="str">
        <f t="shared" si="1"/>
        <v>tank 2</v>
      </c>
      <c r="F28" s="4">
        <f t="shared" si="2"/>
        <v>8</v>
      </c>
      <c r="G28" s="4">
        <f t="shared" si="22"/>
        <v>2</v>
      </c>
      <c r="H28" s="11" cm="1">
        <f t="array" ref="H28">IFERROR(INDEX('Master Data Sheet'!$1:$1048576, MATCH(1, ('Master Data Sheet'!$H:$H=H$2) * (INDEX('Master Data Sheet'!$1:$1, , MATCH($F$1, 'Master Data Sheet'!$1:$1, 0)) = $F$1) * ('Master Data Sheet'!$G:$G=$B28) * ('Master Data Sheet'!$F:$F=$E28) * ('Master Data Sheet'!$A:$A=$F28), 0), MATCH($F$1, 'Master Data Sheet'!$1:$1, 0)), "")</f>
        <v>4.5675926519941748E-2</v>
      </c>
      <c r="I28" s="11" cm="1">
        <f t="array" ref="I28">IFERROR(INDEX('Master Data Sheet'!$1:$1048576, MATCH(1, ('Master Data Sheet'!$H:$H=I$2) * (INDEX('Master Data Sheet'!$1:$1, , MATCH($F$1, 'Master Data Sheet'!$1:$1, 0)) = $F$1) * ('Master Data Sheet'!$G:$G=$B28) * ('Master Data Sheet'!$F:$F=$E28) * ('Master Data Sheet'!$A:$A=$F28), 0), MATCH($F$1, 'Master Data Sheet'!$1:$1, 0)), "")</f>
        <v>0.26614365300081477</v>
      </c>
      <c r="J28" s="11" cm="1">
        <f t="array" ref="J28">IFERROR(INDEX('Master Data Sheet'!$1:$1048576, MATCH(1, ('Master Data Sheet'!$H:$H=J$2) * (INDEX('Master Data Sheet'!$1:$1, , MATCH($F$1, 'Master Data Sheet'!$1:$1, 0)) = $F$1) * ('Master Data Sheet'!$G:$G=$B28) * ('Master Data Sheet'!$F:$F=$E28) * ('Master Data Sheet'!$A:$A=$F28), 0), MATCH($F$1, 'Master Data Sheet'!$1:$1, 0)), "")</f>
        <v>0.2935557516188449</v>
      </c>
      <c r="K28" s="11" cm="1">
        <f t="array" ref="K28">IFERROR(INDEX('Master Data Sheet'!$1:$1048576, MATCH(1, ('Master Data Sheet'!$H:$H=K$2) * (INDEX('Master Data Sheet'!$1:$1, , MATCH($F$1, 'Master Data Sheet'!$1:$1, 0)) = $F$1) * ('Master Data Sheet'!$G:$G=$B28) * ('Master Data Sheet'!$F:$F=$E28) * ('Master Data Sheet'!$A:$A=$F28), 0), MATCH($F$1, 'Master Data Sheet'!$1:$1, 0)), "")</f>
        <v>0.34803482019970233</v>
      </c>
      <c r="L28" s="11" cm="1">
        <f t="array" ref="L28">IFERROR(INDEX('Master Data Sheet'!$1:$1048576, MATCH(1, ('Master Data Sheet'!$H:$H=L$2) * (INDEX('Master Data Sheet'!$1:$1, , MATCH($F$1, 'Master Data Sheet'!$1:$1, 0)) = $F$1) * ('Master Data Sheet'!$G:$G=$B28) * ('Master Data Sheet'!$F:$F=$E28) * ('Master Data Sheet'!$A:$A=$F28), 0), MATCH($F$1, 'Master Data Sheet'!$1:$1, 0)), "")</f>
        <v>0.6851848255382389</v>
      </c>
      <c r="M28" s="11" cm="1">
        <f t="array" ref="M28">IFERROR(INDEX('Master Data Sheet'!$1:$1048576, MATCH(1, ('Master Data Sheet'!$H:$H=M$2) * (INDEX('Master Data Sheet'!$1:$1, , MATCH($F$1, 'Master Data Sheet'!$1:$1, 0)) = $F$1) * ('Master Data Sheet'!$G:$G=$B28) * ('Master Data Sheet'!$F:$F=$E28) * ('Master Data Sheet'!$A:$A=$F28), 0), MATCH($F$1, 'Master Data Sheet'!$1:$1, 0)), "")</f>
        <v>0.44094853837387615</v>
      </c>
      <c r="N28" s="11" cm="1">
        <f t="array" ref="N28">IFERROR(INDEX('Master Data Sheet'!$1:$1048576, MATCH(1, ('Master Data Sheet'!$H:$H=N$2) * (INDEX('Master Data Sheet'!$1:$1, , MATCH($F$1, 'Master Data Sheet'!$1:$1, 0)) = $F$1) * ('Master Data Sheet'!$G:$G=$B28) * ('Master Data Sheet'!$F:$F=$E28) * ('Master Data Sheet'!$A:$A=$F28), 0), MATCH($F$1, 'Master Data Sheet'!$1:$1, 0)), "")</f>
        <v>0.35009311452208541</v>
      </c>
      <c r="O28" s="11">
        <f t="shared" si="8"/>
        <v>0.34709094711050065</v>
      </c>
      <c r="P28" s="11">
        <f t="shared" si="4"/>
        <v>0.19295773206899719</v>
      </c>
      <c r="Q28" s="11"/>
      <c r="R28" s="46">
        <f>(1-(O28/O22))*100</f>
        <v>26.695236451199357</v>
      </c>
      <c r="X28" s="47">
        <f>(O25-O28)/45.6</f>
        <v>-3.0360936405509254E-3</v>
      </c>
      <c r="Y28" s="47">
        <f>O22/45.6</f>
        <v>1.0383559278405447E-2</v>
      </c>
      <c r="AA28" t="str">
        <f>IFERROR(INDEX('Date Key'!$G$57:$G$62, MATCH(B27,'Date Key'!$A$57:$A$62, 0)), "")</f>
        <v>High HLR, Lower Outlet Height, No Plants</v>
      </c>
      <c r="AB28" s="1">
        <f t="shared" ref="AB28:AH28" si="32">H27</f>
        <v>0.10911925175370227</v>
      </c>
      <c r="AC28" s="1">
        <f t="shared" si="32"/>
        <v>0.18566352940996664</v>
      </c>
      <c r="AD28" s="1">
        <f t="shared" si="32"/>
        <v>0.26565751687845851</v>
      </c>
      <c r="AE28" s="1">
        <f t="shared" si="32"/>
        <v>0.48019809597958918</v>
      </c>
      <c r="AF28" s="1">
        <f t="shared" si="32"/>
        <v>0.38663385573803888</v>
      </c>
      <c r="AG28" s="1">
        <f t="shared" si="32"/>
        <v>0.44020764495140846</v>
      </c>
      <c r="AH28" s="1">
        <f t="shared" si="32"/>
        <v>0.79505478477350655</v>
      </c>
      <c r="AI28" s="1">
        <f t="shared" ref="AI28:AO28" si="33">H28</f>
        <v>4.5675926519941748E-2</v>
      </c>
      <c r="AJ28" s="1">
        <f t="shared" si="33"/>
        <v>0.26614365300081477</v>
      </c>
      <c r="AK28" s="1">
        <f t="shared" si="33"/>
        <v>0.2935557516188449</v>
      </c>
      <c r="AL28" s="1">
        <f t="shared" si="33"/>
        <v>0.34803482019970233</v>
      </c>
      <c r="AM28" s="1">
        <f t="shared" si="33"/>
        <v>0.6851848255382389</v>
      </c>
      <c r="AN28" s="1">
        <f t="shared" si="33"/>
        <v>0.44094853837387615</v>
      </c>
      <c r="AO28" s="1">
        <f t="shared" si="33"/>
        <v>0.35009311452208541</v>
      </c>
      <c r="AP28" s="1">
        <f t="shared" ref="AP28:AV28" si="34">H29</f>
        <v>0.28975437044534941</v>
      </c>
      <c r="AQ28" s="1">
        <f t="shared" si="34"/>
        <v>0.97997414940797278</v>
      </c>
      <c r="AR28" s="1">
        <f t="shared" si="34"/>
        <v>0.83399894896704618</v>
      </c>
      <c r="AS28" s="1">
        <f t="shared" si="34"/>
        <v>1.2643108870738033</v>
      </c>
      <c r="AT28" s="1">
        <f t="shared" si="34"/>
        <v>1.374831368376447</v>
      </c>
      <c r="AU28" s="1">
        <f t="shared" si="34"/>
        <v>1.129271137606104</v>
      </c>
      <c r="AV28" s="1">
        <f t="shared" si="34"/>
        <v>1.7968403439700529</v>
      </c>
    </row>
    <row r="29" spans="1:48" x14ac:dyDescent="0.35">
      <c r="A29" s="42">
        <f>IFERROR(INDEX('Date Key'!$B$2:$B$19, MATCH(F29,'Date Key'!$A$2:$A$19, 0)), "")</f>
        <v>45246</v>
      </c>
      <c r="B29" s="27">
        <f t="shared" si="15"/>
        <v>3</v>
      </c>
      <c r="C29" s="51" t="str">
        <f>IFERROR(INDEX('Date Key'!$G$57:$G$62, MATCH(B29,'Date Key'!$A$57:$A$62, 0)), "")</f>
        <v>High HLR, Lower Outlet Height, No Plants</v>
      </c>
      <c r="D29" s="27" t="str">
        <f>IFERROR(INDEX('Date Key'!$G$2:$G$19, MATCH(F29, 'Date Key'!$A$2:$A$19, 0)), "")</f>
        <v>Yes</v>
      </c>
      <c r="E29" s="27" t="str">
        <f t="shared" si="1"/>
        <v>tank 2</v>
      </c>
      <c r="F29" s="27">
        <f t="shared" si="2"/>
        <v>9</v>
      </c>
      <c r="G29" s="27">
        <f t="shared" si="22"/>
        <v>3</v>
      </c>
      <c r="H29" s="28" cm="1">
        <f t="array" ref="H29">IFERROR(INDEX('Master Data Sheet'!$1:$1048576, MATCH(1, ('Master Data Sheet'!$H:$H=H$2) * (INDEX('Master Data Sheet'!$1:$1, , MATCH($F$1, 'Master Data Sheet'!$1:$1, 0)) = $F$1) * ('Master Data Sheet'!$G:$G=$B29) * ('Master Data Sheet'!$F:$F=$E29) * ('Master Data Sheet'!$A:$A=$F29), 0), MATCH($F$1, 'Master Data Sheet'!$1:$1, 0)), "")</f>
        <v>0.28975437044534941</v>
      </c>
      <c r="I29" s="28" cm="1">
        <f t="array" ref="I29">IFERROR(INDEX('Master Data Sheet'!$1:$1048576, MATCH(1, ('Master Data Sheet'!$H:$H=I$2) * (INDEX('Master Data Sheet'!$1:$1, , MATCH($F$1, 'Master Data Sheet'!$1:$1, 0)) = $F$1) * ('Master Data Sheet'!$G:$G=$B29) * ('Master Data Sheet'!$F:$F=$E29) * ('Master Data Sheet'!$A:$A=$F29), 0), MATCH($F$1, 'Master Data Sheet'!$1:$1, 0)), "")</f>
        <v>0.97997414940797278</v>
      </c>
      <c r="J29" s="28" cm="1">
        <f t="array" ref="J29">IFERROR(INDEX('Master Data Sheet'!$1:$1048576, MATCH(1, ('Master Data Sheet'!$H:$H=J$2) * (INDEX('Master Data Sheet'!$1:$1, , MATCH($F$1, 'Master Data Sheet'!$1:$1, 0)) = $F$1) * ('Master Data Sheet'!$G:$G=$B29) * ('Master Data Sheet'!$F:$F=$E29) * ('Master Data Sheet'!$A:$A=$F29), 0), MATCH($F$1, 'Master Data Sheet'!$1:$1, 0)), "")</f>
        <v>0.83399894896704618</v>
      </c>
      <c r="K29" s="28" cm="1">
        <f t="array" ref="K29">IFERROR(INDEX('Master Data Sheet'!$1:$1048576, MATCH(1, ('Master Data Sheet'!$H:$H=K$2) * (INDEX('Master Data Sheet'!$1:$1, , MATCH($F$1, 'Master Data Sheet'!$1:$1, 0)) = $F$1) * ('Master Data Sheet'!$G:$G=$B29) * ('Master Data Sheet'!$F:$F=$E29) * ('Master Data Sheet'!$A:$A=$F29), 0), MATCH($F$1, 'Master Data Sheet'!$1:$1, 0)), "")</f>
        <v>1.2643108870738033</v>
      </c>
      <c r="L29" s="28" cm="1">
        <f t="array" ref="L29">IFERROR(INDEX('Master Data Sheet'!$1:$1048576, MATCH(1, ('Master Data Sheet'!$H:$H=L$2) * (INDEX('Master Data Sheet'!$1:$1, , MATCH($F$1, 'Master Data Sheet'!$1:$1, 0)) = $F$1) * ('Master Data Sheet'!$G:$G=$B29) * ('Master Data Sheet'!$F:$F=$E29) * ('Master Data Sheet'!$A:$A=$F29), 0), MATCH($F$1, 'Master Data Sheet'!$1:$1, 0)), "")</f>
        <v>1.374831368376447</v>
      </c>
      <c r="M29" s="28" cm="1">
        <f t="array" ref="M29">IFERROR(INDEX('Master Data Sheet'!$1:$1048576, MATCH(1, ('Master Data Sheet'!$H:$H=M$2) * (INDEX('Master Data Sheet'!$1:$1, , MATCH($F$1, 'Master Data Sheet'!$1:$1, 0)) = $F$1) * ('Master Data Sheet'!$G:$G=$B29) * ('Master Data Sheet'!$F:$F=$E29) * ('Master Data Sheet'!$A:$A=$F29), 0), MATCH($F$1, 'Master Data Sheet'!$1:$1, 0)), "")</f>
        <v>1.129271137606104</v>
      </c>
      <c r="N29" s="28" cm="1">
        <f t="array" ref="N29">IFERROR(INDEX('Master Data Sheet'!$1:$1048576, MATCH(1, ('Master Data Sheet'!$H:$H=N$2) * (INDEX('Master Data Sheet'!$1:$1, , MATCH($F$1, 'Master Data Sheet'!$1:$1, 0)) = $F$1) * ('Master Data Sheet'!$G:$G=$B29) * ('Master Data Sheet'!$F:$F=$E29) * ('Master Data Sheet'!$A:$A=$F29), 0), MATCH($F$1, 'Master Data Sheet'!$1:$1, 0)), "")</f>
        <v>1.7968403439700529</v>
      </c>
      <c r="O29" s="28">
        <f t="shared" si="8"/>
        <v>1.0955687436923964</v>
      </c>
      <c r="P29" s="28">
        <f t="shared" si="4"/>
        <v>0.47090283942689098</v>
      </c>
      <c r="Q29" s="28"/>
      <c r="R29" s="48">
        <f>(1-(O29/O23))*100</f>
        <v>28.705965429159708</v>
      </c>
      <c r="S29" s="27"/>
      <c r="T29" s="27"/>
      <c r="U29" s="27"/>
      <c r="V29" s="27"/>
      <c r="W29" s="27"/>
      <c r="X29" s="47">
        <f>(O26-O29)/45.6</f>
        <v>-1.0040464523588442E-2</v>
      </c>
      <c r="Y29" s="47">
        <f>O23/45.6</f>
        <v>3.3699355757821188E-2</v>
      </c>
    </row>
    <row r="30" spans="1:48" x14ac:dyDescent="0.35">
      <c r="A30" s="41">
        <f>IFERROR(INDEX('Date Key'!$B$2:$B$19, MATCH(F30,'Date Key'!$A$2:$A$19, 0)), "")</f>
        <v>45250</v>
      </c>
      <c r="B30" s="4">
        <f t="shared" si="15"/>
        <v>4</v>
      </c>
      <c r="C30" s="26" t="str">
        <f>IFERROR(INDEX('Date Key'!$G$57:$G$62, MATCH(B30,'Date Key'!$A$57:$A$62, 0)), "")</f>
        <v>High HLR, Upper Outlet Height, No Plants</v>
      </c>
      <c r="D30" s="4" t="str">
        <f>IFERROR(INDEX('Date Key'!$G$2:$G$19, MATCH(F30, 'Date Key'!$A$2:$A$19, 0)), "")</f>
        <v>Yes</v>
      </c>
      <c r="E30" s="4" t="str">
        <f t="shared" si="1"/>
        <v>in</v>
      </c>
      <c r="F30" s="4">
        <f t="shared" si="2"/>
        <v>10</v>
      </c>
      <c r="G30" s="4">
        <f t="shared" si="22"/>
        <v>1</v>
      </c>
      <c r="H30" s="11" cm="1">
        <f t="array" ref="H30">IFERROR(INDEX('Master Data Sheet'!$1:$1048576, MATCH(1, ('Master Data Sheet'!$H:$H=H$2) * (INDEX('Master Data Sheet'!$1:$1, , MATCH($F$1, 'Master Data Sheet'!$1:$1, 0)) = $F$1) * ('Master Data Sheet'!$G:$G=$B30) * ('Master Data Sheet'!$F:$F=$E30) * ('Master Data Sheet'!$A:$A=$F30), 0), MATCH($F$1, 'Master Data Sheet'!$1:$1, 0)), "")</f>
        <v>1.3398721204129793</v>
      </c>
      <c r="I30" s="11" cm="1">
        <f t="array" ref="I30">IFERROR(INDEX('Master Data Sheet'!$1:$1048576, MATCH(1, ('Master Data Sheet'!$H:$H=I$2) * (INDEX('Master Data Sheet'!$1:$1, , MATCH($F$1, 'Master Data Sheet'!$1:$1, 0)) = $F$1) * ('Master Data Sheet'!$G:$G=$B30) * ('Master Data Sheet'!$F:$F=$E30) * ('Master Data Sheet'!$A:$A=$F30), 0), MATCH($F$1, 'Master Data Sheet'!$1:$1, 0)), "")</f>
        <v>1.1734746123335691</v>
      </c>
      <c r="J30" s="11" cm="1">
        <f t="array" ref="J30">IFERROR(INDEX('Master Data Sheet'!$1:$1048576, MATCH(1, ('Master Data Sheet'!$H:$H=J$2) * (INDEX('Master Data Sheet'!$1:$1, , MATCH($F$1, 'Master Data Sheet'!$1:$1, 0)) = $F$1) * ('Master Data Sheet'!$G:$G=$B30) * ('Master Data Sheet'!$F:$F=$E30) * ('Master Data Sheet'!$A:$A=$F30), 0), MATCH($F$1, 'Master Data Sheet'!$1:$1, 0)), "")</f>
        <v>1.0383379488047131</v>
      </c>
      <c r="K30" s="11" cm="1">
        <f t="array" ref="K30">IFERROR(INDEX('Master Data Sheet'!$1:$1048576, MATCH(1, ('Master Data Sheet'!$H:$H=K$2) * (INDEX('Master Data Sheet'!$1:$1, , MATCH($F$1, 'Master Data Sheet'!$1:$1, 0)) = $F$1) * ('Master Data Sheet'!$G:$G=$B30) * ('Master Data Sheet'!$F:$F=$E30) * ('Master Data Sheet'!$A:$A=$F30), 0), MATCH($F$1, 'Master Data Sheet'!$1:$1, 0)), "")</f>
        <v>2.7731363258866044</v>
      </c>
      <c r="L30" s="11" cm="1">
        <f t="array" ref="L30">IFERROR(INDEX('Master Data Sheet'!$1:$1048576, MATCH(1, ('Master Data Sheet'!$H:$H=L$2) * (INDEX('Master Data Sheet'!$1:$1, , MATCH($F$1, 'Master Data Sheet'!$1:$1, 0)) = $F$1) * ('Master Data Sheet'!$G:$G=$B30) * ('Master Data Sheet'!$F:$F=$E30) * ('Master Data Sheet'!$A:$A=$F30), 0), MATCH($F$1, 'Master Data Sheet'!$1:$1, 0)), "")</f>
        <v>0.89991923276168262</v>
      </c>
      <c r="M30" s="11" cm="1">
        <f t="array" ref="M30">IFERROR(INDEX('Master Data Sheet'!$1:$1048576, MATCH(1, ('Master Data Sheet'!$H:$H=M$2) * (INDEX('Master Data Sheet'!$1:$1, , MATCH($F$1, 'Master Data Sheet'!$1:$1, 0)) = $F$1) * ('Master Data Sheet'!$G:$G=$B30) * ('Master Data Sheet'!$F:$F=$E30) * ('Master Data Sheet'!$A:$A=$F30), 0), MATCH($F$1, 'Master Data Sheet'!$1:$1, 0)), "")</f>
        <v>0.79227522514685067</v>
      </c>
      <c r="N30" s="11" cm="1">
        <f t="array" ref="N30">IFERROR(INDEX('Master Data Sheet'!$1:$1048576, MATCH(1, ('Master Data Sheet'!$H:$H=N$2) * (INDEX('Master Data Sheet'!$1:$1, , MATCH($F$1, 'Master Data Sheet'!$1:$1, 0)) = $F$1) * ('Master Data Sheet'!$G:$G=$B30) * ('Master Data Sheet'!$F:$F=$E30) * ('Master Data Sheet'!$A:$A=$F30), 0), MATCH($F$1, 'Master Data Sheet'!$1:$1, 0)), "")</f>
        <v>0.64957226316100114</v>
      </c>
      <c r="O30" s="11">
        <f t="shared" si="8"/>
        <v>1.2380839612153429</v>
      </c>
      <c r="P30" s="11">
        <f t="shared" si="4"/>
        <v>0.71533980975762845</v>
      </c>
      <c r="Q30" s="11">
        <f>AVERAGE(O30:O32)</f>
        <v>1.4712819661170595</v>
      </c>
      <c r="S30" s="11">
        <f>AVERAGE(O30:O32)</f>
        <v>1.4712819661170595</v>
      </c>
      <c r="T30" s="11">
        <f>AVERAGE(P30:P32)</f>
        <v>0.7438638443540202</v>
      </c>
      <c r="V30" s="47">
        <f>AVERAGE(U33, U36)</f>
        <v>61.624622291402105</v>
      </c>
      <c r="W30" s="47">
        <f>_xlfn.STDEV.S(U33,U36)</f>
        <v>14.005838898674302</v>
      </c>
      <c r="X30" s="47"/>
      <c r="Y30" s="47"/>
      <c r="AA30" t="s">
        <v>343</v>
      </c>
    </row>
    <row r="31" spans="1:48" x14ac:dyDescent="0.35">
      <c r="A31" s="41">
        <f>IFERROR(INDEX('Date Key'!$B$2:$B$19, MATCH(F31,'Date Key'!$A$2:$A$19, 0)), "")</f>
        <v>45259</v>
      </c>
      <c r="B31" s="4">
        <f t="shared" si="15"/>
        <v>4</v>
      </c>
      <c r="C31" s="26" t="str">
        <f>IFERROR(INDEX('Date Key'!$G$57:$G$62, MATCH(B31,'Date Key'!$A$57:$A$62, 0)), "")</f>
        <v>High HLR, Upper Outlet Height, No Plants</v>
      </c>
      <c r="D31" s="4" t="str">
        <f>IFERROR(INDEX('Date Key'!$G$2:$G$19, MATCH(F31, 'Date Key'!$A$2:$A$19, 0)), "")</f>
        <v>No</v>
      </c>
      <c r="E31" s="4" t="str">
        <f t="shared" si="1"/>
        <v>in</v>
      </c>
      <c r="F31" s="4">
        <f t="shared" si="2"/>
        <v>11</v>
      </c>
      <c r="G31" s="4">
        <f t="shared" si="22"/>
        <v>2</v>
      </c>
      <c r="H31" s="11" cm="1">
        <f t="array" ref="H31">IFERROR(INDEX('Master Data Sheet'!$1:$1048576, MATCH(1, ('Master Data Sheet'!$H:$H=H$2) * (INDEX('Master Data Sheet'!$1:$1, , MATCH($F$1, 'Master Data Sheet'!$1:$1, 0)) = $F$1) * ('Master Data Sheet'!$G:$G=$B31) * ('Master Data Sheet'!$F:$F=$E31) * ('Master Data Sheet'!$A:$A=$F31), 0), MATCH($F$1, 'Master Data Sheet'!$1:$1, 0)), "")</f>
        <v>0.51367786147070171</v>
      </c>
      <c r="I31" s="11" cm="1">
        <f t="array" ref="I31">IFERROR(INDEX('Master Data Sheet'!$1:$1048576, MATCH(1, ('Master Data Sheet'!$H:$H=I$2) * (INDEX('Master Data Sheet'!$1:$1, , MATCH($F$1, 'Master Data Sheet'!$1:$1, 0)) = $F$1) * ('Master Data Sheet'!$G:$G=$B31) * ('Master Data Sheet'!$F:$F=$E31) * ('Master Data Sheet'!$A:$A=$F31), 0), MATCH($F$1, 'Master Data Sheet'!$1:$1, 0)), "")</f>
        <v>1.081479707396652</v>
      </c>
      <c r="J31" s="11" cm="1">
        <f t="array" ref="J31">IFERROR(INDEX('Master Data Sheet'!$1:$1048576, MATCH(1, ('Master Data Sheet'!$H:$H=J$2) * (INDEX('Master Data Sheet'!$1:$1, , MATCH($F$1, 'Master Data Sheet'!$1:$1, 0)) = $F$1) * ('Master Data Sheet'!$G:$G=$B31) * ('Master Data Sheet'!$F:$F=$E31) * ('Master Data Sheet'!$A:$A=$F31), 0), MATCH($F$1, 'Master Data Sheet'!$1:$1, 0)), "")</f>
        <v>0.90734683248513426</v>
      </c>
      <c r="K31" s="11" cm="1">
        <f t="array" ref="K31">IFERROR(INDEX('Master Data Sheet'!$1:$1048576, MATCH(1, ('Master Data Sheet'!$H:$H=K$2) * (INDEX('Master Data Sheet'!$1:$1, , MATCH($F$1, 'Master Data Sheet'!$1:$1, 0)) = $F$1) * ('Master Data Sheet'!$G:$G=$B31) * ('Master Data Sheet'!$F:$F=$E31) * ('Master Data Sheet'!$A:$A=$F31), 0), MATCH($F$1, 'Master Data Sheet'!$1:$1, 0)), "")</f>
        <v>1.8018831754358025</v>
      </c>
      <c r="L31" s="11" cm="1">
        <f t="array" ref="L31">IFERROR(INDEX('Master Data Sheet'!$1:$1048576, MATCH(1, ('Master Data Sheet'!$H:$H=L$2) * (INDEX('Master Data Sheet'!$1:$1, , MATCH($F$1, 'Master Data Sheet'!$1:$1, 0)) = $F$1) * ('Master Data Sheet'!$G:$G=$B31) * ('Master Data Sheet'!$F:$F=$E31) * ('Master Data Sheet'!$A:$A=$F31), 0), MATCH($F$1, 'Master Data Sheet'!$1:$1, 0)), "")</f>
        <v>1.3208644058135341</v>
      </c>
      <c r="M31" s="11" cm="1">
        <f t="array" ref="M31">IFERROR(INDEX('Master Data Sheet'!$1:$1048576, MATCH(1, ('Master Data Sheet'!$H:$H=M$2) * (INDEX('Master Data Sheet'!$1:$1, , MATCH($F$1, 'Master Data Sheet'!$1:$1, 0)) = $F$1) * ('Master Data Sheet'!$G:$G=$B31) * ('Master Data Sheet'!$F:$F=$E31) * ('Master Data Sheet'!$A:$A=$F31), 0), MATCH($F$1, 'Master Data Sheet'!$1:$1, 0)), "")</f>
        <v>1.6889787579505373</v>
      </c>
      <c r="N31" s="11" cm="1">
        <f t="array" ref="N31">IFERROR(INDEX('Master Data Sheet'!$1:$1048576, MATCH(1, ('Master Data Sheet'!$H:$H=N$2) * (INDEX('Master Data Sheet'!$1:$1, , MATCH($F$1, 'Master Data Sheet'!$1:$1, 0)) = $F$1) * ('Master Data Sheet'!$G:$G=$B31) * ('Master Data Sheet'!$F:$F=$E31) * ('Master Data Sheet'!$A:$A=$F31), 0), MATCH($F$1, 'Master Data Sheet'!$1:$1, 0)), "")</f>
        <v>3.6507488914584982</v>
      </c>
      <c r="O31" s="11">
        <f t="shared" si="8"/>
        <v>1.566425661715837</v>
      </c>
      <c r="P31" s="11">
        <f t="shared" si="4"/>
        <v>1.0208655291206516</v>
      </c>
      <c r="Q31" s="11"/>
      <c r="AA31" t="str">
        <f>IFERROR(INDEX('Date Key'!$G$57:$G$62, MATCH(B30,'Date Key'!$A$57:$A$62, 0)), "")</f>
        <v>High HLR, Upper Outlet Height, No Plants</v>
      </c>
      <c r="AB31" s="1">
        <f t="shared" ref="AB31:AH31" si="35">H30</f>
        <v>1.3398721204129793</v>
      </c>
      <c r="AC31" s="1">
        <f t="shared" si="35"/>
        <v>1.1734746123335691</v>
      </c>
      <c r="AD31" s="1">
        <f t="shared" si="35"/>
        <v>1.0383379488047131</v>
      </c>
      <c r="AE31" s="1">
        <f t="shared" si="35"/>
        <v>2.7731363258866044</v>
      </c>
      <c r="AF31" s="1">
        <f t="shared" si="35"/>
        <v>0.89991923276168262</v>
      </c>
      <c r="AG31" s="1">
        <f t="shared" si="35"/>
        <v>0.79227522514685067</v>
      </c>
      <c r="AH31" s="1">
        <f t="shared" si="35"/>
        <v>0.64957226316100114</v>
      </c>
      <c r="AI31" s="1">
        <f t="shared" ref="AI31:AO31" si="36">H31</f>
        <v>0.51367786147070171</v>
      </c>
      <c r="AJ31" s="1">
        <f t="shared" si="36"/>
        <v>1.081479707396652</v>
      </c>
      <c r="AK31" s="1">
        <f t="shared" si="36"/>
        <v>0.90734683248513426</v>
      </c>
      <c r="AL31" s="1">
        <f t="shared" si="36"/>
        <v>1.8018831754358025</v>
      </c>
      <c r="AM31" s="1">
        <f t="shared" si="36"/>
        <v>1.3208644058135341</v>
      </c>
      <c r="AN31" s="1">
        <f t="shared" si="36"/>
        <v>1.6889787579505373</v>
      </c>
      <c r="AO31" s="1">
        <f t="shared" si="36"/>
        <v>3.6507488914584982</v>
      </c>
      <c r="AP31" s="1">
        <f t="shared" ref="AP31:AV31" si="37">H32</f>
        <v>2.4666116558100852</v>
      </c>
      <c r="AQ31" s="1">
        <f t="shared" si="37"/>
        <v>2.0474054809995437</v>
      </c>
      <c r="AR31" s="1">
        <f t="shared" si="37"/>
        <v>1.5330588608405511</v>
      </c>
      <c r="AS31" s="1">
        <f t="shared" si="37"/>
        <v>1.5290313211874</v>
      </c>
      <c r="AT31" s="1">
        <f t="shared" si="37"/>
        <v>1.1429966119108039</v>
      </c>
      <c r="AU31" s="1">
        <f t="shared" si="37"/>
        <v>1.0612248748479856</v>
      </c>
      <c r="AV31" s="1">
        <f t="shared" si="37"/>
        <v>1.4850251223436179</v>
      </c>
    </row>
    <row r="32" spans="1:48" x14ac:dyDescent="0.35">
      <c r="A32" s="41">
        <f>IFERROR(INDEX('Date Key'!$B$2:$B$19, MATCH(F32,'Date Key'!$A$2:$A$19, 0)), "")</f>
        <v>45266</v>
      </c>
      <c r="B32" s="4">
        <f t="shared" si="15"/>
        <v>4</v>
      </c>
      <c r="C32" s="26" t="str">
        <f>IFERROR(INDEX('Date Key'!$G$57:$G$62, MATCH(B32,'Date Key'!$A$57:$A$62, 0)), "")</f>
        <v>High HLR, Upper Outlet Height, No Plants</v>
      </c>
      <c r="D32" s="4" t="str">
        <f>IFERROR(INDEX('Date Key'!$G$2:$G$19, MATCH(F32, 'Date Key'!$A$2:$A$19, 0)), "")</f>
        <v>No</v>
      </c>
      <c r="E32" s="4" t="str">
        <f t="shared" si="1"/>
        <v>in</v>
      </c>
      <c r="F32" s="4">
        <f t="shared" si="2"/>
        <v>12</v>
      </c>
      <c r="G32" s="4">
        <f t="shared" si="22"/>
        <v>3</v>
      </c>
      <c r="H32" s="11" cm="1">
        <f t="array" ref="H32">IFERROR(INDEX('Master Data Sheet'!$1:$1048576, MATCH(1, ('Master Data Sheet'!$H:$H=H$2) * (INDEX('Master Data Sheet'!$1:$1, , MATCH($F$1, 'Master Data Sheet'!$1:$1, 0)) = $F$1) * ('Master Data Sheet'!$G:$G=$B32) * ('Master Data Sheet'!$F:$F=$E32) * ('Master Data Sheet'!$A:$A=$F32), 0), MATCH($F$1, 'Master Data Sheet'!$1:$1, 0)), "")</f>
        <v>2.4666116558100852</v>
      </c>
      <c r="I32" s="11" cm="1">
        <f t="array" ref="I32">IFERROR(INDEX('Master Data Sheet'!$1:$1048576, MATCH(1, ('Master Data Sheet'!$H:$H=I$2) * (INDEX('Master Data Sheet'!$1:$1, , MATCH($F$1, 'Master Data Sheet'!$1:$1, 0)) = $F$1) * ('Master Data Sheet'!$G:$G=$B32) * ('Master Data Sheet'!$F:$F=$E32) * ('Master Data Sheet'!$A:$A=$F32), 0), MATCH($F$1, 'Master Data Sheet'!$1:$1, 0)), "")</f>
        <v>2.0474054809995437</v>
      </c>
      <c r="J32" s="11" cm="1">
        <f t="array" ref="J32">IFERROR(INDEX('Master Data Sheet'!$1:$1048576, MATCH(1, ('Master Data Sheet'!$H:$H=J$2) * (INDEX('Master Data Sheet'!$1:$1, , MATCH($F$1, 'Master Data Sheet'!$1:$1, 0)) = $F$1) * ('Master Data Sheet'!$G:$G=$B32) * ('Master Data Sheet'!$F:$F=$E32) * ('Master Data Sheet'!$A:$A=$F32), 0), MATCH($F$1, 'Master Data Sheet'!$1:$1, 0)), "")</f>
        <v>1.5330588608405511</v>
      </c>
      <c r="K32" s="11" cm="1">
        <f t="array" ref="K32">IFERROR(INDEX('Master Data Sheet'!$1:$1048576, MATCH(1, ('Master Data Sheet'!$H:$H=K$2) * (INDEX('Master Data Sheet'!$1:$1, , MATCH($F$1, 'Master Data Sheet'!$1:$1, 0)) = $F$1) * ('Master Data Sheet'!$G:$G=$B32) * ('Master Data Sheet'!$F:$F=$E32) * ('Master Data Sheet'!$A:$A=$F32), 0), MATCH($F$1, 'Master Data Sheet'!$1:$1, 0)), "")</f>
        <v>1.5290313211874</v>
      </c>
      <c r="L32" s="11" cm="1">
        <f t="array" ref="L32">IFERROR(INDEX('Master Data Sheet'!$1:$1048576, MATCH(1, ('Master Data Sheet'!$H:$H=L$2) * (INDEX('Master Data Sheet'!$1:$1, , MATCH($F$1, 'Master Data Sheet'!$1:$1, 0)) = $F$1) * ('Master Data Sheet'!$G:$G=$B32) * ('Master Data Sheet'!$F:$F=$E32) * ('Master Data Sheet'!$A:$A=$F32), 0), MATCH($F$1, 'Master Data Sheet'!$1:$1, 0)), "")</f>
        <v>1.1429966119108039</v>
      </c>
      <c r="M32" s="11" cm="1">
        <f t="array" ref="M32">IFERROR(INDEX('Master Data Sheet'!$1:$1048576, MATCH(1, ('Master Data Sheet'!$H:$H=M$2) * (INDEX('Master Data Sheet'!$1:$1, , MATCH($F$1, 'Master Data Sheet'!$1:$1, 0)) = $F$1) * ('Master Data Sheet'!$G:$G=$B32) * ('Master Data Sheet'!$F:$F=$E32) * ('Master Data Sheet'!$A:$A=$F32), 0), MATCH($F$1, 'Master Data Sheet'!$1:$1, 0)), "")</f>
        <v>1.0612248748479856</v>
      </c>
      <c r="N32" s="11" cm="1">
        <f t="array" ref="N32">IFERROR(INDEX('Master Data Sheet'!$1:$1048576, MATCH(1, ('Master Data Sheet'!$H:$H=N$2) * (INDEX('Master Data Sheet'!$1:$1, , MATCH($F$1, 'Master Data Sheet'!$1:$1, 0)) = $F$1) * ('Master Data Sheet'!$G:$G=$B32) * ('Master Data Sheet'!$F:$F=$E32) * ('Master Data Sheet'!$A:$A=$F32), 0), MATCH($F$1, 'Master Data Sheet'!$1:$1, 0)), "")</f>
        <v>1.4850251223436179</v>
      </c>
      <c r="O32" s="11">
        <f t="shared" si="8"/>
        <v>1.6093362754199985</v>
      </c>
      <c r="P32" s="11">
        <f t="shared" si="4"/>
        <v>0.49538619418378049</v>
      </c>
      <c r="Q32" s="11"/>
      <c r="AB32" s="1"/>
      <c r="AC32" s="1"/>
      <c r="AD32" s="1"/>
      <c r="AE32" s="1"/>
      <c r="AF32" s="1"/>
      <c r="AG32" s="1"/>
      <c r="AH32" s="1"/>
      <c r="AI32" s="1"/>
      <c r="AJ32" s="1"/>
      <c r="AK32" s="1"/>
      <c r="AL32" s="1"/>
      <c r="AM32" s="1"/>
      <c r="AN32" s="1"/>
      <c r="AO32" s="1"/>
      <c r="AP32" s="1"/>
      <c r="AQ32" s="1"/>
      <c r="AR32" s="1"/>
      <c r="AS32" s="1"/>
      <c r="AT32" s="1"/>
      <c r="AU32" s="1"/>
      <c r="AV32" s="1"/>
    </row>
    <row r="33" spans="1:48" x14ac:dyDescent="0.35">
      <c r="A33" s="41">
        <f>IFERROR(INDEX('Date Key'!$B$2:$B$19, MATCH(F33,'Date Key'!$A$2:$A$19, 0)), "")</f>
        <v>45250</v>
      </c>
      <c r="B33" s="4">
        <f t="shared" si="15"/>
        <v>4</v>
      </c>
      <c r="C33" s="26" t="str">
        <f>IFERROR(INDEX('Date Key'!$G$57:$G$62, MATCH(B33,'Date Key'!$A$57:$A$62, 0)), "")</f>
        <v>High HLR, Upper Outlet Height, No Plants</v>
      </c>
      <c r="D33" s="4" t="str">
        <f>IFERROR(INDEX('Date Key'!$G$2:$G$19, MATCH(F33, 'Date Key'!$A$2:$A$19, 0)), "")</f>
        <v>Yes</v>
      </c>
      <c r="E33" s="4" t="str">
        <f t="shared" si="1"/>
        <v>tank 1</v>
      </c>
      <c r="F33" s="4">
        <f t="shared" si="2"/>
        <v>10</v>
      </c>
      <c r="G33" s="4">
        <f t="shared" si="22"/>
        <v>1</v>
      </c>
      <c r="H33" s="11" cm="1">
        <f t="array" ref="H33">IFERROR(INDEX('Master Data Sheet'!$1:$1048576, MATCH(1, ('Master Data Sheet'!$H:$H=H$2) * (INDEX('Master Data Sheet'!$1:$1, , MATCH($F$1, 'Master Data Sheet'!$1:$1, 0)) = $F$1) * ('Master Data Sheet'!$G:$G=$B33) * ('Master Data Sheet'!$F:$F=$E33) * ('Master Data Sheet'!$A:$A=$F33), 0), MATCH($F$1, 'Master Data Sheet'!$1:$1, 0)), "")</f>
        <v>0.24284814302755106</v>
      </c>
      <c r="I33" s="11" cm="1">
        <f t="array" ref="I33">IFERROR(INDEX('Master Data Sheet'!$1:$1048576, MATCH(1, ('Master Data Sheet'!$H:$H=I$2) * (INDEX('Master Data Sheet'!$1:$1, , MATCH($F$1, 'Master Data Sheet'!$1:$1, 0)) = $F$1) * ('Master Data Sheet'!$G:$G=$B33) * ('Master Data Sheet'!$F:$F=$E33) * ('Master Data Sheet'!$A:$A=$F33), 0), MATCH($F$1, 'Master Data Sheet'!$1:$1, 0)), "")</f>
        <v>0.18137601211411497</v>
      </c>
      <c r="J33" s="11" cm="1">
        <f t="array" ref="J33">IFERROR(INDEX('Master Data Sheet'!$1:$1048576, MATCH(1, ('Master Data Sheet'!$H:$H=J$2) * (INDEX('Master Data Sheet'!$1:$1, , MATCH($F$1, 'Master Data Sheet'!$1:$1, 0)) = $F$1) * ('Master Data Sheet'!$G:$G=$B33) * ('Master Data Sheet'!$F:$F=$E33) * ('Master Data Sheet'!$A:$A=$F33), 0), MATCH($F$1, 'Master Data Sheet'!$1:$1, 0)), "")</f>
        <v>0.28936235603775606</v>
      </c>
      <c r="K33" s="11" cm="1">
        <f t="array" ref="K33">IFERROR(INDEX('Master Data Sheet'!$1:$1048576, MATCH(1, ('Master Data Sheet'!$H:$H=K$2) * (INDEX('Master Data Sheet'!$1:$1, , MATCH($F$1, 'Master Data Sheet'!$1:$1, 0)) = $F$1) * ('Master Data Sheet'!$G:$G=$B33) * ('Master Data Sheet'!$F:$F=$E33) * ('Master Data Sheet'!$A:$A=$F33), 0), MATCH($F$1, 'Master Data Sheet'!$1:$1, 0)), "")</f>
        <v>0.36688919900446954</v>
      </c>
      <c r="L33" s="11" cm="1">
        <f t="array" ref="L33">IFERROR(INDEX('Master Data Sheet'!$1:$1048576, MATCH(1, ('Master Data Sheet'!$H:$H=L$2) * (INDEX('Master Data Sheet'!$1:$1, , MATCH($F$1, 'Master Data Sheet'!$1:$1, 0)) = $F$1) * ('Master Data Sheet'!$G:$G=$B33) * ('Master Data Sheet'!$F:$F=$E33) * ('Master Data Sheet'!$A:$A=$F33), 0), MATCH($F$1, 'Master Data Sheet'!$1:$1, 0)), "")</f>
        <v>0.33158203003940534</v>
      </c>
      <c r="M33" s="11" cm="1">
        <f t="array" ref="M33">IFERROR(INDEX('Master Data Sheet'!$1:$1048576, MATCH(1, ('Master Data Sheet'!$H:$H=M$2) * (INDEX('Master Data Sheet'!$1:$1, , MATCH($F$1, 'Master Data Sheet'!$1:$1, 0)) = $F$1) * ('Master Data Sheet'!$G:$G=$B33) * ('Master Data Sheet'!$F:$F=$E33) * ('Master Data Sheet'!$A:$A=$F33), 0), MATCH($F$1, 'Master Data Sheet'!$1:$1, 0)), "")</f>
        <v>0.3372609628251011</v>
      </c>
      <c r="N33" s="11" cm="1">
        <f t="array" ref="N33">IFERROR(INDEX('Master Data Sheet'!$1:$1048576, MATCH(1, ('Master Data Sheet'!$H:$H=N$2) * (INDEX('Master Data Sheet'!$1:$1, , MATCH($F$1, 'Master Data Sheet'!$1:$1, 0)) = $F$1) * ('Master Data Sheet'!$G:$G=$B33) * ('Master Data Sheet'!$F:$F=$E33) * ('Master Data Sheet'!$A:$A=$F33), 0), MATCH($F$1, 'Master Data Sheet'!$1:$1, 0)), "")</f>
        <v>1.0724565969381628</v>
      </c>
      <c r="O33" s="11">
        <f t="shared" si="8"/>
        <v>0.40311075714093725</v>
      </c>
      <c r="P33" s="11">
        <f t="shared" si="4"/>
        <v>0.30182155603600896</v>
      </c>
      <c r="Q33" s="11">
        <f>AVERAGE(O33:O35)</f>
        <v>0.41889978273275946</v>
      </c>
      <c r="R33" s="46">
        <f>(1-(O33/O30))*100</f>
        <v>67.440757673233179</v>
      </c>
      <c r="S33" s="46">
        <f>AVERAGE(R33:R35)</f>
        <v>71.189650851778126</v>
      </c>
      <c r="T33" s="46">
        <f>STDEV(R33:R35)</f>
        <v>5.3627378764681506</v>
      </c>
      <c r="U33" s="47">
        <f>(1-(AVERAGE(H33:N35)/AVERAGE(H30:N32)))*100</f>
        <v>71.528245952861042</v>
      </c>
      <c r="V33" s="47"/>
      <c r="W33" s="47"/>
      <c r="X33" s="47">
        <f>(O30-O33)/60.5</f>
        <v>1.380120998470092E-2</v>
      </c>
      <c r="Y33" s="47">
        <f>O30/60.5</f>
        <v>2.0464197706038727E-2</v>
      </c>
      <c r="AB33" s="2"/>
      <c r="AC33" s="2"/>
      <c r="AD33" s="2"/>
      <c r="AE33" s="2"/>
      <c r="AF33" s="2"/>
      <c r="AG33" s="2"/>
      <c r="AH33" s="2"/>
      <c r="AI33" s="2"/>
      <c r="AJ33" s="2"/>
    </row>
    <row r="34" spans="1:48" x14ac:dyDescent="0.35">
      <c r="A34" s="41">
        <f>IFERROR(INDEX('Date Key'!$B$2:$B$19, MATCH(F34,'Date Key'!$A$2:$A$19, 0)), "")</f>
        <v>45259</v>
      </c>
      <c r="B34" s="4">
        <f t="shared" si="15"/>
        <v>4</v>
      </c>
      <c r="C34" s="26" t="str">
        <f>IFERROR(INDEX('Date Key'!$G$57:$G$62, MATCH(B34,'Date Key'!$A$57:$A$62, 0)), "")</f>
        <v>High HLR, Upper Outlet Height, No Plants</v>
      </c>
      <c r="D34" s="4" t="str">
        <f>IFERROR(INDEX('Date Key'!$G$2:$G$19, MATCH(F34, 'Date Key'!$A$2:$A$19, 0)), "")</f>
        <v>No</v>
      </c>
      <c r="E34" s="4" t="str">
        <f t="shared" si="1"/>
        <v>tank 1</v>
      </c>
      <c r="F34" s="4">
        <f t="shared" si="2"/>
        <v>11</v>
      </c>
      <c r="G34" s="4">
        <f t="shared" si="22"/>
        <v>2</v>
      </c>
      <c r="H34" s="11" cm="1">
        <f t="array" ref="H34">IFERROR(INDEX('Master Data Sheet'!$1:$1048576, MATCH(1, ('Master Data Sheet'!$H:$H=H$2) * (INDEX('Master Data Sheet'!$1:$1, , MATCH($F$1, 'Master Data Sheet'!$1:$1, 0)) = $F$1) * ('Master Data Sheet'!$G:$G=$B34) * ('Master Data Sheet'!$F:$F=$E34) * ('Master Data Sheet'!$A:$A=$F34), 0), MATCH($F$1, 'Master Data Sheet'!$1:$1, 0)), "")</f>
        <v>0.28937092941312759</v>
      </c>
      <c r="I34" s="11" cm="1">
        <f t="array" ref="I34">IFERROR(INDEX('Master Data Sheet'!$1:$1048576, MATCH(1, ('Master Data Sheet'!$H:$H=I$2) * (INDEX('Master Data Sheet'!$1:$1, , MATCH($F$1, 'Master Data Sheet'!$1:$1, 0)) = $F$1) * ('Master Data Sheet'!$G:$G=$B34) * ('Master Data Sheet'!$F:$F=$E34) * ('Master Data Sheet'!$A:$A=$F34), 0), MATCH($F$1, 'Master Data Sheet'!$1:$1, 0)), "")</f>
        <v>0.43858328777862238</v>
      </c>
      <c r="J34" s="11" cm="1">
        <f t="array" ref="J34">IFERROR(INDEX('Master Data Sheet'!$1:$1048576, MATCH(1, ('Master Data Sheet'!$H:$H=J$2) * (INDEX('Master Data Sheet'!$1:$1, , MATCH($F$1, 'Master Data Sheet'!$1:$1, 0)) = $F$1) * ('Master Data Sheet'!$G:$G=$B34) * ('Master Data Sheet'!$F:$F=$E34) * ('Master Data Sheet'!$A:$A=$F34), 0), MATCH($F$1, 'Master Data Sheet'!$1:$1, 0)), "")</f>
        <v>0.39071103728885415</v>
      </c>
      <c r="K34" s="11" cm="1">
        <f t="array" ref="K34">IFERROR(INDEX('Master Data Sheet'!$1:$1048576, MATCH(1, ('Master Data Sheet'!$H:$H=K$2) * (INDEX('Master Data Sheet'!$1:$1, , MATCH($F$1, 'Master Data Sheet'!$1:$1, 0)) = $F$1) * ('Master Data Sheet'!$G:$G=$B34) * ('Master Data Sheet'!$F:$F=$E34) * ('Master Data Sheet'!$A:$A=$F34), 0), MATCH($F$1, 'Master Data Sheet'!$1:$1, 0)), "")</f>
        <v>0.41446821690763425</v>
      </c>
      <c r="L34" s="11" cm="1">
        <f t="array" ref="L34">IFERROR(INDEX('Master Data Sheet'!$1:$1048576, MATCH(1, ('Master Data Sheet'!$H:$H=L$2) * (INDEX('Master Data Sheet'!$1:$1, , MATCH($F$1, 'Master Data Sheet'!$1:$1, 0)) = $F$1) * ('Master Data Sheet'!$G:$G=$B34) * ('Master Data Sheet'!$F:$F=$E34) * ('Master Data Sheet'!$A:$A=$F34), 0), MATCH($F$1, 'Master Data Sheet'!$1:$1, 0)), "")</f>
        <v>0.41253808483834742</v>
      </c>
      <c r="M34" s="11" cm="1">
        <f t="array" ref="M34">IFERROR(INDEX('Master Data Sheet'!$1:$1048576, MATCH(1, ('Master Data Sheet'!$H:$H=M$2) * (INDEX('Master Data Sheet'!$1:$1, , MATCH($F$1, 'Master Data Sheet'!$1:$1, 0)) = $F$1) * ('Master Data Sheet'!$G:$G=$B34) * ('Master Data Sheet'!$F:$F=$E34) * ('Master Data Sheet'!$A:$A=$F34), 0), MATCH($F$1, 'Master Data Sheet'!$1:$1, 0)), "")</f>
        <v>0.77237510743278048</v>
      </c>
      <c r="N34" s="11" cm="1">
        <f t="array" ref="N34">IFERROR(INDEX('Master Data Sheet'!$1:$1048576, MATCH(1, ('Master Data Sheet'!$H:$H=N$2) * (INDEX('Master Data Sheet'!$1:$1, , MATCH($F$1, 'Master Data Sheet'!$1:$1, 0)) = $F$1) * ('Master Data Sheet'!$G:$G=$B34) * ('Master Data Sheet'!$F:$F=$E34) * ('Master Data Sheet'!$A:$A=$F34), 0), MATCH($F$1, 'Master Data Sheet'!$1:$1, 0)), "")</f>
        <v>0.70348679700025596</v>
      </c>
      <c r="O34" s="11">
        <f t="shared" si="8"/>
        <v>0.48879049437994609</v>
      </c>
      <c r="P34" s="11">
        <f t="shared" si="4"/>
        <v>0.17783956833724912</v>
      </c>
      <c r="Q34" s="11"/>
      <c r="R34" s="46">
        <f>(1-(O34/O31))*100</f>
        <v>68.795806508651495</v>
      </c>
      <c r="X34" s="47">
        <f>(O31-O34)/60.5</f>
        <v>1.7812151526213071E-2</v>
      </c>
      <c r="Y34" s="47">
        <f>O31/60.5</f>
        <v>2.5891333251501437E-2</v>
      </c>
      <c r="AA34" t="str">
        <f>IFERROR(INDEX('Date Key'!$G$57:$G$62, MATCH(B33,'Date Key'!$A$57:$A$62, 0)), "")</f>
        <v>High HLR, Upper Outlet Height, No Plants</v>
      </c>
      <c r="AB34" s="1">
        <f t="shared" ref="AB34:AH34" si="38">H33</f>
        <v>0.24284814302755106</v>
      </c>
      <c r="AC34" s="1">
        <f t="shared" si="38"/>
        <v>0.18137601211411497</v>
      </c>
      <c r="AD34" s="1">
        <f t="shared" si="38"/>
        <v>0.28936235603775606</v>
      </c>
      <c r="AE34" s="1">
        <f t="shared" si="38"/>
        <v>0.36688919900446954</v>
      </c>
      <c r="AF34" s="1">
        <f t="shared" si="38"/>
        <v>0.33158203003940534</v>
      </c>
      <c r="AG34" s="1">
        <f t="shared" si="38"/>
        <v>0.3372609628251011</v>
      </c>
      <c r="AH34" s="1">
        <f t="shared" si="38"/>
        <v>1.0724565969381628</v>
      </c>
      <c r="AI34" s="1">
        <f t="shared" ref="AI34:AO34" si="39">H34</f>
        <v>0.28937092941312759</v>
      </c>
      <c r="AJ34" s="1">
        <f t="shared" si="39"/>
        <v>0.43858328777862238</v>
      </c>
      <c r="AK34" s="1">
        <f t="shared" si="39"/>
        <v>0.39071103728885415</v>
      </c>
      <c r="AL34" s="1">
        <f t="shared" si="39"/>
        <v>0.41446821690763425</v>
      </c>
      <c r="AM34" s="1">
        <f t="shared" si="39"/>
        <v>0.41253808483834742</v>
      </c>
      <c r="AN34" s="1">
        <f t="shared" si="39"/>
        <v>0.77237510743278048</v>
      </c>
      <c r="AO34" s="1">
        <f t="shared" si="39"/>
        <v>0.70348679700025596</v>
      </c>
      <c r="AP34" s="1">
        <f t="shared" ref="AP34:AV34" si="40">H35</f>
        <v>0.52741635386610863</v>
      </c>
      <c r="AQ34" s="1">
        <f t="shared" si="40"/>
        <v>6.5397053539346037E-2</v>
      </c>
      <c r="AR34" s="1">
        <f t="shared" si="40"/>
        <v>0.29986092277247045</v>
      </c>
      <c r="AS34" s="1">
        <f t="shared" si="40"/>
        <v>0.43324078360645757</v>
      </c>
      <c r="AT34" s="1">
        <f t="shared" si="40"/>
        <v>0.25246853205075914</v>
      </c>
      <c r="AU34" s="1">
        <f t="shared" si="40"/>
        <v>0.70942175943038688</v>
      </c>
      <c r="AV34" s="1">
        <f t="shared" si="40"/>
        <v>0.26578127147623709</v>
      </c>
    </row>
    <row r="35" spans="1:48" x14ac:dyDescent="0.35">
      <c r="A35" s="41">
        <f>IFERROR(INDEX('Date Key'!$B$2:$B$19, MATCH(F35,'Date Key'!$A$2:$A$19, 0)), "")</f>
        <v>45266</v>
      </c>
      <c r="B35" s="4">
        <f t="shared" si="15"/>
        <v>4</v>
      </c>
      <c r="C35" s="26" t="str">
        <f>IFERROR(INDEX('Date Key'!$G$57:$G$62, MATCH(B35,'Date Key'!$A$57:$A$62, 0)), "")</f>
        <v>High HLR, Upper Outlet Height, No Plants</v>
      </c>
      <c r="D35" s="4" t="str">
        <f>IFERROR(INDEX('Date Key'!$G$2:$G$19, MATCH(F35, 'Date Key'!$A$2:$A$19, 0)), "")</f>
        <v>No</v>
      </c>
      <c r="E35" s="4" t="str">
        <f t="shared" si="1"/>
        <v>tank 1</v>
      </c>
      <c r="F35" s="4">
        <f t="shared" si="2"/>
        <v>12</v>
      </c>
      <c r="G35" s="4">
        <f t="shared" si="22"/>
        <v>3</v>
      </c>
      <c r="H35" s="11" cm="1">
        <f t="array" ref="H35">IFERROR(INDEX('Master Data Sheet'!$1:$1048576, MATCH(1, ('Master Data Sheet'!$H:$H=H$2) * (INDEX('Master Data Sheet'!$1:$1, , MATCH($F$1, 'Master Data Sheet'!$1:$1, 0)) = $F$1) * ('Master Data Sheet'!$G:$G=$B35) * ('Master Data Sheet'!$F:$F=$E35) * ('Master Data Sheet'!$A:$A=$F35), 0), MATCH($F$1, 'Master Data Sheet'!$1:$1, 0)), "")</f>
        <v>0.52741635386610863</v>
      </c>
      <c r="I35" s="11" cm="1">
        <f t="array" ref="I35">IFERROR(INDEX('Master Data Sheet'!$1:$1048576, MATCH(1, ('Master Data Sheet'!$H:$H=I$2) * (INDEX('Master Data Sheet'!$1:$1, , MATCH($F$1, 'Master Data Sheet'!$1:$1, 0)) = $F$1) * ('Master Data Sheet'!$G:$G=$B35) * ('Master Data Sheet'!$F:$F=$E35) * ('Master Data Sheet'!$A:$A=$F35), 0), MATCH($F$1, 'Master Data Sheet'!$1:$1, 0)), "")</f>
        <v>6.5397053539346037E-2</v>
      </c>
      <c r="J35" s="11" cm="1">
        <f t="array" ref="J35">IFERROR(INDEX('Master Data Sheet'!$1:$1048576, MATCH(1, ('Master Data Sheet'!$H:$H=J$2) * (INDEX('Master Data Sheet'!$1:$1, , MATCH($F$1, 'Master Data Sheet'!$1:$1, 0)) = $F$1) * ('Master Data Sheet'!$G:$G=$B35) * ('Master Data Sheet'!$F:$F=$E35) * ('Master Data Sheet'!$A:$A=$F35), 0), MATCH($F$1, 'Master Data Sheet'!$1:$1, 0)), "")</f>
        <v>0.29986092277247045</v>
      </c>
      <c r="K35" s="11" cm="1">
        <f t="array" ref="K35">IFERROR(INDEX('Master Data Sheet'!$1:$1048576, MATCH(1, ('Master Data Sheet'!$H:$H=K$2) * (INDEX('Master Data Sheet'!$1:$1, , MATCH($F$1, 'Master Data Sheet'!$1:$1, 0)) = $F$1) * ('Master Data Sheet'!$G:$G=$B35) * ('Master Data Sheet'!$F:$F=$E35) * ('Master Data Sheet'!$A:$A=$F35), 0), MATCH($F$1, 'Master Data Sheet'!$1:$1, 0)), "")</f>
        <v>0.43324078360645757</v>
      </c>
      <c r="L35" s="11" cm="1">
        <f t="array" ref="L35">IFERROR(INDEX('Master Data Sheet'!$1:$1048576, MATCH(1, ('Master Data Sheet'!$H:$H=L$2) * (INDEX('Master Data Sheet'!$1:$1, , MATCH($F$1, 'Master Data Sheet'!$1:$1, 0)) = $F$1) * ('Master Data Sheet'!$G:$G=$B35) * ('Master Data Sheet'!$F:$F=$E35) * ('Master Data Sheet'!$A:$A=$F35), 0), MATCH($F$1, 'Master Data Sheet'!$1:$1, 0)), "")</f>
        <v>0.25246853205075914</v>
      </c>
      <c r="M35" s="11" cm="1">
        <f t="array" ref="M35">IFERROR(INDEX('Master Data Sheet'!$1:$1048576, MATCH(1, ('Master Data Sheet'!$H:$H=M$2) * (INDEX('Master Data Sheet'!$1:$1, , MATCH($F$1, 'Master Data Sheet'!$1:$1, 0)) = $F$1) * ('Master Data Sheet'!$G:$G=$B35) * ('Master Data Sheet'!$F:$F=$E35) * ('Master Data Sheet'!$A:$A=$F35), 0), MATCH($F$1, 'Master Data Sheet'!$1:$1, 0)), "")</f>
        <v>0.70942175943038688</v>
      </c>
      <c r="N35" s="11" cm="1">
        <f t="array" ref="N35">IFERROR(INDEX('Master Data Sheet'!$1:$1048576, MATCH(1, ('Master Data Sheet'!$H:$H=N$2) * (INDEX('Master Data Sheet'!$1:$1, , MATCH($F$1, 'Master Data Sheet'!$1:$1, 0)) = $F$1) * ('Master Data Sheet'!$G:$G=$B35) * ('Master Data Sheet'!$F:$F=$E35) * ('Master Data Sheet'!$A:$A=$F35), 0), MATCH($F$1, 'Master Data Sheet'!$1:$1, 0)), "")</f>
        <v>0.26578127147623709</v>
      </c>
      <c r="O35" s="11">
        <f t="shared" si="8"/>
        <v>0.36479809667739505</v>
      </c>
      <c r="P35" s="11">
        <f t="shared" si="4"/>
        <v>0.21062393495022064</v>
      </c>
      <c r="Q35" s="11"/>
      <c r="R35" s="46">
        <f>(1-(O35/O32))*100</f>
        <v>77.332388373449717</v>
      </c>
      <c r="X35" s="47">
        <f>(O32-O35)/60.5</f>
        <v>2.0570878987481046E-2</v>
      </c>
      <c r="Y35" s="47">
        <f>O32/60.5</f>
        <v>2.6600599593718983E-2</v>
      </c>
      <c r="AB35" s="2"/>
      <c r="AC35" s="2"/>
      <c r="AD35" s="2"/>
      <c r="AE35" s="2"/>
      <c r="AF35" s="2"/>
      <c r="AG35" s="2"/>
      <c r="AH35" s="2"/>
      <c r="AI35" s="2"/>
      <c r="AJ35" s="2"/>
    </row>
    <row r="36" spans="1:48" x14ac:dyDescent="0.35">
      <c r="A36" s="41">
        <f>IFERROR(INDEX('Date Key'!$B$2:$B$19, MATCH(F36,'Date Key'!$A$2:$A$19, 0)), "")</f>
        <v>45250</v>
      </c>
      <c r="B36" s="4">
        <f t="shared" si="15"/>
        <v>4</v>
      </c>
      <c r="C36" s="26" t="str">
        <f>IFERROR(INDEX('Date Key'!$G$57:$G$62, MATCH(B36,'Date Key'!$A$57:$A$62, 0)), "")</f>
        <v>High HLR, Upper Outlet Height, No Plants</v>
      </c>
      <c r="D36" s="4" t="str">
        <f>IFERROR(INDEX('Date Key'!$G$2:$G$19, MATCH(F36, 'Date Key'!$A$2:$A$19, 0)), "")</f>
        <v>Yes</v>
      </c>
      <c r="E36" s="4" t="str">
        <f t="shared" si="1"/>
        <v>tank 2</v>
      </c>
      <c r="F36" s="4">
        <f t="shared" si="2"/>
        <v>10</v>
      </c>
      <c r="G36" s="4">
        <f t="shared" si="22"/>
        <v>1</v>
      </c>
      <c r="H36" s="11" cm="1">
        <f t="array" ref="H36">IFERROR(INDEX('Master Data Sheet'!$1:$1048576, MATCH(1, ('Master Data Sheet'!$H:$H=H$2) * (INDEX('Master Data Sheet'!$1:$1, , MATCH($F$1, 'Master Data Sheet'!$1:$1, 0)) = $F$1) * ('Master Data Sheet'!$G:$G=$B36) * ('Master Data Sheet'!$F:$F=$E36) * ('Master Data Sheet'!$A:$A=$F36), 0), MATCH($F$1, 'Master Data Sheet'!$1:$1, 0)), "")</f>
        <v>0.3848842261808616</v>
      </c>
      <c r="I36" s="11" cm="1">
        <f t="array" ref="I36">IFERROR(INDEX('Master Data Sheet'!$1:$1048576, MATCH(1, ('Master Data Sheet'!$H:$H=I$2) * (INDEX('Master Data Sheet'!$1:$1, , MATCH($F$1, 'Master Data Sheet'!$1:$1, 0)) = $F$1) * ('Master Data Sheet'!$G:$G=$B36) * ('Master Data Sheet'!$F:$F=$E36) * ('Master Data Sheet'!$A:$A=$F36), 0), MATCH($F$1, 'Master Data Sheet'!$1:$1, 0)), "")</f>
        <v>0.62140993606804451</v>
      </c>
      <c r="J36" s="11" cm="1">
        <f t="array" ref="J36">IFERROR(INDEX('Master Data Sheet'!$1:$1048576, MATCH(1, ('Master Data Sheet'!$H:$H=J$2) * (INDEX('Master Data Sheet'!$1:$1, , MATCH($F$1, 'Master Data Sheet'!$1:$1, 0)) = $F$1) * ('Master Data Sheet'!$G:$G=$B36) * ('Master Data Sheet'!$F:$F=$E36) * ('Master Data Sheet'!$A:$A=$F36), 0), MATCH($F$1, 'Master Data Sheet'!$1:$1, 0)), "")</f>
        <v>0.82981257509866135</v>
      </c>
      <c r="K36" s="11" cm="1">
        <f t="array" ref="K36">IFERROR(INDEX('Master Data Sheet'!$1:$1048576, MATCH(1, ('Master Data Sheet'!$H:$H=K$2) * (INDEX('Master Data Sheet'!$1:$1, , MATCH($F$1, 'Master Data Sheet'!$1:$1, 0)) = $F$1) * ('Master Data Sheet'!$G:$G=$B36) * ('Master Data Sheet'!$F:$F=$E36) * ('Master Data Sheet'!$A:$A=$F36), 0), MATCH($F$1, 'Master Data Sheet'!$1:$1, 0)), "")</f>
        <v>0.79475362072764355</v>
      </c>
      <c r="L36" s="11" cm="1">
        <f t="array" ref="L36">IFERROR(INDEX('Master Data Sheet'!$1:$1048576, MATCH(1, ('Master Data Sheet'!$H:$H=L$2) * (INDEX('Master Data Sheet'!$1:$1, , MATCH($F$1, 'Master Data Sheet'!$1:$1, 0)) = $F$1) * ('Master Data Sheet'!$G:$G=$B36) * ('Master Data Sheet'!$F:$F=$E36) * ('Master Data Sheet'!$A:$A=$F36), 0), MATCH($F$1, 'Master Data Sheet'!$1:$1, 0)), "")</f>
        <v>0.89925985464848646</v>
      </c>
      <c r="M36" s="11" cm="1">
        <f t="array" ref="M36">IFERROR(INDEX('Master Data Sheet'!$1:$1048576, MATCH(1, ('Master Data Sheet'!$H:$H=M$2) * (INDEX('Master Data Sheet'!$1:$1, , MATCH($F$1, 'Master Data Sheet'!$1:$1, 0)) = $F$1) * ('Master Data Sheet'!$G:$G=$B36) * ('Master Data Sheet'!$F:$F=$E36) * ('Master Data Sheet'!$A:$A=$F36), 0), MATCH($F$1, 'Master Data Sheet'!$1:$1, 0)), "")</f>
        <v>0.77253056841328149</v>
      </c>
      <c r="N36" s="11" cm="1">
        <f t="array" ref="N36">IFERROR(INDEX('Master Data Sheet'!$1:$1048576, MATCH(1, ('Master Data Sheet'!$H:$H=N$2) * (INDEX('Master Data Sheet'!$1:$1, , MATCH($F$1, 'Master Data Sheet'!$1:$1, 0)) = $F$1) * ('Master Data Sheet'!$G:$G=$B36) * ('Master Data Sheet'!$F:$F=$E36) * ('Master Data Sheet'!$A:$A=$F36), 0), MATCH($F$1, 'Master Data Sheet'!$1:$1, 0)), "")</f>
        <v>0.68784675617560798</v>
      </c>
      <c r="O36" s="11">
        <f t="shared" si="8"/>
        <v>0.71292821961608388</v>
      </c>
      <c r="P36" s="11">
        <f t="shared" si="4"/>
        <v>0.17090289868833902</v>
      </c>
      <c r="Q36" s="11">
        <f>AVERAGE(N36:N38)</f>
        <v>0.76894365035339707</v>
      </c>
      <c r="R36" s="46">
        <f>(1-(O36/O30))*100</f>
        <v>42.416811625905346</v>
      </c>
      <c r="S36" s="46">
        <f>AVERAGE(R36:R38)</f>
        <v>50.818501316678997</v>
      </c>
      <c r="T36" s="46">
        <f>STDEV(R36:R38)</f>
        <v>25.407703599914143</v>
      </c>
      <c r="U36" s="47">
        <f>(1-(AVERAGE(H36:N38)/AVERAGE(H30:N32)))*100</f>
        <v>51.720998629943168</v>
      </c>
      <c r="V36" s="47"/>
      <c r="W36" s="47"/>
      <c r="X36" s="47">
        <f>(O33-O36)/61.7</f>
        <v>-5.0213527143459745E-3</v>
      </c>
      <c r="Y36" s="47">
        <f>O30/61.7</f>
        <v>2.0066190619373467E-2</v>
      </c>
      <c r="AB36" s="2"/>
      <c r="AC36" s="2"/>
      <c r="AD36" s="2"/>
      <c r="AE36" s="2"/>
      <c r="AF36" s="2"/>
      <c r="AG36" s="2"/>
      <c r="AH36" s="2"/>
      <c r="AI36" s="2"/>
      <c r="AJ36" s="2"/>
    </row>
    <row r="37" spans="1:48" x14ac:dyDescent="0.35">
      <c r="A37" s="41">
        <f>IFERROR(INDEX('Date Key'!$B$2:$B$19, MATCH(F37,'Date Key'!$A$2:$A$19, 0)), "")</f>
        <v>45259</v>
      </c>
      <c r="B37" s="4">
        <f t="shared" si="15"/>
        <v>4</v>
      </c>
      <c r="C37" s="26" t="str">
        <f>IFERROR(INDEX('Date Key'!$G$57:$G$62, MATCH(B37,'Date Key'!$A$57:$A$62, 0)), "")</f>
        <v>High HLR, Upper Outlet Height, No Plants</v>
      </c>
      <c r="D37" s="4" t="str">
        <f>IFERROR(INDEX('Date Key'!$G$2:$G$19, MATCH(F37, 'Date Key'!$A$2:$A$19, 0)), "")</f>
        <v>No</v>
      </c>
      <c r="E37" s="4" t="str">
        <f t="shared" si="1"/>
        <v>tank 2</v>
      </c>
      <c r="F37" s="4">
        <f t="shared" si="2"/>
        <v>11</v>
      </c>
      <c r="G37" s="4">
        <f t="shared" si="22"/>
        <v>2</v>
      </c>
      <c r="H37" s="11" cm="1">
        <f t="array" ref="H37">IFERROR(INDEX('Master Data Sheet'!$1:$1048576, MATCH(1, ('Master Data Sheet'!$H:$H=H$2) * (INDEX('Master Data Sheet'!$1:$1, , MATCH($F$1, 'Master Data Sheet'!$1:$1, 0)) = $F$1) * ('Master Data Sheet'!$G:$G=$B37) * ('Master Data Sheet'!$F:$F=$E37) * ('Master Data Sheet'!$A:$A=$F37), 0), MATCH($F$1, 'Master Data Sheet'!$1:$1, 0)), "")</f>
        <v>0.47448644547056229</v>
      </c>
      <c r="I37" s="11" cm="1">
        <f t="array" ref="I37">IFERROR(INDEX('Master Data Sheet'!$1:$1048576, MATCH(1, ('Master Data Sheet'!$H:$H=I$2) * (INDEX('Master Data Sheet'!$1:$1, , MATCH($F$1, 'Master Data Sheet'!$1:$1, 0)) = $F$1) * ('Master Data Sheet'!$G:$G=$B37) * ('Master Data Sheet'!$F:$F=$E37) * ('Master Data Sheet'!$A:$A=$F37), 0), MATCH($F$1, 'Master Data Sheet'!$1:$1, 0)), "")</f>
        <v>1.785552408978633</v>
      </c>
      <c r="J37" s="11" cm="1">
        <f t="array" ref="J37">IFERROR(INDEX('Master Data Sheet'!$1:$1048576, MATCH(1, ('Master Data Sheet'!$H:$H=J$2) * (INDEX('Master Data Sheet'!$1:$1, , MATCH($F$1, 'Master Data Sheet'!$1:$1, 0)) = $F$1) * ('Master Data Sheet'!$G:$G=$B37) * ('Master Data Sheet'!$F:$F=$E37) * ('Master Data Sheet'!$A:$A=$F37), 0), MATCH($F$1, 'Master Data Sheet'!$1:$1, 0)), "")</f>
        <v>0.58935410362640261</v>
      </c>
      <c r="K37" s="11" cm="1">
        <f t="array" ref="K37">IFERROR(INDEX('Master Data Sheet'!$1:$1048576, MATCH(1, ('Master Data Sheet'!$H:$H=K$2) * (INDEX('Master Data Sheet'!$1:$1, , MATCH($F$1, 'Master Data Sheet'!$1:$1, 0)) = $F$1) * ('Master Data Sheet'!$G:$G=$B37) * ('Master Data Sheet'!$F:$F=$E37) * ('Master Data Sheet'!$A:$A=$F37), 0), MATCH($F$1, 'Master Data Sheet'!$1:$1, 0)), "")</f>
        <v>1.192215011036267</v>
      </c>
      <c r="L37" s="11" cm="1">
        <f t="array" ref="L37">IFERROR(INDEX('Master Data Sheet'!$1:$1048576, MATCH(1, ('Master Data Sheet'!$H:$H=L$2) * (INDEX('Master Data Sheet'!$1:$1, , MATCH($F$1, 'Master Data Sheet'!$1:$1, 0)) = $F$1) * ('Master Data Sheet'!$G:$G=$B37) * ('Master Data Sheet'!$F:$F=$E37) * ('Master Data Sheet'!$A:$A=$F37), 0), MATCH($F$1, 'Master Data Sheet'!$1:$1, 0)), "")</f>
        <v>0.70850343490421319</v>
      </c>
      <c r="M37" s="11" cm="1">
        <f t="array" ref="M37">IFERROR(INDEX('Master Data Sheet'!$1:$1048576, MATCH(1, ('Master Data Sheet'!$H:$H=M$2) * (INDEX('Master Data Sheet'!$1:$1, , MATCH($F$1, 'Master Data Sheet'!$1:$1, 0)) = $F$1) * ('Master Data Sheet'!$G:$G=$B37) * ('Master Data Sheet'!$F:$F=$E37) * ('Master Data Sheet'!$A:$A=$F37), 0), MATCH($F$1, 'Master Data Sheet'!$1:$1, 0)), "")</f>
        <v>1.5045776031673626</v>
      </c>
      <c r="N37" s="11" cm="1">
        <f t="array" ref="N37">IFERROR(INDEX('Master Data Sheet'!$1:$1048576, MATCH(1, ('Master Data Sheet'!$H:$H=N$2) * (INDEX('Master Data Sheet'!$1:$1, , MATCH($F$1, 'Master Data Sheet'!$1:$1, 0)) = $F$1) * ('Master Data Sheet'!$G:$G=$B37) * ('Master Data Sheet'!$F:$F=$E37) * ('Master Data Sheet'!$A:$A=$F37), 0), MATCH($F$1, 'Master Data Sheet'!$1:$1, 0)), "")</f>
        <v>1.346699614877189</v>
      </c>
      <c r="O37" s="11">
        <f t="shared" si="8"/>
        <v>1.0859126602943758</v>
      </c>
      <c r="P37" s="11">
        <f t="shared" si="4"/>
        <v>0.50115471289932001</v>
      </c>
      <c r="Q37" s="11"/>
      <c r="R37" s="46">
        <f>(1-(O37/O31))*100</f>
        <v>30.675761586739782</v>
      </c>
      <c r="X37" s="47">
        <f>(O34-O37)/61.7</f>
        <v>-9.6778308900231716E-3</v>
      </c>
      <c r="Y37" s="47">
        <f>O31/61.7</f>
        <v>2.5387774095880663E-2</v>
      </c>
      <c r="AA37" t="str">
        <f>IFERROR(INDEX('Date Key'!$G$57:$G$62, MATCH(B36,'Date Key'!$A$57:$A$62, 0)), "")</f>
        <v>High HLR, Upper Outlet Height, No Plants</v>
      </c>
      <c r="AB37" s="1">
        <f t="shared" ref="AB37:AH37" si="41">H36</f>
        <v>0.3848842261808616</v>
      </c>
      <c r="AC37" s="1">
        <f t="shared" si="41"/>
        <v>0.62140993606804451</v>
      </c>
      <c r="AD37" s="1">
        <f t="shared" si="41"/>
        <v>0.82981257509866135</v>
      </c>
      <c r="AE37" s="1">
        <f t="shared" si="41"/>
        <v>0.79475362072764355</v>
      </c>
      <c r="AF37" s="1">
        <f t="shared" si="41"/>
        <v>0.89925985464848646</v>
      </c>
      <c r="AG37" s="1">
        <f t="shared" si="41"/>
        <v>0.77253056841328149</v>
      </c>
      <c r="AH37" s="1">
        <f t="shared" si="41"/>
        <v>0.68784675617560798</v>
      </c>
      <c r="AI37" s="1">
        <f t="shared" ref="AI37:AO37" si="42">H37</f>
        <v>0.47448644547056229</v>
      </c>
      <c r="AJ37" s="1">
        <f t="shared" si="42"/>
        <v>1.785552408978633</v>
      </c>
      <c r="AK37" s="1">
        <f t="shared" si="42"/>
        <v>0.58935410362640261</v>
      </c>
      <c r="AL37" s="1">
        <f t="shared" si="42"/>
        <v>1.192215011036267</v>
      </c>
      <c r="AM37" s="1">
        <f t="shared" si="42"/>
        <v>0.70850343490421319</v>
      </c>
      <c r="AN37" s="1">
        <f t="shared" si="42"/>
        <v>1.5045776031673626</v>
      </c>
      <c r="AO37" s="1">
        <f t="shared" si="42"/>
        <v>1.346699614877189</v>
      </c>
      <c r="AP37" s="1">
        <f t="shared" ref="AP37:AV37" si="43">H38</f>
        <v>0.69943173500485756</v>
      </c>
      <c r="AQ37" s="1">
        <f t="shared" si="43"/>
        <v>0.39946234412637582</v>
      </c>
      <c r="AR37" s="1">
        <f t="shared" si="43"/>
        <v>0.14860602618618668</v>
      </c>
      <c r="AS37" s="1">
        <f t="shared" si="43"/>
        <v>0.11063149584469607</v>
      </c>
      <c r="AT37" s="1">
        <f t="shared" si="43"/>
        <v>0.29592408604173798</v>
      </c>
      <c r="AU37" s="1">
        <f t="shared" si="43"/>
        <v>0.39849862557567511</v>
      </c>
      <c r="AV37" s="1">
        <f t="shared" si="43"/>
        <v>0.27228458000739419</v>
      </c>
    </row>
    <row r="38" spans="1:48" x14ac:dyDescent="0.35">
      <c r="A38" s="42">
        <f>IFERROR(INDEX('Date Key'!$B$2:$B$19, MATCH(F38,'Date Key'!$A$2:$A$19, 0)), "")</f>
        <v>45266</v>
      </c>
      <c r="B38" s="27">
        <f t="shared" si="15"/>
        <v>4</v>
      </c>
      <c r="C38" s="51" t="str">
        <f>IFERROR(INDEX('Date Key'!$G$57:$G$62, MATCH(B38,'Date Key'!$A$57:$A$62, 0)), "")</f>
        <v>High HLR, Upper Outlet Height, No Plants</v>
      </c>
      <c r="D38" s="27" t="str">
        <f>IFERROR(INDEX('Date Key'!$G$2:$G$19, MATCH(F38, 'Date Key'!$A$2:$A$19, 0)), "")</f>
        <v>No</v>
      </c>
      <c r="E38" s="27" t="str">
        <f t="shared" si="1"/>
        <v>tank 2</v>
      </c>
      <c r="F38" s="27">
        <f t="shared" si="2"/>
        <v>12</v>
      </c>
      <c r="G38" s="27">
        <f t="shared" si="22"/>
        <v>3</v>
      </c>
      <c r="H38" s="28" cm="1">
        <f t="array" ref="H38">IFERROR(INDEX('Master Data Sheet'!$1:$1048576, MATCH(1, ('Master Data Sheet'!$H:$H=H$2) * (INDEX('Master Data Sheet'!$1:$1, , MATCH($F$1, 'Master Data Sheet'!$1:$1, 0)) = $F$1) * ('Master Data Sheet'!$G:$G=$B38) * ('Master Data Sheet'!$F:$F=$E38) * ('Master Data Sheet'!$A:$A=$F38), 0), MATCH($F$1, 'Master Data Sheet'!$1:$1, 0)), "")</f>
        <v>0.69943173500485756</v>
      </c>
      <c r="I38" s="28" cm="1">
        <f t="array" ref="I38">IFERROR(INDEX('Master Data Sheet'!$1:$1048576, MATCH(1, ('Master Data Sheet'!$H:$H=I$2) * (INDEX('Master Data Sheet'!$1:$1, , MATCH($F$1, 'Master Data Sheet'!$1:$1, 0)) = $F$1) * ('Master Data Sheet'!$G:$G=$B38) * ('Master Data Sheet'!$F:$F=$E38) * ('Master Data Sheet'!$A:$A=$F38), 0), MATCH($F$1, 'Master Data Sheet'!$1:$1, 0)), "")</f>
        <v>0.39946234412637582</v>
      </c>
      <c r="J38" s="28" cm="1">
        <f t="array" ref="J38">IFERROR(INDEX('Master Data Sheet'!$1:$1048576, MATCH(1, ('Master Data Sheet'!$H:$H=J$2) * (INDEX('Master Data Sheet'!$1:$1, , MATCH($F$1, 'Master Data Sheet'!$1:$1, 0)) = $F$1) * ('Master Data Sheet'!$G:$G=$B38) * ('Master Data Sheet'!$F:$F=$E38) * ('Master Data Sheet'!$A:$A=$F38), 0), MATCH($F$1, 'Master Data Sheet'!$1:$1, 0)), "")</f>
        <v>0.14860602618618668</v>
      </c>
      <c r="K38" s="28" cm="1">
        <f t="array" ref="K38">IFERROR(INDEX('Master Data Sheet'!$1:$1048576, MATCH(1, ('Master Data Sheet'!$H:$H=K$2) * (INDEX('Master Data Sheet'!$1:$1, , MATCH($F$1, 'Master Data Sheet'!$1:$1, 0)) = $F$1) * ('Master Data Sheet'!$G:$G=$B38) * ('Master Data Sheet'!$F:$F=$E38) * ('Master Data Sheet'!$A:$A=$F38), 0), MATCH($F$1, 'Master Data Sheet'!$1:$1, 0)), "")</f>
        <v>0.11063149584469607</v>
      </c>
      <c r="L38" s="28" cm="1">
        <f t="array" ref="L38">IFERROR(INDEX('Master Data Sheet'!$1:$1048576, MATCH(1, ('Master Data Sheet'!$H:$H=L$2) * (INDEX('Master Data Sheet'!$1:$1, , MATCH($F$1, 'Master Data Sheet'!$1:$1, 0)) = $F$1) * ('Master Data Sheet'!$G:$G=$B38) * ('Master Data Sheet'!$F:$F=$E38) * ('Master Data Sheet'!$A:$A=$F38), 0), MATCH($F$1, 'Master Data Sheet'!$1:$1, 0)), "")</f>
        <v>0.29592408604173798</v>
      </c>
      <c r="M38" s="28" cm="1">
        <f t="array" ref="M38">IFERROR(INDEX('Master Data Sheet'!$1:$1048576, MATCH(1, ('Master Data Sheet'!$H:$H=M$2) * (INDEX('Master Data Sheet'!$1:$1, , MATCH($F$1, 'Master Data Sheet'!$1:$1, 0)) = $F$1) * ('Master Data Sheet'!$G:$G=$B38) * ('Master Data Sheet'!$F:$F=$E38) * ('Master Data Sheet'!$A:$A=$F38), 0), MATCH($F$1, 'Master Data Sheet'!$1:$1, 0)), "")</f>
        <v>0.39849862557567511</v>
      </c>
      <c r="N38" s="28" cm="1">
        <f t="array" ref="N38">IFERROR(INDEX('Master Data Sheet'!$1:$1048576, MATCH(1, ('Master Data Sheet'!$H:$H=N$2) * (INDEX('Master Data Sheet'!$1:$1, , MATCH($F$1, 'Master Data Sheet'!$1:$1, 0)) = $F$1) * ('Master Data Sheet'!$G:$G=$B38) * ('Master Data Sheet'!$F:$F=$E38) * ('Master Data Sheet'!$A:$A=$F38), 0), MATCH($F$1, 'Master Data Sheet'!$1:$1, 0)), "")</f>
        <v>0.27228458000739419</v>
      </c>
      <c r="O38" s="28">
        <f t="shared" si="8"/>
        <v>0.3321198418267034</v>
      </c>
      <c r="P38" s="28">
        <f t="shared" si="4"/>
        <v>0.19641961105785358</v>
      </c>
      <c r="Q38" s="28"/>
      <c r="R38" s="48">
        <f>(1-(O38/O32))*100</f>
        <v>79.362930737391849</v>
      </c>
      <c r="S38" s="27"/>
      <c r="T38" s="27"/>
      <c r="U38" s="27"/>
      <c r="V38" s="27"/>
      <c r="W38" s="27"/>
      <c r="X38" s="47">
        <f>(O35-O38)/61.7</f>
        <v>5.2963135900634757E-4</v>
      </c>
      <c r="Y38" s="47">
        <f>O32/61.7</f>
        <v>2.6083245954943247E-2</v>
      </c>
    </row>
    <row r="39" spans="1:48" x14ac:dyDescent="0.35">
      <c r="A39" s="41">
        <f>IFERROR(INDEX('Date Key'!$B$2:$B$19, MATCH(F39,'Date Key'!$A$2:$A$19, 0)), "")</f>
        <v>45313</v>
      </c>
      <c r="B39" s="4">
        <f t="shared" si="15"/>
        <v>5</v>
      </c>
      <c r="C39" s="26" t="str">
        <f>IFERROR(INDEX('Date Key'!$G$57:$G$62, MATCH(B39,'Date Key'!$A$57:$A$62, 0)), "")</f>
        <v>High HLR, Lower Outlet Height, Yes Plants</v>
      </c>
      <c r="D39" s="4" t="str">
        <f>IFERROR(INDEX('Date Key'!$G$2:$G$19, MATCH(F39, 'Date Key'!$A$2:$A$19, 0)), "")</f>
        <v>Yes</v>
      </c>
      <c r="E39" s="4" t="str">
        <f t="shared" si="1"/>
        <v>in</v>
      </c>
      <c r="F39" s="4">
        <f t="shared" si="2"/>
        <v>13</v>
      </c>
      <c r="G39" s="4">
        <f t="shared" si="22"/>
        <v>1</v>
      </c>
      <c r="H39" s="11" cm="1">
        <f t="array" ref="H39">IFERROR(INDEX('Master Data Sheet'!$1:$1048576, MATCH(1, ('Master Data Sheet'!$H:$H=H$2) * (INDEX('Master Data Sheet'!$1:$1, , MATCH($F$1, 'Master Data Sheet'!$1:$1, 0)) = $F$1) * ('Master Data Sheet'!$G:$G=$B39) * ('Master Data Sheet'!$F:$F=$E39) * ('Master Data Sheet'!$A:$A=$F39), 0), MATCH($F$1, 'Master Data Sheet'!$1:$1, 0)), "")</f>
        <v>3.1253241542783337</v>
      </c>
      <c r="I39" s="11" cm="1">
        <f t="array" ref="I39">IFERROR(INDEX('Master Data Sheet'!$1:$1048576, MATCH(1, ('Master Data Sheet'!$H:$H=I$2) * (INDEX('Master Data Sheet'!$1:$1, , MATCH($F$1, 'Master Data Sheet'!$1:$1, 0)) = $F$1) * ('Master Data Sheet'!$G:$G=$B39) * ('Master Data Sheet'!$F:$F=$E39) * ('Master Data Sheet'!$A:$A=$F39), 0), MATCH($F$1, 'Master Data Sheet'!$1:$1, 0)), "")</f>
        <v>2.982086015274751</v>
      </c>
      <c r="J39" s="11" cm="1">
        <f t="array" ref="J39">IFERROR(INDEX('Master Data Sheet'!$1:$1048576, MATCH(1, ('Master Data Sheet'!$H:$H=J$2) * (INDEX('Master Data Sheet'!$1:$1, , MATCH($F$1, 'Master Data Sheet'!$1:$1, 0)) = $F$1) * ('Master Data Sheet'!$G:$G=$B39) * ('Master Data Sheet'!$F:$F=$E39) * ('Master Data Sheet'!$A:$A=$F39), 0), MATCH($F$1, 'Master Data Sheet'!$1:$1, 0)), "")</f>
        <v>2.8263636246014214</v>
      </c>
      <c r="K39" s="11" cm="1">
        <f t="array" ref="K39">IFERROR(INDEX('Master Data Sheet'!$1:$1048576, MATCH(1, ('Master Data Sheet'!$H:$H=K$2) * (INDEX('Master Data Sheet'!$1:$1, , MATCH($F$1, 'Master Data Sheet'!$1:$1, 0)) = $F$1) * ('Master Data Sheet'!$G:$G=$B39) * ('Master Data Sheet'!$F:$F=$E39) * ('Master Data Sheet'!$A:$A=$F39), 0), MATCH($F$1, 'Master Data Sheet'!$1:$1, 0)), "")</f>
        <v>2.7111686786099547</v>
      </c>
      <c r="L39" s="11" cm="1">
        <f t="array" ref="L39">IFERROR(INDEX('Master Data Sheet'!$1:$1048576, MATCH(1, ('Master Data Sheet'!$H:$H=L$2) * (INDEX('Master Data Sheet'!$1:$1, , MATCH($F$1, 'Master Data Sheet'!$1:$1, 0)) = $F$1) * ('Master Data Sheet'!$G:$G=$B39) * ('Master Data Sheet'!$F:$F=$E39) * ('Master Data Sheet'!$A:$A=$F39), 0), MATCH($F$1, 'Master Data Sheet'!$1:$1, 0)), "")</f>
        <v>2.8010764719891283</v>
      </c>
      <c r="M39" s="11" cm="1">
        <f t="array" ref="M39">IFERROR(INDEX('Master Data Sheet'!$1:$1048576, MATCH(1, ('Master Data Sheet'!$H:$H=M$2) * (INDEX('Master Data Sheet'!$1:$1, , MATCH($F$1, 'Master Data Sheet'!$1:$1, 0)) = $F$1) * ('Master Data Sheet'!$G:$G=$B39) * ('Master Data Sheet'!$F:$F=$E39) * ('Master Data Sheet'!$A:$A=$F39), 0), MATCH($F$1, 'Master Data Sheet'!$1:$1, 0)), "")</f>
        <v>2.7769289760569729</v>
      </c>
      <c r="N39" s="11" cm="1">
        <f t="array" ref="N39">IFERROR(INDEX('Master Data Sheet'!$1:$1048576, MATCH(1, ('Master Data Sheet'!$H:$H=N$2) * (INDEX('Master Data Sheet'!$1:$1, , MATCH($F$1, 'Master Data Sheet'!$1:$1, 0)) = $F$1) * ('Master Data Sheet'!$G:$G=$B39) * ('Master Data Sheet'!$F:$F=$E39) * ('Master Data Sheet'!$A:$A=$F39), 0), MATCH($F$1, 'Master Data Sheet'!$1:$1, 0)), "")</f>
        <v>2.8811605833365048</v>
      </c>
      <c r="O39" s="11">
        <f t="shared" si="8"/>
        <v>2.8720155005924384</v>
      </c>
      <c r="P39" s="11">
        <f t="shared" si="4"/>
        <v>0.14047183087945947</v>
      </c>
      <c r="Q39" s="11">
        <f>AVERAGE(O39:O41)</f>
        <v>2.2694145515942896</v>
      </c>
      <c r="S39" s="11">
        <f>AVERAGE(O39:O41)</f>
        <v>2.2694145515942896</v>
      </c>
      <c r="T39" s="11">
        <f>AVERAGE(P39:P41)</f>
        <v>0.29282274592579632</v>
      </c>
      <c r="V39" s="47">
        <f>AVERAGE(U42, U45)</f>
        <v>32.784900012942927</v>
      </c>
      <c r="W39" s="47">
        <f>_xlfn.STDEV.S(U42,U45)</f>
        <v>7.2982247965426561</v>
      </c>
      <c r="X39" s="47"/>
      <c r="Y39" s="47"/>
      <c r="AA39" t="s">
        <v>343</v>
      </c>
    </row>
    <row r="40" spans="1:48" x14ac:dyDescent="0.35">
      <c r="A40" s="41">
        <f>IFERROR(INDEX('Date Key'!$B$2:$B$19, MATCH(F40,'Date Key'!$A$2:$A$19, 0)), "")</f>
        <v>45322</v>
      </c>
      <c r="B40" s="4">
        <f t="shared" si="15"/>
        <v>5</v>
      </c>
      <c r="C40" s="26" t="str">
        <f>IFERROR(INDEX('Date Key'!$G$57:$G$62, MATCH(B40,'Date Key'!$A$57:$A$62, 0)), "")</f>
        <v>High HLR, Lower Outlet Height, Yes Plants</v>
      </c>
      <c r="D40" s="4" t="str">
        <f>IFERROR(INDEX('Date Key'!$G$2:$G$19, MATCH(F40, 'Date Key'!$A$2:$A$19, 0)), "")</f>
        <v>No</v>
      </c>
      <c r="E40" s="4" t="str">
        <f t="shared" si="1"/>
        <v>in</v>
      </c>
      <c r="F40" s="4">
        <f t="shared" si="2"/>
        <v>14</v>
      </c>
      <c r="G40" s="4">
        <f t="shared" si="22"/>
        <v>2</v>
      </c>
      <c r="H40" s="11" cm="1">
        <f t="array" ref="H40">IFERROR(INDEX('Master Data Sheet'!$1:$1048576, MATCH(1, ('Master Data Sheet'!$H:$H=H$2) * (INDEX('Master Data Sheet'!$1:$1, , MATCH($F$1, 'Master Data Sheet'!$1:$1, 0)) = $F$1) * ('Master Data Sheet'!$G:$G=$B40) * ('Master Data Sheet'!$F:$F=$E40) * ('Master Data Sheet'!$A:$A=$F40), 0), MATCH($F$1, 'Master Data Sheet'!$1:$1, 0)), "")</f>
        <v>1.7992311331412052</v>
      </c>
      <c r="I40" s="11" cm="1">
        <f t="array" ref="I40">IFERROR(INDEX('Master Data Sheet'!$1:$1048576, MATCH(1, ('Master Data Sheet'!$H:$H=I$2) * (INDEX('Master Data Sheet'!$1:$1, , MATCH($F$1, 'Master Data Sheet'!$1:$1, 0)) = $F$1) * ('Master Data Sheet'!$G:$G=$B40) * ('Master Data Sheet'!$F:$F=$E40) * ('Master Data Sheet'!$A:$A=$F40), 0), MATCH($F$1, 'Master Data Sheet'!$1:$1, 0)), "")</f>
        <v>2.283276499892561</v>
      </c>
      <c r="J40" s="11" cm="1">
        <f t="array" ref="J40">IFERROR(INDEX('Master Data Sheet'!$1:$1048576, MATCH(1, ('Master Data Sheet'!$H:$H=J$2) * (INDEX('Master Data Sheet'!$1:$1, , MATCH($F$1, 'Master Data Sheet'!$1:$1, 0)) = $F$1) * ('Master Data Sheet'!$G:$G=$B40) * ('Master Data Sheet'!$F:$F=$E40) * ('Master Data Sheet'!$A:$A=$F40), 0), MATCH($F$1, 'Master Data Sheet'!$1:$1, 0)), "")</f>
        <v>2.6204893558959128</v>
      </c>
      <c r="K40" s="11" cm="1">
        <f t="array" ref="K40">IFERROR(INDEX('Master Data Sheet'!$1:$1048576, MATCH(1, ('Master Data Sheet'!$H:$H=K$2) * (INDEX('Master Data Sheet'!$1:$1, , MATCH($F$1, 'Master Data Sheet'!$1:$1, 0)) = $F$1) * ('Master Data Sheet'!$G:$G=$B40) * ('Master Data Sheet'!$F:$F=$E40) * ('Master Data Sheet'!$A:$A=$F40), 0), MATCH($F$1, 'Master Data Sheet'!$1:$1, 0)), "")</f>
        <v>2.8187714791229808</v>
      </c>
      <c r="L40" s="11" cm="1">
        <f t="array" ref="L40">IFERROR(INDEX('Master Data Sheet'!$1:$1048576, MATCH(1, ('Master Data Sheet'!$H:$H=L$2) * (INDEX('Master Data Sheet'!$1:$1, , MATCH($F$1, 'Master Data Sheet'!$1:$1, 0)) = $F$1) * ('Master Data Sheet'!$G:$G=$B40) * ('Master Data Sheet'!$F:$F=$E40) * ('Master Data Sheet'!$A:$A=$F40), 0), MATCH($F$1, 'Master Data Sheet'!$1:$1, 0)), "")</f>
        <v>2.9385488988124759</v>
      </c>
      <c r="M40" s="11" cm="1">
        <f t="array" ref="M40">IFERROR(INDEX('Master Data Sheet'!$1:$1048576, MATCH(1, ('Master Data Sheet'!$H:$H=M$2) * (INDEX('Master Data Sheet'!$1:$1, , MATCH($F$1, 'Master Data Sheet'!$1:$1, 0)) = $F$1) * ('Master Data Sheet'!$G:$G=$B40) * ('Master Data Sheet'!$F:$F=$E40) * ('Master Data Sheet'!$A:$A=$F40), 0), MATCH($F$1, 'Master Data Sheet'!$1:$1, 0)), "")</f>
        <v>2.9612273707466232</v>
      </c>
      <c r="N40" s="11" cm="1">
        <f t="array" ref="N40">IFERROR(INDEX('Master Data Sheet'!$1:$1048576, MATCH(1, ('Master Data Sheet'!$H:$H=N$2) * (INDEX('Master Data Sheet'!$1:$1, , MATCH($F$1, 'Master Data Sheet'!$1:$1, 0)) = $F$1) * ('Master Data Sheet'!$G:$G=$B40) * ('Master Data Sheet'!$F:$F=$E40) * ('Master Data Sheet'!$A:$A=$F40), 0), MATCH($F$1, 'Master Data Sheet'!$1:$1, 0)), "")</f>
        <v>3.1606903215685636</v>
      </c>
      <c r="O40" s="11">
        <f t="shared" si="8"/>
        <v>2.654605008454332</v>
      </c>
      <c r="P40" s="11">
        <f t="shared" si="4"/>
        <v>0.47053649978146256</v>
      </c>
      <c r="Q40" s="11"/>
      <c r="AA40" t="str">
        <f>IFERROR(INDEX('Date Key'!$G$57:$G$62, MATCH(B39,'Date Key'!$A$57:$A$62, 0)), "")</f>
        <v>High HLR, Lower Outlet Height, Yes Plants</v>
      </c>
      <c r="AB40" s="1">
        <f t="shared" ref="AB40:AH40" si="44">H39</f>
        <v>3.1253241542783337</v>
      </c>
      <c r="AC40" s="1">
        <f t="shared" si="44"/>
        <v>2.982086015274751</v>
      </c>
      <c r="AD40" s="1">
        <f t="shared" si="44"/>
        <v>2.8263636246014214</v>
      </c>
      <c r="AE40" s="1">
        <f t="shared" si="44"/>
        <v>2.7111686786099547</v>
      </c>
      <c r="AF40" s="1">
        <f t="shared" si="44"/>
        <v>2.8010764719891283</v>
      </c>
      <c r="AG40" s="1">
        <f t="shared" si="44"/>
        <v>2.7769289760569729</v>
      </c>
      <c r="AH40" s="1">
        <f t="shared" si="44"/>
        <v>2.8811605833365048</v>
      </c>
      <c r="AI40" s="1">
        <f t="shared" ref="AI40:AO40" si="45">H40</f>
        <v>1.7992311331412052</v>
      </c>
      <c r="AJ40" s="1">
        <f t="shared" si="45"/>
        <v>2.283276499892561</v>
      </c>
      <c r="AK40" s="1">
        <f t="shared" si="45"/>
        <v>2.6204893558959128</v>
      </c>
      <c r="AL40" s="1">
        <f t="shared" si="45"/>
        <v>2.8187714791229808</v>
      </c>
      <c r="AM40" s="1">
        <f t="shared" si="45"/>
        <v>2.9385488988124759</v>
      </c>
      <c r="AN40" s="1">
        <f t="shared" si="45"/>
        <v>2.9612273707466232</v>
      </c>
      <c r="AO40" s="1">
        <f t="shared" si="45"/>
        <v>3.1606903215685636</v>
      </c>
      <c r="AP40" s="1">
        <f t="shared" ref="AP40:AV40" si="46">H41</f>
        <v>1.181524283929662</v>
      </c>
      <c r="AQ40" s="1">
        <f t="shared" si="46"/>
        <v>1.2139029251514053</v>
      </c>
      <c r="AR40" s="1">
        <f t="shared" si="46"/>
        <v>1.0296152485068262</v>
      </c>
      <c r="AS40" s="1">
        <f t="shared" si="46"/>
        <v>1.0781441369271332</v>
      </c>
      <c r="AT40" s="1">
        <f t="shared" si="46"/>
        <v>1.2358576445576033</v>
      </c>
      <c r="AU40" s="1">
        <f t="shared" si="46"/>
        <v>1.4115024667652576</v>
      </c>
      <c r="AV40" s="1">
        <f t="shared" si="46"/>
        <v>1.8208153143148005</v>
      </c>
    </row>
    <row r="41" spans="1:48" x14ac:dyDescent="0.35">
      <c r="A41" s="41">
        <f>IFERROR(INDEX('Date Key'!$B$2:$B$19, MATCH(F41,'Date Key'!$A$2:$A$19, 0)), "")</f>
        <v>45330</v>
      </c>
      <c r="B41" s="4">
        <f t="shared" si="15"/>
        <v>5</v>
      </c>
      <c r="C41" s="26" t="str">
        <f>IFERROR(INDEX('Date Key'!$G$57:$G$62, MATCH(B41,'Date Key'!$A$57:$A$62, 0)), "")</f>
        <v>High HLR, Lower Outlet Height, Yes Plants</v>
      </c>
      <c r="D41" s="4" t="str">
        <f>IFERROR(INDEX('Date Key'!$G$2:$G$19, MATCH(F41, 'Date Key'!$A$2:$A$19, 0)), "")</f>
        <v>No</v>
      </c>
      <c r="E41" s="4" t="str">
        <f t="shared" si="1"/>
        <v>in</v>
      </c>
      <c r="F41" s="4">
        <f t="shared" si="2"/>
        <v>15</v>
      </c>
      <c r="G41" s="4">
        <f t="shared" si="22"/>
        <v>3</v>
      </c>
      <c r="H41" s="11" cm="1">
        <f t="array" ref="H41">IFERROR(INDEX('Master Data Sheet'!$1:$1048576, MATCH(1, ('Master Data Sheet'!$H:$H=H$2) * (INDEX('Master Data Sheet'!$1:$1, , MATCH($F$1, 'Master Data Sheet'!$1:$1, 0)) = $F$1) * ('Master Data Sheet'!$G:$G=$B41) * ('Master Data Sheet'!$F:$F=$E41) * ('Master Data Sheet'!$A:$A=$F41), 0), MATCH($F$1, 'Master Data Sheet'!$1:$1, 0)), "")</f>
        <v>1.181524283929662</v>
      </c>
      <c r="I41" s="11" cm="1">
        <f t="array" ref="I41">IFERROR(INDEX('Master Data Sheet'!$1:$1048576, MATCH(1, ('Master Data Sheet'!$H:$H=I$2) * (INDEX('Master Data Sheet'!$1:$1, , MATCH($F$1, 'Master Data Sheet'!$1:$1, 0)) = $F$1) * ('Master Data Sheet'!$G:$G=$B41) * ('Master Data Sheet'!$F:$F=$E41) * ('Master Data Sheet'!$A:$A=$F41), 0), MATCH($F$1, 'Master Data Sheet'!$1:$1, 0)), "")</f>
        <v>1.2139029251514053</v>
      </c>
      <c r="J41" s="11" cm="1">
        <f t="array" ref="J41">IFERROR(INDEX('Master Data Sheet'!$1:$1048576, MATCH(1, ('Master Data Sheet'!$H:$H=J$2) * (INDEX('Master Data Sheet'!$1:$1, , MATCH($F$1, 'Master Data Sheet'!$1:$1, 0)) = $F$1) * ('Master Data Sheet'!$G:$G=$B41) * ('Master Data Sheet'!$F:$F=$E41) * ('Master Data Sheet'!$A:$A=$F41), 0), MATCH($F$1, 'Master Data Sheet'!$1:$1, 0)), "")</f>
        <v>1.0296152485068262</v>
      </c>
      <c r="K41" s="11" cm="1">
        <f t="array" ref="K41">IFERROR(INDEX('Master Data Sheet'!$1:$1048576, MATCH(1, ('Master Data Sheet'!$H:$H=K$2) * (INDEX('Master Data Sheet'!$1:$1, , MATCH($F$1, 'Master Data Sheet'!$1:$1, 0)) = $F$1) * ('Master Data Sheet'!$G:$G=$B41) * ('Master Data Sheet'!$F:$F=$E41) * ('Master Data Sheet'!$A:$A=$F41), 0), MATCH($F$1, 'Master Data Sheet'!$1:$1, 0)), "")</f>
        <v>1.0781441369271332</v>
      </c>
      <c r="L41" s="11" cm="1">
        <f t="array" ref="L41">IFERROR(INDEX('Master Data Sheet'!$1:$1048576, MATCH(1, ('Master Data Sheet'!$H:$H=L$2) * (INDEX('Master Data Sheet'!$1:$1, , MATCH($F$1, 'Master Data Sheet'!$1:$1, 0)) = $F$1) * ('Master Data Sheet'!$G:$G=$B41) * ('Master Data Sheet'!$F:$F=$E41) * ('Master Data Sheet'!$A:$A=$F41), 0), MATCH($F$1, 'Master Data Sheet'!$1:$1, 0)), "")</f>
        <v>1.2358576445576033</v>
      </c>
      <c r="M41" s="11" cm="1">
        <f t="array" ref="M41">IFERROR(INDEX('Master Data Sheet'!$1:$1048576, MATCH(1, ('Master Data Sheet'!$H:$H=M$2) * (INDEX('Master Data Sheet'!$1:$1, , MATCH($F$1, 'Master Data Sheet'!$1:$1, 0)) = $F$1) * ('Master Data Sheet'!$G:$G=$B41) * ('Master Data Sheet'!$F:$F=$E41) * ('Master Data Sheet'!$A:$A=$F41), 0), MATCH($F$1, 'Master Data Sheet'!$1:$1, 0)), "")</f>
        <v>1.4115024667652576</v>
      </c>
      <c r="N41" s="11" cm="1">
        <f t="array" ref="N41">IFERROR(INDEX('Master Data Sheet'!$1:$1048576, MATCH(1, ('Master Data Sheet'!$H:$H=N$2) * (INDEX('Master Data Sheet'!$1:$1, , MATCH($F$1, 'Master Data Sheet'!$1:$1, 0)) = $F$1) * ('Master Data Sheet'!$G:$G=$B41) * ('Master Data Sheet'!$F:$F=$E41) * ('Master Data Sheet'!$A:$A=$F41), 0), MATCH($F$1, 'Master Data Sheet'!$1:$1, 0)), "")</f>
        <v>1.8208153143148005</v>
      </c>
      <c r="O41" s="11">
        <f t="shared" si="8"/>
        <v>1.2816231457360985</v>
      </c>
      <c r="P41" s="11">
        <f t="shared" si="4"/>
        <v>0.26745990711646705</v>
      </c>
      <c r="Q41" s="11"/>
      <c r="AB41" s="1"/>
      <c r="AC41" s="1"/>
      <c r="AD41" s="1"/>
      <c r="AE41" s="1"/>
      <c r="AF41" s="1"/>
      <c r="AG41" s="1"/>
      <c r="AH41" s="1"/>
      <c r="AI41" s="1"/>
      <c r="AJ41" s="1"/>
      <c r="AK41" s="1"/>
      <c r="AL41" s="1"/>
      <c r="AM41" s="1"/>
      <c r="AN41" s="1"/>
      <c r="AO41" s="1"/>
      <c r="AP41" s="1"/>
      <c r="AQ41" s="1"/>
      <c r="AR41" s="1"/>
      <c r="AS41" s="1"/>
      <c r="AT41" s="1"/>
      <c r="AU41" s="1"/>
      <c r="AV41" s="1"/>
    </row>
    <row r="42" spans="1:48" x14ac:dyDescent="0.35">
      <c r="A42" s="41">
        <f>IFERROR(INDEX('Date Key'!$B$2:$B$19, MATCH(F42,'Date Key'!$A$2:$A$19, 0)), "")</f>
        <v>45313</v>
      </c>
      <c r="B42" s="4">
        <f t="shared" si="15"/>
        <v>5</v>
      </c>
      <c r="C42" s="26" t="str">
        <f>IFERROR(INDEX('Date Key'!$G$57:$G$62, MATCH(B42,'Date Key'!$A$57:$A$62, 0)), "")</f>
        <v>High HLR, Lower Outlet Height, Yes Plants</v>
      </c>
      <c r="D42" s="4" t="str">
        <f>IFERROR(INDEX('Date Key'!$G$2:$G$19, MATCH(F42, 'Date Key'!$A$2:$A$19, 0)), "")</f>
        <v>Yes</v>
      </c>
      <c r="E42" s="4" t="str">
        <f t="shared" si="1"/>
        <v>tank 1</v>
      </c>
      <c r="F42" s="4">
        <f t="shared" si="2"/>
        <v>13</v>
      </c>
      <c r="G42" s="4">
        <f t="shared" si="22"/>
        <v>1</v>
      </c>
      <c r="H42" s="11" cm="1">
        <f t="array" ref="H42">IFERROR(INDEX('Master Data Sheet'!$1:$1048576, MATCH(1, ('Master Data Sheet'!$H:$H=H$2) * (INDEX('Master Data Sheet'!$1:$1, , MATCH($F$1, 'Master Data Sheet'!$1:$1, 0)) = $F$1) * ('Master Data Sheet'!$G:$G=$B42) * ('Master Data Sheet'!$F:$F=$E42) * ('Master Data Sheet'!$A:$A=$F42), 0), MATCH($F$1, 'Master Data Sheet'!$1:$1, 0)), "")</f>
        <v>0.32047969295829704</v>
      </c>
      <c r="I42" s="11" cm="1">
        <f t="array" ref="I42">IFERROR(INDEX('Master Data Sheet'!$1:$1048576, MATCH(1, ('Master Data Sheet'!$H:$H=I$2) * (INDEX('Master Data Sheet'!$1:$1, , MATCH($F$1, 'Master Data Sheet'!$1:$1, 0)) = $F$1) * ('Master Data Sheet'!$G:$G=$B42) * ('Master Data Sheet'!$F:$F=$E42) * ('Master Data Sheet'!$A:$A=$F42), 0), MATCH($F$1, 'Master Data Sheet'!$1:$1, 0)), "")</f>
        <v>1.3106379405663353</v>
      </c>
      <c r="J42" s="11" cm="1">
        <f t="array" ref="J42">IFERROR(INDEX('Master Data Sheet'!$1:$1048576, MATCH(1, ('Master Data Sheet'!$H:$H=J$2) * (INDEX('Master Data Sheet'!$1:$1, , MATCH($F$1, 'Master Data Sheet'!$1:$1, 0)) = $F$1) * ('Master Data Sheet'!$G:$G=$B42) * ('Master Data Sheet'!$F:$F=$E42) * ('Master Data Sheet'!$A:$A=$F42), 0), MATCH($F$1, 'Master Data Sheet'!$1:$1, 0)), "")</f>
        <v>2.2508413136402754</v>
      </c>
      <c r="K42" s="11" cm="1">
        <f t="array" ref="K42">IFERROR(INDEX('Master Data Sheet'!$1:$1048576, MATCH(1, ('Master Data Sheet'!$H:$H=K$2) * (INDEX('Master Data Sheet'!$1:$1, , MATCH($F$1, 'Master Data Sheet'!$1:$1, 0)) = $F$1) * ('Master Data Sheet'!$G:$G=$B42) * ('Master Data Sheet'!$F:$F=$E42) * ('Master Data Sheet'!$A:$A=$F42), 0), MATCH($F$1, 'Master Data Sheet'!$1:$1, 0)), "")</f>
        <v>2.3222760475105066</v>
      </c>
      <c r="L42" s="11" cm="1">
        <f t="array" ref="L42">IFERROR(INDEX('Master Data Sheet'!$1:$1048576, MATCH(1, ('Master Data Sheet'!$H:$H=L$2) * (INDEX('Master Data Sheet'!$1:$1, , MATCH($F$1, 'Master Data Sheet'!$1:$1, 0)) = $F$1) * ('Master Data Sheet'!$G:$G=$B42) * ('Master Data Sheet'!$F:$F=$E42) * ('Master Data Sheet'!$A:$A=$F42), 0), MATCH($F$1, 'Master Data Sheet'!$1:$1, 0)), "")</f>
        <v>2.4539917789331396</v>
      </c>
      <c r="M42" s="11" cm="1">
        <f t="array" ref="M42">IFERROR(INDEX('Master Data Sheet'!$1:$1048576, MATCH(1, ('Master Data Sheet'!$H:$H=M$2) * (INDEX('Master Data Sheet'!$1:$1, , MATCH($F$1, 'Master Data Sheet'!$1:$1, 0)) = $F$1) * ('Master Data Sheet'!$G:$G=$B42) * ('Master Data Sheet'!$F:$F=$E42) * ('Master Data Sheet'!$A:$A=$F42), 0), MATCH($F$1, 'Master Data Sheet'!$1:$1, 0)), "")</f>
        <v>2.2791399221504975</v>
      </c>
      <c r="N42" s="11" cm="1">
        <f t="array" ref="N42">IFERROR(INDEX('Master Data Sheet'!$1:$1048576, MATCH(1, ('Master Data Sheet'!$H:$H=N$2) * (INDEX('Master Data Sheet'!$1:$1, , MATCH($F$1, 'Master Data Sheet'!$1:$1, 0)) = $F$1) * ('Master Data Sheet'!$G:$G=$B42) * ('Master Data Sheet'!$F:$F=$E42) * ('Master Data Sheet'!$A:$A=$F42), 0), MATCH($F$1, 'Master Data Sheet'!$1:$1, 0)), "")</f>
        <v>2.3262821284022643</v>
      </c>
      <c r="O42" s="11">
        <f t="shared" si="8"/>
        <v>1.8948069748801879</v>
      </c>
      <c r="P42" s="11">
        <f t="shared" si="4"/>
        <v>0.79328645280615484</v>
      </c>
      <c r="Q42" s="11">
        <f>AVERAGE(O42:O44)</f>
        <v>1.4082733024226064</v>
      </c>
      <c r="R42" s="46">
        <f>(1-(O42/O39))*100</f>
        <v>34.02518285540841</v>
      </c>
      <c r="S42" s="46">
        <f>AVERAGE(R42:R44)</f>
        <v>39.244093421650668</v>
      </c>
      <c r="T42" s="46">
        <f>STDEV(R42:R44)</f>
        <v>5.4266102160144412</v>
      </c>
      <c r="U42" s="47">
        <f>(1-(AVERAGE(H42:N44)/AVERAGE(H39:N41)))*100</f>
        <v>37.945524257202024</v>
      </c>
      <c r="V42" s="47"/>
      <c r="W42" s="47"/>
      <c r="X42" s="47">
        <f>(O39-O42)/70.1</f>
        <v>1.3940207214154787E-2</v>
      </c>
      <c r="Y42" s="47">
        <f>O39/70.1</f>
        <v>4.0970263917153187E-2</v>
      </c>
      <c r="AB42" s="2"/>
      <c r="AC42" s="2"/>
      <c r="AD42" s="2"/>
      <c r="AE42" s="2"/>
      <c r="AF42" s="2"/>
      <c r="AG42" s="2"/>
      <c r="AH42" s="2"/>
      <c r="AI42" s="2"/>
      <c r="AJ42" s="2"/>
    </row>
    <row r="43" spans="1:48" x14ac:dyDescent="0.35">
      <c r="A43" s="41">
        <f>IFERROR(INDEX('Date Key'!$B$2:$B$19, MATCH(F43,'Date Key'!$A$2:$A$19, 0)), "")</f>
        <v>45322</v>
      </c>
      <c r="B43" s="4">
        <f t="shared" si="15"/>
        <v>5</v>
      </c>
      <c r="C43" s="26" t="str">
        <f>IFERROR(INDEX('Date Key'!$G$57:$G$62, MATCH(B43,'Date Key'!$A$57:$A$62, 0)), "")</f>
        <v>High HLR, Lower Outlet Height, Yes Plants</v>
      </c>
      <c r="D43" s="4" t="str">
        <f>IFERROR(INDEX('Date Key'!$G$2:$G$19, MATCH(F43, 'Date Key'!$A$2:$A$19, 0)), "")</f>
        <v>No</v>
      </c>
      <c r="E43" s="4" t="str">
        <f t="shared" si="1"/>
        <v>tank 1</v>
      </c>
      <c r="F43" s="4">
        <f t="shared" si="2"/>
        <v>14</v>
      </c>
      <c r="G43" s="4">
        <f t="shared" si="22"/>
        <v>2</v>
      </c>
      <c r="H43" s="11" cm="1">
        <f t="array" ref="H43">IFERROR(INDEX('Master Data Sheet'!$1:$1048576, MATCH(1, ('Master Data Sheet'!$H:$H=H$2) * (INDEX('Master Data Sheet'!$1:$1, , MATCH($F$1, 'Master Data Sheet'!$1:$1, 0)) = $F$1) * ('Master Data Sheet'!$G:$G=$B43) * ('Master Data Sheet'!$F:$F=$E43) * ('Master Data Sheet'!$A:$A=$F43), 0), MATCH($F$1, 'Master Data Sheet'!$1:$1, 0)), "")</f>
        <v>0.41469489256476849</v>
      </c>
      <c r="I43" s="11" cm="1">
        <f t="array" ref="I43">IFERROR(INDEX('Master Data Sheet'!$1:$1048576, MATCH(1, ('Master Data Sheet'!$H:$H=I$2) * (INDEX('Master Data Sheet'!$1:$1, , MATCH($F$1, 'Master Data Sheet'!$1:$1, 0)) = $F$1) * ('Master Data Sheet'!$G:$G=$B43) * ('Master Data Sheet'!$F:$F=$E43) * ('Master Data Sheet'!$A:$A=$F43), 0), MATCH($F$1, 'Master Data Sheet'!$1:$1, 0)), "")</f>
        <v>0.85721399463557968</v>
      </c>
      <c r="J43" s="11" cm="1">
        <f t="array" ref="J43">IFERROR(INDEX('Master Data Sheet'!$1:$1048576, MATCH(1, ('Master Data Sheet'!$H:$H=J$2) * (INDEX('Master Data Sheet'!$1:$1, , MATCH($F$1, 'Master Data Sheet'!$1:$1, 0)) = $F$1) * ('Master Data Sheet'!$G:$G=$B43) * ('Master Data Sheet'!$F:$F=$E43) * ('Master Data Sheet'!$A:$A=$F43), 0), MATCH($F$1, 'Master Data Sheet'!$1:$1, 0)), "")</f>
        <v>1.4437487441672117</v>
      </c>
      <c r="K43" s="11" cm="1">
        <f t="array" ref="K43">IFERROR(INDEX('Master Data Sheet'!$1:$1048576, MATCH(1, ('Master Data Sheet'!$H:$H=K$2) * (INDEX('Master Data Sheet'!$1:$1, , MATCH($F$1, 'Master Data Sheet'!$1:$1, 0)) = $F$1) * ('Master Data Sheet'!$G:$G=$B43) * ('Master Data Sheet'!$F:$F=$E43) * ('Master Data Sheet'!$A:$A=$F43), 0), MATCH($F$1, 'Master Data Sheet'!$1:$1, 0)), "")</f>
        <v>1.9025046302709052</v>
      </c>
      <c r="L43" s="11" cm="1">
        <f t="array" ref="L43">IFERROR(INDEX('Master Data Sheet'!$1:$1048576, MATCH(1, ('Master Data Sheet'!$H:$H=L$2) * (INDEX('Master Data Sheet'!$1:$1, , MATCH($F$1, 'Master Data Sheet'!$1:$1, 0)) = $F$1) * ('Master Data Sheet'!$G:$G=$B43) * ('Master Data Sheet'!$F:$F=$E43) * ('Master Data Sheet'!$A:$A=$F43), 0), MATCH($F$1, 'Master Data Sheet'!$1:$1, 0)), "")</f>
        <v>2.1900704601159213</v>
      </c>
      <c r="M43" s="11" cm="1">
        <f t="array" ref="M43">IFERROR(INDEX('Master Data Sheet'!$1:$1048576, MATCH(1, ('Master Data Sheet'!$H:$H=M$2) * (INDEX('Master Data Sheet'!$1:$1, , MATCH($F$1, 'Master Data Sheet'!$1:$1, 0)) = $F$1) * ('Master Data Sheet'!$G:$G=$B43) * ('Master Data Sheet'!$F:$F=$E43) * ('Master Data Sheet'!$A:$A=$F43), 0), MATCH($F$1, 'Master Data Sheet'!$1:$1, 0)), "")</f>
        <v>2.2294385961450223</v>
      </c>
      <c r="N43" s="11" cm="1">
        <f t="array" ref="N43">IFERROR(INDEX('Master Data Sheet'!$1:$1048576, MATCH(1, ('Master Data Sheet'!$H:$H=N$2) * (INDEX('Master Data Sheet'!$1:$1, , MATCH($F$1, 'Master Data Sheet'!$1:$1, 0)) = $F$1) * ('Master Data Sheet'!$G:$G=$B43) * ('Master Data Sheet'!$F:$F=$E43) * ('Master Data Sheet'!$A:$A=$F43), 0), MATCH($F$1, 'Master Data Sheet'!$1:$1, 0)), "")</f>
        <v>2.3253351973633896</v>
      </c>
      <c r="O43" s="11">
        <f t="shared" si="8"/>
        <v>1.6232866450375429</v>
      </c>
      <c r="P43" s="11">
        <f t="shared" si="4"/>
        <v>0.74602213122386885</v>
      </c>
      <c r="Q43" s="11"/>
      <c r="R43" s="46">
        <f>(1-(O43/O40))*100</f>
        <v>38.850162646882204</v>
      </c>
      <c r="X43" s="47">
        <f>(O40-O43)/70.1</f>
        <v>1.4712102188541928E-2</v>
      </c>
      <c r="Y43" s="47">
        <f>O40/70.1</f>
        <v>3.7868830363114579E-2</v>
      </c>
      <c r="AA43" t="str">
        <f>IFERROR(INDEX('Date Key'!$G$57:$G$62, MATCH(B42,'Date Key'!$A$57:$A$62, 0)), "")</f>
        <v>High HLR, Lower Outlet Height, Yes Plants</v>
      </c>
      <c r="AB43" s="1">
        <f t="shared" ref="AB43:AH43" si="47">H42</f>
        <v>0.32047969295829704</v>
      </c>
      <c r="AC43" s="1">
        <f t="shared" si="47"/>
        <v>1.3106379405663353</v>
      </c>
      <c r="AD43" s="1">
        <f t="shared" si="47"/>
        <v>2.2508413136402754</v>
      </c>
      <c r="AE43" s="1">
        <f t="shared" si="47"/>
        <v>2.3222760475105066</v>
      </c>
      <c r="AF43" s="1">
        <f t="shared" si="47"/>
        <v>2.4539917789331396</v>
      </c>
      <c r="AG43" s="1">
        <f t="shared" si="47"/>
        <v>2.2791399221504975</v>
      </c>
      <c r="AH43" s="1">
        <f t="shared" si="47"/>
        <v>2.3262821284022643</v>
      </c>
      <c r="AI43" s="1">
        <f t="shared" ref="AI43:AO43" si="48">H43</f>
        <v>0.41469489256476849</v>
      </c>
      <c r="AJ43" s="1">
        <f t="shared" si="48"/>
        <v>0.85721399463557968</v>
      </c>
      <c r="AK43" s="1">
        <f t="shared" si="48"/>
        <v>1.4437487441672117</v>
      </c>
      <c r="AL43" s="1">
        <f t="shared" si="48"/>
        <v>1.9025046302709052</v>
      </c>
      <c r="AM43" s="1">
        <f t="shared" si="48"/>
        <v>2.1900704601159213</v>
      </c>
      <c r="AN43" s="1">
        <f t="shared" si="48"/>
        <v>2.2294385961450223</v>
      </c>
      <c r="AO43" s="1">
        <f t="shared" si="48"/>
        <v>2.3253351973633896</v>
      </c>
      <c r="AP43" s="1">
        <f t="shared" ref="AP43:AV43" si="49">H44</f>
        <v>0.13260836261436892</v>
      </c>
      <c r="AQ43" s="1">
        <f t="shared" si="49"/>
        <v>0.50327869363224353</v>
      </c>
      <c r="AR43" s="1">
        <f t="shared" si="49"/>
        <v>0.75058795126127442</v>
      </c>
      <c r="AS43" s="1">
        <f t="shared" si="49"/>
        <v>1.0458193344866435</v>
      </c>
      <c r="AT43" s="1">
        <f t="shared" si="49"/>
        <v>0.74696079861182363</v>
      </c>
      <c r="AU43" s="1">
        <f t="shared" si="49"/>
        <v>0.79795753102881806</v>
      </c>
      <c r="AV43" s="1">
        <f t="shared" si="49"/>
        <v>0.96987133981544549</v>
      </c>
    </row>
    <row r="44" spans="1:48" x14ac:dyDescent="0.35">
      <c r="A44" s="41">
        <f>IFERROR(INDEX('Date Key'!$B$2:$B$19, MATCH(F44,'Date Key'!$A$2:$A$19, 0)), "")</f>
        <v>45330</v>
      </c>
      <c r="B44" s="4">
        <f t="shared" si="15"/>
        <v>5</v>
      </c>
      <c r="C44" s="26" t="str">
        <f>IFERROR(INDEX('Date Key'!$G$57:$G$62, MATCH(B44,'Date Key'!$A$57:$A$62, 0)), "")</f>
        <v>High HLR, Lower Outlet Height, Yes Plants</v>
      </c>
      <c r="D44" s="4" t="str">
        <f>IFERROR(INDEX('Date Key'!$G$2:$G$19, MATCH(F44, 'Date Key'!$A$2:$A$19, 0)), "")</f>
        <v>No</v>
      </c>
      <c r="E44" s="4" t="str">
        <f t="shared" si="1"/>
        <v>tank 1</v>
      </c>
      <c r="F44" s="4">
        <f t="shared" si="2"/>
        <v>15</v>
      </c>
      <c r="G44" s="4">
        <f t="shared" si="22"/>
        <v>3</v>
      </c>
      <c r="H44" s="11" cm="1">
        <f t="array" ref="H44">IFERROR(INDEX('Master Data Sheet'!$1:$1048576, MATCH(1, ('Master Data Sheet'!$H:$H=H$2) * (INDEX('Master Data Sheet'!$1:$1, , MATCH($F$1, 'Master Data Sheet'!$1:$1, 0)) = $F$1) * ('Master Data Sheet'!$G:$G=$B44) * ('Master Data Sheet'!$F:$F=$E44) * ('Master Data Sheet'!$A:$A=$F44), 0), MATCH($F$1, 'Master Data Sheet'!$1:$1, 0)), "")</f>
        <v>0.13260836261436892</v>
      </c>
      <c r="I44" s="11" cm="1">
        <f t="array" ref="I44">IFERROR(INDEX('Master Data Sheet'!$1:$1048576, MATCH(1, ('Master Data Sheet'!$H:$H=I$2) * (INDEX('Master Data Sheet'!$1:$1, , MATCH($F$1, 'Master Data Sheet'!$1:$1, 0)) = $F$1) * ('Master Data Sheet'!$G:$G=$B44) * ('Master Data Sheet'!$F:$F=$E44) * ('Master Data Sheet'!$A:$A=$F44), 0), MATCH($F$1, 'Master Data Sheet'!$1:$1, 0)), "")</f>
        <v>0.50327869363224353</v>
      </c>
      <c r="J44" s="11" cm="1">
        <f t="array" ref="J44">IFERROR(INDEX('Master Data Sheet'!$1:$1048576, MATCH(1, ('Master Data Sheet'!$H:$H=J$2) * (INDEX('Master Data Sheet'!$1:$1, , MATCH($F$1, 'Master Data Sheet'!$1:$1, 0)) = $F$1) * ('Master Data Sheet'!$G:$G=$B44) * ('Master Data Sheet'!$F:$F=$E44) * ('Master Data Sheet'!$A:$A=$F44), 0), MATCH($F$1, 'Master Data Sheet'!$1:$1, 0)), "")</f>
        <v>0.75058795126127442</v>
      </c>
      <c r="K44" s="11" cm="1">
        <f t="array" ref="K44">IFERROR(INDEX('Master Data Sheet'!$1:$1048576, MATCH(1, ('Master Data Sheet'!$H:$H=K$2) * (INDEX('Master Data Sheet'!$1:$1, , MATCH($F$1, 'Master Data Sheet'!$1:$1, 0)) = $F$1) * ('Master Data Sheet'!$G:$G=$B44) * ('Master Data Sheet'!$F:$F=$E44) * ('Master Data Sheet'!$A:$A=$F44), 0), MATCH($F$1, 'Master Data Sheet'!$1:$1, 0)), "")</f>
        <v>1.0458193344866435</v>
      </c>
      <c r="L44" s="11" cm="1">
        <f t="array" ref="L44">IFERROR(INDEX('Master Data Sheet'!$1:$1048576, MATCH(1, ('Master Data Sheet'!$H:$H=L$2) * (INDEX('Master Data Sheet'!$1:$1, , MATCH($F$1, 'Master Data Sheet'!$1:$1, 0)) = $F$1) * ('Master Data Sheet'!$G:$G=$B44) * ('Master Data Sheet'!$F:$F=$E44) * ('Master Data Sheet'!$A:$A=$F44), 0), MATCH($F$1, 'Master Data Sheet'!$1:$1, 0)), "")</f>
        <v>0.74696079861182363</v>
      </c>
      <c r="M44" s="11" cm="1">
        <f t="array" ref="M44">IFERROR(INDEX('Master Data Sheet'!$1:$1048576, MATCH(1, ('Master Data Sheet'!$H:$H=M$2) * (INDEX('Master Data Sheet'!$1:$1, , MATCH($F$1, 'Master Data Sheet'!$1:$1, 0)) = $F$1) * ('Master Data Sheet'!$G:$G=$B44) * ('Master Data Sheet'!$F:$F=$E44) * ('Master Data Sheet'!$A:$A=$F44), 0), MATCH($F$1, 'Master Data Sheet'!$1:$1, 0)), "")</f>
        <v>0.79795753102881806</v>
      </c>
      <c r="N44" s="11" cm="1">
        <f t="array" ref="N44">IFERROR(INDEX('Master Data Sheet'!$1:$1048576, MATCH(1, ('Master Data Sheet'!$H:$H=N$2) * (INDEX('Master Data Sheet'!$1:$1, , MATCH($F$1, 'Master Data Sheet'!$1:$1, 0)) = $F$1) * ('Master Data Sheet'!$G:$G=$B44) * ('Master Data Sheet'!$F:$F=$E44) * ('Master Data Sheet'!$A:$A=$F44), 0), MATCH($F$1, 'Master Data Sheet'!$1:$1, 0)), "")</f>
        <v>0.96987133981544549</v>
      </c>
      <c r="O44" s="11">
        <f t="shared" si="8"/>
        <v>0.70672628735008813</v>
      </c>
      <c r="P44" s="11">
        <f t="shared" si="4"/>
        <v>0.30743496044596658</v>
      </c>
      <c r="Q44" s="11"/>
      <c r="R44" s="46">
        <f>(1-(O44/O41))*100</f>
        <v>44.856934762661382</v>
      </c>
      <c r="X44" s="47">
        <f>(O41-O44)/70.1</f>
        <v>8.2010964106420878E-3</v>
      </c>
      <c r="Y44" s="47">
        <f>O41/70.1</f>
        <v>1.82827838193452E-2</v>
      </c>
      <c r="AB44" s="2"/>
      <c r="AC44" s="2"/>
      <c r="AD44" s="2"/>
      <c r="AE44" s="2"/>
      <c r="AF44" s="2"/>
      <c r="AG44" s="2"/>
      <c r="AH44" s="2"/>
      <c r="AI44" s="2"/>
      <c r="AJ44" s="2"/>
    </row>
    <row r="45" spans="1:48" x14ac:dyDescent="0.35">
      <c r="A45" s="41">
        <f>IFERROR(INDEX('Date Key'!$B$2:$B$19, MATCH(F45,'Date Key'!$A$2:$A$19, 0)), "")</f>
        <v>45313</v>
      </c>
      <c r="B45" s="4">
        <f t="shared" si="15"/>
        <v>5</v>
      </c>
      <c r="C45" s="26" t="str">
        <f>IFERROR(INDEX('Date Key'!$G$57:$G$62, MATCH(B45,'Date Key'!$A$57:$A$62, 0)), "")</f>
        <v>High HLR, Lower Outlet Height, Yes Plants</v>
      </c>
      <c r="D45" s="4" t="str">
        <f>IFERROR(INDEX('Date Key'!$G$2:$G$19, MATCH(F45, 'Date Key'!$A$2:$A$19, 0)), "")</f>
        <v>Yes</v>
      </c>
      <c r="E45" s="4" t="str">
        <f t="shared" si="1"/>
        <v>tank 2</v>
      </c>
      <c r="F45" s="4">
        <f t="shared" si="2"/>
        <v>13</v>
      </c>
      <c r="G45" s="4">
        <f t="shared" si="22"/>
        <v>1</v>
      </c>
      <c r="H45" s="11" cm="1">
        <f t="array" ref="H45">IFERROR(INDEX('Master Data Sheet'!$1:$1048576, MATCH(1, ('Master Data Sheet'!$H:$H=H$2) * (INDEX('Master Data Sheet'!$1:$1, , MATCH($F$1, 'Master Data Sheet'!$1:$1, 0)) = $F$1) * ('Master Data Sheet'!$G:$G=$B45) * ('Master Data Sheet'!$F:$F=$E45) * ('Master Data Sheet'!$A:$A=$F45), 0), MATCH($F$1, 'Master Data Sheet'!$1:$1, 0)), "")</f>
        <v>0.26610516141562218</v>
      </c>
      <c r="I45" s="11" cm="1">
        <f t="array" ref="I45">IFERROR(INDEX('Master Data Sheet'!$1:$1048576, MATCH(1, ('Master Data Sheet'!$H:$H=I$2) * (INDEX('Master Data Sheet'!$1:$1, , MATCH($F$1, 'Master Data Sheet'!$1:$1, 0)) = $F$1) * ('Master Data Sheet'!$G:$G=$B45) * ('Master Data Sheet'!$F:$F=$E45) * ('Master Data Sheet'!$A:$A=$F45), 0), MATCH($F$1, 'Master Data Sheet'!$1:$1, 0)), "")</f>
        <v>1.3229533135722962</v>
      </c>
      <c r="J45" s="11" cm="1">
        <f t="array" ref="J45">IFERROR(INDEX('Master Data Sheet'!$1:$1048576, MATCH(1, ('Master Data Sheet'!$H:$H=J$2) * (INDEX('Master Data Sheet'!$1:$1, , MATCH($F$1, 'Master Data Sheet'!$1:$1, 0)) = $F$1) * ('Master Data Sheet'!$G:$G=$B45) * ('Master Data Sheet'!$F:$F=$E45) * ('Master Data Sheet'!$A:$A=$F45), 0), MATCH($F$1, 'Master Data Sheet'!$1:$1, 0)), "")</f>
        <v>2.2990216438359732</v>
      </c>
      <c r="K45" s="11" cm="1">
        <f t="array" ref="K45">IFERROR(INDEX('Master Data Sheet'!$1:$1048576, MATCH(1, ('Master Data Sheet'!$H:$H=K$2) * (INDEX('Master Data Sheet'!$1:$1, , MATCH($F$1, 'Master Data Sheet'!$1:$1, 0)) = $F$1) * ('Master Data Sheet'!$G:$G=$B45) * ('Master Data Sheet'!$F:$F=$E45) * ('Master Data Sheet'!$A:$A=$F45), 0), MATCH($F$1, 'Master Data Sheet'!$1:$1, 0)), "")</f>
        <v>2.6380328911552025</v>
      </c>
      <c r="L45" s="11" cm="1">
        <f t="array" ref="L45">IFERROR(INDEX('Master Data Sheet'!$1:$1048576, MATCH(1, ('Master Data Sheet'!$H:$H=L$2) * (INDEX('Master Data Sheet'!$1:$1, , MATCH($F$1, 'Master Data Sheet'!$1:$1, 0)) = $F$1) * ('Master Data Sheet'!$G:$G=$B45) * ('Master Data Sheet'!$F:$F=$E45) * ('Master Data Sheet'!$A:$A=$F45), 0), MATCH($F$1, 'Master Data Sheet'!$1:$1, 0)), "")</f>
        <v>2.3807806337550259</v>
      </c>
      <c r="M45" s="11" cm="1">
        <f t="array" ref="M45">IFERROR(INDEX('Master Data Sheet'!$1:$1048576, MATCH(1, ('Master Data Sheet'!$H:$H=M$2) * (INDEX('Master Data Sheet'!$1:$1, , MATCH($F$1, 'Master Data Sheet'!$1:$1, 0)) = $F$1) * ('Master Data Sheet'!$G:$G=$B45) * ('Master Data Sheet'!$F:$F=$E45) * ('Master Data Sheet'!$A:$A=$F45), 0), MATCH($F$1, 'Master Data Sheet'!$1:$1, 0)), "")</f>
        <v>2.4992537131054471</v>
      </c>
      <c r="N45" s="11" cm="1">
        <f t="array" ref="N45">IFERROR(INDEX('Master Data Sheet'!$1:$1048576, MATCH(1, ('Master Data Sheet'!$H:$H=N$2) * (INDEX('Master Data Sheet'!$1:$1, , MATCH($F$1, 'Master Data Sheet'!$1:$1, 0)) = $F$1) * ('Master Data Sheet'!$G:$G=$B45) * ('Master Data Sheet'!$F:$F=$E45) * ('Master Data Sheet'!$A:$A=$F45), 0), MATCH($F$1, 'Master Data Sheet'!$1:$1, 0)), "")</f>
        <v>2.7582912328890963</v>
      </c>
      <c r="O45" s="11">
        <f t="shared" si="8"/>
        <v>2.0234912271040946</v>
      </c>
      <c r="P45" s="11">
        <f t="shared" si="4"/>
        <v>0.90615251947114706</v>
      </c>
      <c r="Q45" s="11">
        <f>AVERAGE(N45:N47)</f>
        <v>2.3117087721035379</v>
      </c>
      <c r="R45" s="46">
        <f>(1-(O45/O39))*100</f>
        <v>29.544557587287066</v>
      </c>
      <c r="S45" s="46">
        <f>AVERAGE(R45:R47)</f>
        <v>26.240748842393618</v>
      </c>
      <c r="T45" s="46">
        <f>STDEV(R45:R47)</f>
        <v>5.4899938003774151</v>
      </c>
      <c r="U45" s="47">
        <f>(1-(AVERAGE(H45:N47)/AVERAGE(H39:N41)))*100</f>
        <v>27.624275768683837</v>
      </c>
      <c r="V45" s="47"/>
      <c r="W45" s="47"/>
      <c r="X45" s="47">
        <f>(O42-O45)/45.6</f>
        <v>-2.8220230750856724E-3</v>
      </c>
      <c r="Y45" s="47">
        <f>O39/45.6</f>
        <v>6.2982796065623653E-2</v>
      </c>
      <c r="AB45" s="2"/>
      <c r="AC45" s="2"/>
      <c r="AD45" s="2"/>
      <c r="AE45" s="2"/>
      <c r="AF45" s="2"/>
      <c r="AG45" s="2"/>
      <c r="AH45" s="2"/>
      <c r="AI45" s="2"/>
      <c r="AJ45" s="2"/>
    </row>
    <row r="46" spans="1:48" x14ac:dyDescent="0.35">
      <c r="A46" s="41">
        <f>IFERROR(INDEX('Date Key'!$B$2:$B$19, MATCH(F46,'Date Key'!$A$2:$A$19, 0)), "")</f>
        <v>45322</v>
      </c>
      <c r="B46" s="4">
        <f t="shared" si="15"/>
        <v>5</v>
      </c>
      <c r="C46" s="26" t="str">
        <f>IFERROR(INDEX('Date Key'!$G$57:$G$62, MATCH(B46,'Date Key'!$A$57:$A$62, 0)), "")</f>
        <v>High HLR, Lower Outlet Height, Yes Plants</v>
      </c>
      <c r="D46" s="4" t="str">
        <f>IFERROR(INDEX('Date Key'!$G$2:$G$19, MATCH(F46, 'Date Key'!$A$2:$A$19, 0)), "")</f>
        <v>No</v>
      </c>
      <c r="E46" s="4" t="str">
        <f t="shared" si="1"/>
        <v>tank 2</v>
      </c>
      <c r="F46" s="4">
        <f t="shared" si="2"/>
        <v>14</v>
      </c>
      <c r="G46" s="4">
        <f t="shared" si="22"/>
        <v>2</v>
      </c>
      <c r="H46" s="11" cm="1">
        <f t="array" ref="H46">IFERROR(INDEX('Master Data Sheet'!$1:$1048576, MATCH(1, ('Master Data Sheet'!$H:$H=H$2) * (INDEX('Master Data Sheet'!$1:$1, , MATCH($F$1, 'Master Data Sheet'!$1:$1, 0)) = $F$1) * ('Master Data Sheet'!$G:$G=$B46) * ('Master Data Sheet'!$F:$F=$E46) * ('Master Data Sheet'!$A:$A=$F46), 0), MATCH($F$1, 'Master Data Sheet'!$1:$1, 0)), "")</f>
        <v>0.35074370447869901</v>
      </c>
      <c r="I46" s="11" cm="1">
        <f t="array" ref="I46">IFERROR(INDEX('Master Data Sheet'!$1:$1048576, MATCH(1, ('Master Data Sheet'!$H:$H=I$2) * (INDEX('Master Data Sheet'!$1:$1, , MATCH($F$1, 'Master Data Sheet'!$1:$1, 0)) = $F$1) * ('Master Data Sheet'!$G:$G=$B46) * ('Master Data Sheet'!$F:$F=$E46) * ('Master Data Sheet'!$A:$A=$F46), 0), MATCH($F$1, 'Master Data Sheet'!$1:$1, 0)), "")</f>
        <v>0.90470941518269288</v>
      </c>
      <c r="J46" s="11" cm="1">
        <f t="array" ref="J46">IFERROR(INDEX('Master Data Sheet'!$1:$1048576, MATCH(1, ('Master Data Sheet'!$H:$H=J$2) * (INDEX('Master Data Sheet'!$1:$1, , MATCH($F$1, 'Master Data Sheet'!$1:$1, 0)) = $F$1) * ('Master Data Sheet'!$G:$G=$B46) * ('Master Data Sheet'!$F:$F=$E46) * ('Master Data Sheet'!$A:$A=$F46), 0), MATCH($F$1, 'Master Data Sheet'!$1:$1, 0)), "")</f>
        <v>1.6135544462927176</v>
      </c>
      <c r="K46" s="11" cm="1">
        <f t="array" ref="K46">IFERROR(INDEX('Master Data Sheet'!$1:$1048576, MATCH(1, ('Master Data Sheet'!$H:$H=K$2) * (INDEX('Master Data Sheet'!$1:$1, , MATCH($F$1, 'Master Data Sheet'!$1:$1, 0)) = $F$1) * ('Master Data Sheet'!$G:$G=$B46) * ('Master Data Sheet'!$F:$F=$E46) * ('Master Data Sheet'!$A:$A=$F46), 0), MATCH($F$1, 'Master Data Sheet'!$1:$1, 0)), "")</f>
        <v>2.2953425193747519</v>
      </c>
      <c r="L46" s="11" cm="1">
        <f t="array" ref="L46">IFERROR(INDEX('Master Data Sheet'!$1:$1048576, MATCH(1, ('Master Data Sheet'!$H:$H=L$2) * (INDEX('Master Data Sheet'!$1:$1, , MATCH($F$1, 'Master Data Sheet'!$1:$1, 0)) = $F$1) * ('Master Data Sheet'!$G:$G=$B46) * ('Master Data Sheet'!$F:$F=$E46) * ('Master Data Sheet'!$A:$A=$F46), 0), MATCH($F$1, 'Master Data Sheet'!$1:$1, 0)), "")</f>
        <v>2.4840479860584255</v>
      </c>
      <c r="M46" s="11" cm="1">
        <f t="array" ref="M46">IFERROR(INDEX('Master Data Sheet'!$1:$1048576, MATCH(1, ('Master Data Sheet'!$H:$H=M$2) * (INDEX('Master Data Sheet'!$1:$1, , MATCH($F$1, 'Master Data Sheet'!$1:$1, 0)) = $F$1) * ('Master Data Sheet'!$G:$G=$B46) * ('Master Data Sheet'!$F:$F=$E46) * ('Master Data Sheet'!$A:$A=$F46), 0), MATCH($F$1, 'Master Data Sheet'!$1:$1, 0)), "")</f>
        <v>2.7393783393985243</v>
      </c>
      <c r="N46" s="11" cm="1">
        <f t="array" ref="N46">IFERROR(INDEX('Master Data Sheet'!$1:$1048576, MATCH(1, ('Master Data Sheet'!$H:$H=N$2) * (INDEX('Master Data Sheet'!$1:$1, , MATCH($F$1, 'Master Data Sheet'!$1:$1, 0)) = $F$1) * ('Master Data Sheet'!$G:$G=$B46) * ('Master Data Sheet'!$F:$F=$E46) * ('Master Data Sheet'!$A:$A=$F46), 0), MATCH($F$1, 'Master Data Sheet'!$1:$1, 0)), "")</f>
        <v>2.7546359554053521</v>
      </c>
      <c r="O46" s="11">
        <f t="shared" si="8"/>
        <v>1.8774874808844519</v>
      </c>
      <c r="P46" s="11">
        <f t="shared" si="4"/>
        <v>0.94882981865612248</v>
      </c>
      <c r="Q46" s="11"/>
      <c r="R46" s="46">
        <f>(1-(O46/O40))*100</f>
        <v>29.274318593347481</v>
      </c>
      <c r="X46" s="47">
        <f>(O43-O46)/45.6</f>
        <v>-5.5745797334848463E-3</v>
      </c>
      <c r="Y46" s="47">
        <f>O40/45.6</f>
        <v>5.8215022115226576E-2</v>
      </c>
      <c r="AA46" t="str">
        <f>IFERROR(INDEX('Date Key'!$G$57:$G$62, MATCH(B45,'Date Key'!$A$57:$A$62, 0)), "")</f>
        <v>High HLR, Lower Outlet Height, Yes Plants</v>
      </c>
      <c r="AB46" s="1">
        <f t="shared" ref="AB46:AH46" si="50">H45</f>
        <v>0.26610516141562218</v>
      </c>
      <c r="AC46" s="1">
        <f t="shared" si="50"/>
        <v>1.3229533135722962</v>
      </c>
      <c r="AD46" s="1">
        <f t="shared" si="50"/>
        <v>2.2990216438359732</v>
      </c>
      <c r="AE46" s="1">
        <f t="shared" si="50"/>
        <v>2.6380328911552025</v>
      </c>
      <c r="AF46" s="1">
        <f t="shared" si="50"/>
        <v>2.3807806337550259</v>
      </c>
      <c r="AG46" s="1">
        <f t="shared" si="50"/>
        <v>2.4992537131054471</v>
      </c>
      <c r="AH46" s="1">
        <f t="shared" si="50"/>
        <v>2.7582912328890963</v>
      </c>
      <c r="AI46" s="1">
        <f t="shared" ref="AI46:AO46" si="51">H46</f>
        <v>0.35074370447869901</v>
      </c>
      <c r="AJ46" s="1">
        <f t="shared" si="51"/>
        <v>0.90470941518269288</v>
      </c>
      <c r="AK46" s="1">
        <f t="shared" si="51"/>
        <v>1.6135544462927176</v>
      </c>
      <c r="AL46" s="1">
        <f t="shared" si="51"/>
        <v>2.2953425193747519</v>
      </c>
      <c r="AM46" s="1">
        <f t="shared" si="51"/>
        <v>2.4840479860584255</v>
      </c>
      <c r="AN46" s="1">
        <f t="shared" si="51"/>
        <v>2.7393783393985243</v>
      </c>
      <c r="AO46" s="1">
        <f t="shared" si="51"/>
        <v>2.7546359554053521</v>
      </c>
      <c r="AP46" s="1">
        <f t="shared" ref="AP46:AV46" si="52">H47</f>
        <v>0.25024730562504588</v>
      </c>
      <c r="AQ46" s="1">
        <f t="shared" si="52"/>
        <v>0.95189698735404482</v>
      </c>
      <c r="AR46" s="1">
        <f t="shared" si="52"/>
        <v>1.1733146575821827</v>
      </c>
      <c r="AS46" s="1">
        <f t="shared" si="52"/>
        <v>1.0409533204562156</v>
      </c>
      <c r="AT46" s="1">
        <f t="shared" si="52"/>
        <v>1.1046986539686168</v>
      </c>
      <c r="AU46" s="1">
        <f t="shared" si="52"/>
        <v>1.2424485591500294</v>
      </c>
      <c r="AV46" s="1">
        <f t="shared" si="52"/>
        <v>1.4221991280161652</v>
      </c>
    </row>
    <row r="47" spans="1:48" x14ac:dyDescent="0.35">
      <c r="A47" s="42">
        <f>IFERROR(INDEX('Date Key'!$B$2:$B$19, MATCH(F47,'Date Key'!$A$2:$A$19, 0)), "")</f>
        <v>45330</v>
      </c>
      <c r="B47" s="27">
        <f t="shared" si="15"/>
        <v>5</v>
      </c>
      <c r="C47" s="51" t="str">
        <f>IFERROR(INDEX('Date Key'!$G$57:$G$62, MATCH(B47,'Date Key'!$A$57:$A$62, 0)), "")</f>
        <v>High HLR, Lower Outlet Height, Yes Plants</v>
      </c>
      <c r="D47" s="27" t="str">
        <f>IFERROR(INDEX('Date Key'!$G$2:$G$19, MATCH(F47, 'Date Key'!$A$2:$A$19, 0)), "")</f>
        <v>No</v>
      </c>
      <c r="E47" s="27" t="str">
        <f t="shared" si="1"/>
        <v>tank 2</v>
      </c>
      <c r="F47" s="27">
        <f t="shared" si="2"/>
        <v>15</v>
      </c>
      <c r="G47" s="27">
        <f t="shared" si="22"/>
        <v>3</v>
      </c>
      <c r="H47" s="28" cm="1">
        <f t="array" ref="H47">IFERROR(INDEX('Master Data Sheet'!$1:$1048576, MATCH(1, ('Master Data Sheet'!$H:$H=H$2) * (INDEX('Master Data Sheet'!$1:$1, , MATCH($F$1, 'Master Data Sheet'!$1:$1, 0)) = $F$1) * ('Master Data Sheet'!$G:$G=$B47) * ('Master Data Sheet'!$F:$F=$E47) * ('Master Data Sheet'!$A:$A=$F47), 0), MATCH($F$1, 'Master Data Sheet'!$1:$1, 0)), "")</f>
        <v>0.25024730562504588</v>
      </c>
      <c r="I47" s="28" cm="1">
        <f t="array" ref="I47">IFERROR(INDEX('Master Data Sheet'!$1:$1048576, MATCH(1, ('Master Data Sheet'!$H:$H=I$2) * (INDEX('Master Data Sheet'!$1:$1, , MATCH($F$1, 'Master Data Sheet'!$1:$1, 0)) = $F$1) * ('Master Data Sheet'!$G:$G=$B47) * ('Master Data Sheet'!$F:$F=$E47) * ('Master Data Sheet'!$A:$A=$F47), 0), MATCH($F$1, 'Master Data Sheet'!$1:$1, 0)), "")</f>
        <v>0.95189698735404482</v>
      </c>
      <c r="J47" s="28" cm="1">
        <f t="array" ref="J47">IFERROR(INDEX('Master Data Sheet'!$1:$1048576, MATCH(1, ('Master Data Sheet'!$H:$H=J$2) * (INDEX('Master Data Sheet'!$1:$1, , MATCH($F$1, 'Master Data Sheet'!$1:$1, 0)) = $F$1) * ('Master Data Sheet'!$G:$G=$B47) * ('Master Data Sheet'!$F:$F=$E47) * ('Master Data Sheet'!$A:$A=$F47), 0), MATCH($F$1, 'Master Data Sheet'!$1:$1, 0)), "")</f>
        <v>1.1733146575821827</v>
      </c>
      <c r="K47" s="28" cm="1">
        <f t="array" ref="K47">IFERROR(INDEX('Master Data Sheet'!$1:$1048576, MATCH(1, ('Master Data Sheet'!$H:$H=K$2) * (INDEX('Master Data Sheet'!$1:$1, , MATCH($F$1, 'Master Data Sheet'!$1:$1, 0)) = $F$1) * ('Master Data Sheet'!$G:$G=$B47) * ('Master Data Sheet'!$F:$F=$E47) * ('Master Data Sheet'!$A:$A=$F47), 0), MATCH($F$1, 'Master Data Sheet'!$1:$1, 0)), "")</f>
        <v>1.0409533204562156</v>
      </c>
      <c r="L47" s="28" cm="1">
        <f t="array" ref="L47">IFERROR(INDEX('Master Data Sheet'!$1:$1048576, MATCH(1, ('Master Data Sheet'!$H:$H=L$2) * (INDEX('Master Data Sheet'!$1:$1, , MATCH($F$1, 'Master Data Sheet'!$1:$1, 0)) = $F$1) * ('Master Data Sheet'!$G:$G=$B47) * ('Master Data Sheet'!$F:$F=$E47) * ('Master Data Sheet'!$A:$A=$F47), 0), MATCH($F$1, 'Master Data Sheet'!$1:$1, 0)), "")</f>
        <v>1.1046986539686168</v>
      </c>
      <c r="M47" s="28" cm="1">
        <f t="array" ref="M47">IFERROR(INDEX('Master Data Sheet'!$1:$1048576, MATCH(1, ('Master Data Sheet'!$H:$H=M$2) * (INDEX('Master Data Sheet'!$1:$1, , MATCH($F$1, 'Master Data Sheet'!$1:$1, 0)) = $F$1) * ('Master Data Sheet'!$G:$G=$B47) * ('Master Data Sheet'!$F:$F=$E47) * ('Master Data Sheet'!$A:$A=$F47), 0), MATCH($F$1, 'Master Data Sheet'!$1:$1, 0)), "")</f>
        <v>1.2424485591500294</v>
      </c>
      <c r="N47" s="28" cm="1">
        <f t="array" ref="N47">IFERROR(INDEX('Master Data Sheet'!$1:$1048576, MATCH(1, ('Master Data Sheet'!$H:$H=N$2) * (INDEX('Master Data Sheet'!$1:$1, , MATCH($F$1, 'Master Data Sheet'!$1:$1, 0)) = $F$1) * ('Master Data Sheet'!$G:$G=$B47) * ('Master Data Sheet'!$F:$F=$E47) * ('Master Data Sheet'!$A:$A=$F47), 0), MATCH($F$1, 'Master Data Sheet'!$1:$1, 0)), "")</f>
        <v>1.4221991280161652</v>
      </c>
      <c r="O47" s="28">
        <f t="shared" si="8"/>
        <v>1.0265369445931858</v>
      </c>
      <c r="P47" s="28">
        <f t="shared" si="4"/>
        <v>0.37399284690426071</v>
      </c>
      <c r="Q47" s="28"/>
      <c r="R47" s="48">
        <f>(1-(O47/O41))*100</f>
        <v>19.903370346546311</v>
      </c>
      <c r="S47" s="27"/>
      <c r="T47" s="27"/>
      <c r="U47" s="27"/>
      <c r="V47" s="27"/>
      <c r="W47" s="27"/>
      <c r="X47" s="47">
        <f>(O44-O47)/45.6</f>
        <v>-7.0133916062082814E-3</v>
      </c>
      <c r="Y47" s="47">
        <f>O41/45.6</f>
        <v>2.8105770739826719E-2</v>
      </c>
    </row>
    <row r="48" spans="1:48" x14ac:dyDescent="0.35">
      <c r="A48" s="41">
        <f>IFERROR(INDEX('Date Key'!$B$2:$B$19, MATCH(F48,'Date Key'!$A$2:$A$19, 0)), "")</f>
        <v>45371</v>
      </c>
      <c r="B48" s="4">
        <f t="shared" si="15"/>
        <v>6</v>
      </c>
      <c r="C48" s="26" t="str">
        <f>IFERROR(INDEX('Date Key'!$G$57:$G$62, MATCH(B48,'Date Key'!$A$57:$A$62, 0)), "")</f>
        <v>Medium HLR, Upper Outlet Height, Yes Plants</v>
      </c>
      <c r="D48" s="4" t="str">
        <f>IFERROR(INDEX('Date Key'!$G$2:$G$19, MATCH(F48, 'Date Key'!$A$2:$A$19, 0)), "")</f>
        <v>No</v>
      </c>
      <c r="E48" s="4" t="str">
        <f t="shared" si="1"/>
        <v>in</v>
      </c>
      <c r="F48" s="4">
        <f t="shared" si="2"/>
        <v>16</v>
      </c>
      <c r="G48" s="4">
        <f t="shared" si="22"/>
        <v>1</v>
      </c>
      <c r="H48" s="11" cm="1">
        <f t="array" ref="H48">IFERROR(INDEX('Master Data Sheet'!$1:$1048576, MATCH(1, ('Master Data Sheet'!$H:$H=H$2) * (INDEX('Master Data Sheet'!$1:$1, , MATCH($F$1, 'Master Data Sheet'!$1:$1, 0)) = $F$1) * ('Master Data Sheet'!$G:$G=$B48) * ('Master Data Sheet'!$F:$F=$E48) * ('Master Data Sheet'!$A:$A=$F48), 0), MATCH($F$1, 'Master Data Sheet'!$1:$1, 0)), "")</f>
        <v>3.568826536528086</v>
      </c>
      <c r="I48" s="11" cm="1">
        <f t="array" ref="I48">IFERROR(INDEX('Master Data Sheet'!$1:$1048576, MATCH(1, ('Master Data Sheet'!$H:$H=I$2) * (INDEX('Master Data Sheet'!$1:$1, , MATCH($F$1, 'Master Data Sheet'!$1:$1, 0)) = $F$1) * ('Master Data Sheet'!$G:$G=$B48) * ('Master Data Sheet'!$F:$F=$E48) * ('Master Data Sheet'!$A:$A=$F48), 0), MATCH($F$1, 'Master Data Sheet'!$1:$1, 0)), "")</f>
        <v>5.2689306290469222</v>
      </c>
      <c r="J48" s="11" cm="1">
        <f t="array" ref="J48">IFERROR(INDEX('Master Data Sheet'!$1:$1048576, MATCH(1, ('Master Data Sheet'!$H:$H=J$2) * (INDEX('Master Data Sheet'!$1:$1, , MATCH($F$1, 'Master Data Sheet'!$1:$1, 0)) = $F$1) * ('Master Data Sheet'!$G:$G=$B48) * ('Master Data Sheet'!$F:$F=$E48) * ('Master Data Sheet'!$A:$A=$F48), 0), MATCH($F$1, 'Master Data Sheet'!$1:$1, 0)), "")</f>
        <v>4.6487929117485729</v>
      </c>
      <c r="K48" s="11" cm="1">
        <f t="array" ref="K48">IFERROR(INDEX('Master Data Sheet'!$1:$1048576, MATCH(1, ('Master Data Sheet'!$H:$H=K$2) * (INDEX('Master Data Sheet'!$1:$1, , MATCH($F$1, 'Master Data Sheet'!$1:$1, 0)) = $F$1) * ('Master Data Sheet'!$G:$G=$B48) * ('Master Data Sheet'!$F:$F=$E48) * ('Master Data Sheet'!$A:$A=$F48), 0), MATCH($F$1, 'Master Data Sheet'!$1:$1, 0)), "")</f>
        <v>5.3929157891969908</v>
      </c>
      <c r="L48" s="11" cm="1">
        <f t="array" ref="L48">IFERROR(INDEX('Master Data Sheet'!$1:$1048576, MATCH(1, ('Master Data Sheet'!$H:$H=L$2) * (INDEX('Master Data Sheet'!$1:$1, , MATCH($F$1, 'Master Data Sheet'!$1:$1, 0)) = $F$1) * ('Master Data Sheet'!$G:$G=$B48) * ('Master Data Sheet'!$F:$F=$E48) * ('Master Data Sheet'!$A:$A=$F48), 0), MATCH($F$1, 'Master Data Sheet'!$1:$1, 0)), "")</f>
        <v>6.3660418764598017</v>
      </c>
      <c r="M48" s="11" cm="1">
        <f t="array" ref="M48">IFERROR(INDEX('Master Data Sheet'!$1:$1048576, MATCH(1, ('Master Data Sheet'!$H:$H=M$2) * (INDEX('Master Data Sheet'!$1:$1, , MATCH($F$1, 'Master Data Sheet'!$1:$1, 0)) = $F$1) * ('Master Data Sheet'!$G:$G=$B48) * ('Master Data Sheet'!$F:$F=$E48) * ('Master Data Sheet'!$A:$A=$F48), 0), MATCH($F$1, 'Master Data Sheet'!$1:$1, 0)), "")</f>
        <v>8.0191922933632824</v>
      </c>
      <c r="N48" s="11" cm="1">
        <f t="array" ref="N48">IFERROR(INDEX('Master Data Sheet'!$1:$1048576, MATCH(1, ('Master Data Sheet'!$H:$H=N$2) * (INDEX('Master Data Sheet'!$1:$1, , MATCH($F$1, 'Master Data Sheet'!$1:$1, 0)) = $F$1) * ('Master Data Sheet'!$G:$G=$B48) * ('Master Data Sheet'!$F:$F=$E48) * ('Master Data Sheet'!$A:$A=$F48), 0), MATCH($F$1, 'Master Data Sheet'!$1:$1, 0)), "")</f>
        <v>9.5242058591796841</v>
      </c>
      <c r="O48" s="11">
        <f t="shared" si="8"/>
        <v>6.1127008422176203</v>
      </c>
      <c r="P48" s="11">
        <f t="shared" si="4"/>
        <v>2.0486426165025833</v>
      </c>
      <c r="Q48" s="11">
        <f>AVERAGE(O48:O50)</f>
        <v>7.7988879393860104</v>
      </c>
      <c r="S48" s="11">
        <f>AVERAGE(O48:O50)</f>
        <v>7.7988879393860104</v>
      </c>
      <c r="T48" s="11">
        <f>AVERAGE(P48:P50)</f>
        <v>1.6963840924348632</v>
      </c>
      <c r="V48" s="47">
        <f>AVERAGE(U51, U54)</f>
        <v>81.040361954533239</v>
      </c>
      <c r="W48" s="47">
        <f>_xlfn.STDEV.S(U51,U54)</f>
        <v>5.0356830078285038</v>
      </c>
      <c r="X48" s="47"/>
      <c r="Y48" s="47"/>
      <c r="AA48" t="s">
        <v>343</v>
      </c>
    </row>
    <row r="49" spans="1:49" x14ac:dyDescent="0.35">
      <c r="A49" s="41">
        <f>IFERROR(INDEX('Date Key'!$B$2:$B$19, MATCH(F49,'Date Key'!$A$2:$A$19, 0)), "")</f>
        <v>45392</v>
      </c>
      <c r="B49" s="4">
        <f t="shared" si="15"/>
        <v>6</v>
      </c>
      <c r="C49" s="26" t="str">
        <f>IFERROR(INDEX('Date Key'!$G$57:$G$62, MATCH(B49,'Date Key'!$A$57:$A$62, 0)), "")</f>
        <v>Medium HLR, Upper Outlet Height, Yes Plants</v>
      </c>
      <c r="D49" s="4" t="str">
        <f>IFERROR(INDEX('Date Key'!$G$2:$G$19, MATCH(F49, 'Date Key'!$A$2:$A$19, 0)), "")</f>
        <v>No</v>
      </c>
      <c r="E49" s="4" t="str">
        <f t="shared" si="1"/>
        <v>in</v>
      </c>
      <c r="F49" s="4">
        <f t="shared" si="2"/>
        <v>17</v>
      </c>
      <c r="G49" s="4">
        <f t="shared" si="22"/>
        <v>2</v>
      </c>
      <c r="H49" s="11" cm="1">
        <f t="array" ref="H49">IFERROR(INDEX('Master Data Sheet'!$1:$1048576, MATCH(1, ('Master Data Sheet'!$H:$H=H$2) * (INDEX('Master Data Sheet'!$1:$1, , MATCH($F$1, 'Master Data Sheet'!$1:$1, 0)) = $F$1) * ('Master Data Sheet'!$G:$G=$B49) * ('Master Data Sheet'!$F:$F=$E49) * ('Master Data Sheet'!$A:$A=$F49), 0), MATCH($F$1, 'Master Data Sheet'!$1:$1, 0)), "")</f>
        <v>5.8121388556126483</v>
      </c>
      <c r="I49" s="11" cm="1">
        <f t="array" ref="I49">IFERROR(INDEX('Master Data Sheet'!$1:$1048576, MATCH(1, ('Master Data Sheet'!$H:$H=I$2) * (INDEX('Master Data Sheet'!$1:$1, , MATCH($F$1, 'Master Data Sheet'!$1:$1, 0)) = $F$1) * ('Master Data Sheet'!$G:$G=$B49) * ('Master Data Sheet'!$F:$F=$E49) * ('Master Data Sheet'!$A:$A=$F49), 0), MATCH($F$1, 'Master Data Sheet'!$1:$1, 0)), "")</f>
        <v>8.0137625543931019</v>
      </c>
      <c r="J49" s="11" cm="1">
        <f t="array" ref="J49">IFERROR(INDEX('Master Data Sheet'!$1:$1048576, MATCH(1, ('Master Data Sheet'!$H:$H=J$2) * (INDEX('Master Data Sheet'!$1:$1, , MATCH($F$1, 'Master Data Sheet'!$1:$1, 0)) = $F$1) * ('Master Data Sheet'!$G:$G=$B49) * ('Master Data Sheet'!$F:$F=$E49) * ('Master Data Sheet'!$A:$A=$F49), 0), MATCH($F$1, 'Master Data Sheet'!$1:$1, 0)), "")</f>
        <v>6.9029277328636125</v>
      </c>
      <c r="K49" s="11" cm="1">
        <f t="array" ref="K49">IFERROR(INDEX('Master Data Sheet'!$1:$1048576, MATCH(1, ('Master Data Sheet'!$H:$H=K$2) * (INDEX('Master Data Sheet'!$1:$1, , MATCH($F$1, 'Master Data Sheet'!$1:$1, 0)) = $F$1) * ('Master Data Sheet'!$G:$G=$B49) * ('Master Data Sheet'!$F:$F=$E49) * ('Master Data Sheet'!$A:$A=$F49), 0), MATCH($F$1, 'Master Data Sheet'!$1:$1, 0)), "")</f>
        <v>7.7669103718309938</v>
      </c>
      <c r="L49" s="11" cm="1">
        <f t="array" ref="L49">IFERROR(INDEX('Master Data Sheet'!$1:$1048576, MATCH(1, ('Master Data Sheet'!$H:$H=L$2) * (INDEX('Master Data Sheet'!$1:$1, , MATCH($F$1, 'Master Data Sheet'!$1:$1, 0)) = $F$1) * ('Master Data Sheet'!$G:$G=$B49) * ('Master Data Sheet'!$F:$F=$E49) * ('Master Data Sheet'!$A:$A=$F49), 0), MATCH($F$1, 'Master Data Sheet'!$1:$1, 0)), "")</f>
        <v>9.7586018320543744</v>
      </c>
      <c r="M49" s="11" cm="1">
        <f t="array" ref="M49">IFERROR(INDEX('Master Data Sheet'!$1:$1048576, MATCH(1, ('Master Data Sheet'!$H:$H=M$2) * (INDEX('Master Data Sheet'!$1:$1, , MATCH($F$1, 'Master Data Sheet'!$1:$1, 0)) = $F$1) * ('Master Data Sheet'!$G:$G=$B49) * ('Master Data Sheet'!$F:$F=$E49) * ('Master Data Sheet'!$A:$A=$F49), 0), MATCH($F$1, 'Master Data Sheet'!$1:$1, 0)), "")</f>
        <v>10.787677663664812</v>
      </c>
      <c r="N49" s="11" cm="1">
        <f t="array" ref="N49">IFERROR(INDEX('Master Data Sheet'!$1:$1048576, MATCH(1, ('Master Data Sheet'!$H:$H=N$2) * (INDEX('Master Data Sheet'!$1:$1, , MATCH($F$1, 'Master Data Sheet'!$1:$1, 0)) = $F$1) * ('Master Data Sheet'!$G:$G=$B49) * ('Master Data Sheet'!$F:$F=$E49) * ('Master Data Sheet'!$A:$A=$F49), 0), MATCH($F$1, 'Master Data Sheet'!$1:$1, 0)), "")</f>
        <v>11.442267480971511</v>
      </c>
      <c r="O49" s="11">
        <f t="shared" si="8"/>
        <v>8.6406123559130066</v>
      </c>
      <c r="P49" s="11">
        <f t="shared" si="4"/>
        <v>2.0770639280010492</v>
      </c>
      <c r="Q49" s="11"/>
      <c r="AA49" t="str">
        <f>IFERROR(INDEX('Date Key'!$G$57:$G$62, MATCH(B48,'Date Key'!$A$57:$A$62, 0)), "")</f>
        <v>Medium HLR, Upper Outlet Height, Yes Plants</v>
      </c>
      <c r="AB49" s="1">
        <f t="shared" ref="AB49:AH49" si="53">H48</f>
        <v>3.568826536528086</v>
      </c>
      <c r="AC49" s="1">
        <f t="shared" si="53"/>
        <v>5.2689306290469222</v>
      </c>
      <c r="AD49" s="1">
        <f t="shared" si="53"/>
        <v>4.6487929117485729</v>
      </c>
      <c r="AE49" s="1">
        <f t="shared" si="53"/>
        <v>5.3929157891969908</v>
      </c>
      <c r="AF49" s="1">
        <f t="shared" si="53"/>
        <v>6.3660418764598017</v>
      </c>
      <c r="AG49" s="1">
        <f t="shared" si="53"/>
        <v>8.0191922933632824</v>
      </c>
      <c r="AH49" s="1">
        <f t="shared" si="53"/>
        <v>9.5242058591796841</v>
      </c>
      <c r="AI49" s="1">
        <f t="shared" ref="AI49:AO49" si="54">H49</f>
        <v>5.8121388556126483</v>
      </c>
      <c r="AJ49" s="1">
        <f t="shared" si="54"/>
        <v>8.0137625543931019</v>
      </c>
      <c r="AK49" s="1">
        <f t="shared" si="54"/>
        <v>6.9029277328636125</v>
      </c>
      <c r="AL49" s="1">
        <f t="shared" si="54"/>
        <v>7.7669103718309938</v>
      </c>
      <c r="AM49" s="1">
        <f t="shared" si="54"/>
        <v>9.7586018320543744</v>
      </c>
      <c r="AN49" s="1">
        <f t="shared" si="54"/>
        <v>10.787677663664812</v>
      </c>
      <c r="AO49" s="1">
        <f t="shared" si="54"/>
        <v>11.442267480971511</v>
      </c>
      <c r="AP49" s="1">
        <f t="shared" ref="AP49:AV49" si="55">H50</f>
        <v>10.019994981473234</v>
      </c>
      <c r="AQ49" s="1">
        <f t="shared" si="55"/>
        <v>9.4744249012653121</v>
      </c>
      <c r="AR49" s="1">
        <f t="shared" si="55"/>
        <v>9.2663602808205354</v>
      </c>
      <c r="AS49" s="1">
        <f t="shared" si="55"/>
        <v>8.5059360247999543</v>
      </c>
      <c r="AT49" s="1">
        <f t="shared" si="55"/>
        <v>8.0115846894848417</v>
      </c>
      <c r="AU49" s="1">
        <f t="shared" si="55"/>
        <v>7.7744258927059677</v>
      </c>
      <c r="AV49" s="1">
        <f t="shared" si="55"/>
        <v>7.4507275696419697</v>
      </c>
    </row>
    <row r="50" spans="1:49" x14ac:dyDescent="0.35">
      <c r="A50" s="41">
        <f>IFERROR(INDEX('Date Key'!$B$2:$B$19, MATCH(F50,'Date Key'!$A$2:$A$19, 0)), "")</f>
        <v>45400</v>
      </c>
      <c r="B50" s="4">
        <f t="shared" si="15"/>
        <v>6</v>
      </c>
      <c r="C50" s="26" t="str">
        <f>IFERROR(INDEX('Date Key'!$G$57:$G$62, MATCH(B50,'Date Key'!$A$57:$A$62, 0)), "")</f>
        <v>Medium HLR, Upper Outlet Height, Yes Plants</v>
      </c>
      <c r="D50" s="4" t="str">
        <f>IFERROR(INDEX('Date Key'!$G$2:$G$19, MATCH(F50, 'Date Key'!$A$2:$A$19, 0)), "")</f>
        <v>Yes</v>
      </c>
      <c r="E50" s="4" t="str">
        <f t="shared" si="1"/>
        <v>in</v>
      </c>
      <c r="F50" s="4">
        <f t="shared" si="2"/>
        <v>18</v>
      </c>
      <c r="G50" s="4">
        <f t="shared" si="22"/>
        <v>3</v>
      </c>
      <c r="H50" s="11" cm="1">
        <f t="array" ref="H50">IFERROR(INDEX('Master Data Sheet'!$1:$1048576, MATCH(1, ('Master Data Sheet'!$H:$H=H$2) * (INDEX('Master Data Sheet'!$1:$1, , MATCH($F$1, 'Master Data Sheet'!$1:$1, 0)) = $F$1) * ('Master Data Sheet'!$G:$G=$B50) * ('Master Data Sheet'!$F:$F=$E50) * ('Master Data Sheet'!$A:$A=$F50), 0), MATCH($F$1, 'Master Data Sheet'!$1:$1, 0)), "")</f>
        <v>10.019994981473234</v>
      </c>
      <c r="I50" s="11" cm="1">
        <f t="array" ref="I50">IFERROR(INDEX('Master Data Sheet'!$1:$1048576, MATCH(1, ('Master Data Sheet'!$H:$H=I$2) * (INDEX('Master Data Sheet'!$1:$1, , MATCH($F$1, 'Master Data Sheet'!$1:$1, 0)) = $F$1) * ('Master Data Sheet'!$G:$G=$B50) * ('Master Data Sheet'!$F:$F=$E50) * ('Master Data Sheet'!$A:$A=$F50), 0), MATCH($F$1, 'Master Data Sheet'!$1:$1, 0)), "")</f>
        <v>9.4744249012653121</v>
      </c>
      <c r="J50" s="11" cm="1">
        <f t="array" ref="J50">IFERROR(INDEX('Master Data Sheet'!$1:$1048576, MATCH(1, ('Master Data Sheet'!$H:$H=J$2) * (INDEX('Master Data Sheet'!$1:$1, , MATCH($F$1, 'Master Data Sheet'!$1:$1, 0)) = $F$1) * ('Master Data Sheet'!$G:$G=$B50) * ('Master Data Sheet'!$F:$F=$E50) * ('Master Data Sheet'!$A:$A=$F50), 0), MATCH($F$1, 'Master Data Sheet'!$1:$1, 0)), "")</f>
        <v>9.2663602808205354</v>
      </c>
      <c r="K50" s="11" cm="1">
        <f t="array" ref="K50">IFERROR(INDEX('Master Data Sheet'!$1:$1048576, MATCH(1, ('Master Data Sheet'!$H:$H=K$2) * (INDEX('Master Data Sheet'!$1:$1, , MATCH($F$1, 'Master Data Sheet'!$1:$1, 0)) = $F$1) * ('Master Data Sheet'!$G:$G=$B50) * ('Master Data Sheet'!$F:$F=$E50) * ('Master Data Sheet'!$A:$A=$F50), 0), MATCH($F$1, 'Master Data Sheet'!$1:$1, 0)), "")</f>
        <v>8.5059360247999543</v>
      </c>
      <c r="L50" s="11" cm="1">
        <f t="array" ref="L50">IFERROR(INDEX('Master Data Sheet'!$1:$1048576, MATCH(1, ('Master Data Sheet'!$H:$H=L$2) * (INDEX('Master Data Sheet'!$1:$1, , MATCH($F$1, 'Master Data Sheet'!$1:$1, 0)) = $F$1) * ('Master Data Sheet'!$G:$G=$B50) * ('Master Data Sheet'!$F:$F=$E50) * ('Master Data Sheet'!$A:$A=$F50), 0), MATCH($F$1, 'Master Data Sheet'!$1:$1, 0)), "")</f>
        <v>8.0115846894848417</v>
      </c>
      <c r="M50" s="11" cm="1">
        <f t="array" ref="M50">IFERROR(INDEX('Master Data Sheet'!$1:$1048576, MATCH(1, ('Master Data Sheet'!$H:$H=M$2) * (INDEX('Master Data Sheet'!$1:$1, , MATCH($F$1, 'Master Data Sheet'!$1:$1, 0)) = $F$1) * ('Master Data Sheet'!$G:$G=$B50) * ('Master Data Sheet'!$F:$F=$E50) * ('Master Data Sheet'!$A:$A=$F50), 0), MATCH($F$1, 'Master Data Sheet'!$1:$1, 0)), "")</f>
        <v>7.7744258927059677</v>
      </c>
      <c r="N50" s="11" cm="1">
        <f t="array" ref="N50">IFERROR(INDEX('Master Data Sheet'!$1:$1048576, MATCH(1, ('Master Data Sheet'!$H:$H=N$2) * (INDEX('Master Data Sheet'!$1:$1, , MATCH($F$1, 'Master Data Sheet'!$1:$1, 0)) = $F$1) * ('Master Data Sheet'!$G:$G=$B50) * ('Master Data Sheet'!$F:$F=$E50) * ('Master Data Sheet'!$A:$A=$F50), 0), MATCH($F$1, 'Master Data Sheet'!$1:$1, 0)), "")</f>
        <v>7.4507275696419697</v>
      </c>
      <c r="O50" s="11">
        <f t="shared" si="8"/>
        <v>8.6433506200274035</v>
      </c>
      <c r="P50" s="11">
        <f t="shared" si="4"/>
        <v>0.96344573280095713</v>
      </c>
      <c r="Q50" s="11"/>
      <c r="AB50" s="1"/>
      <c r="AC50" s="1"/>
      <c r="AD50" s="1"/>
      <c r="AE50" s="1"/>
      <c r="AF50" s="1"/>
      <c r="AG50" s="1"/>
      <c r="AH50" s="1"/>
      <c r="AI50" s="1"/>
      <c r="AJ50" s="1"/>
      <c r="AK50" s="1"/>
      <c r="AL50" s="1"/>
      <c r="AM50" s="1"/>
      <c r="AN50" s="1"/>
      <c r="AO50" s="1"/>
      <c r="AP50" s="1"/>
      <c r="AQ50" s="1"/>
      <c r="AR50" s="1"/>
      <c r="AS50" s="1"/>
      <c r="AT50" s="1"/>
      <c r="AU50" s="1"/>
      <c r="AV50" s="1"/>
    </row>
    <row r="51" spans="1:49" x14ac:dyDescent="0.35">
      <c r="A51" s="41">
        <f>IFERROR(INDEX('Date Key'!$B$2:$B$19, MATCH(F51,'Date Key'!$A$2:$A$19, 0)), "")</f>
        <v>45371</v>
      </c>
      <c r="B51" s="4">
        <f t="shared" si="15"/>
        <v>6</v>
      </c>
      <c r="C51" s="26" t="str">
        <f>IFERROR(INDEX('Date Key'!$G$57:$G$62, MATCH(B51,'Date Key'!$A$57:$A$62, 0)), "")</f>
        <v>Medium HLR, Upper Outlet Height, Yes Plants</v>
      </c>
      <c r="D51" s="4" t="str">
        <f>IFERROR(INDEX('Date Key'!$G$2:$G$19, MATCH(F51, 'Date Key'!$A$2:$A$19, 0)), "")</f>
        <v>No</v>
      </c>
      <c r="E51" s="4" t="str">
        <f t="shared" si="1"/>
        <v>tank 1</v>
      </c>
      <c r="F51" s="4">
        <f t="shared" si="2"/>
        <v>16</v>
      </c>
      <c r="G51" s="4">
        <f t="shared" si="22"/>
        <v>1</v>
      </c>
      <c r="H51" s="11" cm="1">
        <f t="array" ref="H51">IFERROR(INDEX('Master Data Sheet'!$1:$1048576, MATCH(1, ('Master Data Sheet'!$H:$H=H$2) * (INDEX('Master Data Sheet'!$1:$1, , MATCH($F$1, 'Master Data Sheet'!$1:$1, 0)) = $F$1) * ('Master Data Sheet'!$G:$G=$B51) * ('Master Data Sheet'!$F:$F=$E51) * ('Master Data Sheet'!$A:$A=$F51), 0), MATCH($F$1, 'Master Data Sheet'!$1:$1, 0)), "")</f>
        <v>9.9073695681787211</v>
      </c>
      <c r="I51" s="11" cm="1">
        <f t="array" ref="I51">IFERROR(INDEX('Master Data Sheet'!$1:$1048576, MATCH(1, ('Master Data Sheet'!$H:$H=I$2) * (INDEX('Master Data Sheet'!$1:$1, , MATCH($F$1, 'Master Data Sheet'!$1:$1, 0)) = $F$1) * ('Master Data Sheet'!$G:$G=$B51) * ('Master Data Sheet'!$F:$F=$E51) * ('Master Data Sheet'!$A:$A=$F51), 0), MATCH($F$1, 'Master Data Sheet'!$1:$1, 0)), "")</f>
        <v>0</v>
      </c>
      <c r="J51" s="11" cm="1">
        <f t="array" ref="J51">IFERROR(INDEX('Master Data Sheet'!$1:$1048576, MATCH(1, ('Master Data Sheet'!$H:$H=J$2) * (INDEX('Master Data Sheet'!$1:$1, , MATCH($F$1, 'Master Data Sheet'!$1:$1, 0)) = $F$1) * ('Master Data Sheet'!$G:$G=$B51) * ('Master Data Sheet'!$F:$F=$E51) * ('Master Data Sheet'!$A:$A=$F51), 0), MATCH($F$1, 'Master Data Sheet'!$1:$1, 0)), "")</f>
        <v>0</v>
      </c>
      <c r="K51" s="11" cm="1">
        <f t="array" ref="K51">IFERROR(INDEX('Master Data Sheet'!$1:$1048576, MATCH(1, ('Master Data Sheet'!$H:$H=K$2) * (INDEX('Master Data Sheet'!$1:$1, , MATCH($F$1, 'Master Data Sheet'!$1:$1, 0)) = $F$1) * ('Master Data Sheet'!$G:$G=$B51) * ('Master Data Sheet'!$F:$F=$E51) * ('Master Data Sheet'!$A:$A=$F51), 0), MATCH($F$1, 'Master Data Sheet'!$1:$1, 0)), "")</f>
        <v>0</v>
      </c>
      <c r="L51" s="11" cm="1">
        <f t="array" ref="L51">IFERROR(INDEX('Master Data Sheet'!$1:$1048576, MATCH(1, ('Master Data Sheet'!$H:$H=L$2) * (INDEX('Master Data Sheet'!$1:$1, , MATCH($F$1, 'Master Data Sheet'!$1:$1, 0)) = $F$1) * ('Master Data Sheet'!$G:$G=$B51) * ('Master Data Sheet'!$F:$F=$E51) * ('Master Data Sheet'!$A:$A=$F51), 0), MATCH($F$1, 'Master Data Sheet'!$1:$1, 0)), "")</f>
        <v>0</v>
      </c>
      <c r="M51" s="11" cm="1">
        <f t="array" ref="M51">IFERROR(INDEX('Master Data Sheet'!$1:$1048576, MATCH(1, ('Master Data Sheet'!$H:$H=M$2) * (INDEX('Master Data Sheet'!$1:$1, , MATCH($F$1, 'Master Data Sheet'!$1:$1, 0)) = $F$1) * ('Master Data Sheet'!$G:$G=$B51) * ('Master Data Sheet'!$F:$F=$E51) * ('Master Data Sheet'!$A:$A=$F51), 0), MATCH($F$1, 'Master Data Sheet'!$1:$1, 0)), "")</f>
        <v>0.30562065716640086</v>
      </c>
      <c r="N51" s="11" cm="1">
        <f t="array" ref="N51">IFERROR(INDEX('Master Data Sheet'!$1:$1048576, MATCH(1, ('Master Data Sheet'!$H:$H=N$2) * (INDEX('Master Data Sheet'!$1:$1, , MATCH($F$1, 'Master Data Sheet'!$1:$1, 0)) = $F$1) * ('Master Data Sheet'!$G:$G=$B51) * ('Master Data Sheet'!$F:$F=$E51) * ('Master Data Sheet'!$A:$A=$F51), 0), MATCH($F$1, 'Master Data Sheet'!$1:$1, 0)), "")</f>
        <v>0.33706923022064095</v>
      </c>
      <c r="O51" s="11">
        <f t="shared" si="8"/>
        <v>1.5071513507951089</v>
      </c>
      <c r="P51" s="11">
        <f t="shared" si="4"/>
        <v>3.7072553875946541</v>
      </c>
      <c r="Q51" s="11">
        <f>AVERAGE(O51:O53)</f>
        <v>1.2009408057371429</v>
      </c>
      <c r="R51" s="46">
        <f>(1-(O51/O48))*100</f>
        <v>75.343937324956173</v>
      </c>
      <c r="S51" s="46">
        <f>AVERAGE(R51:R53)</f>
        <v>83.698045879174444</v>
      </c>
      <c r="T51" s="46">
        <f>STDEV(R51:R53)</f>
        <v>7.2405717066811013</v>
      </c>
      <c r="U51" s="47">
        <f>(1-(AVERAGE(H51:N53)/AVERAGE(H48:N50)))*100</f>
        <v>84.601127557274651</v>
      </c>
      <c r="V51" s="47"/>
      <c r="W51" s="47"/>
      <c r="X51" s="47">
        <f>(O48-O51)/60.5</f>
        <v>7.6124784982190274E-2</v>
      </c>
      <c r="Y51" s="47">
        <f>O48/60.5</f>
        <v>0.10103637755731604</v>
      </c>
      <c r="AB51" s="2"/>
      <c r="AC51" s="2"/>
      <c r="AD51" s="2"/>
      <c r="AE51" s="2"/>
      <c r="AF51" s="2"/>
      <c r="AG51" s="2"/>
      <c r="AH51" s="2"/>
      <c r="AI51" s="2"/>
      <c r="AJ51" s="2"/>
    </row>
    <row r="52" spans="1:49" x14ac:dyDescent="0.35">
      <c r="A52" s="41">
        <f>IFERROR(INDEX('Date Key'!$B$2:$B$19, MATCH(F52,'Date Key'!$A$2:$A$19, 0)), "")</f>
        <v>45392</v>
      </c>
      <c r="B52" s="4">
        <f t="shared" si="15"/>
        <v>6</v>
      </c>
      <c r="C52" s="26" t="str">
        <f>IFERROR(INDEX('Date Key'!$G$57:$G$62, MATCH(B52,'Date Key'!$A$57:$A$62, 0)), "")</f>
        <v>Medium HLR, Upper Outlet Height, Yes Plants</v>
      </c>
      <c r="D52" s="4" t="str">
        <f>IFERROR(INDEX('Date Key'!$G$2:$G$19, MATCH(F52, 'Date Key'!$A$2:$A$19, 0)), "")</f>
        <v>No</v>
      </c>
      <c r="E52" s="4" t="str">
        <f t="shared" si="1"/>
        <v>tank 1</v>
      </c>
      <c r="F52" s="4">
        <f t="shared" si="2"/>
        <v>17</v>
      </c>
      <c r="G52" s="4">
        <f t="shared" si="22"/>
        <v>2</v>
      </c>
      <c r="H52" s="11" cm="1">
        <f t="array" ref="H52">IFERROR(INDEX('Master Data Sheet'!$1:$1048576, MATCH(1, ('Master Data Sheet'!$H:$H=H$2) * (INDEX('Master Data Sheet'!$1:$1, , MATCH($F$1, 'Master Data Sheet'!$1:$1, 0)) = $F$1) * ('Master Data Sheet'!$G:$G=$B52) * ('Master Data Sheet'!$F:$F=$E52) * ('Master Data Sheet'!$A:$A=$F52), 0), MATCH($F$1, 'Master Data Sheet'!$1:$1, 0)), "")</f>
        <v>1.1608944415268527E-2</v>
      </c>
      <c r="I52" s="11" cm="1">
        <f t="array" ref="I52">IFERROR(INDEX('Master Data Sheet'!$1:$1048576, MATCH(1, ('Master Data Sheet'!$H:$H=I$2) * (INDEX('Master Data Sheet'!$1:$1, , MATCH($F$1, 'Master Data Sheet'!$1:$1, 0)) = $F$1) * ('Master Data Sheet'!$G:$G=$B52) * ('Master Data Sheet'!$F:$F=$E52) * ('Master Data Sheet'!$A:$A=$F52), 0), MATCH($F$1, 'Master Data Sheet'!$1:$1, 0)), "")</f>
        <v>0</v>
      </c>
      <c r="J52" s="11" cm="1">
        <f t="array" ref="J52">IFERROR(INDEX('Master Data Sheet'!$1:$1048576, MATCH(1, ('Master Data Sheet'!$H:$H=J$2) * (INDEX('Master Data Sheet'!$1:$1, , MATCH($F$1, 'Master Data Sheet'!$1:$1, 0)) = $F$1) * ('Master Data Sheet'!$G:$G=$B52) * ('Master Data Sheet'!$F:$F=$E52) * ('Master Data Sheet'!$A:$A=$F52), 0), MATCH($F$1, 'Master Data Sheet'!$1:$1, 0)), "")</f>
        <v>7.5436619757136975E-2</v>
      </c>
      <c r="K52" s="11" cm="1">
        <f t="array" ref="K52">IFERROR(INDEX('Master Data Sheet'!$1:$1048576, MATCH(1, ('Master Data Sheet'!$H:$H=K$2) * (INDEX('Master Data Sheet'!$1:$1, , MATCH($F$1, 'Master Data Sheet'!$1:$1, 0)) = $F$1) * ('Master Data Sheet'!$G:$G=$B52) * ('Master Data Sheet'!$F:$F=$E52) * ('Master Data Sheet'!$A:$A=$F52), 0), MATCH($F$1, 'Master Data Sheet'!$1:$1, 0)), "")</f>
        <v>1.7413416622902793E-2</v>
      </c>
      <c r="L52" s="11" cm="1">
        <f t="array" ref="L52">IFERROR(INDEX('Master Data Sheet'!$1:$1048576, MATCH(1, ('Master Data Sheet'!$H:$H=L$2) * (INDEX('Master Data Sheet'!$1:$1, , MATCH($F$1, 'Master Data Sheet'!$1:$1, 0)) = $F$1) * ('Master Data Sheet'!$G:$G=$B52) * ('Master Data Sheet'!$F:$F=$E52) * ('Master Data Sheet'!$A:$A=$F52), 0), MATCH($F$1, 'Master Data Sheet'!$1:$1, 0)), "")</f>
        <v>0.9221349557542653</v>
      </c>
      <c r="M52" s="11" cm="1">
        <f t="array" ref="M52">IFERROR(INDEX('Master Data Sheet'!$1:$1048576, MATCH(1, ('Master Data Sheet'!$H:$H=M$2) * (INDEX('Master Data Sheet'!$1:$1, , MATCH($F$1, 'Master Data Sheet'!$1:$1, 0)) = $F$1) * ('Master Data Sheet'!$G:$G=$B52) * ('Master Data Sheet'!$F:$F=$E52) * ('Master Data Sheet'!$A:$A=$F52), 0), MATCH($F$1, 'Master Data Sheet'!$1:$1, 0)), "")</f>
        <v>2.4650471725358782</v>
      </c>
      <c r="N52" s="11" cm="1">
        <f t="array" ref="N52">IFERROR(INDEX('Master Data Sheet'!$1:$1048576, MATCH(1, ('Master Data Sheet'!$H:$H=N$2) * (INDEX('Master Data Sheet'!$1:$1, , MATCH($F$1, 'Master Data Sheet'!$1:$1, 0)) = $F$1) * ('Master Data Sheet'!$G:$G=$B52) * ('Master Data Sheet'!$F:$F=$E52) * ('Master Data Sheet'!$A:$A=$F52), 0), MATCH($F$1, 'Master Data Sheet'!$1:$1, 0)), "")</f>
        <v>3.6682571703753428</v>
      </c>
      <c r="O52" s="11">
        <f t="shared" si="8"/>
        <v>1.0228426113515421</v>
      </c>
      <c r="P52" s="11">
        <f t="shared" si="4"/>
        <v>1.4756682515928943</v>
      </c>
      <c r="Q52" s="11"/>
      <c r="R52" s="46">
        <f>(1-(O52/O49))*100</f>
        <v>88.162382835614849</v>
      </c>
      <c r="X52" s="47">
        <f>(O49-O52)/60.5</f>
        <v>0.12591354949688371</v>
      </c>
      <c r="Y52" s="47">
        <f>O49/60.5</f>
        <v>0.14282003894071085</v>
      </c>
      <c r="AA52" t="str">
        <f>IFERROR(INDEX('Date Key'!$G$57:$G$62, MATCH(B51,'Date Key'!$A$57:$A$62, 0)), "")</f>
        <v>Medium HLR, Upper Outlet Height, Yes Plants</v>
      </c>
      <c r="AB52" s="1">
        <f t="shared" ref="AB52:AH52" si="56">H51</f>
        <v>9.9073695681787211</v>
      </c>
      <c r="AC52" s="1">
        <f t="shared" si="56"/>
        <v>0</v>
      </c>
      <c r="AD52" s="1">
        <f t="shared" si="56"/>
        <v>0</v>
      </c>
      <c r="AE52" s="1">
        <f t="shared" si="56"/>
        <v>0</v>
      </c>
      <c r="AF52" s="1">
        <f t="shared" si="56"/>
        <v>0</v>
      </c>
      <c r="AG52" s="1">
        <f t="shared" si="56"/>
        <v>0.30562065716640086</v>
      </c>
      <c r="AH52" s="1">
        <f t="shared" si="56"/>
        <v>0.33706923022064095</v>
      </c>
      <c r="AI52" s="1">
        <f t="shared" ref="AI52:AO52" si="57">H52</f>
        <v>1.1608944415268527E-2</v>
      </c>
      <c r="AJ52" s="1">
        <f t="shared" si="57"/>
        <v>0</v>
      </c>
      <c r="AK52" s="1">
        <f t="shared" si="57"/>
        <v>7.5436619757136975E-2</v>
      </c>
      <c r="AL52" s="1">
        <f t="shared" si="57"/>
        <v>1.7413416622902793E-2</v>
      </c>
      <c r="AM52" s="1">
        <f t="shared" si="57"/>
        <v>0.9221349557542653</v>
      </c>
      <c r="AN52" s="1">
        <f t="shared" si="57"/>
        <v>2.4650471725358782</v>
      </c>
      <c r="AO52" s="1">
        <f t="shared" si="57"/>
        <v>3.6682571703753428</v>
      </c>
      <c r="AP52" s="1">
        <f t="shared" ref="AP52:AV52" si="58">H53</f>
        <v>4.2468632536653922E-2</v>
      </c>
      <c r="AQ52" s="1">
        <f t="shared" si="58"/>
        <v>0.15856810765824458</v>
      </c>
      <c r="AR52" s="1">
        <f t="shared" si="58"/>
        <v>0.20845571905551136</v>
      </c>
      <c r="AS52" s="1">
        <f t="shared" si="58"/>
        <v>0.76426801955243862</v>
      </c>
      <c r="AT52" s="1">
        <f t="shared" si="58"/>
        <v>1.5869709173636359</v>
      </c>
      <c r="AU52" s="1">
        <f t="shared" si="58"/>
        <v>2.285287901989407</v>
      </c>
      <c r="AV52" s="1">
        <f t="shared" si="58"/>
        <v>2.4637798872975507</v>
      </c>
    </row>
    <row r="53" spans="1:49" x14ac:dyDescent="0.35">
      <c r="A53" s="41">
        <f>IFERROR(INDEX('Date Key'!$B$2:$B$19, MATCH(F53,'Date Key'!$A$2:$A$19, 0)), "")</f>
        <v>45400</v>
      </c>
      <c r="B53" s="4">
        <f t="shared" si="15"/>
        <v>6</v>
      </c>
      <c r="C53" s="26" t="str">
        <f>IFERROR(INDEX('Date Key'!$G$57:$G$62, MATCH(B53,'Date Key'!$A$57:$A$62, 0)), "")</f>
        <v>Medium HLR, Upper Outlet Height, Yes Plants</v>
      </c>
      <c r="D53" s="4" t="str">
        <f>IFERROR(INDEX('Date Key'!$G$2:$G$19, MATCH(F53, 'Date Key'!$A$2:$A$19, 0)), "")</f>
        <v>Yes</v>
      </c>
      <c r="E53" s="4" t="str">
        <f t="shared" si="1"/>
        <v>tank 1</v>
      </c>
      <c r="F53" s="4">
        <f t="shared" si="2"/>
        <v>18</v>
      </c>
      <c r="G53" s="4">
        <f t="shared" si="22"/>
        <v>3</v>
      </c>
      <c r="H53" s="11" cm="1">
        <f t="array" ref="H53">IFERROR(INDEX('Master Data Sheet'!$1:$1048576, MATCH(1, ('Master Data Sheet'!$H:$H=H$2) * (INDEX('Master Data Sheet'!$1:$1, , MATCH($F$1, 'Master Data Sheet'!$1:$1, 0)) = $F$1) * ('Master Data Sheet'!$G:$G=$B53) * ('Master Data Sheet'!$F:$F=$E53) * ('Master Data Sheet'!$A:$A=$F53), 0), MATCH($F$1, 'Master Data Sheet'!$1:$1, 0)), "")</f>
        <v>4.2468632536653922E-2</v>
      </c>
      <c r="I53" s="11" cm="1">
        <f t="array" ref="I53">IFERROR(INDEX('Master Data Sheet'!$1:$1048576, MATCH(1, ('Master Data Sheet'!$H:$H=I$2) * (INDEX('Master Data Sheet'!$1:$1, , MATCH($F$1, 'Master Data Sheet'!$1:$1, 0)) = $F$1) * ('Master Data Sheet'!$G:$G=$B53) * ('Master Data Sheet'!$F:$F=$E53) * ('Master Data Sheet'!$A:$A=$F53), 0), MATCH($F$1, 'Master Data Sheet'!$1:$1, 0)), "")</f>
        <v>0.15856810765824458</v>
      </c>
      <c r="J53" s="11" cm="1">
        <f t="array" ref="J53">IFERROR(INDEX('Master Data Sheet'!$1:$1048576, MATCH(1, ('Master Data Sheet'!$H:$H=J$2) * (INDEX('Master Data Sheet'!$1:$1, , MATCH($F$1, 'Master Data Sheet'!$1:$1, 0)) = $F$1) * ('Master Data Sheet'!$G:$G=$B53) * ('Master Data Sheet'!$F:$F=$E53) * ('Master Data Sheet'!$A:$A=$F53), 0), MATCH($F$1, 'Master Data Sheet'!$1:$1, 0)), "")</f>
        <v>0.20845571905551136</v>
      </c>
      <c r="K53" s="11" cm="1">
        <f t="array" ref="K53">IFERROR(INDEX('Master Data Sheet'!$1:$1048576, MATCH(1, ('Master Data Sheet'!$H:$H=K$2) * (INDEX('Master Data Sheet'!$1:$1, , MATCH($F$1, 'Master Data Sheet'!$1:$1, 0)) = $F$1) * ('Master Data Sheet'!$G:$G=$B53) * ('Master Data Sheet'!$F:$F=$E53) * ('Master Data Sheet'!$A:$A=$F53), 0), MATCH($F$1, 'Master Data Sheet'!$1:$1, 0)), "")</f>
        <v>0.76426801955243862</v>
      </c>
      <c r="L53" s="11" cm="1">
        <f t="array" ref="L53">IFERROR(INDEX('Master Data Sheet'!$1:$1048576, MATCH(1, ('Master Data Sheet'!$H:$H=L$2) * (INDEX('Master Data Sheet'!$1:$1, , MATCH($F$1, 'Master Data Sheet'!$1:$1, 0)) = $F$1) * ('Master Data Sheet'!$G:$G=$B53) * ('Master Data Sheet'!$F:$F=$E53) * ('Master Data Sheet'!$A:$A=$F53), 0), MATCH($F$1, 'Master Data Sheet'!$1:$1, 0)), "")</f>
        <v>1.5869709173636359</v>
      </c>
      <c r="M53" s="11" cm="1">
        <f t="array" ref="M53">IFERROR(INDEX('Master Data Sheet'!$1:$1048576, MATCH(1, ('Master Data Sheet'!$H:$H=M$2) * (INDEX('Master Data Sheet'!$1:$1, , MATCH($F$1, 'Master Data Sheet'!$1:$1, 0)) = $F$1) * ('Master Data Sheet'!$G:$G=$B53) * ('Master Data Sheet'!$F:$F=$E53) * ('Master Data Sheet'!$A:$A=$F53), 0), MATCH($F$1, 'Master Data Sheet'!$1:$1, 0)), "")</f>
        <v>2.285287901989407</v>
      </c>
      <c r="N53" s="11" cm="1">
        <f t="array" ref="N53">IFERROR(INDEX('Master Data Sheet'!$1:$1048576, MATCH(1, ('Master Data Sheet'!$H:$H=N$2) * (INDEX('Master Data Sheet'!$1:$1, , MATCH($F$1, 'Master Data Sheet'!$1:$1, 0)) = $F$1) * ('Master Data Sheet'!$G:$G=$B53) * ('Master Data Sheet'!$F:$F=$E53) * ('Master Data Sheet'!$A:$A=$F53), 0), MATCH($F$1, 'Master Data Sheet'!$1:$1, 0)), "")</f>
        <v>2.4637798872975507</v>
      </c>
      <c r="O53" s="11">
        <f t="shared" si="8"/>
        <v>1.0728284550647775</v>
      </c>
      <c r="P53" s="11">
        <f t="shared" si="4"/>
        <v>1.0335222449344221</v>
      </c>
      <c r="Q53" s="11"/>
      <c r="R53" s="46">
        <f>(1-(O53/O50))*100</f>
        <v>87.587817476952296</v>
      </c>
      <c r="X53" s="47">
        <f>(O50-O53)/60.5</f>
        <v>0.1251325977679773</v>
      </c>
      <c r="Y53" s="47">
        <f>O50/60.5</f>
        <v>0.14286529950458518</v>
      </c>
      <c r="AB53" s="2"/>
      <c r="AC53" s="2"/>
      <c r="AD53" s="2"/>
      <c r="AE53" s="2"/>
      <c r="AF53" s="2"/>
      <c r="AG53" s="2"/>
      <c r="AH53" s="2"/>
      <c r="AI53" s="2"/>
      <c r="AJ53" s="2"/>
    </row>
    <row r="54" spans="1:49" x14ac:dyDescent="0.35">
      <c r="A54" s="41">
        <f>IFERROR(INDEX('Date Key'!$B$2:$B$19, MATCH(F54,'Date Key'!$A$2:$A$19, 0)), "")</f>
        <v>45371</v>
      </c>
      <c r="B54" s="4">
        <f t="shared" si="15"/>
        <v>6</v>
      </c>
      <c r="C54" s="26" t="str">
        <f>IFERROR(INDEX('Date Key'!$G$57:$G$62, MATCH(B54,'Date Key'!$A$57:$A$62, 0)), "")</f>
        <v>Medium HLR, Upper Outlet Height, Yes Plants</v>
      </c>
      <c r="D54" s="4" t="str">
        <f>IFERROR(INDEX('Date Key'!$G$2:$G$19, MATCH(F54, 'Date Key'!$A$2:$A$19, 0)), "")</f>
        <v>No</v>
      </c>
      <c r="E54" s="4" t="str">
        <f t="shared" si="1"/>
        <v>tank 2</v>
      </c>
      <c r="F54" s="4">
        <f t="shared" si="2"/>
        <v>16</v>
      </c>
      <c r="G54" s="4">
        <f t="shared" si="22"/>
        <v>1</v>
      </c>
      <c r="H54" s="11" cm="1">
        <f t="array" ref="H54">IFERROR(INDEX('Master Data Sheet'!$1:$1048576, MATCH(1, ('Master Data Sheet'!$H:$H=H$2) * (INDEX('Master Data Sheet'!$1:$1, , MATCH($F$1, 'Master Data Sheet'!$1:$1, 0)) = $F$1) * ('Master Data Sheet'!$G:$G=$B54) * ('Master Data Sheet'!$F:$F=$E54) * ('Master Data Sheet'!$A:$A=$F54), 0), MATCH($F$1, 'Master Data Sheet'!$1:$1, 0)), "")</f>
        <v>2.3361939790219317</v>
      </c>
      <c r="I54" s="11" cm="1">
        <f t="array" ref="I54">IFERROR(INDEX('Master Data Sheet'!$1:$1048576, MATCH(1, ('Master Data Sheet'!$H:$H=I$2) * (INDEX('Master Data Sheet'!$1:$1, , MATCH($F$1, 'Master Data Sheet'!$1:$1, 0)) = $F$1) * ('Master Data Sheet'!$G:$G=$B54) * ('Master Data Sheet'!$F:$F=$E54) * ('Master Data Sheet'!$A:$A=$F54), 0), MATCH($F$1, 'Master Data Sheet'!$1:$1, 0)), "")</f>
        <v>4.8010990466025825E-2</v>
      </c>
      <c r="J54" s="11" cm="1">
        <f t="array" ref="J54">IFERROR(INDEX('Master Data Sheet'!$1:$1048576, MATCH(1, ('Master Data Sheet'!$H:$H=J$2) * (INDEX('Master Data Sheet'!$1:$1, , MATCH($F$1, 'Master Data Sheet'!$1:$1, 0)) = $F$1) * ('Master Data Sheet'!$G:$G=$B54) * ('Master Data Sheet'!$F:$F=$E54) * ('Master Data Sheet'!$A:$A=$F54), 0), MATCH($F$1, 'Master Data Sheet'!$1:$1, 0)), "")</f>
        <v>0</v>
      </c>
      <c r="K54" s="11" cm="1">
        <f t="array" ref="K54">IFERROR(INDEX('Master Data Sheet'!$1:$1048576, MATCH(1, ('Master Data Sheet'!$H:$H=K$2) * (INDEX('Master Data Sheet'!$1:$1, , MATCH($F$1, 'Master Data Sheet'!$1:$1, 0)) = $F$1) * ('Master Data Sheet'!$G:$G=$B54) * ('Master Data Sheet'!$F:$F=$E54) * ('Master Data Sheet'!$A:$A=$F54), 0), MATCH($F$1, 'Master Data Sheet'!$1:$1, 0)), "")</f>
        <v>2.3217888830537055E-2</v>
      </c>
      <c r="L54" s="11" cm="1">
        <f t="array" ref="L54">IFERROR(INDEX('Master Data Sheet'!$1:$1048576, MATCH(1, ('Master Data Sheet'!$H:$H=L$2) * (INDEX('Master Data Sheet'!$1:$1, , MATCH($F$1, 'Master Data Sheet'!$1:$1, 0)) = $F$1) * ('Master Data Sheet'!$G:$G=$B54) * ('Master Data Sheet'!$F:$F=$E54) * ('Master Data Sheet'!$A:$A=$F54), 0), MATCH($F$1, 'Master Data Sheet'!$1:$1, 0)), "")</f>
        <v>0.24057285028441028</v>
      </c>
      <c r="M54" s="11" cm="1">
        <f t="array" ref="M54">IFERROR(INDEX('Master Data Sheet'!$1:$1048576, MATCH(1, ('Master Data Sheet'!$H:$H=M$2) * (INDEX('Master Data Sheet'!$1:$1, , MATCH($F$1, 'Master Data Sheet'!$1:$1, 0)) = $F$1) * ('Master Data Sheet'!$G:$G=$B54) * ('Master Data Sheet'!$F:$F=$E54) * ('Master Data Sheet'!$A:$A=$F54), 0), MATCH($F$1, 'Master Data Sheet'!$1:$1, 0)), "")</f>
        <v>0.79713365166825922</v>
      </c>
      <c r="N54" s="11" cm="1">
        <f t="array" ref="N54">IFERROR(INDEX('Master Data Sheet'!$1:$1048576, MATCH(1, ('Master Data Sheet'!$H:$H=N$2) * (INDEX('Master Data Sheet'!$1:$1, , MATCH($F$1, 'Master Data Sheet'!$1:$1, 0)) = $F$1) * ('Master Data Sheet'!$G:$G=$B54) * ('Master Data Sheet'!$F:$F=$E54) * ('Master Data Sheet'!$A:$A=$F54), 0), MATCH($F$1, 'Master Data Sheet'!$1:$1, 0)), "")</f>
        <v>1.2969737232874636</v>
      </c>
      <c r="O54" s="11">
        <f t="shared" si="8"/>
        <v>0.67744329765123246</v>
      </c>
      <c r="P54" s="11">
        <f t="shared" si="4"/>
        <v>0.87783622962673147</v>
      </c>
      <c r="Q54" s="11">
        <f>AVERAGE(N54:N56)</f>
        <v>4.0933171786244813</v>
      </c>
      <c r="R54" s="46">
        <f>(1-(O54/O48))*100</f>
        <v>88.917447211346541</v>
      </c>
      <c r="S54" s="46">
        <f>AVERAGE(R54:R56)</f>
        <v>78.596648217975442</v>
      </c>
      <c r="T54" s="46">
        <f>STDEV(R54:R56)</f>
        <v>14.449881011125466</v>
      </c>
      <c r="U54" s="47">
        <f>(1-(AVERAGE(H54:N56)/AVERAGE(H48:N50)))*100</f>
        <v>77.479596351791841</v>
      </c>
      <c r="X54" s="47">
        <f>(O51-O54)/61.7</f>
        <v>1.3447456290824576E-2</v>
      </c>
      <c r="Y54" s="47">
        <f>O48/61.7</f>
        <v>9.9071326454094333E-2</v>
      </c>
      <c r="AB54" s="2"/>
      <c r="AC54" s="2"/>
      <c r="AD54" s="2"/>
      <c r="AE54" s="2"/>
      <c r="AF54" s="2"/>
      <c r="AG54" s="2"/>
      <c r="AH54" s="2"/>
      <c r="AI54" s="2"/>
      <c r="AJ54" s="2"/>
    </row>
    <row r="55" spans="1:49" x14ac:dyDescent="0.35">
      <c r="A55" s="41">
        <f>IFERROR(INDEX('Date Key'!$B$2:$B$19, MATCH(F55,'Date Key'!$A$2:$A$19, 0)), "")</f>
        <v>45392</v>
      </c>
      <c r="B55" s="4">
        <f t="shared" si="15"/>
        <v>6</v>
      </c>
      <c r="C55" s="26" t="str">
        <f>IFERROR(INDEX('Date Key'!$G$57:$G$62, MATCH(B55,'Date Key'!$A$57:$A$62, 0)), "")</f>
        <v>Medium HLR, Upper Outlet Height, Yes Plants</v>
      </c>
      <c r="D55" s="4" t="str">
        <f>IFERROR(INDEX('Date Key'!$G$2:$G$19, MATCH(F55, 'Date Key'!$A$2:$A$19, 0)), "")</f>
        <v>No</v>
      </c>
      <c r="E55" s="4" t="str">
        <f t="shared" si="1"/>
        <v>tank 2</v>
      </c>
      <c r="F55" s="4">
        <f t="shared" si="2"/>
        <v>17</v>
      </c>
      <c r="G55" s="4">
        <f t="shared" si="22"/>
        <v>2</v>
      </c>
      <c r="H55" s="11" cm="1">
        <f t="array" ref="H55">IFERROR(INDEX('Master Data Sheet'!$1:$1048576, MATCH(1, ('Master Data Sheet'!$H:$H=H$2) * (INDEX('Master Data Sheet'!$1:$1, , MATCH($F$1, 'Master Data Sheet'!$1:$1, 0)) = $F$1) * ('Master Data Sheet'!$G:$G=$B55) * ('Master Data Sheet'!$F:$F=$E55) * ('Master Data Sheet'!$A:$A=$F55), 0), MATCH($F$1, 'Master Data Sheet'!$1:$1, 0)), "")</f>
        <v>8.2298406815441871E-2</v>
      </c>
      <c r="I55" s="11" cm="1">
        <f t="array" ref="I55">IFERROR(INDEX('Master Data Sheet'!$1:$1048576, MATCH(1, ('Master Data Sheet'!$H:$H=I$2) * (INDEX('Master Data Sheet'!$1:$1, , MATCH($F$1, 'Master Data Sheet'!$1:$1, 0)) = $F$1) * ('Master Data Sheet'!$G:$G=$B55) * ('Master Data Sheet'!$F:$F=$E55) * ('Master Data Sheet'!$A:$A=$F55), 0), MATCH($F$1, 'Master Data Sheet'!$1:$1, 0)), "")</f>
        <v>1.7413416622902793E-2</v>
      </c>
      <c r="J55" s="11" cm="1">
        <f t="array" ref="J55">IFERROR(INDEX('Master Data Sheet'!$1:$1048576, MATCH(1, ('Master Data Sheet'!$H:$H=J$2) * (INDEX('Master Data Sheet'!$1:$1, , MATCH($F$1, 'Master Data Sheet'!$1:$1, 0)) = $F$1) * ('Master Data Sheet'!$G:$G=$B55) * ('Master Data Sheet'!$F:$F=$E55) * ('Master Data Sheet'!$A:$A=$F55), 0), MATCH($F$1, 'Master Data Sheet'!$1:$1, 0)), "")</f>
        <v>1.1608944415268527E-2</v>
      </c>
      <c r="K55" s="11" cm="1">
        <f t="array" ref="K55">IFERROR(INDEX('Master Data Sheet'!$1:$1048576, MATCH(1, ('Master Data Sheet'!$H:$H=K$2) * (INDEX('Master Data Sheet'!$1:$1, , MATCH($F$1, 'Master Data Sheet'!$1:$1, 0)) = $F$1) * ('Master Data Sheet'!$G:$G=$B55) * ('Master Data Sheet'!$F:$F=$E55) * ('Master Data Sheet'!$A:$A=$F55), 0), MATCH($F$1, 'Master Data Sheet'!$1:$1, 0)), "")</f>
        <v>2.3217888830537055E-2</v>
      </c>
      <c r="L55" s="11" cm="1">
        <f t="array" ref="L55">IFERROR(INDEX('Master Data Sheet'!$1:$1048576, MATCH(1, ('Master Data Sheet'!$H:$H=L$2) * (INDEX('Master Data Sheet'!$1:$1, , MATCH($F$1, 'Master Data Sheet'!$1:$1, 0)) = $F$1) * ('Master Data Sheet'!$G:$G=$B55) * ('Master Data Sheet'!$F:$F=$E55) * ('Master Data Sheet'!$A:$A=$F55), 0), MATCH($F$1, 'Master Data Sheet'!$1:$1, 0)), "")</f>
        <v>1.3267006459468444</v>
      </c>
      <c r="M55" s="11" cm="1">
        <f t="array" ref="M55">IFERROR(INDEX('Master Data Sheet'!$1:$1048576, MATCH(1, ('Master Data Sheet'!$H:$H=M$2) * (INDEX('Master Data Sheet'!$1:$1, , MATCH($F$1, 'Master Data Sheet'!$1:$1, 0)) = $F$1) * ('Master Data Sheet'!$G:$G=$B55) * ('Master Data Sheet'!$F:$F=$E55) * ('Master Data Sheet'!$A:$A=$F55), 0), MATCH($F$1, 'Master Data Sheet'!$1:$1, 0)), "")</f>
        <v>3.0700507865716</v>
      </c>
      <c r="N55" s="11" cm="1">
        <f t="array" ref="N55">IFERROR(INDEX('Master Data Sheet'!$1:$1048576, MATCH(1, ('Master Data Sheet'!$H:$H=N$2) * (INDEX('Master Data Sheet'!$1:$1, , MATCH($F$1, 'Master Data Sheet'!$1:$1, 0)) = $F$1) * ('Master Data Sheet'!$G:$G=$B55) * ('Master Data Sheet'!$F:$F=$E55) * ('Master Data Sheet'!$A:$A=$F55), 0), MATCH($F$1, 'Master Data Sheet'!$1:$1, 0)), "")</f>
        <v>4.6683106409476087</v>
      </c>
      <c r="O55" s="11">
        <f t="shared" si="8"/>
        <v>1.3142286757357433</v>
      </c>
      <c r="P55" s="11">
        <f t="shared" si="4"/>
        <v>1.8661833459577999</v>
      </c>
      <c r="Q55" s="11"/>
      <c r="R55" s="46">
        <f>(1-(O55/O49))*100</f>
        <v>84.790097951375159</v>
      </c>
      <c r="X55" s="47">
        <f>(O52-O55)/61.7</f>
        <v>-4.72262665128365E-3</v>
      </c>
      <c r="Y55" s="47">
        <f>O49/61.7</f>
        <v>0.14004233964202603</v>
      </c>
      <c r="AA55" t="str">
        <f>IFERROR(INDEX('Date Key'!$G$57:$G$62, MATCH(B54,'Date Key'!$A$57:$A$62, 0)), "")</f>
        <v>Medium HLR, Upper Outlet Height, Yes Plants</v>
      </c>
      <c r="AB55" s="1">
        <f t="shared" ref="AB55:AH55" si="59">H54</f>
        <v>2.3361939790219317</v>
      </c>
      <c r="AC55" s="1">
        <f t="shared" si="59"/>
        <v>4.8010990466025825E-2</v>
      </c>
      <c r="AD55" s="1">
        <f t="shared" si="59"/>
        <v>0</v>
      </c>
      <c r="AE55" s="1">
        <f t="shared" si="59"/>
        <v>2.3217888830537055E-2</v>
      </c>
      <c r="AF55" s="1">
        <f t="shared" si="59"/>
        <v>0.24057285028441028</v>
      </c>
      <c r="AG55" s="1">
        <f t="shared" si="59"/>
        <v>0.79713365166825922</v>
      </c>
      <c r="AH55" s="1">
        <f t="shared" si="59"/>
        <v>1.2969737232874636</v>
      </c>
      <c r="AI55" s="1">
        <f t="shared" ref="AI55:AO55" si="60">H55</f>
        <v>8.2298406815441871E-2</v>
      </c>
      <c r="AJ55" s="1">
        <f t="shared" si="60"/>
        <v>1.7413416622902793E-2</v>
      </c>
      <c r="AK55" s="1">
        <f t="shared" si="60"/>
        <v>1.1608944415268527E-2</v>
      </c>
      <c r="AL55" s="1">
        <f t="shared" si="60"/>
        <v>2.3217888830537055E-2</v>
      </c>
      <c r="AM55" s="1">
        <f t="shared" si="60"/>
        <v>1.3267006459468444</v>
      </c>
      <c r="AN55" s="1">
        <f t="shared" si="60"/>
        <v>3.0700507865716</v>
      </c>
      <c r="AO55" s="1">
        <f t="shared" si="60"/>
        <v>4.6683106409476087</v>
      </c>
      <c r="AP55" s="1">
        <f t="shared" ref="AP55:AV55" si="61">H56</f>
        <v>0.46798932510063407</v>
      </c>
      <c r="AQ55" s="1">
        <f t="shared" si="61"/>
        <v>0.45787737462470501</v>
      </c>
      <c r="AR55" s="1">
        <f t="shared" si="61"/>
        <v>0.71311574784269405</v>
      </c>
      <c r="AS55" s="1">
        <f t="shared" si="61"/>
        <v>3.3111665324843527</v>
      </c>
      <c r="AT55" s="1">
        <f t="shared" si="61"/>
        <v>5.2009557481316406</v>
      </c>
      <c r="AU55" s="1">
        <f t="shared" si="61"/>
        <v>6.4756862109129649</v>
      </c>
      <c r="AV55" s="1">
        <f t="shared" si="61"/>
        <v>6.3146671716383711</v>
      </c>
    </row>
    <row r="56" spans="1:49" x14ac:dyDescent="0.35">
      <c r="A56" s="42">
        <f>IFERROR(INDEX('Date Key'!$B$2:$B$19, MATCH(F56,'Date Key'!$A$2:$A$19, 0)), "")</f>
        <v>45400</v>
      </c>
      <c r="B56" s="27">
        <f t="shared" si="15"/>
        <v>6</v>
      </c>
      <c r="C56" s="51" t="str">
        <f>IFERROR(INDEX('Date Key'!$G$57:$G$62, MATCH(B56,'Date Key'!$A$57:$A$62, 0)), "")</f>
        <v>Medium HLR, Upper Outlet Height, Yes Plants</v>
      </c>
      <c r="D56" s="27" t="str">
        <f>IFERROR(INDEX('Date Key'!$G$2:$G$19, MATCH(F56, 'Date Key'!$A$2:$A$19, 0)), "")</f>
        <v>Yes</v>
      </c>
      <c r="E56" s="27" t="str">
        <f t="shared" si="1"/>
        <v>tank 2</v>
      </c>
      <c r="F56" s="27">
        <f t="shared" si="2"/>
        <v>18</v>
      </c>
      <c r="G56" s="27">
        <f t="shared" si="22"/>
        <v>3</v>
      </c>
      <c r="H56" s="28" cm="1">
        <f t="array" ref="H56">IFERROR(INDEX('Master Data Sheet'!$1:$1048576, MATCH(1, ('Master Data Sheet'!$H:$H=H$2) * (INDEX('Master Data Sheet'!$1:$1, , MATCH($F$1, 'Master Data Sheet'!$1:$1, 0)) = $F$1) * ('Master Data Sheet'!$G:$G=$B56) * ('Master Data Sheet'!$F:$F=$E56) * ('Master Data Sheet'!$A:$A=$F56), 0), MATCH($F$1, 'Master Data Sheet'!$1:$1, 0)), "")</f>
        <v>0.46798932510063407</v>
      </c>
      <c r="I56" s="28" cm="1">
        <f t="array" ref="I56">IFERROR(INDEX('Master Data Sheet'!$1:$1048576, MATCH(1, ('Master Data Sheet'!$H:$H=I$2) * (INDEX('Master Data Sheet'!$1:$1, , MATCH($F$1, 'Master Data Sheet'!$1:$1, 0)) = $F$1) * ('Master Data Sheet'!$G:$G=$B56) * ('Master Data Sheet'!$F:$F=$E56) * ('Master Data Sheet'!$A:$A=$F56), 0), MATCH($F$1, 'Master Data Sheet'!$1:$1, 0)), "")</f>
        <v>0.45787737462470501</v>
      </c>
      <c r="J56" s="28" cm="1">
        <f t="array" ref="J56">IFERROR(INDEX('Master Data Sheet'!$1:$1048576, MATCH(1, ('Master Data Sheet'!$H:$H=J$2) * (INDEX('Master Data Sheet'!$1:$1, , MATCH($F$1, 'Master Data Sheet'!$1:$1, 0)) = $F$1) * ('Master Data Sheet'!$G:$G=$B56) * ('Master Data Sheet'!$F:$F=$E56) * ('Master Data Sheet'!$A:$A=$F56), 0), MATCH($F$1, 'Master Data Sheet'!$1:$1, 0)), "")</f>
        <v>0.71311574784269405</v>
      </c>
      <c r="K56" s="28" cm="1">
        <f t="array" ref="K56">IFERROR(INDEX('Master Data Sheet'!$1:$1048576, MATCH(1, ('Master Data Sheet'!$H:$H=K$2) * (INDEX('Master Data Sheet'!$1:$1, , MATCH($F$1, 'Master Data Sheet'!$1:$1, 0)) = $F$1) * ('Master Data Sheet'!$G:$G=$B56) * ('Master Data Sheet'!$F:$F=$E56) * ('Master Data Sheet'!$A:$A=$F56), 0), MATCH($F$1, 'Master Data Sheet'!$1:$1, 0)), "")</f>
        <v>3.3111665324843527</v>
      </c>
      <c r="L56" s="28" cm="1">
        <f t="array" ref="L56">IFERROR(INDEX('Master Data Sheet'!$1:$1048576, MATCH(1, ('Master Data Sheet'!$H:$H=L$2) * (INDEX('Master Data Sheet'!$1:$1, , MATCH($F$1, 'Master Data Sheet'!$1:$1, 0)) = $F$1) * ('Master Data Sheet'!$G:$G=$B56) * ('Master Data Sheet'!$F:$F=$E56) * ('Master Data Sheet'!$A:$A=$F56), 0), MATCH($F$1, 'Master Data Sheet'!$1:$1, 0)), "")</f>
        <v>5.2009557481316406</v>
      </c>
      <c r="M56" s="28" cm="1">
        <f t="array" ref="M56">IFERROR(INDEX('Master Data Sheet'!$1:$1048576, MATCH(1, ('Master Data Sheet'!$H:$H=M$2) * (INDEX('Master Data Sheet'!$1:$1, , MATCH($F$1, 'Master Data Sheet'!$1:$1, 0)) = $F$1) * ('Master Data Sheet'!$G:$G=$B56) * ('Master Data Sheet'!$F:$F=$E56) * ('Master Data Sheet'!$A:$A=$F56), 0), MATCH($F$1, 'Master Data Sheet'!$1:$1, 0)), "")</f>
        <v>6.4756862109129649</v>
      </c>
      <c r="N56" s="28" cm="1">
        <f t="array" ref="N56">IFERROR(INDEX('Master Data Sheet'!$1:$1048576, MATCH(1, ('Master Data Sheet'!$H:$H=N$2) * (INDEX('Master Data Sheet'!$1:$1, , MATCH($F$1, 'Master Data Sheet'!$1:$1, 0)) = $F$1) * ('Master Data Sheet'!$G:$G=$B56) * ('Master Data Sheet'!$F:$F=$E56) * ('Master Data Sheet'!$A:$A=$F56), 0), MATCH($F$1, 'Master Data Sheet'!$1:$1, 0)), "")</f>
        <v>6.3146671716383711</v>
      </c>
      <c r="O56" s="28">
        <f t="shared" si="8"/>
        <v>3.2773511586764803</v>
      </c>
      <c r="P56" s="28">
        <f t="shared" si="4"/>
        <v>2.7560020361059174</v>
      </c>
      <c r="Q56" s="28"/>
      <c r="R56" s="48">
        <f>(1-(O56/O50))*100</f>
        <v>62.082399491204612</v>
      </c>
      <c r="S56" s="27"/>
      <c r="T56" s="27"/>
      <c r="U56" s="27"/>
      <c r="V56" s="27"/>
      <c r="W56" s="27"/>
      <c r="X56" s="47">
        <f>(O53-O56)/61.7</f>
        <v>-3.5729703462102157E-2</v>
      </c>
      <c r="Y56" s="47">
        <f>O50/61.7</f>
        <v>0.14008671993561431</v>
      </c>
    </row>
    <row r="58" spans="1:49" x14ac:dyDescent="0.35">
      <c r="AA58" t="s">
        <v>456</v>
      </c>
      <c r="AB58" t="s">
        <v>465</v>
      </c>
    </row>
    <row r="59" spans="1:49" x14ac:dyDescent="0.35">
      <c r="AA59" t="s">
        <v>344</v>
      </c>
      <c r="AB59" s="30" t="s">
        <v>457</v>
      </c>
      <c r="AC59" s="1">
        <f t="shared" ref="AC59:AW59" si="62">AB4</f>
        <v>6.7864258201379855</v>
      </c>
      <c r="AD59" s="1">
        <f t="shared" si="62"/>
        <v>3.6718610975715427</v>
      </c>
      <c r="AE59" s="1">
        <f t="shared" si="62"/>
        <v>3.9701639422620665</v>
      </c>
      <c r="AF59" s="1">
        <f t="shared" si="62"/>
        <v>3.6579243049808268</v>
      </c>
      <c r="AG59" s="1">
        <f t="shared" si="62"/>
        <v>2.800981582233288</v>
      </c>
      <c r="AH59" s="1">
        <f t="shared" si="62"/>
        <v>3.2223223100286869</v>
      </c>
      <c r="AI59" s="1">
        <f t="shared" si="62"/>
        <v>3.5667076301494847</v>
      </c>
      <c r="AJ59" s="1">
        <f t="shared" si="62"/>
        <v>6.0052880352484941</v>
      </c>
      <c r="AK59" s="1">
        <f t="shared" si="62"/>
        <v>2.605218021341932</v>
      </c>
      <c r="AL59" s="1">
        <f t="shared" si="62"/>
        <v>1.9785209571728168</v>
      </c>
      <c r="AM59" s="1">
        <f t="shared" si="62"/>
        <v>1.9609170627724697</v>
      </c>
      <c r="AN59" s="1">
        <f t="shared" si="62"/>
        <v>1.9567892225347985</v>
      </c>
      <c r="AO59" s="1">
        <f t="shared" si="62"/>
        <v>2.4717146617135231</v>
      </c>
      <c r="AP59" s="1">
        <f t="shared" si="62"/>
        <v>3.5401443408019464</v>
      </c>
      <c r="AQ59" s="1">
        <f t="shared" si="62"/>
        <v>5.2054491784097259</v>
      </c>
      <c r="AR59" s="1">
        <f t="shared" si="62"/>
        <v>1.1763301515023006</v>
      </c>
      <c r="AS59" s="1">
        <f t="shared" si="62"/>
        <v>0.73184342812513203</v>
      </c>
      <c r="AT59" s="1">
        <f t="shared" si="62"/>
        <v>0.96197232387737008</v>
      </c>
      <c r="AU59" s="1">
        <f t="shared" si="62"/>
        <v>0.90833325458351177</v>
      </c>
      <c r="AV59" s="1">
        <f t="shared" si="62"/>
        <v>0.61309872922776143</v>
      </c>
      <c r="AW59" s="1">
        <f t="shared" si="62"/>
        <v>0.82975978285564445</v>
      </c>
    </row>
    <row r="60" spans="1:49" x14ac:dyDescent="0.35">
      <c r="AA60" t="s">
        <v>345</v>
      </c>
      <c r="AB60" s="30" t="s">
        <v>457</v>
      </c>
      <c r="AC60" s="1">
        <f t="shared" ref="AC60:AW60" si="63">AB7</f>
        <v>0.35618582162709378</v>
      </c>
      <c r="AD60" s="1">
        <f t="shared" si="63"/>
        <v>0.48032539873361624</v>
      </c>
      <c r="AE60" s="1">
        <f t="shared" si="63"/>
        <v>0.73296138614480744</v>
      </c>
      <c r="AF60" s="1">
        <f t="shared" si="63"/>
        <v>0.78786036406747639</v>
      </c>
      <c r="AG60" s="1">
        <f t="shared" si="63"/>
        <v>1.4089140819077663</v>
      </c>
      <c r="AH60" s="1">
        <f t="shared" si="63"/>
        <v>1.1860449947186162</v>
      </c>
      <c r="AI60" s="1">
        <f t="shared" si="63"/>
        <v>1.3285608631297592</v>
      </c>
      <c r="AJ60" s="1">
        <f t="shared" si="63"/>
        <v>0.88448060278669793</v>
      </c>
      <c r="AK60" s="1">
        <f t="shared" si="63"/>
        <v>1.3902472057379733</v>
      </c>
      <c r="AL60" s="1">
        <f t="shared" si="63"/>
        <v>0.66980285166110276</v>
      </c>
      <c r="AM60" s="1">
        <f t="shared" si="63"/>
        <v>0.89385079335348105</v>
      </c>
      <c r="AN60" s="1">
        <f t="shared" si="63"/>
        <v>0.89032154091940996</v>
      </c>
      <c r="AO60" s="1">
        <f t="shared" si="63"/>
        <v>0.43529949702789206</v>
      </c>
      <c r="AP60" s="1">
        <f t="shared" si="63"/>
        <v>1.2802926383173299</v>
      </c>
      <c r="AQ60" s="1">
        <f t="shared" si="63"/>
        <v>0.26123833757421538</v>
      </c>
      <c r="AR60" s="1">
        <f t="shared" si="63"/>
        <v>0.28498727735368956</v>
      </c>
      <c r="AS60" s="1">
        <f t="shared" si="63"/>
        <v>0.19176050084693275</v>
      </c>
      <c r="AT60" s="1">
        <f t="shared" si="63"/>
        <v>0.11689214230460229</v>
      </c>
      <c r="AU60" s="1">
        <f t="shared" si="63"/>
        <v>0.3799830364715861</v>
      </c>
      <c r="AV60" s="1">
        <f t="shared" si="63"/>
        <v>0.31088921999938801</v>
      </c>
      <c r="AW60" s="1">
        <f t="shared" si="63"/>
        <v>0.3653297316926965</v>
      </c>
    </row>
    <row r="61" spans="1:49" x14ac:dyDescent="0.35">
      <c r="AA61" t="s">
        <v>346</v>
      </c>
      <c r="AB61" s="30" t="s">
        <v>457</v>
      </c>
      <c r="AC61" s="1">
        <f t="shared" ref="AC61:AW61" si="64">AB10</f>
        <v>4.503230975062042E-2</v>
      </c>
      <c r="AD61" s="1">
        <f t="shared" si="64"/>
        <v>0.1733576634617052</v>
      </c>
      <c r="AE61" s="1">
        <f t="shared" si="64"/>
        <v>0.81224246260138289</v>
      </c>
      <c r="AF61" s="1">
        <f t="shared" si="64"/>
        <v>1.5746710035510729</v>
      </c>
      <c r="AG61" s="1">
        <f t="shared" si="64"/>
        <v>2.1397515745379412</v>
      </c>
      <c r="AH61" s="1">
        <f t="shared" si="64"/>
        <v>3.0110586210862111</v>
      </c>
      <c r="AI61" s="1">
        <f t="shared" si="64"/>
        <v>2.4869919843011781</v>
      </c>
      <c r="AJ61" s="1">
        <f t="shared" si="64"/>
        <v>1.8991111918926666</v>
      </c>
      <c r="AK61" s="1">
        <f t="shared" si="64"/>
        <v>4.0584914172022293</v>
      </c>
      <c r="AL61" s="1">
        <f t="shared" si="64"/>
        <v>3.4268480925833531</v>
      </c>
      <c r="AM61" s="1">
        <f t="shared" si="64"/>
        <v>2.1855837628487924</v>
      </c>
      <c r="AN61" s="1">
        <f t="shared" si="64"/>
        <v>1.1317757852082493</v>
      </c>
      <c r="AO61" s="1">
        <f t="shared" si="64"/>
        <v>1.1486228513012053</v>
      </c>
      <c r="AP61" s="1">
        <f t="shared" si="64"/>
        <v>1.4693599781080544</v>
      </c>
      <c r="AQ61" s="1">
        <f t="shared" si="64"/>
        <v>9.5296205391352459E-2</v>
      </c>
      <c r="AR61" s="1">
        <f t="shared" si="64"/>
        <v>4.0321450306231424E-2</v>
      </c>
      <c r="AS61" s="1">
        <f t="shared" si="64"/>
        <v>0.21374045801526714</v>
      </c>
      <c r="AT61" s="1">
        <f t="shared" si="64"/>
        <v>0.1894407977812288</v>
      </c>
      <c r="AU61" s="1">
        <f t="shared" si="64"/>
        <v>0.36778318083237665</v>
      </c>
      <c r="AV61" s="1">
        <f t="shared" si="64"/>
        <v>8.6350793527495903E-2</v>
      </c>
      <c r="AW61" s="1">
        <f t="shared" si="64"/>
        <v>0.24179540352718989</v>
      </c>
    </row>
    <row r="62" spans="1:49" x14ac:dyDescent="0.35">
      <c r="AA62" t="s">
        <v>344</v>
      </c>
      <c r="AB62" s="30" t="s">
        <v>458</v>
      </c>
      <c r="AC62" s="1">
        <f t="shared" ref="AC62:AW62" si="65">AB13</f>
        <v>3.6693650023900903</v>
      </c>
      <c r="AD62" s="1">
        <f t="shared" si="65"/>
        <v>3.4584988059507777</v>
      </c>
      <c r="AE62" s="1">
        <f t="shared" si="65"/>
        <v>0.97816094302232937</v>
      </c>
      <c r="AF62" s="1">
        <f t="shared" si="65"/>
        <v>1.0287332002560565</v>
      </c>
      <c r="AG62" s="1">
        <f t="shared" si="65"/>
        <v>0.78872180169355988</v>
      </c>
      <c r="AH62" s="1">
        <f t="shared" si="65"/>
        <v>0.792393289086882</v>
      </c>
      <c r="AI62" s="1">
        <f t="shared" si="65"/>
        <v>0.77228487130110235</v>
      </c>
      <c r="AJ62" s="1">
        <f t="shared" si="65"/>
        <v>3.4536471054631894</v>
      </c>
      <c r="AK62" s="1">
        <f t="shared" si="65"/>
        <v>1.0890343719197133</v>
      </c>
      <c r="AL62" s="1">
        <f t="shared" si="65"/>
        <v>0.84945555578254917</v>
      </c>
      <c r="AM62" s="1">
        <f t="shared" si="65"/>
        <v>1.1591682376346673</v>
      </c>
      <c r="AN62" s="1">
        <f t="shared" si="65"/>
        <v>0.69361406314487417</v>
      </c>
      <c r="AO62" s="1">
        <f t="shared" si="65"/>
        <v>0.81476034931845986</v>
      </c>
      <c r="AP62" s="1">
        <f t="shared" si="65"/>
        <v>0.7229215322613094</v>
      </c>
      <c r="AQ62" s="1">
        <f t="shared" si="65"/>
        <v>2.7327513366209781</v>
      </c>
      <c r="AR62" s="1">
        <f t="shared" si="65"/>
        <v>2.4166414474579767</v>
      </c>
      <c r="AS62" s="1">
        <f t="shared" si="65"/>
        <v>2.600645718665858</v>
      </c>
      <c r="AT62" s="1">
        <f t="shared" si="65"/>
        <v>2.5090624868037295</v>
      </c>
      <c r="AU62" s="1">
        <f t="shared" si="65"/>
        <v>2.4042884101706443</v>
      </c>
      <c r="AV62" s="1">
        <f t="shared" si="65"/>
        <v>2.4791734296248231</v>
      </c>
      <c r="AW62" s="1">
        <f t="shared" si="65"/>
        <v>2.4391024213006482</v>
      </c>
    </row>
    <row r="63" spans="1:49" x14ac:dyDescent="0.35">
      <c r="AA63" t="s">
        <v>345</v>
      </c>
      <c r="AB63" s="30" t="s">
        <v>458</v>
      </c>
      <c r="AC63" s="1">
        <f t="shared" ref="AC63:AW63" si="66">AB16</f>
        <v>0.23099845698784571</v>
      </c>
      <c r="AD63" s="1">
        <f t="shared" si="66"/>
        <v>0.22271711837027647</v>
      </c>
      <c r="AE63" s="1">
        <f t="shared" si="66"/>
        <v>0.54995520493459116</v>
      </c>
      <c r="AF63" s="1">
        <f t="shared" si="66"/>
        <v>0.8244496705466382</v>
      </c>
      <c r="AG63" s="1">
        <f t="shared" si="66"/>
        <v>0.63866997576435014</v>
      </c>
      <c r="AH63" s="1">
        <f t="shared" si="66"/>
        <v>0.2794476725695153</v>
      </c>
      <c r="AI63" s="1">
        <f t="shared" si="66"/>
        <v>0.60871152011194662</v>
      </c>
      <c r="AJ63" s="1">
        <f t="shared" si="66"/>
        <v>8.7974955211727227E-2</v>
      </c>
      <c r="AK63" s="1">
        <f t="shared" si="66"/>
        <v>2.5741077447956038E-2</v>
      </c>
      <c r="AL63" s="1">
        <f t="shared" si="66"/>
        <v>9.4197065709098207E-2</v>
      </c>
      <c r="AM63" s="1">
        <f t="shared" si="66"/>
        <v>3.6492800315815144E-2</v>
      </c>
      <c r="AN63" s="1">
        <f t="shared" si="66"/>
        <v>0</v>
      </c>
      <c r="AO63" s="1">
        <f t="shared" si="66"/>
        <v>0.10911925175370227</v>
      </c>
      <c r="AP63" s="1">
        <f t="shared" si="66"/>
        <v>9.0932709794751876E-2</v>
      </c>
      <c r="AQ63" s="1">
        <f t="shared" si="66"/>
        <v>5.1187202007584962E-2</v>
      </c>
      <c r="AR63" s="1">
        <f t="shared" si="66"/>
        <v>0.2842398236046737</v>
      </c>
      <c r="AS63" s="1">
        <f t="shared" si="66"/>
        <v>0.35493423982415701</v>
      </c>
      <c r="AT63" s="1">
        <f t="shared" si="66"/>
        <v>0.1555426144021769</v>
      </c>
      <c r="AU63" s="1">
        <f t="shared" si="66"/>
        <v>0.11925008778026991</v>
      </c>
      <c r="AV63" s="1">
        <f t="shared" si="66"/>
        <v>0.20145319109739593</v>
      </c>
      <c r="AW63" s="1">
        <f t="shared" si="66"/>
        <v>0.31724702635937335</v>
      </c>
    </row>
    <row r="64" spans="1:49" x14ac:dyDescent="0.35">
      <c r="AA64" t="s">
        <v>346</v>
      </c>
      <c r="AB64" s="30" t="s">
        <v>458</v>
      </c>
      <c r="AC64" s="1">
        <f t="shared" ref="AC64:AW64" si="67">AB19</f>
        <v>0.15445850553457693</v>
      </c>
      <c r="AD64" s="1">
        <f t="shared" si="67"/>
        <v>3.008380488503689E-2</v>
      </c>
      <c r="AE64" s="1">
        <f t="shared" si="67"/>
        <v>0.94501597158523776</v>
      </c>
      <c r="AF64" s="1">
        <f t="shared" si="67"/>
        <v>1.2203315057774062</v>
      </c>
      <c r="AG64" s="1">
        <f t="shared" si="67"/>
        <v>0.78836584882433036</v>
      </c>
      <c r="AH64" s="1">
        <f t="shared" si="67"/>
        <v>0.59592646014599715</v>
      </c>
      <c r="AI64" s="1">
        <f t="shared" si="67"/>
        <v>0.58941236899037586</v>
      </c>
      <c r="AJ64" s="1">
        <f t="shared" si="67"/>
        <v>6.2233877763771164E-2</v>
      </c>
      <c r="AK64" s="1">
        <f t="shared" si="67"/>
        <v>1.7160718298637353E-2</v>
      </c>
      <c r="AL64" s="1">
        <f t="shared" si="67"/>
        <v>0.90969901993132307</v>
      </c>
      <c r="AM64" s="1">
        <f t="shared" si="67"/>
        <v>0.9203588984947354</v>
      </c>
      <c r="AN64" s="1">
        <f t="shared" si="67"/>
        <v>0.59972771903311628</v>
      </c>
      <c r="AO64" s="1">
        <f t="shared" si="67"/>
        <v>0.60395073007228262</v>
      </c>
      <c r="AP64" s="1">
        <f t="shared" si="67"/>
        <v>0.44003241964590056</v>
      </c>
      <c r="AQ64" s="1">
        <f t="shared" si="67"/>
        <v>0.18186541958950375</v>
      </c>
      <c r="AR64" s="1">
        <f t="shared" si="67"/>
        <v>3.1602701852725332E-2</v>
      </c>
      <c r="AS64" s="1">
        <f t="shared" si="67"/>
        <v>0.9450196098174547</v>
      </c>
      <c r="AT64" s="1">
        <f t="shared" si="67"/>
        <v>1.6558907619010519</v>
      </c>
      <c r="AU64" s="1">
        <f t="shared" si="67"/>
        <v>1.7249595914620528</v>
      </c>
      <c r="AV64" s="1">
        <f t="shared" si="67"/>
        <v>1.7938261341681196</v>
      </c>
      <c r="AW64" s="1">
        <f t="shared" si="67"/>
        <v>1.6134490441296168</v>
      </c>
    </row>
    <row r="65" spans="27:49" x14ac:dyDescent="0.35">
      <c r="AA65" t="s">
        <v>344</v>
      </c>
      <c r="AB65" s="30" t="s">
        <v>459</v>
      </c>
      <c r="AC65" s="1">
        <f t="shared" ref="AC65:AW65" si="68">AB22</f>
        <v>1.2083462812883385</v>
      </c>
      <c r="AD65" s="1">
        <f t="shared" si="68"/>
        <v>0.94821687566932522</v>
      </c>
      <c r="AE65" s="1">
        <f t="shared" si="68"/>
        <v>0.83275835500345297</v>
      </c>
      <c r="AF65" s="1">
        <f t="shared" si="68"/>
        <v>0.66413816665663894</v>
      </c>
      <c r="AG65" s="1">
        <f t="shared" si="68"/>
        <v>0.71030677200500214</v>
      </c>
      <c r="AH65" s="1">
        <f t="shared" si="68"/>
        <v>0.71030677200500214</v>
      </c>
      <c r="AI65" s="1">
        <f t="shared" si="68"/>
        <v>1.0970849065632269</v>
      </c>
      <c r="AJ65" s="1">
        <f t="shared" si="68"/>
        <v>0.20097032632807221</v>
      </c>
      <c r="AK65" s="1">
        <f t="shared" si="68"/>
        <v>0.553530585351936</v>
      </c>
      <c r="AL65" s="1">
        <f t="shared" si="68"/>
        <v>0.54933343941117585</v>
      </c>
      <c r="AM65" s="1">
        <f t="shared" si="68"/>
        <v>0.46119337465520982</v>
      </c>
      <c r="AN65" s="1">
        <f t="shared" si="68"/>
        <v>0.49270897650587631</v>
      </c>
      <c r="AO65" s="1">
        <f t="shared" si="68"/>
        <v>0.52415056376661406</v>
      </c>
      <c r="AP65" s="1">
        <f t="shared" si="68"/>
        <v>0.53254485564813459</v>
      </c>
      <c r="AQ65" s="1">
        <f t="shared" si="68"/>
        <v>1.4911272175193047</v>
      </c>
      <c r="AR65" s="1">
        <f t="shared" si="68"/>
        <v>2.0045475383106752</v>
      </c>
      <c r="AS65" s="1">
        <f t="shared" si="68"/>
        <v>1.4309692161527516</v>
      </c>
      <c r="AT65" s="1">
        <f t="shared" si="68"/>
        <v>1.5121064045170409</v>
      </c>
      <c r="AU65" s="1">
        <f t="shared" si="68"/>
        <v>1.4239696111141078</v>
      </c>
      <c r="AV65" s="1">
        <f t="shared" si="68"/>
        <v>1.6114334061933135</v>
      </c>
      <c r="AW65" s="1">
        <f t="shared" si="68"/>
        <v>1.2826809640893297</v>
      </c>
    </row>
    <row r="66" spans="27:49" x14ac:dyDescent="0.35">
      <c r="AA66" t="s">
        <v>345</v>
      </c>
      <c r="AB66" s="30" t="s">
        <v>459</v>
      </c>
      <c r="AC66" s="1">
        <f t="shared" ref="AC66:AW66" si="69">AB25</f>
        <v>0.41706343551103464</v>
      </c>
      <c r="AD66" s="1">
        <f t="shared" si="69"/>
        <v>0.10574682788443608</v>
      </c>
      <c r="AE66" s="1">
        <f t="shared" si="69"/>
        <v>0.15199599052879298</v>
      </c>
      <c r="AF66" s="1">
        <f t="shared" si="69"/>
        <v>0.24935506923777362</v>
      </c>
      <c r="AG66" s="1">
        <f t="shared" si="69"/>
        <v>4.0737887156713684E-2</v>
      </c>
      <c r="AH66" s="1">
        <f t="shared" si="69"/>
        <v>0.29750843332523025</v>
      </c>
      <c r="AI66" s="1">
        <f t="shared" si="69"/>
        <v>0.57804051846453242</v>
      </c>
      <c r="AJ66" s="1">
        <f t="shared" si="69"/>
        <v>7.9993987468491817E-2</v>
      </c>
      <c r="AK66" s="1">
        <f t="shared" si="69"/>
        <v>0.42693624288445814</v>
      </c>
      <c r="AL66" s="1">
        <f t="shared" si="69"/>
        <v>0.1368601222617726</v>
      </c>
      <c r="AM66" s="1">
        <f t="shared" si="69"/>
        <v>0.15381636332286636</v>
      </c>
      <c r="AN66" s="1">
        <f t="shared" si="69"/>
        <v>0.23281797142181143</v>
      </c>
      <c r="AO66" s="1">
        <f t="shared" si="69"/>
        <v>0.21257640649351039</v>
      </c>
      <c r="AP66" s="1">
        <f t="shared" si="69"/>
        <v>0.21751444585673846</v>
      </c>
      <c r="AQ66" s="1">
        <f t="shared" si="69"/>
        <v>0.21840616080545713</v>
      </c>
      <c r="AR66" s="1">
        <f t="shared" si="69"/>
        <v>0.22097069837503092</v>
      </c>
      <c r="AS66" s="1">
        <f t="shared" si="69"/>
        <v>0.73851790087690483</v>
      </c>
      <c r="AT66" s="1">
        <f t="shared" si="69"/>
        <v>0.94030640657040609</v>
      </c>
      <c r="AU66" s="1">
        <f t="shared" si="69"/>
        <v>0.90467421607497323</v>
      </c>
      <c r="AV66" s="1">
        <f t="shared" si="69"/>
        <v>0.74938963032594019</v>
      </c>
      <c r="AW66" s="1">
        <f t="shared" si="69"/>
        <v>0.69179991688863229</v>
      </c>
    </row>
    <row r="67" spans="27:49" x14ac:dyDescent="0.35">
      <c r="AA67" t="s">
        <v>346</v>
      </c>
      <c r="AB67" s="30" t="s">
        <v>459</v>
      </c>
      <c r="AC67" s="1">
        <f t="shared" ref="AC67:AW67" si="70">AB28</f>
        <v>0.10911925175370227</v>
      </c>
      <c r="AD67" s="1">
        <f t="shared" si="70"/>
        <v>0.18566352940996664</v>
      </c>
      <c r="AE67" s="1">
        <f t="shared" si="70"/>
        <v>0.26565751687845851</v>
      </c>
      <c r="AF67" s="1">
        <f t="shared" si="70"/>
        <v>0.48019809597958918</v>
      </c>
      <c r="AG67" s="1">
        <f t="shared" si="70"/>
        <v>0.38663385573803888</v>
      </c>
      <c r="AH67" s="1">
        <f t="shared" si="70"/>
        <v>0.44020764495140846</v>
      </c>
      <c r="AI67" s="1">
        <f t="shared" si="70"/>
        <v>0.79505478477350655</v>
      </c>
      <c r="AJ67" s="1">
        <f t="shared" si="70"/>
        <v>4.5675926519941748E-2</v>
      </c>
      <c r="AK67" s="1">
        <f t="shared" si="70"/>
        <v>0.26614365300081477</v>
      </c>
      <c r="AL67" s="1">
        <f t="shared" si="70"/>
        <v>0.2935557516188449</v>
      </c>
      <c r="AM67" s="1">
        <f t="shared" si="70"/>
        <v>0.34803482019970233</v>
      </c>
      <c r="AN67" s="1">
        <f t="shared" si="70"/>
        <v>0.6851848255382389</v>
      </c>
      <c r="AO67" s="1">
        <f t="shared" si="70"/>
        <v>0.44094853837387615</v>
      </c>
      <c r="AP67" s="1">
        <f t="shared" si="70"/>
        <v>0.35009311452208541</v>
      </c>
      <c r="AQ67" s="1">
        <f t="shared" si="70"/>
        <v>0.28975437044534941</v>
      </c>
      <c r="AR67" s="1">
        <f t="shared" si="70"/>
        <v>0.97997414940797278</v>
      </c>
      <c r="AS67" s="1">
        <f t="shared" si="70"/>
        <v>0.83399894896704618</v>
      </c>
      <c r="AT67" s="1">
        <f t="shared" si="70"/>
        <v>1.2643108870738033</v>
      </c>
      <c r="AU67" s="1">
        <f t="shared" si="70"/>
        <v>1.374831368376447</v>
      </c>
      <c r="AV67" s="1">
        <f t="shared" si="70"/>
        <v>1.129271137606104</v>
      </c>
      <c r="AW67" s="1">
        <f t="shared" si="70"/>
        <v>1.7968403439700529</v>
      </c>
    </row>
    <row r="68" spans="27:49" x14ac:dyDescent="0.35">
      <c r="AA68" t="s">
        <v>344</v>
      </c>
      <c r="AB68" s="30" t="s">
        <v>460</v>
      </c>
      <c r="AC68" s="1">
        <f t="shared" ref="AC68:AW68" si="71">AB31</f>
        <v>1.3398721204129793</v>
      </c>
      <c r="AD68" s="1">
        <f t="shared" si="71"/>
        <v>1.1734746123335691</v>
      </c>
      <c r="AE68" s="1">
        <f t="shared" si="71"/>
        <v>1.0383379488047131</v>
      </c>
      <c r="AF68" s="1">
        <f t="shared" si="71"/>
        <v>2.7731363258866044</v>
      </c>
      <c r="AG68" s="1">
        <f t="shared" si="71"/>
        <v>0.89991923276168262</v>
      </c>
      <c r="AH68" s="1">
        <f t="shared" si="71"/>
        <v>0.79227522514685067</v>
      </c>
      <c r="AI68" s="1">
        <f t="shared" si="71"/>
        <v>0.64957226316100114</v>
      </c>
      <c r="AJ68" s="1">
        <f t="shared" si="71"/>
        <v>0.51367786147070171</v>
      </c>
      <c r="AK68" s="1">
        <f t="shared" si="71"/>
        <v>1.081479707396652</v>
      </c>
      <c r="AL68" s="1">
        <f t="shared" si="71"/>
        <v>0.90734683248513426</v>
      </c>
      <c r="AM68" s="1">
        <f t="shared" si="71"/>
        <v>1.8018831754358025</v>
      </c>
      <c r="AN68" s="1">
        <f t="shared" si="71"/>
        <v>1.3208644058135341</v>
      </c>
      <c r="AO68" s="1">
        <f t="shared" si="71"/>
        <v>1.6889787579505373</v>
      </c>
      <c r="AP68" s="1">
        <f t="shared" si="71"/>
        <v>3.6507488914584982</v>
      </c>
      <c r="AQ68" s="1">
        <f t="shared" si="71"/>
        <v>2.4666116558100852</v>
      </c>
      <c r="AR68" s="1">
        <f t="shared" si="71"/>
        <v>2.0474054809995437</v>
      </c>
      <c r="AS68" s="1">
        <f t="shared" si="71"/>
        <v>1.5330588608405511</v>
      </c>
      <c r="AT68" s="1">
        <f t="shared" si="71"/>
        <v>1.5290313211874</v>
      </c>
      <c r="AU68" s="1">
        <f t="shared" si="71"/>
        <v>1.1429966119108039</v>
      </c>
      <c r="AV68" s="1">
        <f t="shared" si="71"/>
        <v>1.0612248748479856</v>
      </c>
      <c r="AW68" s="1">
        <f t="shared" si="71"/>
        <v>1.4850251223436179</v>
      </c>
    </row>
    <row r="69" spans="27:49" x14ac:dyDescent="0.35">
      <c r="AA69" t="s">
        <v>345</v>
      </c>
      <c r="AB69" s="30" t="s">
        <v>460</v>
      </c>
      <c r="AC69" s="1">
        <f t="shared" ref="AC69:AW69" si="72">AB34</f>
        <v>0.24284814302755106</v>
      </c>
      <c r="AD69" s="1">
        <f t="shared" si="72"/>
        <v>0.18137601211411497</v>
      </c>
      <c r="AE69" s="1">
        <f t="shared" si="72"/>
        <v>0.28936235603775606</v>
      </c>
      <c r="AF69" s="1">
        <f t="shared" si="72"/>
        <v>0.36688919900446954</v>
      </c>
      <c r="AG69" s="1">
        <f t="shared" si="72"/>
        <v>0.33158203003940534</v>
      </c>
      <c r="AH69" s="1">
        <f t="shared" si="72"/>
        <v>0.3372609628251011</v>
      </c>
      <c r="AI69" s="1">
        <f t="shared" si="72"/>
        <v>1.0724565969381628</v>
      </c>
      <c r="AJ69" s="1">
        <f t="shared" si="72"/>
        <v>0.28937092941312759</v>
      </c>
      <c r="AK69" s="1">
        <f t="shared" si="72"/>
        <v>0.43858328777862238</v>
      </c>
      <c r="AL69" s="1">
        <f t="shared" si="72"/>
        <v>0.39071103728885415</v>
      </c>
      <c r="AM69" s="1">
        <f t="shared" si="72"/>
        <v>0.41446821690763425</v>
      </c>
      <c r="AN69" s="1">
        <f t="shared" si="72"/>
        <v>0.41253808483834742</v>
      </c>
      <c r="AO69" s="1">
        <f t="shared" si="72"/>
        <v>0.77237510743278048</v>
      </c>
      <c r="AP69" s="1">
        <f t="shared" si="72"/>
        <v>0.70348679700025596</v>
      </c>
      <c r="AQ69" s="1">
        <f t="shared" si="72"/>
        <v>0.52741635386610863</v>
      </c>
      <c r="AR69" s="1">
        <f t="shared" si="72"/>
        <v>6.5397053539346037E-2</v>
      </c>
      <c r="AS69" s="1">
        <f t="shared" si="72"/>
        <v>0.29986092277247045</v>
      </c>
      <c r="AT69" s="1">
        <f t="shared" si="72"/>
        <v>0.43324078360645757</v>
      </c>
      <c r="AU69" s="1">
        <f t="shared" si="72"/>
        <v>0.25246853205075914</v>
      </c>
      <c r="AV69" s="1">
        <f t="shared" si="72"/>
        <v>0.70942175943038688</v>
      </c>
      <c r="AW69" s="1">
        <f t="shared" si="72"/>
        <v>0.26578127147623709</v>
      </c>
    </row>
    <row r="70" spans="27:49" x14ac:dyDescent="0.35">
      <c r="AA70" t="s">
        <v>346</v>
      </c>
      <c r="AB70" s="30" t="s">
        <v>460</v>
      </c>
      <c r="AC70" s="1">
        <f t="shared" ref="AC70:AW70" si="73">AB37</f>
        <v>0.3848842261808616</v>
      </c>
      <c r="AD70" s="1">
        <f t="shared" si="73"/>
        <v>0.62140993606804451</v>
      </c>
      <c r="AE70" s="1">
        <f t="shared" si="73"/>
        <v>0.82981257509866135</v>
      </c>
      <c r="AF70" s="1">
        <f t="shared" si="73"/>
        <v>0.79475362072764355</v>
      </c>
      <c r="AG70" s="1">
        <f t="shared" si="73"/>
        <v>0.89925985464848646</v>
      </c>
      <c r="AH70" s="1">
        <f t="shared" si="73"/>
        <v>0.77253056841328149</v>
      </c>
      <c r="AI70" s="1">
        <f t="shared" si="73"/>
        <v>0.68784675617560798</v>
      </c>
      <c r="AJ70" s="1">
        <f t="shared" si="73"/>
        <v>0.47448644547056229</v>
      </c>
      <c r="AK70" s="1">
        <f t="shared" si="73"/>
        <v>1.785552408978633</v>
      </c>
      <c r="AL70" s="1">
        <f t="shared" si="73"/>
        <v>0.58935410362640261</v>
      </c>
      <c r="AM70" s="1">
        <f t="shared" si="73"/>
        <v>1.192215011036267</v>
      </c>
      <c r="AN70" s="1">
        <f t="shared" si="73"/>
        <v>0.70850343490421319</v>
      </c>
      <c r="AO70" s="1">
        <f t="shared" si="73"/>
        <v>1.5045776031673626</v>
      </c>
      <c r="AP70" s="1">
        <f t="shared" si="73"/>
        <v>1.346699614877189</v>
      </c>
      <c r="AQ70" s="1">
        <f t="shared" si="73"/>
        <v>0.69943173500485756</v>
      </c>
      <c r="AR70" s="1">
        <f t="shared" si="73"/>
        <v>0.39946234412637582</v>
      </c>
      <c r="AS70" s="1">
        <f t="shared" si="73"/>
        <v>0.14860602618618668</v>
      </c>
      <c r="AT70" s="1">
        <f t="shared" si="73"/>
        <v>0.11063149584469607</v>
      </c>
      <c r="AU70" s="1">
        <f t="shared" si="73"/>
        <v>0.29592408604173798</v>
      </c>
      <c r="AV70" s="1">
        <f t="shared" si="73"/>
        <v>0.39849862557567511</v>
      </c>
      <c r="AW70" s="1">
        <f t="shared" si="73"/>
        <v>0.27228458000739419</v>
      </c>
    </row>
    <row r="71" spans="27:49" x14ac:dyDescent="0.35">
      <c r="AA71" t="s">
        <v>344</v>
      </c>
      <c r="AB71" s="30" t="s">
        <v>461</v>
      </c>
      <c r="AC71" s="1">
        <f t="shared" ref="AC71:AW71" si="74">AB40</f>
        <v>3.1253241542783337</v>
      </c>
      <c r="AD71" s="1">
        <f t="shared" si="74"/>
        <v>2.982086015274751</v>
      </c>
      <c r="AE71" s="1">
        <f t="shared" si="74"/>
        <v>2.8263636246014214</v>
      </c>
      <c r="AF71" s="1">
        <f t="shared" si="74"/>
        <v>2.7111686786099547</v>
      </c>
      <c r="AG71" s="1">
        <f t="shared" si="74"/>
        <v>2.8010764719891283</v>
      </c>
      <c r="AH71" s="1">
        <f t="shared" si="74"/>
        <v>2.7769289760569729</v>
      </c>
      <c r="AI71" s="1">
        <f t="shared" si="74"/>
        <v>2.8811605833365048</v>
      </c>
      <c r="AJ71" s="1">
        <f t="shared" si="74"/>
        <v>1.7992311331412052</v>
      </c>
      <c r="AK71" s="1">
        <f t="shared" si="74"/>
        <v>2.283276499892561</v>
      </c>
      <c r="AL71" s="1">
        <f t="shared" si="74"/>
        <v>2.6204893558959128</v>
      </c>
      <c r="AM71" s="1">
        <f t="shared" si="74"/>
        <v>2.8187714791229808</v>
      </c>
      <c r="AN71" s="1">
        <f t="shared" si="74"/>
        <v>2.9385488988124759</v>
      </c>
      <c r="AO71" s="1">
        <f t="shared" si="74"/>
        <v>2.9612273707466232</v>
      </c>
      <c r="AP71" s="1">
        <f t="shared" si="74"/>
        <v>3.1606903215685636</v>
      </c>
      <c r="AQ71" s="1">
        <f t="shared" si="74"/>
        <v>1.181524283929662</v>
      </c>
      <c r="AR71" s="1">
        <f t="shared" si="74"/>
        <v>1.2139029251514053</v>
      </c>
      <c r="AS71" s="1">
        <f t="shared" si="74"/>
        <v>1.0296152485068262</v>
      </c>
      <c r="AT71" s="1">
        <f t="shared" si="74"/>
        <v>1.0781441369271332</v>
      </c>
      <c r="AU71" s="1">
        <f t="shared" si="74"/>
        <v>1.2358576445576033</v>
      </c>
      <c r="AV71" s="1">
        <f t="shared" si="74"/>
        <v>1.4115024667652576</v>
      </c>
      <c r="AW71" s="1">
        <f t="shared" si="74"/>
        <v>1.8208153143148005</v>
      </c>
    </row>
    <row r="72" spans="27:49" x14ac:dyDescent="0.35">
      <c r="AA72" t="s">
        <v>345</v>
      </c>
      <c r="AB72" s="30" t="s">
        <v>461</v>
      </c>
      <c r="AC72" s="1">
        <f t="shared" ref="AC72:AW72" si="75">AB43</f>
        <v>0.32047969295829704</v>
      </c>
      <c r="AD72" s="1">
        <f t="shared" si="75"/>
        <v>1.3106379405663353</v>
      </c>
      <c r="AE72" s="1">
        <f t="shared" si="75"/>
        <v>2.2508413136402754</v>
      </c>
      <c r="AF72" s="1">
        <f t="shared" si="75"/>
        <v>2.3222760475105066</v>
      </c>
      <c r="AG72" s="1">
        <f t="shared" si="75"/>
        <v>2.4539917789331396</v>
      </c>
      <c r="AH72" s="1">
        <f t="shared" si="75"/>
        <v>2.2791399221504975</v>
      </c>
      <c r="AI72" s="1">
        <f t="shared" si="75"/>
        <v>2.3262821284022643</v>
      </c>
      <c r="AJ72" s="1">
        <f t="shared" si="75"/>
        <v>0.41469489256476849</v>
      </c>
      <c r="AK72" s="1">
        <f t="shared" si="75"/>
        <v>0.85721399463557968</v>
      </c>
      <c r="AL72" s="1">
        <f t="shared" si="75"/>
        <v>1.4437487441672117</v>
      </c>
      <c r="AM72" s="1">
        <f t="shared" si="75"/>
        <v>1.9025046302709052</v>
      </c>
      <c r="AN72" s="1">
        <f t="shared" si="75"/>
        <v>2.1900704601159213</v>
      </c>
      <c r="AO72" s="1">
        <f t="shared" si="75"/>
        <v>2.2294385961450223</v>
      </c>
      <c r="AP72" s="1">
        <f t="shared" si="75"/>
        <v>2.3253351973633896</v>
      </c>
      <c r="AQ72" s="1">
        <f t="shared" si="75"/>
        <v>0.13260836261436892</v>
      </c>
      <c r="AR72" s="1">
        <f t="shared" si="75"/>
        <v>0.50327869363224353</v>
      </c>
      <c r="AS72" s="1">
        <f t="shared" si="75"/>
        <v>0.75058795126127442</v>
      </c>
      <c r="AT72" s="1">
        <f t="shared" si="75"/>
        <v>1.0458193344866435</v>
      </c>
      <c r="AU72" s="1">
        <f t="shared" si="75"/>
        <v>0.74696079861182363</v>
      </c>
      <c r="AV72" s="1">
        <f t="shared" si="75"/>
        <v>0.79795753102881806</v>
      </c>
      <c r="AW72" s="1">
        <f t="shared" si="75"/>
        <v>0.96987133981544549</v>
      </c>
    </row>
    <row r="73" spans="27:49" x14ac:dyDescent="0.35">
      <c r="AA73" t="s">
        <v>346</v>
      </c>
      <c r="AB73" s="30" t="s">
        <v>461</v>
      </c>
      <c r="AC73" s="1">
        <f t="shared" ref="AC73:AW73" si="76">AB46</f>
        <v>0.26610516141562218</v>
      </c>
      <c r="AD73" s="1">
        <f t="shared" si="76"/>
        <v>1.3229533135722962</v>
      </c>
      <c r="AE73" s="1">
        <f t="shared" si="76"/>
        <v>2.2990216438359732</v>
      </c>
      <c r="AF73" s="1">
        <f t="shared" si="76"/>
        <v>2.6380328911552025</v>
      </c>
      <c r="AG73" s="1">
        <f t="shared" si="76"/>
        <v>2.3807806337550259</v>
      </c>
      <c r="AH73" s="1">
        <f t="shared" si="76"/>
        <v>2.4992537131054471</v>
      </c>
      <c r="AI73" s="1">
        <f t="shared" si="76"/>
        <v>2.7582912328890963</v>
      </c>
      <c r="AJ73" s="1">
        <f t="shared" si="76"/>
        <v>0.35074370447869901</v>
      </c>
      <c r="AK73" s="1">
        <f t="shared" si="76"/>
        <v>0.90470941518269288</v>
      </c>
      <c r="AL73" s="1">
        <f t="shared" si="76"/>
        <v>1.6135544462927176</v>
      </c>
      <c r="AM73" s="1">
        <f t="shared" si="76"/>
        <v>2.2953425193747519</v>
      </c>
      <c r="AN73" s="1">
        <f t="shared" si="76"/>
        <v>2.4840479860584255</v>
      </c>
      <c r="AO73" s="1">
        <f t="shared" si="76"/>
        <v>2.7393783393985243</v>
      </c>
      <c r="AP73" s="1">
        <f t="shared" si="76"/>
        <v>2.7546359554053521</v>
      </c>
      <c r="AQ73" s="1">
        <f t="shared" si="76"/>
        <v>0.25024730562504588</v>
      </c>
      <c r="AR73" s="1">
        <f t="shared" si="76"/>
        <v>0.95189698735404482</v>
      </c>
      <c r="AS73" s="1">
        <f t="shared" si="76"/>
        <v>1.1733146575821827</v>
      </c>
      <c r="AT73" s="1">
        <f t="shared" si="76"/>
        <v>1.0409533204562156</v>
      </c>
      <c r="AU73" s="1">
        <f t="shared" si="76"/>
        <v>1.1046986539686168</v>
      </c>
      <c r="AV73" s="1">
        <f t="shared" si="76"/>
        <v>1.2424485591500294</v>
      </c>
      <c r="AW73" s="1">
        <f t="shared" si="76"/>
        <v>1.4221991280161652</v>
      </c>
    </row>
    <row r="74" spans="27:49" x14ac:dyDescent="0.35">
      <c r="AA74" t="s">
        <v>344</v>
      </c>
      <c r="AB74" s="30" t="s">
        <v>462</v>
      </c>
      <c r="AC74" s="1">
        <f t="shared" ref="AC74:AW74" si="77">AB49</f>
        <v>3.568826536528086</v>
      </c>
      <c r="AD74" s="1">
        <f t="shared" si="77"/>
        <v>5.2689306290469222</v>
      </c>
      <c r="AE74" s="1">
        <f t="shared" si="77"/>
        <v>4.6487929117485729</v>
      </c>
      <c r="AF74" s="1">
        <f t="shared" si="77"/>
        <v>5.3929157891969908</v>
      </c>
      <c r="AG74" s="1">
        <f t="shared" si="77"/>
        <v>6.3660418764598017</v>
      </c>
      <c r="AH74" s="1">
        <f t="shared" si="77"/>
        <v>8.0191922933632824</v>
      </c>
      <c r="AI74" s="1">
        <f t="shared" si="77"/>
        <v>9.5242058591796841</v>
      </c>
      <c r="AJ74" s="1">
        <f t="shared" si="77"/>
        <v>5.8121388556126483</v>
      </c>
      <c r="AK74" s="1">
        <f t="shared" si="77"/>
        <v>8.0137625543931019</v>
      </c>
      <c r="AL74" s="1">
        <f t="shared" si="77"/>
        <v>6.9029277328636125</v>
      </c>
      <c r="AM74" s="1">
        <f t="shared" si="77"/>
        <v>7.7669103718309938</v>
      </c>
      <c r="AN74" s="1">
        <f t="shared" si="77"/>
        <v>9.7586018320543744</v>
      </c>
      <c r="AO74" s="1">
        <f t="shared" si="77"/>
        <v>10.787677663664812</v>
      </c>
      <c r="AP74" s="1">
        <f t="shared" si="77"/>
        <v>11.442267480971511</v>
      </c>
      <c r="AQ74" s="1">
        <f t="shared" si="77"/>
        <v>10.019994981473234</v>
      </c>
      <c r="AR74" s="1">
        <f t="shared" si="77"/>
        <v>9.4744249012653121</v>
      </c>
      <c r="AS74" s="1">
        <f t="shared" si="77"/>
        <v>9.2663602808205354</v>
      </c>
      <c r="AT74" s="1">
        <f t="shared" si="77"/>
        <v>8.5059360247999543</v>
      </c>
      <c r="AU74" s="1">
        <f t="shared" si="77"/>
        <v>8.0115846894848417</v>
      </c>
      <c r="AV74" s="1">
        <f t="shared" si="77"/>
        <v>7.7744258927059677</v>
      </c>
      <c r="AW74" s="1">
        <f t="shared" si="77"/>
        <v>7.4507275696419697</v>
      </c>
    </row>
    <row r="75" spans="27:49" x14ac:dyDescent="0.35">
      <c r="AA75" t="s">
        <v>345</v>
      </c>
      <c r="AB75" s="30" t="s">
        <v>462</v>
      </c>
      <c r="AC75" s="1">
        <f t="shared" ref="AC75:AW75" si="78">AB52</f>
        <v>9.9073695681787211</v>
      </c>
      <c r="AD75" s="1">
        <f t="shared" si="78"/>
        <v>0</v>
      </c>
      <c r="AE75" s="1">
        <f t="shared" si="78"/>
        <v>0</v>
      </c>
      <c r="AF75" s="1">
        <f t="shared" si="78"/>
        <v>0</v>
      </c>
      <c r="AG75" s="1">
        <f t="shared" si="78"/>
        <v>0</v>
      </c>
      <c r="AH75" s="1">
        <f t="shared" si="78"/>
        <v>0.30562065716640086</v>
      </c>
      <c r="AI75" s="1">
        <f t="shared" si="78"/>
        <v>0.33706923022064095</v>
      </c>
      <c r="AJ75" s="1">
        <f t="shared" si="78"/>
        <v>1.1608944415268527E-2</v>
      </c>
      <c r="AK75" s="1">
        <f t="shared" si="78"/>
        <v>0</v>
      </c>
      <c r="AL75" s="1">
        <f t="shared" si="78"/>
        <v>7.5436619757136975E-2</v>
      </c>
      <c r="AM75" s="1">
        <f t="shared" si="78"/>
        <v>1.7413416622902793E-2</v>
      </c>
      <c r="AN75" s="1">
        <f t="shared" si="78"/>
        <v>0.9221349557542653</v>
      </c>
      <c r="AO75" s="1">
        <f t="shared" si="78"/>
        <v>2.4650471725358782</v>
      </c>
      <c r="AP75" s="1">
        <f t="shared" si="78"/>
        <v>3.6682571703753428</v>
      </c>
      <c r="AQ75" s="1">
        <f t="shared" si="78"/>
        <v>4.2468632536653922E-2</v>
      </c>
      <c r="AR75" s="1">
        <f t="shared" si="78"/>
        <v>0.15856810765824458</v>
      </c>
      <c r="AS75" s="1">
        <f t="shared" si="78"/>
        <v>0.20845571905551136</v>
      </c>
      <c r="AT75" s="1">
        <f t="shared" si="78"/>
        <v>0.76426801955243862</v>
      </c>
      <c r="AU75" s="1">
        <f t="shared" si="78"/>
        <v>1.5869709173636359</v>
      </c>
      <c r="AV75" s="1">
        <f t="shared" si="78"/>
        <v>2.285287901989407</v>
      </c>
      <c r="AW75" s="1">
        <f t="shared" si="78"/>
        <v>2.4637798872975507</v>
      </c>
    </row>
    <row r="76" spans="27:49" x14ac:dyDescent="0.35">
      <c r="AA76" t="s">
        <v>346</v>
      </c>
      <c r="AB76" s="30" t="s">
        <v>462</v>
      </c>
      <c r="AC76" s="1">
        <f t="shared" ref="AC76:AW76" si="79">AB55</f>
        <v>2.3361939790219317</v>
      </c>
      <c r="AD76" s="1">
        <f t="shared" si="79"/>
        <v>4.8010990466025825E-2</v>
      </c>
      <c r="AE76" s="1">
        <f t="shared" si="79"/>
        <v>0</v>
      </c>
      <c r="AF76" s="1">
        <f t="shared" si="79"/>
        <v>2.3217888830537055E-2</v>
      </c>
      <c r="AG76" s="1">
        <f t="shared" si="79"/>
        <v>0.24057285028441028</v>
      </c>
      <c r="AH76" s="1">
        <f t="shared" si="79"/>
        <v>0.79713365166825922</v>
      </c>
      <c r="AI76" s="1">
        <f t="shared" si="79"/>
        <v>1.2969737232874636</v>
      </c>
      <c r="AJ76" s="1">
        <f t="shared" si="79"/>
        <v>8.2298406815441871E-2</v>
      </c>
      <c r="AK76" s="1">
        <f t="shared" si="79"/>
        <v>1.7413416622902793E-2</v>
      </c>
      <c r="AL76" s="1">
        <f t="shared" si="79"/>
        <v>1.1608944415268527E-2</v>
      </c>
      <c r="AM76" s="1">
        <f t="shared" si="79"/>
        <v>2.3217888830537055E-2</v>
      </c>
      <c r="AN76" s="1">
        <f t="shared" si="79"/>
        <v>1.3267006459468444</v>
      </c>
      <c r="AO76" s="1">
        <f t="shared" si="79"/>
        <v>3.0700507865716</v>
      </c>
      <c r="AP76" s="1">
        <f t="shared" si="79"/>
        <v>4.6683106409476087</v>
      </c>
      <c r="AQ76" s="1">
        <f t="shared" si="79"/>
        <v>0.46798932510063407</v>
      </c>
      <c r="AR76" s="1">
        <f t="shared" si="79"/>
        <v>0.45787737462470501</v>
      </c>
      <c r="AS76" s="1">
        <f t="shared" si="79"/>
        <v>0.71311574784269405</v>
      </c>
      <c r="AT76" s="1">
        <f t="shared" si="79"/>
        <v>3.3111665324843527</v>
      </c>
      <c r="AU76" s="1">
        <f t="shared" si="79"/>
        <v>5.2009557481316406</v>
      </c>
      <c r="AV76" s="1">
        <f t="shared" si="79"/>
        <v>6.4756862109129649</v>
      </c>
      <c r="AW76" s="1">
        <f t="shared" si="79"/>
        <v>6.3146671716383711</v>
      </c>
    </row>
    <row r="79" spans="27:49" x14ac:dyDescent="0.35">
      <c r="AA79" t="s">
        <v>530</v>
      </c>
    </row>
    <row r="80" spans="27:49" x14ac:dyDescent="0.35">
      <c r="AA80" t="s">
        <v>529</v>
      </c>
      <c r="AB80" t="s">
        <v>528</v>
      </c>
    </row>
    <row r="81" spans="9:28" x14ac:dyDescent="0.35">
      <c r="AA81">
        <v>0</v>
      </c>
      <c r="AB81" s="1">
        <f>AVERAGE(H52:H53)</f>
        <v>2.7038788475961223E-2</v>
      </c>
    </row>
    <row r="82" spans="9:28" x14ac:dyDescent="0.35">
      <c r="AA82">
        <f t="shared" ref="AA82:AA87" si="80">AA81+30</f>
        <v>30</v>
      </c>
      <c r="AB82" s="1">
        <f>AVERAGE(I51:I53)</f>
        <v>5.285603588608153E-2</v>
      </c>
    </row>
    <row r="83" spans="9:28" x14ac:dyDescent="0.35">
      <c r="AA83">
        <f t="shared" si="80"/>
        <v>60</v>
      </c>
      <c r="AB83" s="1">
        <f>AVERAGE(J51:J53)</f>
        <v>9.4630779604216106E-2</v>
      </c>
    </row>
    <row r="84" spans="9:28" x14ac:dyDescent="0.35">
      <c r="AA84">
        <f t="shared" si="80"/>
        <v>90</v>
      </c>
      <c r="AB84" s="1">
        <f>AVERAGE(K51:K53)</f>
        <v>0.26056047872511379</v>
      </c>
    </row>
    <row r="85" spans="9:28" x14ac:dyDescent="0.35">
      <c r="AA85">
        <f t="shared" si="80"/>
        <v>120</v>
      </c>
      <c r="AB85" s="1">
        <f>AVERAGE(L51:L53)</f>
        <v>0.83636862437263382</v>
      </c>
    </row>
    <row r="86" spans="9:28" x14ac:dyDescent="0.35">
      <c r="AA86">
        <f t="shared" si="80"/>
        <v>150</v>
      </c>
      <c r="AB86" s="1">
        <f>AVERAGE(M51:M53)</f>
        <v>1.6853185772305619</v>
      </c>
    </row>
    <row r="87" spans="9:28" x14ac:dyDescent="0.35">
      <c r="AA87">
        <f t="shared" si="80"/>
        <v>180</v>
      </c>
      <c r="AB87" s="1">
        <f>AVERAGE(N51:N53)</f>
        <v>2.1563687626311783</v>
      </c>
    </row>
    <row r="95" spans="9:28" x14ac:dyDescent="0.35">
      <c r="I95" s="4" t="s">
        <v>579</v>
      </c>
      <c r="J95" s="4" t="s">
        <v>580</v>
      </c>
    </row>
    <row r="99" spans="9:10" x14ac:dyDescent="0.35">
      <c r="I99" s="4">
        <v>4.3602065981322082E-2</v>
      </c>
      <c r="J99" s="4">
        <v>5.6401847742742782E-2</v>
      </c>
    </row>
    <row r="101" spans="9:10" x14ac:dyDescent="0.35">
      <c r="I101" s="4">
        <v>1.735420134978263E-2</v>
      </c>
      <c r="J101" s="4">
        <v>2.1248801403263597E-2</v>
      </c>
    </row>
    <row r="108" spans="9:10" x14ac:dyDescent="0.35">
      <c r="I108" s="4">
        <v>1.6574706122713743E-2</v>
      </c>
      <c r="J108" s="4">
        <v>2.3411774839414708E-2</v>
      </c>
    </row>
    <row r="109" spans="9:10" x14ac:dyDescent="0.35">
      <c r="I109" s="4">
        <v>1.6992344314839442E-2</v>
      </c>
      <c r="J109" s="4">
        <v>1.7898107225442765E-2</v>
      </c>
    </row>
    <row r="110" spans="9:10" x14ac:dyDescent="0.35">
      <c r="I110" s="4">
        <v>3.2805810200874315E-2</v>
      </c>
      <c r="J110" s="4">
        <v>3.582976411380611E-2</v>
      </c>
    </row>
    <row r="117" spans="9:10" x14ac:dyDescent="0.35">
      <c r="I117" s="4">
        <v>8.8255756410892065E-3</v>
      </c>
      <c r="J117" s="4">
        <v>1.2576234214776823E-2</v>
      </c>
    </row>
    <row r="118" spans="9:10" x14ac:dyDescent="0.35">
      <c r="I118" s="4">
        <v>3.7781059342925812E-3</v>
      </c>
      <c r="J118" s="4">
        <v>6.7544979043550422E-3</v>
      </c>
    </row>
    <row r="119" spans="9:10" x14ac:dyDescent="0.35">
      <c r="I119" s="4">
        <v>1.282406649272301E-2</v>
      </c>
      <c r="J119" s="4">
        <v>2.1921406883832331E-2</v>
      </c>
    </row>
    <row r="126" spans="9:10" x14ac:dyDescent="0.35">
      <c r="I126" s="4">
        <v>1.380120998470092E-2</v>
      </c>
      <c r="J126" s="4">
        <v>2.0464197706038727E-2</v>
      </c>
    </row>
    <row r="127" spans="9:10" x14ac:dyDescent="0.35">
      <c r="I127" s="4">
        <v>1.7812151526213071E-2</v>
      </c>
      <c r="J127" s="4">
        <v>2.5891333251501437E-2</v>
      </c>
    </row>
    <row r="128" spans="9:10" x14ac:dyDescent="0.35">
      <c r="I128" s="4">
        <v>2.0570878987481046E-2</v>
      </c>
      <c r="J128" s="4">
        <v>2.6600599593718983E-2</v>
      </c>
    </row>
    <row r="135" spans="9:10" x14ac:dyDescent="0.35">
      <c r="I135" s="4">
        <v>1.3940207214154787E-2</v>
      </c>
      <c r="J135" s="4">
        <v>4.0970263917153187E-2</v>
      </c>
    </row>
    <row r="136" spans="9:10" x14ac:dyDescent="0.35">
      <c r="I136" s="4">
        <v>1.4712102188541928E-2</v>
      </c>
      <c r="J136" s="4">
        <v>3.7868830363114579E-2</v>
      </c>
    </row>
    <row r="137" spans="9:10" x14ac:dyDescent="0.35">
      <c r="I137" s="4">
        <v>8.2010964106420878E-3</v>
      </c>
      <c r="J137" s="4">
        <v>1.82827838193452E-2</v>
      </c>
    </row>
    <row r="144" spans="9:10" x14ac:dyDescent="0.35">
      <c r="I144" s="4">
        <v>7.6124784982190274E-2</v>
      </c>
      <c r="J144" s="4">
        <v>0.10103637755731604</v>
      </c>
    </row>
    <row r="145" spans="9:10" x14ac:dyDescent="0.35">
      <c r="I145" s="4">
        <v>0.12591354949688371</v>
      </c>
      <c r="J145" s="4">
        <v>0.14282003894071085</v>
      </c>
    </row>
    <row r="146" spans="9:10" x14ac:dyDescent="0.35">
      <c r="I146" s="4">
        <v>0.1251325977679773</v>
      </c>
      <c r="J146" s="4">
        <v>0.14286529950458518</v>
      </c>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D80535-C99A-4649-8BE3-FDCCC75E1584}">
  <sheetPr codeName="Sheet19"/>
  <dimension ref="A1:F23"/>
  <sheetViews>
    <sheetView workbookViewId="0">
      <selection activeCell="F18" sqref="F18"/>
    </sheetView>
  </sheetViews>
  <sheetFormatPr defaultColWidth="8.08203125" defaultRowHeight="14.5" x14ac:dyDescent="0.35"/>
  <cols>
    <col min="1" max="1" width="23.33203125" style="119" customWidth="1"/>
    <col min="2" max="2" width="11" style="119" bestFit="1" customWidth="1"/>
    <col min="3" max="3" width="11.58203125" style="119" bestFit="1" customWidth="1"/>
    <col min="4" max="4" width="9.1640625" style="119" customWidth="1"/>
    <col min="5" max="6" width="8.83203125" style="119" bestFit="1" customWidth="1"/>
    <col min="7" max="9" width="8.08203125" style="119"/>
    <col min="10" max="10" width="12.83203125" style="119" bestFit="1" customWidth="1"/>
    <col min="11" max="16384" width="8.08203125" style="119"/>
  </cols>
  <sheetData>
    <row r="1" spans="1:6" ht="23.25" customHeight="1" x14ac:dyDescent="0.35">
      <c r="B1" s="119" t="s">
        <v>618</v>
      </c>
      <c r="C1" s="119" t="s">
        <v>619</v>
      </c>
      <c r="D1" s="120" t="s">
        <v>620</v>
      </c>
      <c r="E1" s="119" t="s">
        <v>621</v>
      </c>
      <c r="F1" s="119" t="s">
        <v>622</v>
      </c>
    </row>
    <row r="2" spans="1:6" x14ac:dyDescent="0.35">
      <c r="A2" s="119" t="s">
        <v>623</v>
      </c>
      <c r="B2" s="121">
        <v>4</v>
      </c>
      <c r="C2" s="121">
        <v>4.5</v>
      </c>
      <c r="D2" s="122">
        <v>1</v>
      </c>
      <c r="E2" s="121">
        <v>0.95</v>
      </c>
      <c r="F2" s="121">
        <v>3.65</v>
      </c>
    </row>
    <row r="3" spans="1:6" x14ac:dyDescent="0.35">
      <c r="A3" s="119" t="s">
        <v>624</v>
      </c>
      <c r="B3" s="123">
        <v>1926</v>
      </c>
      <c r="C3" s="123">
        <f>468+478+468+522+160+132-136-72</f>
        <v>2020</v>
      </c>
      <c r="D3" s="124">
        <f>62.8+446.02 -63.27</f>
        <v>445.55</v>
      </c>
      <c r="E3" s="123">
        <f>60.26+430.5 - 96.38</f>
        <v>394.38</v>
      </c>
      <c r="F3" s="123">
        <f>447.2+445.22+426.42+441.6-63.04</f>
        <v>1697.4</v>
      </c>
    </row>
    <row r="4" spans="1:6" x14ac:dyDescent="0.35">
      <c r="A4" s="119" t="s">
        <v>625</v>
      </c>
      <c r="B4" s="123">
        <f>B3</f>
        <v>1926</v>
      </c>
      <c r="C4" s="123">
        <f>C3</f>
        <v>2020</v>
      </c>
      <c r="D4" s="123">
        <f t="shared" ref="D4:F4" si="0">D3</f>
        <v>445.55</v>
      </c>
      <c r="E4" s="123">
        <f t="shared" si="0"/>
        <v>394.38</v>
      </c>
      <c r="F4" s="123">
        <f t="shared" si="0"/>
        <v>1697.4</v>
      </c>
    </row>
    <row r="5" spans="1:6" x14ac:dyDescent="0.35">
      <c r="A5" s="119" t="s">
        <v>626</v>
      </c>
      <c r="B5" s="123">
        <v>974</v>
      </c>
      <c r="C5" s="123">
        <v>976</v>
      </c>
      <c r="D5" s="123">
        <v>305</v>
      </c>
      <c r="E5" s="123">
        <v>344.7</v>
      </c>
      <c r="F5" s="123">
        <v>1280</v>
      </c>
    </row>
    <row r="6" spans="1:6" x14ac:dyDescent="0.35">
      <c r="A6" s="119" t="s">
        <v>627</v>
      </c>
      <c r="B6" s="123">
        <v>974</v>
      </c>
      <c r="C6" s="123">
        <f>C5</f>
        <v>976</v>
      </c>
      <c r="D6" s="123">
        <f t="shared" ref="D6:F6" si="1">D5</f>
        <v>305</v>
      </c>
      <c r="E6" s="123">
        <f t="shared" si="1"/>
        <v>344.7</v>
      </c>
      <c r="F6" s="123">
        <f t="shared" si="1"/>
        <v>1280</v>
      </c>
    </row>
    <row r="7" spans="1:6" x14ac:dyDescent="0.35">
      <c r="A7" s="119" t="s">
        <v>628</v>
      </c>
      <c r="B7" s="125">
        <f>B4/(B2*1000)</f>
        <v>0.48149999999999998</v>
      </c>
      <c r="C7" s="125">
        <f>C4/(C2*1000)</f>
        <v>0.44888888888888889</v>
      </c>
      <c r="D7" s="125">
        <f t="shared" ref="D7:E7" si="2">D4/(D2*1000)</f>
        <v>0.44555</v>
      </c>
      <c r="E7" s="125">
        <f t="shared" si="2"/>
        <v>0.41513684210526314</v>
      </c>
      <c r="F7" s="125">
        <f>F4/(F2*1000)</f>
        <v>0.46504109589041098</v>
      </c>
    </row>
    <row r="8" spans="1:6" x14ac:dyDescent="0.35">
      <c r="A8" s="119" t="s">
        <v>629</v>
      </c>
      <c r="B8" s="125">
        <f>B6/(B2*1000)</f>
        <v>0.24349999999999999</v>
      </c>
      <c r="C8" s="125">
        <f>C6/(C2*1000)</f>
        <v>0.21688888888888888</v>
      </c>
      <c r="D8" s="125">
        <f t="shared" ref="D8" si="3">D6/(D2*1000)</f>
        <v>0.30499999999999999</v>
      </c>
      <c r="E8" s="125">
        <f>E6/(E2*1000)</f>
        <v>0.36284210526315791</v>
      </c>
      <c r="F8" s="125">
        <f>F6/(F2*1000)</f>
        <v>0.35068493150684932</v>
      </c>
    </row>
    <row r="9" spans="1:6" x14ac:dyDescent="0.35">
      <c r="A9" s="119" t="s">
        <v>630</v>
      </c>
      <c r="B9" s="119">
        <v>10</v>
      </c>
      <c r="C9" s="119">
        <v>18</v>
      </c>
      <c r="D9" s="119">
        <v>1</v>
      </c>
      <c r="E9" s="119">
        <v>2</v>
      </c>
      <c r="F9" s="119">
        <v>18</v>
      </c>
    </row>
    <row r="10" spans="1:6" x14ac:dyDescent="0.35">
      <c r="A10" s="119" t="s">
        <v>631</v>
      </c>
      <c r="B10" s="123">
        <f>(B9/12)*4*28.317</f>
        <v>94.39</v>
      </c>
      <c r="C10" s="123">
        <f>(C9/12)*4*28.317</f>
        <v>169.90199999999999</v>
      </c>
      <c r="D10" s="123">
        <f>(D9/12)*4*28.317</f>
        <v>9.4390000000000001</v>
      </c>
      <c r="E10" s="123">
        <f t="shared" ref="E10:F10" si="4">(E9/12)*4*28.317</f>
        <v>18.878</v>
      </c>
      <c r="F10" s="123">
        <f t="shared" si="4"/>
        <v>169.90199999999999</v>
      </c>
    </row>
    <row r="11" spans="1:6" x14ac:dyDescent="0.35">
      <c r="A11" s="119" t="s">
        <v>632</v>
      </c>
      <c r="B11" s="126">
        <f>'Nick''s HLR of % area'!B9</f>
        <v>4.4968125127751342E-2</v>
      </c>
      <c r="C11" s="126">
        <f>B11</f>
        <v>4.4968125127751342E-2</v>
      </c>
      <c r="D11" s="126">
        <f t="shared" ref="D11:F11" si="5">C11</f>
        <v>4.4968125127751342E-2</v>
      </c>
      <c r="E11" s="126">
        <f t="shared" si="5"/>
        <v>4.4968125127751342E-2</v>
      </c>
      <c r="F11" s="126">
        <f t="shared" si="5"/>
        <v>4.4968125127751342E-2</v>
      </c>
    </row>
    <row r="12" spans="1:6" x14ac:dyDescent="0.35">
      <c r="A12" s="119" t="s">
        <v>633</v>
      </c>
      <c r="B12" s="123">
        <f>B10/B11</f>
        <v>2099.042371276199</v>
      </c>
      <c r="C12" s="123">
        <f>C10/C11</f>
        <v>3778.2762682971575</v>
      </c>
      <c r="D12" s="123">
        <f t="shared" ref="D12:F12" si="6">D10/D11</f>
        <v>209.90423712761989</v>
      </c>
      <c r="E12" s="123">
        <f t="shared" si="6"/>
        <v>419.80847425523979</v>
      </c>
      <c r="F12" s="123">
        <f t="shared" si="6"/>
        <v>3778.2762682971575</v>
      </c>
    </row>
    <row r="13" spans="1:6" x14ac:dyDescent="0.35">
      <c r="A13" s="119" t="s">
        <v>634</v>
      </c>
      <c r="B13" s="123">
        <f>C13+B12</f>
        <v>10285.307619253374</v>
      </c>
      <c r="C13" s="123">
        <f>D13+C12</f>
        <v>8186.265247977175</v>
      </c>
      <c r="D13" s="123">
        <f>E13+D12</f>
        <v>4407.9889796800171</v>
      </c>
      <c r="E13" s="123">
        <f>F13+E12</f>
        <v>4198.0847425523971</v>
      </c>
      <c r="F13" s="123">
        <f>G12+F12</f>
        <v>3778.2762682971575</v>
      </c>
    </row>
    <row r="14" spans="1:6" x14ac:dyDescent="0.35">
      <c r="A14" s="119" t="s">
        <v>635</v>
      </c>
      <c r="B14" s="123">
        <f>(B8*B10)/B11</f>
        <v>511.11681740575443</v>
      </c>
      <c r="C14" s="123">
        <f>(C8*C10)/C11</f>
        <v>819.46614174622789</v>
      </c>
      <c r="D14" s="123">
        <f>(D8*D10)/D11</f>
        <v>64.02079232392407</v>
      </c>
      <c r="E14" s="123">
        <f>(E8*E10)/E11</f>
        <v>152.32419060608544</v>
      </c>
      <c r="F14" s="123">
        <f>(F8*F10)/F11</f>
        <v>1324.984554361743</v>
      </c>
    </row>
    <row r="15" spans="1:6" x14ac:dyDescent="0.35">
      <c r="A15" s="119" t="s">
        <v>636</v>
      </c>
      <c r="B15" s="121">
        <f>B14/60</f>
        <v>8.5186136234292409</v>
      </c>
      <c r="C15" s="121">
        <f t="shared" ref="C15:F15" si="7">C14/60</f>
        <v>13.657769029103799</v>
      </c>
      <c r="D15" s="121">
        <f t="shared" si="7"/>
        <v>1.0670132053987345</v>
      </c>
      <c r="E15" s="121">
        <f t="shared" si="7"/>
        <v>2.5387365101014239</v>
      </c>
      <c r="F15" s="121">
        <f t="shared" si="7"/>
        <v>22.083075906029048</v>
      </c>
    </row>
    <row r="16" spans="1:6" x14ac:dyDescent="0.35">
      <c r="B16" s="127" t="s">
        <v>637</v>
      </c>
      <c r="C16" s="119" t="s">
        <v>638</v>
      </c>
    </row>
    <row r="17" spans="1:3" x14ac:dyDescent="0.35">
      <c r="A17" s="119" t="s">
        <v>639</v>
      </c>
      <c r="B17" s="128">
        <f>SUM(C15:E15)</f>
        <v>17.263518744603957</v>
      </c>
      <c r="C17" s="121">
        <f>B17+B15</f>
        <v>25.782132368033196</v>
      </c>
    </row>
    <row r="18" spans="1:3" x14ac:dyDescent="0.35">
      <c r="A18" s="119" t="s">
        <v>640</v>
      </c>
      <c r="B18" s="128">
        <f>SUM(D15:F15)</f>
        <v>25.688825621529205</v>
      </c>
      <c r="C18" s="121">
        <f>B18+B15</f>
        <v>34.207439244958444</v>
      </c>
    </row>
    <row r="21" spans="1:3" x14ac:dyDescent="0.35">
      <c r="A21" s="119" t="s">
        <v>641</v>
      </c>
    </row>
    <row r="22" spans="1:3" x14ac:dyDescent="0.35">
      <c r="A22" s="119" t="s">
        <v>642</v>
      </c>
    </row>
    <row r="23" spans="1:3" x14ac:dyDescent="0.35">
      <c r="A23" s="129" t="s">
        <v>643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FA6453-68C6-474A-9A37-B0C1B4A8BB42}">
  <sheetPr codeName="Sheet20"/>
  <dimension ref="A1:H28"/>
  <sheetViews>
    <sheetView workbookViewId="0">
      <selection activeCell="G20" sqref="G20"/>
    </sheetView>
  </sheetViews>
  <sheetFormatPr defaultColWidth="8.08203125" defaultRowHeight="14.5" x14ac:dyDescent="0.35"/>
  <cols>
    <col min="1" max="1" width="24" style="119" bestFit="1" customWidth="1"/>
    <col min="2" max="2" width="10.9140625" style="119" customWidth="1"/>
    <col min="3" max="3" width="9.5" style="119" customWidth="1"/>
    <col min="4" max="16384" width="8.08203125" style="119"/>
  </cols>
  <sheetData>
    <row r="1" spans="1:8" x14ac:dyDescent="0.35">
      <c r="A1" s="119" t="s">
        <v>644</v>
      </c>
      <c r="B1" s="119">
        <f>'[1]flow rate data 8-10'!Y25</f>
        <v>1.5564240363636364</v>
      </c>
      <c r="C1" s="119">
        <f>B1*28.317</f>
        <v>44.07325943770909</v>
      </c>
      <c r="D1" s="119" t="s">
        <v>569</v>
      </c>
      <c r="E1" s="119">
        <f>C1*60000</f>
        <v>2644395.5662625455</v>
      </c>
      <c r="F1" s="119" t="s">
        <v>575</v>
      </c>
      <c r="H1" s="119" t="s">
        <v>645</v>
      </c>
    </row>
    <row r="2" spans="1:8" x14ac:dyDescent="0.35">
      <c r="A2" s="119" t="s">
        <v>646</v>
      </c>
      <c r="B2" s="119">
        <v>12</v>
      </c>
      <c r="H2" s="130">
        <v>45105</v>
      </c>
    </row>
    <row r="3" spans="1:8" x14ac:dyDescent="0.35">
      <c r="A3" s="119" t="s">
        <v>647</v>
      </c>
      <c r="B3" s="119">
        <f>B2*43560</f>
        <v>522720</v>
      </c>
      <c r="C3" s="119">
        <f>B2*40470000</f>
        <v>485640000</v>
      </c>
      <c r="D3" s="119" t="s">
        <v>574</v>
      </c>
      <c r="H3" s="130">
        <v>45112</v>
      </c>
    </row>
    <row r="4" spans="1:8" x14ac:dyDescent="0.35">
      <c r="A4" s="119" t="s">
        <v>648</v>
      </c>
      <c r="B4" s="119">
        <v>0.75</v>
      </c>
      <c r="C4" s="131">
        <v>0.05</v>
      </c>
    </row>
    <row r="5" spans="1:8" x14ac:dyDescent="0.35">
      <c r="A5" s="119" t="s">
        <v>660</v>
      </c>
      <c r="B5" s="119">
        <f>B3*(B4/100)</f>
        <v>3920.3999999999996</v>
      </c>
      <c r="C5" s="119">
        <f>C3*C4</f>
        <v>24282000</v>
      </c>
      <c r="D5" s="119" t="s">
        <v>574</v>
      </c>
    </row>
    <row r="6" spans="1:8" x14ac:dyDescent="0.35">
      <c r="A6" s="119" t="s">
        <v>649</v>
      </c>
      <c r="B6" s="119">
        <f>B1/B5</f>
        <v>3.9700643719101021E-4</v>
      </c>
      <c r="C6" s="119" t="s">
        <v>374</v>
      </c>
      <c r="D6" s="119" t="s">
        <v>650</v>
      </c>
      <c r="E6" s="119" t="s">
        <v>651</v>
      </c>
    </row>
    <row r="7" spans="1:8" x14ac:dyDescent="0.35">
      <c r="A7" s="119" t="s">
        <v>652</v>
      </c>
      <c r="B7" s="119">
        <f>B6*12*2.54</f>
        <v>1.2100756205581991E-2</v>
      </c>
      <c r="C7" s="119">
        <f>E1/C5</f>
        <v>0.1089035320921895</v>
      </c>
      <c r="D7" s="119">
        <f>C7*60</f>
        <v>6.5342119255313698</v>
      </c>
      <c r="E7" s="119">
        <f>D7/2.54</f>
        <v>2.5725243801304605</v>
      </c>
    </row>
    <row r="8" spans="1:8" x14ac:dyDescent="0.35">
      <c r="A8" s="119" t="s">
        <v>653</v>
      </c>
      <c r="B8" s="119">
        <f>B6*4</f>
        <v>1.5880257487640409E-3</v>
      </c>
    </row>
    <row r="9" spans="1:8" x14ac:dyDescent="0.35">
      <c r="A9" s="119" t="s">
        <v>654</v>
      </c>
      <c r="B9" s="119">
        <f>B8*28.317</f>
        <v>4.4968125127751342E-2</v>
      </c>
    </row>
    <row r="10" spans="1:8" x14ac:dyDescent="0.35">
      <c r="A10" s="119" t="s">
        <v>655</v>
      </c>
      <c r="B10" s="119">
        <f>4/B9</f>
        <v>88.951896229524266</v>
      </c>
    </row>
    <row r="11" spans="1:8" x14ac:dyDescent="0.35">
      <c r="A11" s="119" t="s">
        <v>656</v>
      </c>
      <c r="B11" s="119">
        <f>0.1/B9</f>
        <v>2.2237974057381069</v>
      </c>
    </row>
    <row r="14" spans="1:8" x14ac:dyDescent="0.35">
      <c r="A14" s="127"/>
      <c r="B14" s="119" t="s">
        <v>618</v>
      </c>
      <c r="C14" s="119" t="s">
        <v>619</v>
      </c>
      <c r="D14" s="172" t="s">
        <v>657</v>
      </c>
    </row>
    <row r="15" spans="1:8" x14ac:dyDescent="0.35">
      <c r="A15" s="119" t="s">
        <v>623</v>
      </c>
      <c r="B15" s="119">
        <v>4</v>
      </c>
      <c r="C15" s="119">
        <v>4.5</v>
      </c>
      <c r="D15" s="172"/>
    </row>
    <row r="16" spans="1:8" x14ac:dyDescent="0.35">
      <c r="A16" s="119" t="s">
        <v>624</v>
      </c>
      <c r="B16" s="119">
        <v>1926</v>
      </c>
      <c r="C16" s="119">
        <f>468+478+468+522+160+132-136-72</f>
        <v>2020</v>
      </c>
      <c r="D16" s="172"/>
    </row>
    <row r="17" spans="1:4" x14ac:dyDescent="0.35">
      <c r="A17" s="119" t="s">
        <v>625</v>
      </c>
      <c r="B17" s="119">
        <f>B16</f>
        <v>1926</v>
      </c>
      <c r="C17" s="119">
        <f>C16</f>
        <v>2020</v>
      </c>
      <c r="D17" s="172"/>
    </row>
    <row r="18" spans="1:4" x14ac:dyDescent="0.35">
      <c r="A18" s="119" t="s">
        <v>626</v>
      </c>
      <c r="B18" s="119">
        <v>974</v>
      </c>
      <c r="C18" s="119">
        <v>976</v>
      </c>
      <c r="D18" s="172"/>
    </row>
    <row r="19" spans="1:4" x14ac:dyDescent="0.35">
      <c r="A19" s="119" t="s">
        <v>627</v>
      </c>
      <c r="B19" s="119">
        <v>974</v>
      </c>
      <c r="C19" s="119">
        <f>C18</f>
        <v>976</v>
      </c>
      <c r="D19" s="172"/>
    </row>
    <row r="20" spans="1:4" x14ac:dyDescent="0.35">
      <c r="A20" s="119" t="s">
        <v>628</v>
      </c>
      <c r="B20" s="119">
        <f>B17/(B15*1000)</f>
        <v>0.48149999999999998</v>
      </c>
      <c r="C20" s="119">
        <f>C17/(C15*1000)</f>
        <v>0.44888888888888889</v>
      </c>
      <c r="D20" s="119">
        <v>0.37</v>
      </c>
    </row>
    <row r="21" spans="1:4" x14ac:dyDescent="0.35">
      <c r="A21" s="119" t="s">
        <v>629</v>
      </c>
      <c r="B21" s="119">
        <f>B19/(B15*1000)</f>
        <v>0.24349999999999999</v>
      </c>
      <c r="C21" s="119">
        <f>C19/(C15*1000)</f>
        <v>0.21688888888888888</v>
      </c>
      <c r="D21" s="119">
        <v>0.37</v>
      </c>
    </row>
    <row r="22" spans="1:4" x14ac:dyDescent="0.35">
      <c r="A22" s="119" t="s">
        <v>631</v>
      </c>
      <c r="B22" s="119">
        <v>85</v>
      </c>
      <c r="C22" s="119">
        <v>164.7</v>
      </c>
      <c r="D22" s="119">
        <v>25</v>
      </c>
    </row>
    <row r="23" spans="1:4" x14ac:dyDescent="0.35">
      <c r="A23" s="119" t="s">
        <v>632</v>
      </c>
      <c r="B23" s="126">
        <f>B9</f>
        <v>4.4968125127751342E-2</v>
      </c>
      <c r="C23" s="126">
        <f>B9</f>
        <v>4.4968125127751342E-2</v>
      </c>
      <c r="D23" s="126">
        <f>C23</f>
        <v>4.4968125127751342E-2</v>
      </c>
    </row>
    <row r="24" spans="1:4" x14ac:dyDescent="0.35">
      <c r="A24" s="119" t="s">
        <v>633</v>
      </c>
      <c r="B24" s="119">
        <f>B22/B23</f>
        <v>1890.2277948773906</v>
      </c>
      <c r="C24" s="119">
        <f>C22/C23</f>
        <v>3662.5943272506615</v>
      </c>
      <c r="D24" s="119">
        <f>D22/D23</f>
        <v>555.94935143452665</v>
      </c>
    </row>
    <row r="25" spans="1:4" x14ac:dyDescent="0.35">
      <c r="A25" s="119" t="s">
        <v>634</v>
      </c>
      <c r="B25" s="119">
        <f>C25+B24</f>
        <v>6108.7714735625786</v>
      </c>
      <c r="C25" s="119">
        <f>D25+C24</f>
        <v>4218.5436786851878</v>
      </c>
      <c r="D25" s="119">
        <f>D24</f>
        <v>555.94935143452665</v>
      </c>
    </row>
    <row r="26" spans="1:4" x14ac:dyDescent="0.35">
      <c r="A26" s="119" t="s">
        <v>635</v>
      </c>
      <c r="B26" s="119">
        <f>(B21*B22)/B23</f>
        <v>460.27046805264456</v>
      </c>
      <c r="C26" s="119">
        <f>(C21*C22)/C23</f>
        <v>794.37601408814339</v>
      </c>
      <c r="D26" s="119">
        <f>(D21*D22)/D23</f>
        <v>205.70126003077488</v>
      </c>
    </row>
    <row r="27" spans="1:4" x14ac:dyDescent="0.35">
      <c r="A27" s="119" t="s">
        <v>658</v>
      </c>
      <c r="B27" s="119">
        <f>B26+C27</f>
        <v>1460.3477421715629</v>
      </c>
      <c r="C27" s="119">
        <f>C26+D27</f>
        <v>1000.0772741189182</v>
      </c>
      <c r="D27" s="119">
        <f>D26</f>
        <v>205.70126003077488</v>
      </c>
    </row>
    <row r="28" spans="1:4" x14ac:dyDescent="0.35">
      <c r="A28" s="119" t="s">
        <v>659</v>
      </c>
      <c r="B28" s="119">
        <f t="shared" ref="B28" si="0">B27/60</f>
        <v>24.339129036192716</v>
      </c>
      <c r="C28" s="127">
        <f>C27/60</f>
        <v>16.667954568648636</v>
      </c>
      <c r="D28" s="119">
        <f>D27/60</f>
        <v>3.4283543338462481</v>
      </c>
    </row>
  </sheetData>
  <mergeCells count="1">
    <mergeCell ref="D14:D19"/>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471234-E3AD-410C-BED0-6FFE517637B9}">
  <sheetPr codeName="Sheet21">
    <tabColor theme="8" tint="0.39997558519241921"/>
  </sheetPr>
  <dimension ref="A1:AT87"/>
  <sheetViews>
    <sheetView topLeftCell="B4" zoomScale="75" zoomScaleNormal="75" workbookViewId="0">
      <selection activeCell="L29" sqref="L29"/>
    </sheetView>
  </sheetViews>
  <sheetFormatPr defaultColWidth="11" defaultRowHeight="15.5" x14ac:dyDescent="0.35"/>
  <cols>
    <col min="1" max="1" width="14.6640625" style="65" customWidth="1"/>
    <col min="2" max="2" width="12.08203125" style="4" customWidth="1"/>
    <col min="3" max="3" width="41.33203125" style="4" customWidth="1"/>
    <col min="4" max="4" width="8.5" style="4" customWidth="1"/>
    <col min="5" max="22" width="11" style="4"/>
    <col min="24" max="24" width="17" customWidth="1"/>
  </cols>
  <sheetData>
    <row r="1" spans="1:45" ht="23.5" x14ac:dyDescent="0.35">
      <c r="A1" s="50" t="s">
        <v>467</v>
      </c>
      <c r="C1" s="26" t="s">
        <v>468</v>
      </c>
      <c r="F1" s="70" t="s">
        <v>23</v>
      </c>
      <c r="G1" s="26" t="s">
        <v>527</v>
      </c>
    </row>
    <row r="2" spans="1:45" ht="49.5" customHeight="1" x14ac:dyDescent="0.35">
      <c r="A2" s="18"/>
      <c r="B2" s="18" t="s">
        <v>433</v>
      </c>
      <c r="C2" s="18" t="s">
        <v>466</v>
      </c>
      <c r="D2" s="18" t="s">
        <v>497</v>
      </c>
      <c r="E2" s="18" t="s">
        <v>387</v>
      </c>
      <c r="F2" s="18" t="s">
        <v>404</v>
      </c>
      <c r="G2" s="18" t="s">
        <v>454</v>
      </c>
      <c r="H2" s="18">
        <v>0</v>
      </c>
      <c r="I2" s="18">
        <v>30</v>
      </c>
      <c r="J2" s="18">
        <v>60</v>
      </c>
      <c r="K2" s="18">
        <v>90</v>
      </c>
      <c r="L2" s="18">
        <v>120</v>
      </c>
      <c r="M2" s="18">
        <v>150</v>
      </c>
      <c r="N2" s="18">
        <v>180</v>
      </c>
      <c r="O2" s="19" t="s">
        <v>340</v>
      </c>
      <c r="P2" s="19" t="s">
        <v>547</v>
      </c>
      <c r="Q2" s="19" t="s">
        <v>340</v>
      </c>
      <c r="R2" s="19" t="s">
        <v>341</v>
      </c>
      <c r="S2" s="19" t="s">
        <v>342</v>
      </c>
      <c r="T2" s="19" t="s">
        <v>547</v>
      </c>
      <c r="U2" s="19" t="s">
        <v>475</v>
      </c>
      <c r="V2" s="19" t="s">
        <v>533</v>
      </c>
    </row>
    <row r="3" spans="1:45" x14ac:dyDescent="0.35">
      <c r="A3" s="41">
        <f>IFERROR(INDEX('Date Key'!$B$2:$B$19, MATCH(F3,'Date Key'!$A$2:$A$19, 0)), "")</f>
        <v>45175</v>
      </c>
      <c r="B3" s="4">
        <f>INT((ROW(A1)-1)/9)+1</f>
        <v>1</v>
      </c>
      <c r="C3" s="26" t="str">
        <f>IFERROR(INDEX('Date Key'!$G$57:$G$62, MATCH(B3,'Date Key'!$A$57:$A$62, 0)), "")</f>
        <v>Low HLR, Lower Outlet Height, No Plants</v>
      </c>
      <c r="D3" s="4" t="str">
        <f>IFERROR(INDEX('Date Key'!$G$2:$G$19, MATCH(F3, 'Date Key'!$A$2:$A$19, 0)), "")</f>
        <v>No</v>
      </c>
      <c r="E3" s="4" t="str">
        <f>CHOOSE(MOD(ROW(G3)-ROW($G$3), 9) + 1, "in", "in", "in", "tank 1", "tank 1", "tank 1", "tank 2", "tank 2", "tank 2")</f>
        <v>in</v>
      </c>
      <c r="F3" s="4">
        <f>MOD(ROW(G3)-ROW($G$3), 3) + 1 + 3 * INT((ROW(G3)-ROW($G$3))/9)</f>
        <v>1</v>
      </c>
      <c r="G3" s="4">
        <f>MOD(ROW(G3)-ROW($G$3), 3) + 1</f>
        <v>1</v>
      </c>
      <c r="H3" s="11" cm="1">
        <f t="array" ref="H3">IFERROR(INDEX('Master Data Sheet'!$1:$1048576, MATCH(1, ('Master Data Sheet'!$H:$H=H$2) * (INDEX('Master Data Sheet'!$1:$1, , MATCH($F$1, 'Master Data Sheet'!$1:$1, 0)) = $F$1) * ('Master Data Sheet'!$G:$G=$B3) * ('Master Data Sheet'!$F:$F=$E3) * ('Master Data Sheet'!$A:$A=$F3), 0), MATCH($F$1, 'Master Data Sheet'!$1:$1, 0)), "")</f>
        <v>0</v>
      </c>
      <c r="I3" s="11" cm="1">
        <f t="array" ref="I3">IFERROR(INDEX('Master Data Sheet'!$1:$1048576, MATCH(1, ('Master Data Sheet'!$H:$H=I$2) * (INDEX('Master Data Sheet'!$1:$1, , MATCH($F$1, 'Master Data Sheet'!$1:$1, 0)) = $F$1) * ('Master Data Sheet'!$G:$G=$B3) * ('Master Data Sheet'!$F:$F=$E3) * ('Master Data Sheet'!$A:$A=$F3), 0), MATCH($F$1, 'Master Data Sheet'!$1:$1, 0)), "")</f>
        <v>0</v>
      </c>
      <c r="J3" s="11" cm="1">
        <f t="array" ref="J3">IFERROR(INDEX('Master Data Sheet'!$1:$1048576, MATCH(1, ('Master Data Sheet'!$H:$H=J$2) * (INDEX('Master Data Sheet'!$1:$1, , MATCH($F$1, 'Master Data Sheet'!$1:$1, 0)) = $F$1) * ('Master Data Sheet'!$G:$G=$B3) * ('Master Data Sheet'!$F:$F=$E3) * ('Master Data Sheet'!$A:$A=$F3), 0), MATCH($F$1, 'Master Data Sheet'!$1:$1, 0)), "")</f>
        <v>0</v>
      </c>
      <c r="K3" s="11" cm="1">
        <f t="array" ref="K3">IFERROR(INDEX('Master Data Sheet'!$1:$1048576, MATCH(1, ('Master Data Sheet'!$H:$H=K$2) * (INDEX('Master Data Sheet'!$1:$1, , MATCH($F$1, 'Master Data Sheet'!$1:$1, 0)) = $F$1) * ('Master Data Sheet'!$G:$G=$B3) * ('Master Data Sheet'!$F:$F=$E3) * ('Master Data Sheet'!$A:$A=$F3), 0), MATCH($F$1, 'Master Data Sheet'!$1:$1, 0)), "")</f>
        <v>0</v>
      </c>
      <c r="L3" s="11" cm="1">
        <f t="array" ref="L3">IFERROR(INDEX('Master Data Sheet'!$1:$1048576, MATCH(1, ('Master Data Sheet'!$H:$H=L$2) * (INDEX('Master Data Sheet'!$1:$1, , MATCH($F$1, 'Master Data Sheet'!$1:$1, 0)) = $F$1) * ('Master Data Sheet'!$G:$G=$B3) * ('Master Data Sheet'!$F:$F=$E3) * ('Master Data Sheet'!$A:$A=$F3), 0), MATCH($F$1, 'Master Data Sheet'!$1:$1, 0)), "")</f>
        <v>0</v>
      </c>
      <c r="M3" s="11" cm="1">
        <f t="array" ref="M3">IFERROR(INDEX('Master Data Sheet'!$1:$1048576, MATCH(1, ('Master Data Sheet'!$H:$H=M$2) * (INDEX('Master Data Sheet'!$1:$1, , MATCH($F$1, 'Master Data Sheet'!$1:$1, 0)) = $F$1) * ('Master Data Sheet'!$G:$G=$B3) * ('Master Data Sheet'!$F:$F=$E3) * ('Master Data Sheet'!$A:$A=$F3), 0), MATCH($F$1, 'Master Data Sheet'!$1:$1, 0)), "")</f>
        <v>0</v>
      </c>
      <c r="N3" s="11" cm="1">
        <f t="array" ref="N3">IFERROR(INDEX('Master Data Sheet'!$1:$1048576, MATCH(1, ('Master Data Sheet'!$H:$H=N$2) * (INDEX('Master Data Sheet'!$1:$1, , MATCH($F$1, 'Master Data Sheet'!$1:$1, 0)) = $F$1) * ('Master Data Sheet'!$G:$G=$B3) * ('Master Data Sheet'!$F:$F=$E3) * ('Master Data Sheet'!$A:$A=$F3), 0), MATCH($F$1, 'Master Data Sheet'!$1:$1, 0)), "")</f>
        <v>0</v>
      </c>
      <c r="O3" s="11">
        <f>AVERAGE(H3:N3)</f>
        <v>0</v>
      </c>
      <c r="P3" s="11">
        <f>STDEV(H3:N3)</f>
        <v>0</v>
      </c>
      <c r="Q3" s="11">
        <f>AVERAGE(O3,O5)</f>
        <v>0</v>
      </c>
      <c r="S3" s="46">
        <f>AVERAGE(O3:O5)</f>
        <v>0</v>
      </c>
      <c r="T3" s="46">
        <f>AVERAGE(P3:P5)</f>
        <v>0</v>
      </c>
      <c r="V3" s="47" t="e">
        <f>AVERAGE(U6, U9)</f>
        <v>#DIV/0!</v>
      </c>
      <c r="X3" t="s">
        <v>343</v>
      </c>
    </row>
    <row r="4" spans="1:45" x14ac:dyDescent="0.35">
      <c r="A4" s="41">
        <f>IFERROR(INDEX('Date Key'!$B$2:$B$19, MATCH(F4,'Date Key'!$A$2:$A$19, 0)), "")</f>
        <v>45181</v>
      </c>
      <c r="B4" s="4">
        <f t="shared" ref="B4:B11" si="0">INT((ROW(B2)-1)/9)+1</f>
        <v>1</v>
      </c>
      <c r="C4" s="26" t="str">
        <f>IFERROR(INDEX('Date Key'!$G$57:$G$62, MATCH(B4,'Date Key'!$A$57:$A$62, 0)), "")</f>
        <v>Low HLR, Lower Outlet Height, No Plants</v>
      </c>
      <c r="D4" s="4" t="str">
        <f>IFERROR(INDEX('Date Key'!$G$2:$G$19, MATCH(F4, 'Date Key'!$A$2:$A$19, 0)), "")</f>
        <v>No</v>
      </c>
      <c r="E4" s="4" t="str">
        <f t="shared" ref="E4:E56" si="1">CHOOSE(MOD(ROW(G4)-ROW($G$3), 9) + 1, "in", "in", "in", "tank 1", "tank 1", "tank 1", "tank 2", "tank 2", "tank 2")</f>
        <v>in</v>
      </c>
      <c r="F4" s="4">
        <f t="shared" ref="F4:F56" si="2">MOD(ROW(G4)-ROW($G$3), 3) + 1 + 3 * INT((ROW(G4)-ROW($G$3))/9)</f>
        <v>2</v>
      </c>
      <c r="G4" s="4">
        <f t="shared" ref="G4:G15" si="3">MOD(ROW(G4)-ROW($G$3), 3) + 1</f>
        <v>2</v>
      </c>
      <c r="H4" s="11" cm="1">
        <f t="array" ref="H4">IFERROR(INDEX('Master Data Sheet'!$1:$1048576, MATCH(1, ('Master Data Sheet'!$H:$H=H$2) * (INDEX('Master Data Sheet'!$1:$1, , MATCH($F$1, 'Master Data Sheet'!$1:$1, 0)) = $F$1) * ('Master Data Sheet'!$G:$G=$B4) * ('Master Data Sheet'!$F:$F=$E4) * ('Master Data Sheet'!$A:$A=$F4), 0), MATCH($F$1, 'Master Data Sheet'!$1:$1, 0)), "")</f>
        <v>0</v>
      </c>
      <c r="I4" s="11" cm="1">
        <f t="array" ref="I4">IFERROR(INDEX('Master Data Sheet'!$1:$1048576, MATCH(1, ('Master Data Sheet'!$H:$H=I$2) * (INDEX('Master Data Sheet'!$1:$1, , MATCH($F$1, 'Master Data Sheet'!$1:$1, 0)) = $F$1) * ('Master Data Sheet'!$G:$G=$B4) * ('Master Data Sheet'!$F:$F=$E4) * ('Master Data Sheet'!$A:$A=$F4), 0), MATCH($F$1, 'Master Data Sheet'!$1:$1, 0)), "")</f>
        <v>0</v>
      </c>
      <c r="J4" s="11" cm="1">
        <f t="array" ref="J4">IFERROR(INDEX('Master Data Sheet'!$1:$1048576, MATCH(1, ('Master Data Sheet'!$H:$H=J$2) * (INDEX('Master Data Sheet'!$1:$1, , MATCH($F$1, 'Master Data Sheet'!$1:$1, 0)) = $F$1) * ('Master Data Sheet'!$G:$G=$B4) * ('Master Data Sheet'!$F:$F=$E4) * ('Master Data Sheet'!$A:$A=$F4), 0), MATCH($F$1, 'Master Data Sheet'!$1:$1, 0)), "")</f>
        <v>0</v>
      </c>
      <c r="K4" s="11" cm="1">
        <f t="array" ref="K4">IFERROR(INDEX('Master Data Sheet'!$1:$1048576, MATCH(1, ('Master Data Sheet'!$H:$H=K$2) * (INDEX('Master Data Sheet'!$1:$1, , MATCH($F$1, 'Master Data Sheet'!$1:$1, 0)) = $F$1) * ('Master Data Sheet'!$G:$G=$B4) * ('Master Data Sheet'!$F:$F=$E4) * ('Master Data Sheet'!$A:$A=$F4), 0), MATCH($F$1, 'Master Data Sheet'!$1:$1, 0)), "")</f>
        <v>0</v>
      </c>
      <c r="L4" s="11" cm="1">
        <f t="array" ref="L4">IFERROR(INDEX('Master Data Sheet'!$1:$1048576, MATCH(1, ('Master Data Sheet'!$H:$H=L$2) * (INDEX('Master Data Sheet'!$1:$1, , MATCH($F$1, 'Master Data Sheet'!$1:$1, 0)) = $F$1) * ('Master Data Sheet'!$G:$G=$B4) * ('Master Data Sheet'!$F:$F=$E4) * ('Master Data Sheet'!$A:$A=$F4), 0), MATCH($F$1, 'Master Data Sheet'!$1:$1, 0)), "")</f>
        <v>0</v>
      </c>
      <c r="M4" s="11" cm="1">
        <f t="array" ref="M4">IFERROR(INDEX('Master Data Sheet'!$1:$1048576, MATCH(1, ('Master Data Sheet'!$H:$H=M$2) * (INDEX('Master Data Sheet'!$1:$1, , MATCH($F$1, 'Master Data Sheet'!$1:$1, 0)) = $F$1) * ('Master Data Sheet'!$G:$G=$B4) * ('Master Data Sheet'!$F:$F=$E4) * ('Master Data Sheet'!$A:$A=$F4), 0), MATCH($F$1, 'Master Data Sheet'!$1:$1, 0)), "")</f>
        <v>0</v>
      </c>
      <c r="N4" s="11" cm="1">
        <f t="array" ref="N4">IFERROR(INDEX('Master Data Sheet'!$1:$1048576, MATCH(1, ('Master Data Sheet'!$H:$H=N$2) * (INDEX('Master Data Sheet'!$1:$1, , MATCH($F$1, 'Master Data Sheet'!$1:$1, 0)) = $F$1) * ('Master Data Sheet'!$G:$G=$B4) * ('Master Data Sheet'!$F:$F=$E4) * ('Master Data Sheet'!$A:$A=$F4), 0), MATCH($F$1, 'Master Data Sheet'!$1:$1, 0)), "")</f>
        <v>0</v>
      </c>
      <c r="O4" s="11">
        <f>AVERAGE(H4:N4)</f>
        <v>0</v>
      </c>
      <c r="P4" s="11">
        <f t="shared" ref="P4:P56" si="4">STDEV(H4:N4)</f>
        <v>0</v>
      </c>
      <c r="Q4" s="11"/>
      <c r="X4" t="str">
        <f>IFERROR(INDEX('Date Key'!$G$57:$G$62, MATCH(B3,'Date Key'!$A$57:$A$62, 0)), "")</f>
        <v>Low HLR, Lower Outlet Height, No Plants</v>
      </c>
      <c r="Y4" s="1">
        <f t="shared" ref="Y4:AE4" si="5">H3</f>
        <v>0</v>
      </c>
      <c r="Z4" s="1">
        <f t="shared" si="5"/>
        <v>0</v>
      </c>
      <c r="AA4" s="1">
        <f t="shared" si="5"/>
        <v>0</v>
      </c>
      <c r="AB4" s="1">
        <f t="shared" si="5"/>
        <v>0</v>
      </c>
      <c r="AC4" s="1">
        <f t="shared" si="5"/>
        <v>0</v>
      </c>
      <c r="AD4" s="1">
        <f t="shared" si="5"/>
        <v>0</v>
      </c>
      <c r="AE4" s="1">
        <f t="shared" si="5"/>
        <v>0</v>
      </c>
      <c r="AF4" s="1">
        <f t="shared" ref="AF4:AL4" si="6">H4</f>
        <v>0</v>
      </c>
      <c r="AG4" s="1">
        <f t="shared" si="6"/>
        <v>0</v>
      </c>
      <c r="AH4" s="1">
        <f t="shared" si="6"/>
        <v>0</v>
      </c>
      <c r="AI4" s="1">
        <f t="shared" si="6"/>
        <v>0</v>
      </c>
      <c r="AJ4" s="1">
        <f t="shared" si="6"/>
        <v>0</v>
      </c>
      <c r="AK4" s="1">
        <f t="shared" si="6"/>
        <v>0</v>
      </c>
      <c r="AL4" s="1">
        <f t="shared" si="6"/>
        <v>0</v>
      </c>
      <c r="AM4" s="1">
        <f t="shared" ref="AM4:AS4" si="7">H5</f>
        <v>0</v>
      </c>
      <c r="AN4" s="1">
        <f t="shared" si="7"/>
        <v>0</v>
      </c>
      <c r="AO4" s="1">
        <f t="shared" si="7"/>
        <v>0</v>
      </c>
      <c r="AP4" s="1">
        <f t="shared" si="7"/>
        <v>0</v>
      </c>
      <c r="AQ4" s="1">
        <f t="shared" si="7"/>
        <v>0</v>
      </c>
      <c r="AR4" s="1">
        <f t="shared" si="7"/>
        <v>0</v>
      </c>
      <c r="AS4" s="1">
        <f t="shared" si="7"/>
        <v>0</v>
      </c>
    </row>
    <row r="5" spans="1:45" x14ac:dyDescent="0.35">
      <c r="A5" s="41">
        <f>IFERROR(INDEX('Date Key'!$B$2:$B$19, MATCH(F5,'Date Key'!$A$2:$A$19, 0)), "")</f>
        <v>45195</v>
      </c>
      <c r="B5" s="4">
        <f t="shared" si="0"/>
        <v>1</v>
      </c>
      <c r="C5" s="26" t="str">
        <f>IFERROR(INDEX('Date Key'!$G$57:$G$62, MATCH(B5,'Date Key'!$A$57:$A$62, 0)), "")</f>
        <v>Low HLR, Lower Outlet Height, No Plants</v>
      </c>
      <c r="D5" s="4" t="str">
        <f>IFERROR(INDEX('Date Key'!$G$2:$G$19, MATCH(F5, 'Date Key'!$A$2:$A$19, 0)), "")</f>
        <v>No</v>
      </c>
      <c r="E5" s="4" t="str">
        <f t="shared" si="1"/>
        <v>in</v>
      </c>
      <c r="F5" s="4">
        <f t="shared" si="2"/>
        <v>3</v>
      </c>
      <c r="G5" s="4">
        <f t="shared" si="3"/>
        <v>3</v>
      </c>
      <c r="H5" s="11" cm="1">
        <f t="array" ref="H5">IFERROR(INDEX('Master Data Sheet'!$1:$1048576, MATCH(1, ('Master Data Sheet'!$H:$H=H$2) * (INDEX('Master Data Sheet'!$1:$1, , MATCH($F$1, 'Master Data Sheet'!$1:$1, 0)) = $F$1) * ('Master Data Sheet'!$G:$G=$B5) * ('Master Data Sheet'!$F:$F=$E5) * ('Master Data Sheet'!$A:$A=$F5), 0), MATCH($F$1, 'Master Data Sheet'!$1:$1, 0)), "")</f>
        <v>0</v>
      </c>
      <c r="I5" s="11" cm="1">
        <f t="array" ref="I5">IFERROR(INDEX('Master Data Sheet'!$1:$1048576, MATCH(1, ('Master Data Sheet'!$H:$H=I$2) * (INDEX('Master Data Sheet'!$1:$1, , MATCH($F$1, 'Master Data Sheet'!$1:$1, 0)) = $F$1) * ('Master Data Sheet'!$G:$G=$B5) * ('Master Data Sheet'!$F:$F=$E5) * ('Master Data Sheet'!$A:$A=$F5), 0), MATCH($F$1, 'Master Data Sheet'!$1:$1, 0)), "")</f>
        <v>0</v>
      </c>
      <c r="J5" s="11" cm="1">
        <f t="array" ref="J5">IFERROR(INDEX('Master Data Sheet'!$1:$1048576, MATCH(1, ('Master Data Sheet'!$H:$H=J$2) * (INDEX('Master Data Sheet'!$1:$1, , MATCH($F$1, 'Master Data Sheet'!$1:$1, 0)) = $F$1) * ('Master Data Sheet'!$G:$G=$B5) * ('Master Data Sheet'!$F:$F=$E5) * ('Master Data Sheet'!$A:$A=$F5), 0), MATCH($F$1, 'Master Data Sheet'!$1:$1, 0)), "")</f>
        <v>0</v>
      </c>
      <c r="K5" s="11" cm="1">
        <f t="array" ref="K5">IFERROR(INDEX('Master Data Sheet'!$1:$1048576, MATCH(1, ('Master Data Sheet'!$H:$H=K$2) * (INDEX('Master Data Sheet'!$1:$1, , MATCH($F$1, 'Master Data Sheet'!$1:$1, 0)) = $F$1) * ('Master Data Sheet'!$G:$G=$B5) * ('Master Data Sheet'!$F:$F=$E5) * ('Master Data Sheet'!$A:$A=$F5), 0), MATCH($F$1, 'Master Data Sheet'!$1:$1, 0)), "")</f>
        <v>0</v>
      </c>
      <c r="L5" s="11" cm="1">
        <f t="array" ref="L5">IFERROR(INDEX('Master Data Sheet'!$1:$1048576, MATCH(1, ('Master Data Sheet'!$H:$H=L$2) * (INDEX('Master Data Sheet'!$1:$1, , MATCH($F$1, 'Master Data Sheet'!$1:$1, 0)) = $F$1) * ('Master Data Sheet'!$G:$G=$B5) * ('Master Data Sheet'!$F:$F=$E5) * ('Master Data Sheet'!$A:$A=$F5), 0), MATCH($F$1, 'Master Data Sheet'!$1:$1, 0)), "")</f>
        <v>0</v>
      </c>
      <c r="M5" s="11" cm="1">
        <f t="array" ref="M5">IFERROR(INDEX('Master Data Sheet'!$1:$1048576, MATCH(1, ('Master Data Sheet'!$H:$H=M$2) * (INDEX('Master Data Sheet'!$1:$1, , MATCH($F$1, 'Master Data Sheet'!$1:$1, 0)) = $F$1) * ('Master Data Sheet'!$G:$G=$B5) * ('Master Data Sheet'!$F:$F=$E5) * ('Master Data Sheet'!$A:$A=$F5), 0), MATCH($F$1, 'Master Data Sheet'!$1:$1, 0)), "")</f>
        <v>0</v>
      </c>
      <c r="N5" s="11" cm="1">
        <f t="array" ref="N5">IFERROR(INDEX('Master Data Sheet'!$1:$1048576, MATCH(1, ('Master Data Sheet'!$H:$H=N$2) * (INDEX('Master Data Sheet'!$1:$1, , MATCH($F$1, 'Master Data Sheet'!$1:$1, 0)) = $F$1) * ('Master Data Sheet'!$G:$G=$B5) * ('Master Data Sheet'!$F:$F=$E5) * ('Master Data Sheet'!$A:$A=$F5), 0), MATCH($F$1, 'Master Data Sheet'!$1:$1, 0)), "")</f>
        <v>0</v>
      </c>
      <c r="O5" s="11">
        <f>AVERAGE(H5:N5)</f>
        <v>0</v>
      </c>
      <c r="P5" s="11">
        <f t="shared" si="4"/>
        <v>0</v>
      </c>
      <c r="Q5" s="11"/>
      <c r="Y5" s="1"/>
      <c r="Z5" s="1"/>
      <c r="AA5" s="1"/>
      <c r="AB5" s="1"/>
      <c r="AC5" s="1"/>
      <c r="AD5" s="1"/>
      <c r="AE5" s="1"/>
      <c r="AF5" s="1"/>
      <c r="AG5" s="1"/>
      <c r="AH5" s="1"/>
      <c r="AI5" s="1"/>
      <c r="AJ5" s="1"/>
      <c r="AK5" s="1"/>
      <c r="AL5" s="1"/>
      <c r="AM5" s="1"/>
      <c r="AN5" s="1"/>
      <c r="AO5" s="1"/>
      <c r="AP5" s="1"/>
      <c r="AQ5" s="1"/>
      <c r="AR5" s="1"/>
      <c r="AS5" s="1"/>
    </row>
    <row r="6" spans="1:45" x14ac:dyDescent="0.35">
      <c r="A6" s="41">
        <f>IFERROR(INDEX('Date Key'!$B$2:$B$19, MATCH(F6,'Date Key'!$A$2:$A$19, 0)), "")</f>
        <v>45175</v>
      </c>
      <c r="B6" s="4">
        <f t="shared" si="0"/>
        <v>1</v>
      </c>
      <c r="C6" s="26" t="str">
        <f>IFERROR(INDEX('Date Key'!$G$57:$G$62, MATCH(B6,'Date Key'!$A$57:$A$62, 0)), "")</f>
        <v>Low HLR, Lower Outlet Height, No Plants</v>
      </c>
      <c r="D6" s="4" t="str">
        <f>IFERROR(INDEX('Date Key'!$G$2:$G$19, MATCH(F6, 'Date Key'!$A$2:$A$19, 0)), "")</f>
        <v>No</v>
      </c>
      <c r="E6" s="4" t="str">
        <f t="shared" si="1"/>
        <v>tank 1</v>
      </c>
      <c r="F6" s="4">
        <f t="shared" si="2"/>
        <v>1</v>
      </c>
      <c r="G6" s="4">
        <f t="shared" si="3"/>
        <v>1</v>
      </c>
      <c r="H6" s="11" cm="1">
        <f t="array" ref="H6">IFERROR(INDEX('Master Data Sheet'!$1:$1048576, MATCH(1, ('Master Data Sheet'!$H:$H=H$2) * (INDEX('Master Data Sheet'!$1:$1, , MATCH($F$1, 'Master Data Sheet'!$1:$1, 0)) = $F$1) * ('Master Data Sheet'!$G:$G=$B6) * ('Master Data Sheet'!$F:$F=$E6) * ('Master Data Sheet'!$A:$A=$F6), 0), MATCH($F$1, 'Master Data Sheet'!$1:$1, 0)), "")</f>
        <v>0</v>
      </c>
      <c r="I6" s="11" cm="1">
        <f t="array" ref="I6">IFERROR(INDEX('Master Data Sheet'!$1:$1048576, MATCH(1, ('Master Data Sheet'!$H:$H=I$2) * (INDEX('Master Data Sheet'!$1:$1, , MATCH($F$1, 'Master Data Sheet'!$1:$1, 0)) = $F$1) * ('Master Data Sheet'!$G:$G=$B6) * ('Master Data Sheet'!$F:$F=$E6) * ('Master Data Sheet'!$A:$A=$F6), 0), MATCH($F$1, 'Master Data Sheet'!$1:$1, 0)), "")</f>
        <v>0</v>
      </c>
      <c r="J6" s="11" cm="1">
        <f t="array" ref="J6">IFERROR(INDEX('Master Data Sheet'!$1:$1048576, MATCH(1, ('Master Data Sheet'!$H:$H=J$2) * (INDEX('Master Data Sheet'!$1:$1, , MATCH($F$1, 'Master Data Sheet'!$1:$1, 0)) = $F$1) * ('Master Data Sheet'!$G:$G=$B6) * ('Master Data Sheet'!$F:$F=$E6) * ('Master Data Sheet'!$A:$A=$F6), 0), MATCH($F$1, 'Master Data Sheet'!$1:$1, 0)), "")</f>
        <v>0</v>
      </c>
      <c r="K6" s="11" cm="1">
        <f t="array" ref="K6">IFERROR(INDEX('Master Data Sheet'!$1:$1048576, MATCH(1, ('Master Data Sheet'!$H:$H=K$2) * (INDEX('Master Data Sheet'!$1:$1, , MATCH($F$1, 'Master Data Sheet'!$1:$1, 0)) = $F$1) * ('Master Data Sheet'!$G:$G=$B6) * ('Master Data Sheet'!$F:$F=$E6) * ('Master Data Sheet'!$A:$A=$F6), 0), MATCH($F$1, 'Master Data Sheet'!$1:$1, 0)), "")</f>
        <v>0</v>
      </c>
      <c r="L6" s="11" cm="1">
        <f t="array" ref="L6">IFERROR(INDEX('Master Data Sheet'!$1:$1048576, MATCH(1, ('Master Data Sheet'!$H:$H=L$2) * (INDEX('Master Data Sheet'!$1:$1, , MATCH($F$1, 'Master Data Sheet'!$1:$1, 0)) = $F$1) * ('Master Data Sheet'!$G:$G=$B6) * ('Master Data Sheet'!$F:$F=$E6) * ('Master Data Sheet'!$A:$A=$F6), 0), MATCH($F$1, 'Master Data Sheet'!$1:$1, 0)), "")</f>
        <v>0</v>
      </c>
      <c r="M6" s="11" cm="1">
        <f t="array" ref="M6">IFERROR(INDEX('Master Data Sheet'!$1:$1048576, MATCH(1, ('Master Data Sheet'!$H:$H=M$2) * (INDEX('Master Data Sheet'!$1:$1, , MATCH($F$1, 'Master Data Sheet'!$1:$1, 0)) = $F$1) * ('Master Data Sheet'!$G:$G=$B6) * ('Master Data Sheet'!$F:$F=$E6) * ('Master Data Sheet'!$A:$A=$F6), 0), MATCH($F$1, 'Master Data Sheet'!$1:$1, 0)), "")</f>
        <v>0</v>
      </c>
      <c r="N6" s="11" cm="1">
        <f t="array" ref="N6">IFERROR(INDEX('Master Data Sheet'!$1:$1048576, MATCH(1, ('Master Data Sheet'!$H:$H=N$2) * (INDEX('Master Data Sheet'!$1:$1, , MATCH($F$1, 'Master Data Sheet'!$1:$1, 0)) = $F$1) * ('Master Data Sheet'!$G:$G=$B6) * ('Master Data Sheet'!$F:$F=$E6) * ('Master Data Sheet'!$A:$A=$F6), 0), MATCH($F$1, 'Master Data Sheet'!$1:$1, 0)), "")</f>
        <v>0</v>
      </c>
      <c r="O6" s="11">
        <f>AVERAGE(H6:N6)</f>
        <v>0</v>
      </c>
      <c r="P6" s="11">
        <f t="shared" si="4"/>
        <v>0</v>
      </c>
      <c r="Q6" s="11">
        <f>AVERAGE(O6,O8)</f>
        <v>0</v>
      </c>
      <c r="R6" s="46" t="e">
        <f>(1-(O6/O3))*100</f>
        <v>#DIV/0!</v>
      </c>
      <c r="S6" s="46" t="e">
        <f>AVERAGE(R6:R8)</f>
        <v>#DIV/0!</v>
      </c>
      <c r="T6" s="46" t="e">
        <f>STDEV(R6:R8)</f>
        <v>#DIV/0!</v>
      </c>
      <c r="U6" s="47" t="e">
        <f>(1-(AVERAGE(H6:N6,H8:N8)/AVERAGE(H3:N3,H5:N5)))*100</f>
        <v>#DIV/0!</v>
      </c>
      <c r="V6" s="47"/>
      <c r="W6" s="14"/>
      <c r="Y6" s="2"/>
      <c r="Z6" s="2"/>
      <c r="AA6" s="2"/>
      <c r="AB6" s="2"/>
      <c r="AC6" s="2"/>
      <c r="AD6" s="2"/>
      <c r="AE6" s="2"/>
      <c r="AF6" s="2"/>
      <c r="AG6" s="2"/>
    </row>
    <row r="7" spans="1:45" x14ac:dyDescent="0.35">
      <c r="A7" s="41">
        <f>IFERROR(INDEX('Date Key'!$B$2:$B$19, MATCH(F7,'Date Key'!$A$2:$A$19, 0)), "")</f>
        <v>45181</v>
      </c>
      <c r="B7" s="4">
        <f t="shared" si="0"/>
        <v>1</v>
      </c>
      <c r="C7" s="26" t="str">
        <f>IFERROR(INDEX('Date Key'!$G$57:$G$62, MATCH(B7,'Date Key'!$A$57:$A$62, 0)), "")</f>
        <v>Low HLR, Lower Outlet Height, No Plants</v>
      </c>
      <c r="D7" s="4" t="str">
        <f>IFERROR(INDEX('Date Key'!$G$2:$G$19, MATCH(F7, 'Date Key'!$A$2:$A$19, 0)), "")</f>
        <v>No</v>
      </c>
      <c r="E7" s="4" t="str">
        <f t="shared" si="1"/>
        <v>tank 1</v>
      </c>
      <c r="F7" s="4">
        <f t="shared" si="2"/>
        <v>2</v>
      </c>
      <c r="G7" s="4">
        <f t="shared" si="3"/>
        <v>2</v>
      </c>
      <c r="H7" s="11" cm="1">
        <f t="array" ref="H7">IFERROR(INDEX('Master Data Sheet'!$1:$1048576, MATCH(1, ('Master Data Sheet'!$H:$H=H$2) * (INDEX('Master Data Sheet'!$1:$1, , MATCH($F$1, 'Master Data Sheet'!$1:$1, 0)) = $F$1) * ('Master Data Sheet'!$G:$G=$B7) * ('Master Data Sheet'!$F:$F=$E7) * ('Master Data Sheet'!$A:$A=$F7), 0), MATCH($F$1, 'Master Data Sheet'!$1:$1, 0)), "")</f>
        <v>0</v>
      </c>
      <c r="I7" s="11" cm="1">
        <f t="array" ref="I7">IFERROR(INDEX('Master Data Sheet'!$1:$1048576, MATCH(1, ('Master Data Sheet'!$H:$H=I$2) * (INDEX('Master Data Sheet'!$1:$1, , MATCH($F$1, 'Master Data Sheet'!$1:$1, 0)) = $F$1) * ('Master Data Sheet'!$G:$G=$B7) * ('Master Data Sheet'!$F:$F=$E7) * ('Master Data Sheet'!$A:$A=$F7), 0), MATCH($F$1, 'Master Data Sheet'!$1:$1, 0)), "")</f>
        <v>0</v>
      </c>
      <c r="J7" s="11" cm="1">
        <f t="array" ref="J7">IFERROR(INDEX('Master Data Sheet'!$1:$1048576, MATCH(1, ('Master Data Sheet'!$H:$H=J$2) * (INDEX('Master Data Sheet'!$1:$1, , MATCH($F$1, 'Master Data Sheet'!$1:$1, 0)) = $F$1) * ('Master Data Sheet'!$G:$G=$B7) * ('Master Data Sheet'!$F:$F=$E7) * ('Master Data Sheet'!$A:$A=$F7), 0), MATCH($F$1, 'Master Data Sheet'!$1:$1, 0)), "")</f>
        <v>0</v>
      </c>
      <c r="K7" s="11" cm="1">
        <f t="array" ref="K7">IFERROR(INDEX('Master Data Sheet'!$1:$1048576, MATCH(1, ('Master Data Sheet'!$H:$H=K$2) * (INDEX('Master Data Sheet'!$1:$1, , MATCH($F$1, 'Master Data Sheet'!$1:$1, 0)) = $F$1) * ('Master Data Sheet'!$G:$G=$B7) * ('Master Data Sheet'!$F:$F=$E7) * ('Master Data Sheet'!$A:$A=$F7), 0), MATCH($F$1, 'Master Data Sheet'!$1:$1, 0)), "")</f>
        <v>0</v>
      </c>
      <c r="L7" s="11" cm="1">
        <f t="array" ref="L7">IFERROR(INDEX('Master Data Sheet'!$1:$1048576, MATCH(1, ('Master Data Sheet'!$H:$H=L$2) * (INDEX('Master Data Sheet'!$1:$1, , MATCH($F$1, 'Master Data Sheet'!$1:$1, 0)) = $F$1) * ('Master Data Sheet'!$G:$G=$B7) * ('Master Data Sheet'!$F:$F=$E7) * ('Master Data Sheet'!$A:$A=$F7), 0), MATCH($F$1, 'Master Data Sheet'!$1:$1, 0)), "")</f>
        <v>0</v>
      </c>
      <c r="M7" s="11" cm="1">
        <f t="array" ref="M7">IFERROR(INDEX('Master Data Sheet'!$1:$1048576, MATCH(1, ('Master Data Sheet'!$H:$H=M$2) * (INDEX('Master Data Sheet'!$1:$1, , MATCH($F$1, 'Master Data Sheet'!$1:$1, 0)) = $F$1) * ('Master Data Sheet'!$G:$G=$B7) * ('Master Data Sheet'!$F:$F=$E7) * ('Master Data Sheet'!$A:$A=$F7), 0), MATCH($F$1, 'Master Data Sheet'!$1:$1, 0)), "")</f>
        <v>0</v>
      </c>
      <c r="N7" s="11" cm="1">
        <f t="array" ref="N7">IFERROR(INDEX('Master Data Sheet'!$1:$1048576, MATCH(1, ('Master Data Sheet'!$H:$H=N$2) * (INDEX('Master Data Sheet'!$1:$1, , MATCH($F$1, 'Master Data Sheet'!$1:$1, 0)) = $F$1) * ('Master Data Sheet'!$G:$G=$B7) * ('Master Data Sheet'!$F:$F=$E7) * ('Master Data Sheet'!$A:$A=$F7), 0), MATCH($F$1, 'Master Data Sheet'!$1:$1, 0)), "")</f>
        <v>0</v>
      </c>
      <c r="O7" s="11">
        <f t="shared" ref="O7:O56" si="8">AVERAGE(H7:N7)</f>
        <v>0</v>
      </c>
      <c r="P7" s="11">
        <f t="shared" si="4"/>
        <v>0</v>
      </c>
      <c r="Q7" s="11"/>
      <c r="R7" s="46" t="e">
        <f>(1-(O7/O4))*100</f>
        <v>#DIV/0!</v>
      </c>
      <c r="X7" t="str">
        <f>IFERROR(INDEX('Date Key'!$G$57:$G$62, MATCH(B6,'Date Key'!$A$57:$A$62, 0)), "")</f>
        <v>Low HLR, Lower Outlet Height, No Plants</v>
      </c>
      <c r="Y7" s="1">
        <f t="shared" ref="Y7:AE7" si="9">H6</f>
        <v>0</v>
      </c>
      <c r="Z7" s="1">
        <f t="shared" si="9"/>
        <v>0</v>
      </c>
      <c r="AA7" s="1">
        <f t="shared" si="9"/>
        <v>0</v>
      </c>
      <c r="AB7" s="1">
        <f t="shared" si="9"/>
        <v>0</v>
      </c>
      <c r="AC7" s="1">
        <f t="shared" si="9"/>
        <v>0</v>
      </c>
      <c r="AD7" s="1">
        <f t="shared" si="9"/>
        <v>0</v>
      </c>
      <c r="AE7" s="1">
        <f t="shared" si="9"/>
        <v>0</v>
      </c>
      <c r="AF7" s="1">
        <f t="shared" ref="AF7:AL7" si="10">H7</f>
        <v>0</v>
      </c>
      <c r="AG7" s="1">
        <f t="shared" si="10"/>
        <v>0</v>
      </c>
      <c r="AH7" s="1">
        <f t="shared" si="10"/>
        <v>0</v>
      </c>
      <c r="AI7" s="1">
        <f t="shared" si="10"/>
        <v>0</v>
      </c>
      <c r="AJ7" s="1">
        <f t="shared" si="10"/>
        <v>0</v>
      </c>
      <c r="AK7" s="1">
        <f t="shared" si="10"/>
        <v>0</v>
      </c>
      <c r="AL7" s="1">
        <f t="shared" si="10"/>
        <v>0</v>
      </c>
      <c r="AM7" s="1">
        <f t="shared" ref="AM7:AS7" si="11">H8</f>
        <v>0</v>
      </c>
      <c r="AN7" s="1">
        <f t="shared" si="11"/>
        <v>0</v>
      </c>
      <c r="AO7" s="1">
        <f t="shared" si="11"/>
        <v>0</v>
      </c>
      <c r="AP7" s="1">
        <f t="shared" si="11"/>
        <v>0</v>
      </c>
      <c r="AQ7" s="1">
        <f t="shared" si="11"/>
        <v>0</v>
      </c>
      <c r="AR7" s="1">
        <f t="shared" si="11"/>
        <v>0</v>
      </c>
      <c r="AS7" s="1">
        <f t="shared" si="11"/>
        <v>0</v>
      </c>
    </row>
    <row r="8" spans="1:45" x14ac:dyDescent="0.35">
      <c r="A8" s="41">
        <f>IFERROR(INDEX('Date Key'!$B$2:$B$19, MATCH(F8,'Date Key'!$A$2:$A$19, 0)), "")</f>
        <v>45195</v>
      </c>
      <c r="B8" s="4">
        <f t="shared" si="0"/>
        <v>1</v>
      </c>
      <c r="C8" s="26" t="str">
        <f>IFERROR(INDEX('Date Key'!$G$57:$G$62, MATCH(B8,'Date Key'!$A$57:$A$62, 0)), "")</f>
        <v>Low HLR, Lower Outlet Height, No Plants</v>
      </c>
      <c r="D8" s="4" t="str">
        <f>IFERROR(INDEX('Date Key'!$G$2:$G$19, MATCH(F8, 'Date Key'!$A$2:$A$19, 0)), "")</f>
        <v>No</v>
      </c>
      <c r="E8" s="4" t="str">
        <f t="shared" si="1"/>
        <v>tank 1</v>
      </c>
      <c r="F8" s="4">
        <f t="shared" si="2"/>
        <v>3</v>
      </c>
      <c r="G8" s="4">
        <f t="shared" si="3"/>
        <v>3</v>
      </c>
      <c r="H8" s="11" cm="1">
        <f t="array" ref="H8">IFERROR(INDEX('Master Data Sheet'!$1:$1048576, MATCH(1, ('Master Data Sheet'!$H:$H=H$2) * (INDEX('Master Data Sheet'!$1:$1, , MATCH($F$1, 'Master Data Sheet'!$1:$1, 0)) = $F$1) * ('Master Data Sheet'!$G:$G=$B8) * ('Master Data Sheet'!$F:$F=$E8) * ('Master Data Sheet'!$A:$A=$F8), 0), MATCH($F$1, 'Master Data Sheet'!$1:$1, 0)), "")</f>
        <v>0</v>
      </c>
      <c r="I8" s="11" cm="1">
        <f t="array" ref="I8">IFERROR(INDEX('Master Data Sheet'!$1:$1048576, MATCH(1, ('Master Data Sheet'!$H:$H=I$2) * (INDEX('Master Data Sheet'!$1:$1, , MATCH($F$1, 'Master Data Sheet'!$1:$1, 0)) = $F$1) * ('Master Data Sheet'!$G:$G=$B8) * ('Master Data Sheet'!$F:$F=$E8) * ('Master Data Sheet'!$A:$A=$F8), 0), MATCH($F$1, 'Master Data Sheet'!$1:$1, 0)), "")</f>
        <v>0</v>
      </c>
      <c r="J8" s="11" cm="1">
        <f t="array" ref="J8">IFERROR(INDEX('Master Data Sheet'!$1:$1048576, MATCH(1, ('Master Data Sheet'!$H:$H=J$2) * (INDEX('Master Data Sheet'!$1:$1, , MATCH($F$1, 'Master Data Sheet'!$1:$1, 0)) = $F$1) * ('Master Data Sheet'!$G:$G=$B8) * ('Master Data Sheet'!$F:$F=$E8) * ('Master Data Sheet'!$A:$A=$F8), 0), MATCH($F$1, 'Master Data Sheet'!$1:$1, 0)), "")</f>
        <v>0</v>
      </c>
      <c r="K8" s="11" cm="1">
        <f t="array" ref="K8">IFERROR(INDEX('Master Data Sheet'!$1:$1048576, MATCH(1, ('Master Data Sheet'!$H:$H=K$2) * (INDEX('Master Data Sheet'!$1:$1, , MATCH($F$1, 'Master Data Sheet'!$1:$1, 0)) = $F$1) * ('Master Data Sheet'!$G:$G=$B8) * ('Master Data Sheet'!$F:$F=$E8) * ('Master Data Sheet'!$A:$A=$F8), 0), MATCH($F$1, 'Master Data Sheet'!$1:$1, 0)), "")</f>
        <v>0</v>
      </c>
      <c r="L8" s="11" cm="1">
        <f t="array" ref="L8">IFERROR(INDEX('Master Data Sheet'!$1:$1048576, MATCH(1, ('Master Data Sheet'!$H:$H=L$2) * (INDEX('Master Data Sheet'!$1:$1, , MATCH($F$1, 'Master Data Sheet'!$1:$1, 0)) = $F$1) * ('Master Data Sheet'!$G:$G=$B8) * ('Master Data Sheet'!$F:$F=$E8) * ('Master Data Sheet'!$A:$A=$F8), 0), MATCH($F$1, 'Master Data Sheet'!$1:$1, 0)), "")</f>
        <v>0</v>
      </c>
      <c r="M8" s="11" cm="1">
        <f t="array" ref="M8">IFERROR(INDEX('Master Data Sheet'!$1:$1048576, MATCH(1, ('Master Data Sheet'!$H:$H=M$2) * (INDEX('Master Data Sheet'!$1:$1, , MATCH($F$1, 'Master Data Sheet'!$1:$1, 0)) = $F$1) * ('Master Data Sheet'!$G:$G=$B8) * ('Master Data Sheet'!$F:$F=$E8) * ('Master Data Sheet'!$A:$A=$F8), 0), MATCH($F$1, 'Master Data Sheet'!$1:$1, 0)), "")</f>
        <v>0</v>
      </c>
      <c r="N8" s="11" cm="1">
        <f t="array" ref="N8">IFERROR(INDEX('Master Data Sheet'!$1:$1048576, MATCH(1, ('Master Data Sheet'!$H:$H=N$2) * (INDEX('Master Data Sheet'!$1:$1, , MATCH($F$1, 'Master Data Sheet'!$1:$1, 0)) = $F$1) * ('Master Data Sheet'!$G:$G=$B8) * ('Master Data Sheet'!$F:$F=$E8) * ('Master Data Sheet'!$A:$A=$F8), 0), MATCH($F$1, 'Master Data Sheet'!$1:$1, 0)), "")</f>
        <v>0</v>
      </c>
      <c r="O8" s="11">
        <f t="shared" si="8"/>
        <v>0</v>
      </c>
      <c r="P8" s="11">
        <f t="shared" si="4"/>
        <v>0</v>
      </c>
      <c r="Q8" s="11"/>
      <c r="R8" s="46" t="e">
        <f>(1-(O8/O5))*100</f>
        <v>#DIV/0!</v>
      </c>
      <c r="Y8" s="2"/>
      <c r="Z8" s="2"/>
      <c r="AA8" s="2"/>
      <c r="AB8" s="2"/>
      <c r="AC8" s="2"/>
      <c r="AD8" s="2"/>
      <c r="AE8" s="2"/>
      <c r="AF8" s="2"/>
      <c r="AG8" s="2"/>
    </row>
    <row r="9" spans="1:45" x14ac:dyDescent="0.35">
      <c r="A9" s="41">
        <f>IFERROR(INDEX('Date Key'!$B$2:$B$19, MATCH(F9,'Date Key'!$A$2:$A$19, 0)), "")</f>
        <v>45175</v>
      </c>
      <c r="B9" s="4">
        <f t="shared" si="0"/>
        <v>1</v>
      </c>
      <c r="C9" s="26" t="str">
        <f>IFERROR(INDEX('Date Key'!$G$57:$G$62, MATCH(B9,'Date Key'!$A$57:$A$62, 0)), "")</f>
        <v>Low HLR, Lower Outlet Height, No Plants</v>
      </c>
      <c r="D9" s="4" t="str">
        <f>IFERROR(INDEX('Date Key'!$G$2:$G$19, MATCH(F9, 'Date Key'!$A$2:$A$19, 0)), "")</f>
        <v>No</v>
      </c>
      <c r="E9" s="4" t="str">
        <f t="shared" si="1"/>
        <v>tank 2</v>
      </c>
      <c r="F9" s="4">
        <f t="shared" si="2"/>
        <v>1</v>
      </c>
      <c r="G9" s="4">
        <f t="shared" si="3"/>
        <v>1</v>
      </c>
      <c r="H9" s="11" cm="1">
        <f t="array" ref="H9">IFERROR(INDEX('Master Data Sheet'!$1:$1048576, MATCH(1, ('Master Data Sheet'!$H:$H=H$2) * (INDEX('Master Data Sheet'!$1:$1, , MATCH($F$1, 'Master Data Sheet'!$1:$1, 0)) = $F$1) * ('Master Data Sheet'!$G:$G=$B9) * ('Master Data Sheet'!$F:$F=$E9) * ('Master Data Sheet'!$A:$A=$F9), 0), MATCH($F$1, 'Master Data Sheet'!$1:$1, 0)), "")</f>
        <v>0</v>
      </c>
      <c r="I9" s="11" cm="1">
        <f t="array" ref="I9">IFERROR(INDEX('Master Data Sheet'!$1:$1048576, MATCH(1, ('Master Data Sheet'!$H:$H=I$2) * (INDEX('Master Data Sheet'!$1:$1, , MATCH($F$1, 'Master Data Sheet'!$1:$1, 0)) = $F$1) * ('Master Data Sheet'!$G:$G=$B9) * ('Master Data Sheet'!$F:$F=$E9) * ('Master Data Sheet'!$A:$A=$F9), 0), MATCH($F$1, 'Master Data Sheet'!$1:$1, 0)), "")</f>
        <v>0</v>
      </c>
      <c r="J9" s="11" cm="1">
        <f t="array" ref="J9">IFERROR(INDEX('Master Data Sheet'!$1:$1048576, MATCH(1, ('Master Data Sheet'!$H:$H=J$2) * (INDEX('Master Data Sheet'!$1:$1, , MATCH($F$1, 'Master Data Sheet'!$1:$1, 0)) = $F$1) * ('Master Data Sheet'!$G:$G=$B9) * ('Master Data Sheet'!$F:$F=$E9) * ('Master Data Sheet'!$A:$A=$F9), 0), MATCH($F$1, 'Master Data Sheet'!$1:$1, 0)), "")</f>
        <v>0</v>
      </c>
      <c r="K9" s="11" cm="1">
        <f t="array" ref="K9">IFERROR(INDEX('Master Data Sheet'!$1:$1048576, MATCH(1, ('Master Data Sheet'!$H:$H=K$2) * (INDEX('Master Data Sheet'!$1:$1, , MATCH($F$1, 'Master Data Sheet'!$1:$1, 0)) = $F$1) * ('Master Data Sheet'!$G:$G=$B9) * ('Master Data Sheet'!$F:$F=$E9) * ('Master Data Sheet'!$A:$A=$F9), 0), MATCH($F$1, 'Master Data Sheet'!$1:$1, 0)), "")</f>
        <v>0</v>
      </c>
      <c r="L9" s="11" cm="1">
        <f t="array" ref="L9">IFERROR(INDEX('Master Data Sheet'!$1:$1048576, MATCH(1, ('Master Data Sheet'!$H:$H=L$2) * (INDEX('Master Data Sheet'!$1:$1, , MATCH($F$1, 'Master Data Sheet'!$1:$1, 0)) = $F$1) * ('Master Data Sheet'!$G:$G=$B9) * ('Master Data Sheet'!$F:$F=$E9) * ('Master Data Sheet'!$A:$A=$F9), 0), MATCH($F$1, 'Master Data Sheet'!$1:$1, 0)), "")</f>
        <v>0</v>
      </c>
      <c r="M9" s="11" cm="1">
        <f t="array" ref="M9">IFERROR(INDEX('Master Data Sheet'!$1:$1048576, MATCH(1, ('Master Data Sheet'!$H:$H=M$2) * (INDEX('Master Data Sheet'!$1:$1, , MATCH($F$1, 'Master Data Sheet'!$1:$1, 0)) = $F$1) * ('Master Data Sheet'!$G:$G=$B9) * ('Master Data Sheet'!$F:$F=$E9) * ('Master Data Sheet'!$A:$A=$F9), 0), MATCH($F$1, 'Master Data Sheet'!$1:$1, 0)), "")</f>
        <v>0</v>
      </c>
      <c r="N9" s="11" cm="1">
        <f t="array" ref="N9">IFERROR(INDEX('Master Data Sheet'!$1:$1048576, MATCH(1, ('Master Data Sheet'!$H:$H=N$2) * (INDEX('Master Data Sheet'!$1:$1, , MATCH($F$1, 'Master Data Sheet'!$1:$1, 0)) = $F$1) * ('Master Data Sheet'!$G:$G=$B9) * ('Master Data Sheet'!$F:$F=$E9) * ('Master Data Sheet'!$A:$A=$F9), 0), MATCH($F$1, 'Master Data Sheet'!$1:$1, 0)), "")</f>
        <v>0</v>
      </c>
      <c r="O9" s="11">
        <f t="shared" si="8"/>
        <v>0</v>
      </c>
      <c r="P9" s="11">
        <f t="shared" si="4"/>
        <v>0</v>
      </c>
      <c r="Q9" s="11">
        <f>AVERAGE(N9,N11)</f>
        <v>0</v>
      </c>
      <c r="R9" s="46" t="e">
        <f>(1-(O9/O3))*100</f>
        <v>#DIV/0!</v>
      </c>
      <c r="S9" s="46" t="e">
        <f>AVERAGE(R9:R11)</f>
        <v>#DIV/0!</v>
      </c>
      <c r="T9" s="46" t="e">
        <f>STDEV(R9:R11)</f>
        <v>#DIV/0!</v>
      </c>
      <c r="U9" s="47" t="e">
        <f>(1-(AVERAGE(H9:N9,H11:N11)/AVERAGE(H3:N3,H5:N5)))*100</f>
        <v>#DIV/0!</v>
      </c>
      <c r="V9" s="47"/>
      <c r="Y9" s="2"/>
      <c r="Z9" s="2"/>
      <c r="AA9" s="2"/>
      <c r="AB9" s="2"/>
      <c r="AC9" s="2"/>
      <c r="AD9" s="2"/>
      <c r="AE9" s="2"/>
      <c r="AF9" s="2"/>
      <c r="AG9" s="2"/>
    </row>
    <row r="10" spans="1:45" x14ac:dyDescent="0.35">
      <c r="A10" s="41">
        <f>IFERROR(INDEX('Date Key'!$B$2:$B$19, MATCH(F10,'Date Key'!$A$2:$A$19, 0)), "")</f>
        <v>45181</v>
      </c>
      <c r="B10" s="4">
        <f t="shared" si="0"/>
        <v>1</v>
      </c>
      <c r="C10" s="26" t="str">
        <f>IFERROR(INDEX('Date Key'!$G$57:$G$62, MATCH(B10,'Date Key'!$A$57:$A$62, 0)), "")</f>
        <v>Low HLR, Lower Outlet Height, No Plants</v>
      </c>
      <c r="D10" s="4" t="str">
        <f>IFERROR(INDEX('Date Key'!$G$2:$G$19, MATCH(F10, 'Date Key'!$A$2:$A$19, 0)), "")</f>
        <v>No</v>
      </c>
      <c r="E10" s="4" t="str">
        <f t="shared" si="1"/>
        <v>tank 2</v>
      </c>
      <c r="F10" s="4">
        <f t="shared" si="2"/>
        <v>2</v>
      </c>
      <c r="G10" s="4">
        <f t="shared" si="3"/>
        <v>2</v>
      </c>
      <c r="H10" s="11" cm="1">
        <f t="array" ref="H10">IFERROR(INDEX('Master Data Sheet'!$1:$1048576, MATCH(1, ('Master Data Sheet'!$H:$H=H$2) * (INDEX('Master Data Sheet'!$1:$1, , MATCH($F$1, 'Master Data Sheet'!$1:$1, 0)) = $F$1) * ('Master Data Sheet'!$G:$G=$B10) * ('Master Data Sheet'!$F:$F=$E10) * ('Master Data Sheet'!$A:$A=$F10), 0), MATCH($F$1, 'Master Data Sheet'!$1:$1, 0)), "")</f>
        <v>0</v>
      </c>
      <c r="I10" s="11" cm="1">
        <f t="array" ref="I10">IFERROR(INDEX('Master Data Sheet'!$1:$1048576, MATCH(1, ('Master Data Sheet'!$H:$H=I$2) * (INDEX('Master Data Sheet'!$1:$1, , MATCH($F$1, 'Master Data Sheet'!$1:$1, 0)) = $F$1) * ('Master Data Sheet'!$G:$G=$B10) * ('Master Data Sheet'!$F:$F=$E10) * ('Master Data Sheet'!$A:$A=$F10), 0), MATCH($F$1, 'Master Data Sheet'!$1:$1, 0)), "")</f>
        <v>0</v>
      </c>
      <c r="J10" s="11" cm="1">
        <f t="array" ref="J10">IFERROR(INDEX('Master Data Sheet'!$1:$1048576, MATCH(1, ('Master Data Sheet'!$H:$H=J$2) * (INDEX('Master Data Sheet'!$1:$1, , MATCH($F$1, 'Master Data Sheet'!$1:$1, 0)) = $F$1) * ('Master Data Sheet'!$G:$G=$B10) * ('Master Data Sheet'!$F:$F=$E10) * ('Master Data Sheet'!$A:$A=$F10), 0), MATCH($F$1, 'Master Data Sheet'!$1:$1, 0)), "")</f>
        <v>0</v>
      </c>
      <c r="K10" s="11" cm="1">
        <f t="array" ref="K10">IFERROR(INDEX('Master Data Sheet'!$1:$1048576, MATCH(1, ('Master Data Sheet'!$H:$H=K$2) * (INDEX('Master Data Sheet'!$1:$1, , MATCH($F$1, 'Master Data Sheet'!$1:$1, 0)) = $F$1) * ('Master Data Sheet'!$G:$G=$B10) * ('Master Data Sheet'!$F:$F=$E10) * ('Master Data Sheet'!$A:$A=$F10), 0), MATCH($F$1, 'Master Data Sheet'!$1:$1, 0)), "")</f>
        <v>0</v>
      </c>
      <c r="L10" s="11" cm="1">
        <f t="array" ref="L10">IFERROR(INDEX('Master Data Sheet'!$1:$1048576, MATCH(1, ('Master Data Sheet'!$H:$H=L$2) * (INDEX('Master Data Sheet'!$1:$1, , MATCH($F$1, 'Master Data Sheet'!$1:$1, 0)) = $F$1) * ('Master Data Sheet'!$G:$G=$B10) * ('Master Data Sheet'!$F:$F=$E10) * ('Master Data Sheet'!$A:$A=$F10), 0), MATCH($F$1, 'Master Data Sheet'!$1:$1, 0)), "")</f>
        <v>0</v>
      </c>
      <c r="M10" s="11" cm="1">
        <f t="array" ref="M10">IFERROR(INDEX('Master Data Sheet'!$1:$1048576, MATCH(1, ('Master Data Sheet'!$H:$H=M$2) * (INDEX('Master Data Sheet'!$1:$1, , MATCH($F$1, 'Master Data Sheet'!$1:$1, 0)) = $F$1) * ('Master Data Sheet'!$G:$G=$B10) * ('Master Data Sheet'!$F:$F=$E10) * ('Master Data Sheet'!$A:$A=$F10), 0), MATCH($F$1, 'Master Data Sheet'!$1:$1, 0)), "")</f>
        <v>0</v>
      </c>
      <c r="N10" s="11" cm="1">
        <f t="array" ref="N10">IFERROR(INDEX('Master Data Sheet'!$1:$1048576, MATCH(1, ('Master Data Sheet'!$H:$H=N$2) * (INDEX('Master Data Sheet'!$1:$1, , MATCH($F$1, 'Master Data Sheet'!$1:$1, 0)) = $F$1) * ('Master Data Sheet'!$G:$G=$B10) * ('Master Data Sheet'!$F:$F=$E10) * ('Master Data Sheet'!$A:$A=$F10), 0), MATCH($F$1, 'Master Data Sheet'!$1:$1, 0)), "")</f>
        <v>0</v>
      </c>
      <c r="O10" s="11">
        <f t="shared" si="8"/>
        <v>0</v>
      </c>
      <c r="P10" s="11">
        <f t="shared" si="4"/>
        <v>0</v>
      </c>
      <c r="Q10" s="11"/>
      <c r="R10" s="46" t="e">
        <f>(1-(O10/O4))*100</f>
        <v>#DIV/0!</v>
      </c>
      <c r="X10" t="str">
        <f>IFERROR(INDEX('Date Key'!$G$57:$G$62, MATCH(B9,'Date Key'!$A$57:$A$62, 0)), "")</f>
        <v>Low HLR, Lower Outlet Height, No Plants</v>
      </c>
      <c r="Y10" s="1">
        <f t="shared" ref="Y10:AE10" si="12">H9</f>
        <v>0</v>
      </c>
      <c r="Z10" s="1">
        <f t="shared" si="12"/>
        <v>0</v>
      </c>
      <c r="AA10" s="1">
        <f t="shared" si="12"/>
        <v>0</v>
      </c>
      <c r="AB10" s="1">
        <f t="shared" si="12"/>
        <v>0</v>
      </c>
      <c r="AC10" s="1">
        <f t="shared" si="12"/>
        <v>0</v>
      </c>
      <c r="AD10" s="1">
        <f t="shared" si="12"/>
        <v>0</v>
      </c>
      <c r="AE10" s="1">
        <f t="shared" si="12"/>
        <v>0</v>
      </c>
      <c r="AF10" s="1">
        <f t="shared" ref="AF10:AL10" si="13">H10</f>
        <v>0</v>
      </c>
      <c r="AG10" s="1">
        <f t="shared" si="13"/>
        <v>0</v>
      </c>
      <c r="AH10" s="1">
        <f t="shared" si="13"/>
        <v>0</v>
      </c>
      <c r="AI10" s="1">
        <f t="shared" si="13"/>
        <v>0</v>
      </c>
      <c r="AJ10" s="1">
        <f t="shared" si="13"/>
        <v>0</v>
      </c>
      <c r="AK10" s="1">
        <f t="shared" si="13"/>
        <v>0</v>
      </c>
      <c r="AL10" s="1">
        <f t="shared" si="13"/>
        <v>0</v>
      </c>
      <c r="AM10" s="1">
        <f t="shared" ref="AM10:AS10" si="14">H11</f>
        <v>0</v>
      </c>
      <c r="AN10" s="1">
        <f t="shared" si="14"/>
        <v>0</v>
      </c>
      <c r="AO10" s="1">
        <f t="shared" si="14"/>
        <v>0</v>
      </c>
      <c r="AP10" s="1">
        <f t="shared" si="14"/>
        <v>0</v>
      </c>
      <c r="AQ10" s="1">
        <f t="shared" si="14"/>
        <v>0</v>
      </c>
      <c r="AR10" s="1">
        <f t="shared" si="14"/>
        <v>0</v>
      </c>
      <c r="AS10" s="1">
        <f t="shared" si="14"/>
        <v>0</v>
      </c>
    </row>
    <row r="11" spans="1:45" x14ac:dyDescent="0.35">
      <c r="A11" s="42">
        <f>IFERROR(INDEX('Date Key'!$B$2:$B$19, MATCH(F11,'Date Key'!$A$2:$A$19, 0)), "")</f>
        <v>45195</v>
      </c>
      <c r="B11" s="27">
        <f t="shared" si="0"/>
        <v>1</v>
      </c>
      <c r="C11" s="51" t="str">
        <f>IFERROR(INDEX('Date Key'!$G$57:$G$62, MATCH(B11,'Date Key'!$A$57:$A$62, 0)), "")</f>
        <v>Low HLR, Lower Outlet Height, No Plants</v>
      </c>
      <c r="D11" s="27" t="str">
        <f>IFERROR(INDEX('Date Key'!$G$2:$G$19, MATCH(F11, 'Date Key'!$A$2:$A$19, 0)), "")</f>
        <v>No</v>
      </c>
      <c r="E11" s="27" t="str">
        <f t="shared" si="1"/>
        <v>tank 2</v>
      </c>
      <c r="F11" s="27">
        <f t="shared" si="2"/>
        <v>3</v>
      </c>
      <c r="G11" s="27">
        <f t="shared" si="3"/>
        <v>3</v>
      </c>
      <c r="H11" s="28" cm="1">
        <f t="array" ref="H11">IFERROR(INDEX('Master Data Sheet'!$1:$1048576, MATCH(1, ('Master Data Sheet'!$H:$H=H$2) * (INDEX('Master Data Sheet'!$1:$1, , MATCH($F$1, 'Master Data Sheet'!$1:$1, 0)) = $F$1) * ('Master Data Sheet'!$G:$G=$B11) * ('Master Data Sheet'!$F:$F=$E11) * ('Master Data Sheet'!$A:$A=$F11), 0), MATCH($F$1, 'Master Data Sheet'!$1:$1, 0)), "")</f>
        <v>0</v>
      </c>
      <c r="I11" s="28" cm="1">
        <f t="array" ref="I11">IFERROR(INDEX('Master Data Sheet'!$1:$1048576, MATCH(1, ('Master Data Sheet'!$H:$H=I$2) * (INDEX('Master Data Sheet'!$1:$1, , MATCH($F$1, 'Master Data Sheet'!$1:$1, 0)) = $F$1) * ('Master Data Sheet'!$G:$G=$B11) * ('Master Data Sheet'!$F:$F=$E11) * ('Master Data Sheet'!$A:$A=$F11), 0), MATCH($F$1, 'Master Data Sheet'!$1:$1, 0)), "")</f>
        <v>0</v>
      </c>
      <c r="J11" s="28" cm="1">
        <f t="array" ref="J11">IFERROR(INDEX('Master Data Sheet'!$1:$1048576, MATCH(1, ('Master Data Sheet'!$H:$H=J$2) * (INDEX('Master Data Sheet'!$1:$1, , MATCH($F$1, 'Master Data Sheet'!$1:$1, 0)) = $F$1) * ('Master Data Sheet'!$G:$G=$B11) * ('Master Data Sheet'!$F:$F=$E11) * ('Master Data Sheet'!$A:$A=$F11), 0), MATCH($F$1, 'Master Data Sheet'!$1:$1, 0)), "")</f>
        <v>0</v>
      </c>
      <c r="K11" s="28" cm="1">
        <f t="array" ref="K11">IFERROR(INDEX('Master Data Sheet'!$1:$1048576, MATCH(1, ('Master Data Sheet'!$H:$H=K$2) * (INDEX('Master Data Sheet'!$1:$1, , MATCH($F$1, 'Master Data Sheet'!$1:$1, 0)) = $F$1) * ('Master Data Sheet'!$G:$G=$B11) * ('Master Data Sheet'!$F:$F=$E11) * ('Master Data Sheet'!$A:$A=$F11), 0), MATCH($F$1, 'Master Data Sheet'!$1:$1, 0)), "")</f>
        <v>0</v>
      </c>
      <c r="L11" s="28" cm="1">
        <f t="array" ref="L11">IFERROR(INDEX('Master Data Sheet'!$1:$1048576, MATCH(1, ('Master Data Sheet'!$H:$H=L$2) * (INDEX('Master Data Sheet'!$1:$1, , MATCH($F$1, 'Master Data Sheet'!$1:$1, 0)) = $F$1) * ('Master Data Sheet'!$G:$G=$B11) * ('Master Data Sheet'!$F:$F=$E11) * ('Master Data Sheet'!$A:$A=$F11), 0), MATCH($F$1, 'Master Data Sheet'!$1:$1, 0)), "")</f>
        <v>0</v>
      </c>
      <c r="M11" s="28" cm="1">
        <f t="array" ref="M11">IFERROR(INDEX('Master Data Sheet'!$1:$1048576, MATCH(1, ('Master Data Sheet'!$H:$H=M$2) * (INDEX('Master Data Sheet'!$1:$1, , MATCH($F$1, 'Master Data Sheet'!$1:$1, 0)) = $F$1) * ('Master Data Sheet'!$G:$G=$B11) * ('Master Data Sheet'!$F:$F=$E11) * ('Master Data Sheet'!$A:$A=$F11), 0), MATCH($F$1, 'Master Data Sheet'!$1:$1, 0)), "")</f>
        <v>0</v>
      </c>
      <c r="N11" s="28" cm="1">
        <f t="array" ref="N11">IFERROR(INDEX('Master Data Sheet'!$1:$1048576, MATCH(1, ('Master Data Sheet'!$H:$H=N$2) * (INDEX('Master Data Sheet'!$1:$1, , MATCH($F$1, 'Master Data Sheet'!$1:$1, 0)) = $F$1) * ('Master Data Sheet'!$G:$G=$B11) * ('Master Data Sheet'!$F:$F=$E11) * ('Master Data Sheet'!$A:$A=$F11), 0), MATCH($F$1, 'Master Data Sheet'!$1:$1, 0)), "")</f>
        <v>0</v>
      </c>
      <c r="O11" s="28">
        <f t="shared" si="8"/>
        <v>0</v>
      </c>
      <c r="P11" s="28">
        <f t="shared" si="4"/>
        <v>0</v>
      </c>
      <c r="Q11" s="28"/>
      <c r="R11" s="48" t="e">
        <f>(1-(O11/O5))*100</f>
        <v>#DIV/0!</v>
      </c>
      <c r="S11" s="27"/>
      <c r="T11" s="27"/>
      <c r="U11" s="27"/>
      <c r="V11" s="27"/>
    </row>
    <row r="12" spans="1:45" x14ac:dyDescent="0.35">
      <c r="A12" s="41">
        <f>IFERROR(INDEX('Date Key'!$B$2:$B$19, MATCH(F12,'Date Key'!$A$2:$A$19, 0)), "")</f>
        <v>45217</v>
      </c>
      <c r="B12" s="4">
        <f>INT((ROW(B10)-1)/9)+1</f>
        <v>2</v>
      </c>
      <c r="C12" s="26" t="str">
        <f>IFERROR(INDEX('Date Key'!$G$57:$G$62, MATCH(B12,'Date Key'!$A$57:$A$62, 0)), "")</f>
        <v>Medium HLR, Lower Outlet Height, No Plants</v>
      </c>
      <c r="D12" s="4" t="str">
        <f>IFERROR(INDEX('Date Key'!$G$2:$G$19, MATCH(F12, 'Date Key'!$A$2:$A$19, 0)), "")</f>
        <v>No</v>
      </c>
      <c r="E12" s="4" t="str">
        <f t="shared" si="1"/>
        <v>in</v>
      </c>
      <c r="F12" s="4">
        <f t="shared" si="2"/>
        <v>4</v>
      </c>
      <c r="G12" s="4">
        <f t="shared" si="3"/>
        <v>1</v>
      </c>
      <c r="H12" s="11" cm="1">
        <f t="array" ref="H12">IFERROR(INDEX('Master Data Sheet'!$1:$1048576, MATCH(1, ('Master Data Sheet'!$H:$H=H$2) * (INDEX('Master Data Sheet'!$1:$1, , MATCH($F$1, 'Master Data Sheet'!$1:$1, 0)) = $F$1) * ('Master Data Sheet'!$G:$G=$B12) * ('Master Data Sheet'!$F:$F=$E12) * ('Master Data Sheet'!$A:$A=$F12), 0), MATCH($F$1, 'Master Data Sheet'!$1:$1, 0)), "")</f>
        <v>0</v>
      </c>
      <c r="I12" s="11" cm="1">
        <f t="array" ref="I12">IFERROR(INDEX('Master Data Sheet'!$1:$1048576, MATCH(1, ('Master Data Sheet'!$H:$H=I$2) * (INDEX('Master Data Sheet'!$1:$1, , MATCH($F$1, 'Master Data Sheet'!$1:$1, 0)) = $F$1) * ('Master Data Sheet'!$G:$G=$B12) * ('Master Data Sheet'!$F:$F=$E12) * ('Master Data Sheet'!$A:$A=$F12), 0), MATCH($F$1, 'Master Data Sheet'!$1:$1, 0)), "")</f>
        <v>0</v>
      </c>
      <c r="J12" s="11" cm="1">
        <f t="array" ref="J12">IFERROR(INDEX('Master Data Sheet'!$1:$1048576, MATCH(1, ('Master Data Sheet'!$H:$H=J$2) * (INDEX('Master Data Sheet'!$1:$1, , MATCH($F$1, 'Master Data Sheet'!$1:$1, 0)) = $F$1) * ('Master Data Sheet'!$G:$G=$B12) * ('Master Data Sheet'!$F:$F=$E12) * ('Master Data Sheet'!$A:$A=$F12), 0), MATCH($F$1, 'Master Data Sheet'!$1:$1, 0)), "")</f>
        <v>0</v>
      </c>
      <c r="K12" s="11" cm="1">
        <f t="array" ref="K12">IFERROR(INDEX('Master Data Sheet'!$1:$1048576, MATCH(1, ('Master Data Sheet'!$H:$H=K$2) * (INDEX('Master Data Sheet'!$1:$1, , MATCH($F$1, 'Master Data Sheet'!$1:$1, 0)) = $F$1) * ('Master Data Sheet'!$G:$G=$B12) * ('Master Data Sheet'!$F:$F=$E12) * ('Master Data Sheet'!$A:$A=$F12), 0), MATCH($F$1, 'Master Data Sheet'!$1:$1, 0)), "")</f>
        <v>0</v>
      </c>
      <c r="L12" s="11" cm="1">
        <f t="array" ref="L12">IFERROR(INDEX('Master Data Sheet'!$1:$1048576, MATCH(1, ('Master Data Sheet'!$H:$H=L$2) * (INDEX('Master Data Sheet'!$1:$1, , MATCH($F$1, 'Master Data Sheet'!$1:$1, 0)) = $F$1) * ('Master Data Sheet'!$G:$G=$B12) * ('Master Data Sheet'!$F:$F=$E12) * ('Master Data Sheet'!$A:$A=$F12), 0), MATCH($F$1, 'Master Data Sheet'!$1:$1, 0)), "")</f>
        <v>0</v>
      </c>
      <c r="M12" s="11" cm="1">
        <f t="array" ref="M12">IFERROR(INDEX('Master Data Sheet'!$1:$1048576, MATCH(1, ('Master Data Sheet'!$H:$H=M$2) * (INDEX('Master Data Sheet'!$1:$1, , MATCH($F$1, 'Master Data Sheet'!$1:$1, 0)) = $F$1) * ('Master Data Sheet'!$G:$G=$B12) * ('Master Data Sheet'!$F:$F=$E12) * ('Master Data Sheet'!$A:$A=$F12), 0), MATCH($F$1, 'Master Data Sheet'!$1:$1, 0)), "")</f>
        <v>0</v>
      </c>
      <c r="N12" s="11" cm="1">
        <f t="array" ref="N12">IFERROR(INDEX('Master Data Sheet'!$1:$1048576, MATCH(1, ('Master Data Sheet'!$H:$H=N$2) * (INDEX('Master Data Sheet'!$1:$1, , MATCH($F$1, 'Master Data Sheet'!$1:$1, 0)) = $F$1) * ('Master Data Sheet'!$G:$G=$B12) * ('Master Data Sheet'!$F:$F=$E12) * ('Master Data Sheet'!$A:$A=$F12), 0), MATCH($F$1, 'Master Data Sheet'!$1:$1, 0)), "")</f>
        <v>0</v>
      </c>
      <c r="O12" s="11">
        <f t="shared" si="8"/>
        <v>0</v>
      </c>
      <c r="P12" s="11">
        <f t="shared" si="4"/>
        <v>0</v>
      </c>
      <c r="Q12" s="11">
        <f>AVERAGE(O12:O14)</f>
        <v>0</v>
      </c>
      <c r="S12" s="11">
        <f>AVERAGE(O12:O14)</f>
        <v>0</v>
      </c>
      <c r="T12" s="11">
        <f>AVERAGE(P12:P14)</f>
        <v>0</v>
      </c>
      <c r="V12" s="47" t="e">
        <f>AVERAGE(U15, U18)</f>
        <v>#DIV/0!</v>
      </c>
      <c r="X12" t="s">
        <v>343</v>
      </c>
    </row>
    <row r="13" spans="1:45" x14ac:dyDescent="0.35">
      <c r="A13" s="41">
        <f>IFERROR(INDEX('Date Key'!$B$2:$B$19, MATCH(F13,'Date Key'!$A$2:$A$19, 0)), "")</f>
        <v>45224</v>
      </c>
      <c r="B13" s="4">
        <f t="shared" ref="B13:B56" si="15">INT((ROW(B11)-1)/9)+1</f>
        <v>2</v>
      </c>
      <c r="C13" s="26" t="str">
        <f>IFERROR(INDEX('Date Key'!$G$57:$G$62, MATCH(B13,'Date Key'!$A$57:$A$62, 0)), "")</f>
        <v>Medium HLR, Lower Outlet Height, No Plants</v>
      </c>
      <c r="D13" s="4" t="str">
        <f>IFERROR(INDEX('Date Key'!$G$2:$G$19, MATCH(F13, 'Date Key'!$A$2:$A$19, 0)), "")</f>
        <v>No</v>
      </c>
      <c r="E13" s="4" t="str">
        <f t="shared" si="1"/>
        <v>in</v>
      </c>
      <c r="F13" s="4">
        <f t="shared" si="2"/>
        <v>5</v>
      </c>
      <c r="G13" s="4">
        <f t="shared" si="3"/>
        <v>2</v>
      </c>
      <c r="H13" s="11" cm="1">
        <f t="array" ref="H13">IFERROR(INDEX('Master Data Sheet'!$1:$1048576, MATCH(1, ('Master Data Sheet'!$H:$H=H$2) * (INDEX('Master Data Sheet'!$1:$1, , MATCH($F$1, 'Master Data Sheet'!$1:$1, 0)) = $F$1) * ('Master Data Sheet'!$G:$G=$B13) * ('Master Data Sheet'!$F:$F=$E13) * ('Master Data Sheet'!$A:$A=$F13), 0), MATCH($F$1, 'Master Data Sheet'!$1:$1, 0)), "")</f>
        <v>0</v>
      </c>
      <c r="I13" s="11" cm="1">
        <f t="array" ref="I13">IFERROR(INDEX('Master Data Sheet'!$1:$1048576, MATCH(1, ('Master Data Sheet'!$H:$H=I$2) * (INDEX('Master Data Sheet'!$1:$1, , MATCH($F$1, 'Master Data Sheet'!$1:$1, 0)) = $F$1) * ('Master Data Sheet'!$G:$G=$B13) * ('Master Data Sheet'!$F:$F=$E13) * ('Master Data Sheet'!$A:$A=$F13), 0), MATCH($F$1, 'Master Data Sheet'!$1:$1, 0)), "")</f>
        <v>0</v>
      </c>
      <c r="J13" s="11" cm="1">
        <f t="array" ref="J13">IFERROR(INDEX('Master Data Sheet'!$1:$1048576, MATCH(1, ('Master Data Sheet'!$H:$H=J$2) * (INDEX('Master Data Sheet'!$1:$1, , MATCH($F$1, 'Master Data Sheet'!$1:$1, 0)) = $F$1) * ('Master Data Sheet'!$G:$G=$B13) * ('Master Data Sheet'!$F:$F=$E13) * ('Master Data Sheet'!$A:$A=$F13), 0), MATCH($F$1, 'Master Data Sheet'!$1:$1, 0)), "")</f>
        <v>0</v>
      </c>
      <c r="K13" s="11" cm="1">
        <f t="array" ref="K13">IFERROR(INDEX('Master Data Sheet'!$1:$1048576, MATCH(1, ('Master Data Sheet'!$H:$H=K$2) * (INDEX('Master Data Sheet'!$1:$1, , MATCH($F$1, 'Master Data Sheet'!$1:$1, 0)) = $F$1) * ('Master Data Sheet'!$G:$G=$B13) * ('Master Data Sheet'!$F:$F=$E13) * ('Master Data Sheet'!$A:$A=$F13), 0), MATCH($F$1, 'Master Data Sheet'!$1:$1, 0)), "")</f>
        <v>0</v>
      </c>
      <c r="L13" s="11" cm="1">
        <f t="array" ref="L13">IFERROR(INDEX('Master Data Sheet'!$1:$1048576, MATCH(1, ('Master Data Sheet'!$H:$H=L$2) * (INDEX('Master Data Sheet'!$1:$1, , MATCH($F$1, 'Master Data Sheet'!$1:$1, 0)) = $F$1) * ('Master Data Sheet'!$G:$G=$B13) * ('Master Data Sheet'!$F:$F=$E13) * ('Master Data Sheet'!$A:$A=$F13), 0), MATCH($F$1, 'Master Data Sheet'!$1:$1, 0)), "")</f>
        <v>0</v>
      </c>
      <c r="M13" s="11" cm="1">
        <f t="array" ref="M13">IFERROR(INDEX('Master Data Sheet'!$1:$1048576, MATCH(1, ('Master Data Sheet'!$H:$H=M$2) * (INDEX('Master Data Sheet'!$1:$1, , MATCH($F$1, 'Master Data Sheet'!$1:$1, 0)) = $F$1) * ('Master Data Sheet'!$G:$G=$B13) * ('Master Data Sheet'!$F:$F=$E13) * ('Master Data Sheet'!$A:$A=$F13), 0), MATCH($F$1, 'Master Data Sheet'!$1:$1, 0)), "")</f>
        <v>0</v>
      </c>
      <c r="N13" s="11" cm="1">
        <f t="array" ref="N13">IFERROR(INDEX('Master Data Sheet'!$1:$1048576, MATCH(1, ('Master Data Sheet'!$H:$H=N$2) * (INDEX('Master Data Sheet'!$1:$1, , MATCH($F$1, 'Master Data Sheet'!$1:$1, 0)) = $F$1) * ('Master Data Sheet'!$G:$G=$B13) * ('Master Data Sheet'!$F:$F=$E13) * ('Master Data Sheet'!$A:$A=$F13), 0), MATCH($F$1, 'Master Data Sheet'!$1:$1, 0)), "")</f>
        <v>0</v>
      </c>
      <c r="O13" s="11">
        <f t="shared" si="8"/>
        <v>0</v>
      </c>
      <c r="P13" s="11">
        <f t="shared" si="4"/>
        <v>0</v>
      </c>
      <c r="Q13" s="11"/>
      <c r="X13" t="str">
        <f>IFERROR(INDEX('Date Key'!$G$57:$G$62, MATCH(B12,'Date Key'!$A$57:$A$62, 0)), "")</f>
        <v>Medium HLR, Lower Outlet Height, No Plants</v>
      </c>
      <c r="Y13" s="1">
        <f t="shared" ref="Y13:AE13" si="16">H12</f>
        <v>0</v>
      </c>
      <c r="Z13" s="1">
        <f t="shared" si="16"/>
        <v>0</v>
      </c>
      <c r="AA13" s="1">
        <f t="shared" si="16"/>
        <v>0</v>
      </c>
      <c r="AB13" s="1">
        <f t="shared" si="16"/>
        <v>0</v>
      </c>
      <c r="AC13" s="1">
        <f t="shared" si="16"/>
        <v>0</v>
      </c>
      <c r="AD13" s="1">
        <f t="shared" si="16"/>
        <v>0</v>
      </c>
      <c r="AE13" s="1">
        <f t="shared" si="16"/>
        <v>0</v>
      </c>
      <c r="AF13" s="1">
        <f t="shared" ref="AF13:AL13" si="17">H13</f>
        <v>0</v>
      </c>
      <c r="AG13" s="1">
        <f t="shared" si="17"/>
        <v>0</v>
      </c>
      <c r="AH13" s="1">
        <f t="shared" si="17"/>
        <v>0</v>
      </c>
      <c r="AI13" s="1">
        <f t="shared" si="17"/>
        <v>0</v>
      </c>
      <c r="AJ13" s="1">
        <f t="shared" si="17"/>
        <v>0</v>
      </c>
      <c r="AK13" s="1">
        <f t="shared" si="17"/>
        <v>0</v>
      </c>
      <c r="AL13" s="1">
        <f t="shared" si="17"/>
        <v>0</v>
      </c>
      <c r="AM13" s="1">
        <f t="shared" ref="AM13:AS13" si="18">H14</f>
        <v>0</v>
      </c>
      <c r="AN13" s="1">
        <f t="shared" si="18"/>
        <v>0</v>
      </c>
      <c r="AO13" s="1">
        <f t="shared" si="18"/>
        <v>0</v>
      </c>
      <c r="AP13" s="1">
        <f t="shared" si="18"/>
        <v>0</v>
      </c>
      <c r="AQ13" s="1">
        <f t="shared" si="18"/>
        <v>0</v>
      </c>
      <c r="AR13" s="1">
        <f t="shared" si="18"/>
        <v>0</v>
      </c>
      <c r="AS13" s="1">
        <f t="shared" si="18"/>
        <v>0</v>
      </c>
    </row>
    <row r="14" spans="1:45" x14ac:dyDescent="0.35">
      <c r="A14" s="41">
        <f>IFERROR(INDEX('Date Key'!$B$2:$B$19, MATCH(F14,'Date Key'!$A$2:$A$19, 0)), "")</f>
        <v>45230</v>
      </c>
      <c r="B14" s="4">
        <f t="shared" si="15"/>
        <v>2</v>
      </c>
      <c r="C14" s="26" t="str">
        <f>IFERROR(INDEX('Date Key'!$G$57:$G$62, MATCH(B14,'Date Key'!$A$57:$A$62, 0)), "")</f>
        <v>Medium HLR, Lower Outlet Height, No Plants</v>
      </c>
      <c r="D14" s="4" t="str">
        <f>IFERROR(INDEX('Date Key'!$G$2:$G$19, MATCH(F14, 'Date Key'!$A$2:$A$19, 0)), "")</f>
        <v>Yes</v>
      </c>
      <c r="E14" s="4" t="str">
        <f t="shared" si="1"/>
        <v>in</v>
      </c>
      <c r="F14" s="4">
        <f t="shared" si="2"/>
        <v>6</v>
      </c>
      <c r="G14" s="4">
        <f t="shared" si="3"/>
        <v>3</v>
      </c>
      <c r="H14" s="11" cm="1">
        <f t="array" ref="H14">IFERROR(INDEX('Master Data Sheet'!$1:$1048576, MATCH(1, ('Master Data Sheet'!$H:$H=H$2) * (INDEX('Master Data Sheet'!$1:$1, , MATCH($F$1, 'Master Data Sheet'!$1:$1, 0)) = $F$1) * ('Master Data Sheet'!$G:$G=$B14) * ('Master Data Sheet'!$F:$F=$E14) * ('Master Data Sheet'!$A:$A=$F14), 0), MATCH($F$1, 'Master Data Sheet'!$1:$1, 0)), "")</f>
        <v>0</v>
      </c>
      <c r="I14" s="11" cm="1">
        <f t="array" ref="I14">IFERROR(INDEX('Master Data Sheet'!$1:$1048576, MATCH(1, ('Master Data Sheet'!$H:$H=I$2) * (INDEX('Master Data Sheet'!$1:$1, , MATCH($F$1, 'Master Data Sheet'!$1:$1, 0)) = $F$1) * ('Master Data Sheet'!$G:$G=$B14) * ('Master Data Sheet'!$F:$F=$E14) * ('Master Data Sheet'!$A:$A=$F14), 0), MATCH($F$1, 'Master Data Sheet'!$1:$1, 0)), "")</f>
        <v>0</v>
      </c>
      <c r="J14" s="11" cm="1">
        <f t="array" ref="J14">IFERROR(INDEX('Master Data Sheet'!$1:$1048576, MATCH(1, ('Master Data Sheet'!$H:$H=J$2) * (INDEX('Master Data Sheet'!$1:$1, , MATCH($F$1, 'Master Data Sheet'!$1:$1, 0)) = $F$1) * ('Master Data Sheet'!$G:$G=$B14) * ('Master Data Sheet'!$F:$F=$E14) * ('Master Data Sheet'!$A:$A=$F14), 0), MATCH($F$1, 'Master Data Sheet'!$1:$1, 0)), "")</f>
        <v>0</v>
      </c>
      <c r="K14" s="11" cm="1">
        <f t="array" ref="K14">IFERROR(INDEX('Master Data Sheet'!$1:$1048576, MATCH(1, ('Master Data Sheet'!$H:$H=K$2) * (INDEX('Master Data Sheet'!$1:$1, , MATCH($F$1, 'Master Data Sheet'!$1:$1, 0)) = $F$1) * ('Master Data Sheet'!$G:$G=$B14) * ('Master Data Sheet'!$F:$F=$E14) * ('Master Data Sheet'!$A:$A=$F14), 0), MATCH($F$1, 'Master Data Sheet'!$1:$1, 0)), "")</f>
        <v>0</v>
      </c>
      <c r="L14" s="11" cm="1">
        <f t="array" ref="L14">IFERROR(INDEX('Master Data Sheet'!$1:$1048576, MATCH(1, ('Master Data Sheet'!$H:$H=L$2) * (INDEX('Master Data Sheet'!$1:$1, , MATCH($F$1, 'Master Data Sheet'!$1:$1, 0)) = $F$1) * ('Master Data Sheet'!$G:$G=$B14) * ('Master Data Sheet'!$F:$F=$E14) * ('Master Data Sheet'!$A:$A=$F14), 0), MATCH($F$1, 'Master Data Sheet'!$1:$1, 0)), "")</f>
        <v>0</v>
      </c>
      <c r="M14" s="11" cm="1">
        <f t="array" ref="M14">IFERROR(INDEX('Master Data Sheet'!$1:$1048576, MATCH(1, ('Master Data Sheet'!$H:$H=M$2) * (INDEX('Master Data Sheet'!$1:$1, , MATCH($F$1, 'Master Data Sheet'!$1:$1, 0)) = $F$1) * ('Master Data Sheet'!$G:$G=$B14) * ('Master Data Sheet'!$F:$F=$E14) * ('Master Data Sheet'!$A:$A=$F14), 0), MATCH($F$1, 'Master Data Sheet'!$1:$1, 0)), "")</f>
        <v>0</v>
      </c>
      <c r="N14" s="11" cm="1">
        <f t="array" ref="N14">IFERROR(INDEX('Master Data Sheet'!$1:$1048576, MATCH(1, ('Master Data Sheet'!$H:$H=N$2) * (INDEX('Master Data Sheet'!$1:$1, , MATCH($F$1, 'Master Data Sheet'!$1:$1, 0)) = $F$1) * ('Master Data Sheet'!$G:$G=$B14) * ('Master Data Sheet'!$F:$F=$E14) * ('Master Data Sheet'!$A:$A=$F14), 0), MATCH($F$1, 'Master Data Sheet'!$1:$1, 0)), "")</f>
        <v>0</v>
      </c>
      <c r="O14" s="11">
        <f t="shared" si="8"/>
        <v>0</v>
      </c>
      <c r="P14" s="11">
        <f t="shared" si="4"/>
        <v>0</v>
      </c>
      <c r="Q14" s="11"/>
      <c r="Y14" s="1"/>
      <c r="Z14" s="1"/>
      <c r="AA14" s="1"/>
      <c r="AB14" s="1"/>
      <c r="AC14" s="1"/>
      <c r="AD14" s="1"/>
      <c r="AE14" s="1"/>
      <c r="AF14" s="1"/>
      <c r="AG14" s="1"/>
      <c r="AH14" s="1"/>
      <c r="AI14" s="1"/>
      <c r="AJ14" s="1"/>
      <c r="AK14" s="1"/>
      <c r="AL14" s="1"/>
      <c r="AM14" s="1"/>
      <c r="AN14" s="1"/>
      <c r="AO14" s="1"/>
      <c r="AP14" s="1"/>
      <c r="AQ14" s="1"/>
      <c r="AR14" s="1"/>
      <c r="AS14" s="1"/>
    </row>
    <row r="15" spans="1:45" x14ac:dyDescent="0.35">
      <c r="A15" s="41">
        <f>IFERROR(INDEX('Date Key'!$B$2:$B$19, MATCH(F15,'Date Key'!$A$2:$A$19, 0)), "")</f>
        <v>45217</v>
      </c>
      <c r="B15" s="4">
        <f t="shared" si="15"/>
        <v>2</v>
      </c>
      <c r="C15" s="26" t="str">
        <f>IFERROR(INDEX('Date Key'!$G$57:$G$62, MATCH(B15,'Date Key'!$A$57:$A$62, 0)), "")</f>
        <v>Medium HLR, Lower Outlet Height, No Plants</v>
      </c>
      <c r="D15" s="4" t="str">
        <f>IFERROR(INDEX('Date Key'!$G$2:$G$19, MATCH(F15, 'Date Key'!$A$2:$A$19, 0)), "")</f>
        <v>No</v>
      </c>
      <c r="E15" s="4" t="str">
        <f t="shared" si="1"/>
        <v>tank 1</v>
      </c>
      <c r="F15" s="4">
        <f t="shared" si="2"/>
        <v>4</v>
      </c>
      <c r="G15" s="4">
        <f t="shared" si="3"/>
        <v>1</v>
      </c>
      <c r="H15" s="11" cm="1">
        <f t="array" ref="H15">IFERROR(INDEX('Master Data Sheet'!$1:$1048576, MATCH(1, ('Master Data Sheet'!$H:$H=H$2) * (INDEX('Master Data Sheet'!$1:$1, , MATCH($F$1, 'Master Data Sheet'!$1:$1, 0)) = $F$1) * ('Master Data Sheet'!$G:$G=$B15) * ('Master Data Sheet'!$F:$F=$E15) * ('Master Data Sheet'!$A:$A=$F15), 0), MATCH($F$1, 'Master Data Sheet'!$1:$1, 0)), "")</f>
        <v>0</v>
      </c>
      <c r="I15" s="11" cm="1">
        <f t="array" ref="I15">IFERROR(INDEX('Master Data Sheet'!$1:$1048576, MATCH(1, ('Master Data Sheet'!$H:$H=I$2) * (INDEX('Master Data Sheet'!$1:$1, , MATCH($F$1, 'Master Data Sheet'!$1:$1, 0)) = $F$1) * ('Master Data Sheet'!$G:$G=$B15) * ('Master Data Sheet'!$F:$F=$E15) * ('Master Data Sheet'!$A:$A=$F15), 0), MATCH($F$1, 'Master Data Sheet'!$1:$1, 0)), "")</f>
        <v>0</v>
      </c>
      <c r="J15" s="11" cm="1">
        <f t="array" ref="J15">IFERROR(INDEX('Master Data Sheet'!$1:$1048576, MATCH(1, ('Master Data Sheet'!$H:$H=J$2) * (INDEX('Master Data Sheet'!$1:$1, , MATCH($F$1, 'Master Data Sheet'!$1:$1, 0)) = $F$1) * ('Master Data Sheet'!$G:$G=$B15) * ('Master Data Sheet'!$F:$F=$E15) * ('Master Data Sheet'!$A:$A=$F15), 0), MATCH($F$1, 'Master Data Sheet'!$1:$1, 0)), "")</f>
        <v>0</v>
      </c>
      <c r="K15" s="11" cm="1">
        <f t="array" ref="K15">IFERROR(INDEX('Master Data Sheet'!$1:$1048576, MATCH(1, ('Master Data Sheet'!$H:$H=K$2) * (INDEX('Master Data Sheet'!$1:$1, , MATCH($F$1, 'Master Data Sheet'!$1:$1, 0)) = $F$1) * ('Master Data Sheet'!$G:$G=$B15) * ('Master Data Sheet'!$F:$F=$E15) * ('Master Data Sheet'!$A:$A=$F15), 0), MATCH($F$1, 'Master Data Sheet'!$1:$1, 0)), "")</f>
        <v>0</v>
      </c>
      <c r="L15" s="11" cm="1">
        <f t="array" ref="L15">IFERROR(INDEX('Master Data Sheet'!$1:$1048576, MATCH(1, ('Master Data Sheet'!$H:$H=L$2) * (INDEX('Master Data Sheet'!$1:$1, , MATCH($F$1, 'Master Data Sheet'!$1:$1, 0)) = $F$1) * ('Master Data Sheet'!$G:$G=$B15) * ('Master Data Sheet'!$F:$F=$E15) * ('Master Data Sheet'!$A:$A=$F15), 0), MATCH($F$1, 'Master Data Sheet'!$1:$1, 0)), "")</f>
        <v>0</v>
      </c>
      <c r="M15" s="11" cm="1">
        <f t="array" ref="M15">IFERROR(INDEX('Master Data Sheet'!$1:$1048576, MATCH(1, ('Master Data Sheet'!$H:$H=M$2) * (INDEX('Master Data Sheet'!$1:$1, , MATCH($F$1, 'Master Data Sheet'!$1:$1, 0)) = $F$1) * ('Master Data Sheet'!$G:$G=$B15) * ('Master Data Sheet'!$F:$F=$E15) * ('Master Data Sheet'!$A:$A=$F15), 0), MATCH($F$1, 'Master Data Sheet'!$1:$1, 0)), "")</f>
        <v>0</v>
      </c>
      <c r="N15" s="11" cm="1">
        <f t="array" ref="N15">IFERROR(INDEX('Master Data Sheet'!$1:$1048576, MATCH(1, ('Master Data Sheet'!$H:$H=N$2) * (INDEX('Master Data Sheet'!$1:$1, , MATCH($F$1, 'Master Data Sheet'!$1:$1, 0)) = $F$1) * ('Master Data Sheet'!$G:$G=$B15) * ('Master Data Sheet'!$F:$F=$E15) * ('Master Data Sheet'!$A:$A=$F15), 0), MATCH($F$1, 'Master Data Sheet'!$1:$1, 0)), "")</f>
        <v>0</v>
      </c>
      <c r="O15" s="11">
        <f t="shared" si="8"/>
        <v>0</v>
      </c>
      <c r="P15" s="11">
        <f t="shared" si="4"/>
        <v>0</v>
      </c>
      <c r="Q15" s="11">
        <f>AVERAGE(O15:O17)</f>
        <v>0</v>
      </c>
      <c r="R15" s="46" t="e">
        <f>(1-(O15/O12))*100</f>
        <v>#DIV/0!</v>
      </c>
      <c r="S15" s="46" t="e">
        <f>AVERAGE(R15:R17)</f>
        <v>#DIV/0!</v>
      </c>
      <c r="T15" s="46" t="e">
        <f>STDEV(R15:R17)</f>
        <v>#DIV/0!</v>
      </c>
      <c r="U15" s="47" t="e">
        <f>(1-(AVERAGE(H15:N17)/AVERAGE(H12:N14)))*100</f>
        <v>#DIV/0!</v>
      </c>
      <c r="Y15" s="2"/>
      <c r="Z15" s="2"/>
      <c r="AA15" s="2"/>
      <c r="AB15" s="2"/>
      <c r="AC15" s="2"/>
      <c r="AD15" s="2"/>
      <c r="AE15" s="2"/>
      <c r="AF15" s="2"/>
      <c r="AG15" s="2"/>
    </row>
    <row r="16" spans="1:45" x14ac:dyDescent="0.35">
      <c r="A16" s="41">
        <f>IFERROR(INDEX('Date Key'!$B$2:$B$19, MATCH(F16,'Date Key'!$A$2:$A$19, 0)), "")</f>
        <v>45224</v>
      </c>
      <c r="B16" s="4">
        <f t="shared" si="15"/>
        <v>2</v>
      </c>
      <c r="C16" s="26" t="str">
        <f>IFERROR(INDEX('Date Key'!$G$57:$G$62, MATCH(B16,'Date Key'!$A$57:$A$62, 0)), "")</f>
        <v>Medium HLR, Lower Outlet Height, No Plants</v>
      </c>
      <c r="D16" s="4" t="str">
        <f>IFERROR(INDEX('Date Key'!$G$2:$G$19, MATCH(F16, 'Date Key'!$A$2:$A$19, 0)), "")</f>
        <v>No</v>
      </c>
      <c r="E16" s="4" t="str">
        <f t="shared" si="1"/>
        <v>tank 1</v>
      </c>
      <c r="F16" s="4">
        <f t="shared" si="2"/>
        <v>5</v>
      </c>
      <c r="G16" s="4">
        <f>MOD(ROW(G16)-ROW($G$3), 3) + 1</f>
        <v>2</v>
      </c>
      <c r="H16" s="11" cm="1">
        <f t="array" ref="H16">IFERROR(INDEX('Master Data Sheet'!$1:$1048576, MATCH(1, ('Master Data Sheet'!$H:$H=H$2) * (INDEX('Master Data Sheet'!$1:$1, , MATCH($F$1, 'Master Data Sheet'!$1:$1, 0)) = $F$1) * ('Master Data Sheet'!$G:$G=$B16) * ('Master Data Sheet'!$F:$F=$E16) * ('Master Data Sheet'!$A:$A=$F16), 0), MATCH($F$1, 'Master Data Sheet'!$1:$1, 0)), "")</f>
        <v>0</v>
      </c>
      <c r="I16" s="11" cm="1">
        <f t="array" ref="I16">IFERROR(INDEX('Master Data Sheet'!$1:$1048576, MATCH(1, ('Master Data Sheet'!$H:$H=I$2) * (INDEX('Master Data Sheet'!$1:$1, , MATCH($F$1, 'Master Data Sheet'!$1:$1, 0)) = $F$1) * ('Master Data Sheet'!$G:$G=$B16) * ('Master Data Sheet'!$F:$F=$E16) * ('Master Data Sheet'!$A:$A=$F16), 0), MATCH($F$1, 'Master Data Sheet'!$1:$1, 0)), "")</f>
        <v>0</v>
      </c>
      <c r="J16" s="11" cm="1">
        <f t="array" ref="J16">IFERROR(INDEX('Master Data Sheet'!$1:$1048576, MATCH(1, ('Master Data Sheet'!$H:$H=J$2) * (INDEX('Master Data Sheet'!$1:$1, , MATCH($F$1, 'Master Data Sheet'!$1:$1, 0)) = $F$1) * ('Master Data Sheet'!$G:$G=$B16) * ('Master Data Sheet'!$F:$F=$E16) * ('Master Data Sheet'!$A:$A=$F16), 0), MATCH($F$1, 'Master Data Sheet'!$1:$1, 0)), "")</f>
        <v>0</v>
      </c>
      <c r="K16" s="11" cm="1">
        <f t="array" ref="K16">IFERROR(INDEX('Master Data Sheet'!$1:$1048576, MATCH(1, ('Master Data Sheet'!$H:$H=K$2) * (INDEX('Master Data Sheet'!$1:$1, , MATCH($F$1, 'Master Data Sheet'!$1:$1, 0)) = $F$1) * ('Master Data Sheet'!$G:$G=$B16) * ('Master Data Sheet'!$F:$F=$E16) * ('Master Data Sheet'!$A:$A=$F16), 0), MATCH($F$1, 'Master Data Sheet'!$1:$1, 0)), "")</f>
        <v>0</v>
      </c>
      <c r="L16" s="11" cm="1">
        <f t="array" ref="L16">IFERROR(INDEX('Master Data Sheet'!$1:$1048576, MATCH(1, ('Master Data Sheet'!$H:$H=L$2) * (INDEX('Master Data Sheet'!$1:$1, , MATCH($F$1, 'Master Data Sheet'!$1:$1, 0)) = $F$1) * ('Master Data Sheet'!$G:$G=$B16) * ('Master Data Sheet'!$F:$F=$E16) * ('Master Data Sheet'!$A:$A=$F16), 0), MATCH($F$1, 'Master Data Sheet'!$1:$1, 0)), "")</f>
        <v>0</v>
      </c>
      <c r="M16" s="11" cm="1">
        <f t="array" ref="M16">IFERROR(INDEX('Master Data Sheet'!$1:$1048576, MATCH(1, ('Master Data Sheet'!$H:$H=M$2) * (INDEX('Master Data Sheet'!$1:$1, , MATCH($F$1, 'Master Data Sheet'!$1:$1, 0)) = $F$1) * ('Master Data Sheet'!$G:$G=$B16) * ('Master Data Sheet'!$F:$F=$E16) * ('Master Data Sheet'!$A:$A=$F16), 0), MATCH($F$1, 'Master Data Sheet'!$1:$1, 0)), "")</f>
        <v>0</v>
      </c>
      <c r="N16" s="11" cm="1">
        <f t="array" ref="N16">IFERROR(INDEX('Master Data Sheet'!$1:$1048576, MATCH(1, ('Master Data Sheet'!$H:$H=N$2) * (INDEX('Master Data Sheet'!$1:$1, , MATCH($F$1, 'Master Data Sheet'!$1:$1, 0)) = $F$1) * ('Master Data Sheet'!$G:$G=$B16) * ('Master Data Sheet'!$F:$F=$E16) * ('Master Data Sheet'!$A:$A=$F16), 0), MATCH($F$1, 'Master Data Sheet'!$1:$1, 0)), "")</f>
        <v>0</v>
      </c>
      <c r="O16" s="11">
        <f t="shared" si="8"/>
        <v>0</v>
      </c>
      <c r="P16" s="11">
        <f t="shared" si="4"/>
        <v>0</v>
      </c>
      <c r="Q16" s="11"/>
      <c r="R16" s="46" t="e">
        <f>(1-(O16/O13))*100</f>
        <v>#DIV/0!</v>
      </c>
      <c r="X16" t="str">
        <f>IFERROR(INDEX('Date Key'!$G$57:$G$62, MATCH(B15,'Date Key'!$A$57:$A$62, 0)), "")</f>
        <v>Medium HLR, Lower Outlet Height, No Plants</v>
      </c>
      <c r="Y16" s="1">
        <f t="shared" ref="Y16:AE16" si="19">H15</f>
        <v>0</v>
      </c>
      <c r="Z16" s="1">
        <f t="shared" si="19"/>
        <v>0</v>
      </c>
      <c r="AA16" s="1">
        <f t="shared" si="19"/>
        <v>0</v>
      </c>
      <c r="AB16" s="1">
        <f t="shared" si="19"/>
        <v>0</v>
      </c>
      <c r="AC16" s="1">
        <f t="shared" si="19"/>
        <v>0</v>
      </c>
      <c r="AD16" s="1">
        <f t="shared" si="19"/>
        <v>0</v>
      </c>
      <c r="AE16" s="1">
        <f t="shared" si="19"/>
        <v>0</v>
      </c>
      <c r="AF16" s="1">
        <f t="shared" ref="AF16:AL16" si="20">H16</f>
        <v>0</v>
      </c>
      <c r="AG16" s="1">
        <f t="shared" si="20"/>
        <v>0</v>
      </c>
      <c r="AH16" s="1">
        <f t="shared" si="20"/>
        <v>0</v>
      </c>
      <c r="AI16" s="1">
        <f t="shared" si="20"/>
        <v>0</v>
      </c>
      <c r="AJ16" s="1">
        <f t="shared" si="20"/>
        <v>0</v>
      </c>
      <c r="AK16" s="1">
        <f t="shared" si="20"/>
        <v>0</v>
      </c>
      <c r="AL16" s="1">
        <f t="shared" si="20"/>
        <v>0</v>
      </c>
      <c r="AM16" s="1">
        <f t="shared" ref="AM16:AS16" si="21">H17</f>
        <v>0</v>
      </c>
      <c r="AN16" s="1">
        <f t="shared" si="21"/>
        <v>0</v>
      </c>
      <c r="AO16" s="1">
        <f t="shared" si="21"/>
        <v>0</v>
      </c>
      <c r="AP16" s="1">
        <f t="shared" si="21"/>
        <v>0</v>
      </c>
      <c r="AQ16" s="1">
        <f t="shared" si="21"/>
        <v>0</v>
      </c>
      <c r="AR16" s="1">
        <f t="shared" si="21"/>
        <v>0</v>
      </c>
      <c r="AS16" s="1">
        <f t="shared" si="21"/>
        <v>0</v>
      </c>
    </row>
    <row r="17" spans="1:45" x14ac:dyDescent="0.35">
      <c r="A17" s="41">
        <f>IFERROR(INDEX('Date Key'!$B$2:$B$19, MATCH(F17,'Date Key'!$A$2:$A$19, 0)), "")</f>
        <v>45230</v>
      </c>
      <c r="B17" s="4">
        <f t="shared" si="15"/>
        <v>2</v>
      </c>
      <c r="C17" s="26" t="str">
        <f>IFERROR(INDEX('Date Key'!$G$57:$G$62, MATCH(B17,'Date Key'!$A$57:$A$62, 0)), "")</f>
        <v>Medium HLR, Lower Outlet Height, No Plants</v>
      </c>
      <c r="D17" s="4" t="str">
        <f>IFERROR(INDEX('Date Key'!$G$2:$G$19, MATCH(F17, 'Date Key'!$A$2:$A$19, 0)), "")</f>
        <v>Yes</v>
      </c>
      <c r="E17" s="4" t="str">
        <f t="shared" si="1"/>
        <v>tank 1</v>
      </c>
      <c r="F17" s="4">
        <f t="shared" si="2"/>
        <v>6</v>
      </c>
      <c r="G17" s="4">
        <f t="shared" ref="G17:G56" si="22">MOD(ROW(G17)-ROW($G$3), 3) + 1</f>
        <v>3</v>
      </c>
      <c r="H17" s="11" cm="1">
        <f t="array" ref="H17">IFERROR(INDEX('Master Data Sheet'!$1:$1048576, MATCH(1, ('Master Data Sheet'!$H:$H=H$2) * (INDEX('Master Data Sheet'!$1:$1, , MATCH($F$1, 'Master Data Sheet'!$1:$1, 0)) = $F$1) * ('Master Data Sheet'!$G:$G=$B17) * ('Master Data Sheet'!$F:$F=$E17) * ('Master Data Sheet'!$A:$A=$F17), 0), MATCH($F$1, 'Master Data Sheet'!$1:$1, 0)), "")</f>
        <v>0</v>
      </c>
      <c r="I17" s="11" cm="1">
        <f t="array" ref="I17">IFERROR(INDEX('Master Data Sheet'!$1:$1048576, MATCH(1, ('Master Data Sheet'!$H:$H=I$2) * (INDEX('Master Data Sheet'!$1:$1, , MATCH($F$1, 'Master Data Sheet'!$1:$1, 0)) = $F$1) * ('Master Data Sheet'!$G:$G=$B17) * ('Master Data Sheet'!$F:$F=$E17) * ('Master Data Sheet'!$A:$A=$F17), 0), MATCH($F$1, 'Master Data Sheet'!$1:$1, 0)), "")</f>
        <v>0</v>
      </c>
      <c r="J17" s="11" cm="1">
        <f t="array" ref="J17">IFERROR(INDEX('Master Data Sheet'!$1:$1048576, MATCH(1, ('Master Data Sheet'!$H:$H=J$2) * (INDEX('Master Data Sheet'!$1:$1, , MATCH($F$1, 'Master Data Sheet'!$1:$1, 0)) = $F$1) * ('Master Data Sheet'!$G:$G=$B17) * ('Master Data Sheet'!$F:$F=$E17) * ('Master Data Sheet'!$A:$A=$F17), 0), MATCH($F$1, 'Master Data Sheet'!$1:$1, 0)), "")</f>
        <v>0</v>
      </c>
      <c r="K17" s="11" cm="1">
        <f t="array" ref="K17">IFERROR(INDEX('Master Data Sheet'!$1:$1048576, MATCH(1, ('Master Data Sheet'!$H:$H=K$2) * (INDEX('Master Data Sheet'!$1:$1, , MATCH($F$1, 'Master Data Sheet'!$1:$1, 0)) = $F$1) * ('Master Data Sheet'!$G:$G=$B17) * ('Master Data Sheet'!$F:$F=$E17) * ('Master Data Sheet'!$A:$A=$F17), 0), MATCH($F$1, 'Master Data Sheet'!$1:$1, 0)), "")</f>
        <v>0</v>
      </c>
      <c r="L17" s="11" cm="1">
        <f t="array" ref="L17">IFERROR(INDEX('Master Data Sheet'!$1:$1048576, MATCH(1, ('Master Data Sheet'!$H:$H=L$2) * (INDEX('Master Data Sheet'!$1:$1, , MATCH($F$1, 'Master Data Sheet'!$1:$1, 0)) = $F$1) * ('Master Data Sheet'!$G:$G=$B17) * ('Master Data Sheet'!$F:$F=$E17) * ('Master Data Sheet'!$A:$A=$F17), 0), MATCH($F$1, 'Master Data Sheet'!$1:$1, 0)), "")</f>
        <v>0</v>
      </c>
      <c r="M17" s="11" cm="1">
        <f t="array" ref="M17">IFERROR(INDEX('Master Data Sheet'!$1:$1048576, MATCH(1, ('Master Data Sheet'!$H:$H=M$2) * (INDEX('Master Data Sheet'!$1:$1, , MATCH($F$1, 'Master Data Sheet'!$1:$1, 0)) = $F$1) * ('Master Data Sheet'!$G:$G=$B17) * ('Master Data Sheet'!$F:$F=$E17) * ('Master Data Sheet'!$A:$A=$F17), 0), MATCH($F$1, 'Master Data Sheet'!$1:$1, 0)), "")</f>
        <v>0</v>
      </c>
      <c r="N17" s="11" cm="1">
        <f t="array" ref="N17">IFERROR(INDEX('Master Data Sheet'!$1:$1048576, MATCH(1, ('Master Data Sheet'!$H:$H=N$2) * (INDEX('Master Data Sheet'!$1:$1, , MATCH($F$1, 'Master Data Sheet'!$1:$1, 0)) = $F$1) * ('Master Data Sheet'!$G:$G=$B17) * ('Master Data Sheet'!$F:$F=$E17) * ('Master Data Sheet'!$A:$A=$F17), 0), MATCH($F$1, 'Master Data Sheet'!$1:$1, 0)), "")</f>
        <v>0</v>
      </c>
      <c r="O17" s="11">
        <f t="shared" si="8"/>
        <v>0</v>
      </c>
      <c r="P17" s="11">
        <f t="shared" si="4"/>
        <v>0</v>
      </c>
      <c r="Q17" s="11"/>
      <c r="R17" s="46" t="e">
        <f>(1-(O17/O14))*100</f>
        <v>#DIV/0!</v>
      </c>
      <c r="Y17" s="2"/>
      <c r="Z17" s="2"/>
      <c r="AA17" s="2"/>
      <c r="AB17" s="2"/>
      <c r="AC17" s="2"/>
      <c r="AD17" s="2"/>
      <c r="AE17" s="2"/>
      <c r="AF17" s="2"/>
      <c r="AG17" s="2"/>
    </row>
    <row r="18" spans="1:45" x14ac:dyDescent="0.35">
      <c r="A18" s="41">
        <f>IFERROR(INDEX('Date Key'!$B$2:$B$19, MATCH(F18,'Date Key'!$A$2:$A$19, 0)), "")</f>
        <v>45217</v>
      </c>
      <c r="B18" s="4">
        <f t="shared" si="15"/>
        <v>2</v>
      </c>
      <c r="C18" s="26" t="str">
        <f>IFERROR(INDEX('Date Key'!$G$57:$G$62, MATCH(B18,'Date Key'!$A$57:$A$62, 0)), "")</f>
        <v>Medium HLR, Lower Outlet Height, No Plants</v>
      </c>
      <c r="D18" s="4" t="str">
        <f>IFERROR(INDEX('Date Key'!$G$2:$G$19, MATCH(F18, 'Date Key'!$A$2:$A$19, 0)), "")</f>
        <v>No</v>
      </c>
      <c r="E18" s="4" t="str">
        <f t="shared" si="1"/>
        <v>tank 2</v>
      </c>
      <c r="F18" s="4">
        <f t="shared" si="2"/>
        <v>4</v>
      </c>
      <c r="G18" s="4">
        <f t="shared" si="22"/>
        <v>1</v>
      </c>
      <c r="H18" s="11" cm="1">
        <f t="array" ref="H18">IFERROR(INDEX('Master Data Sheet'!$1:$1048576, MATCH(1, ('Master Data Sheet'!$H:$H=H$2) * (INDEX('Master Data Sheet'!$1:$1, , MATCH($F$1, 'Master Data Sheet'!$1:$1, 0)) = $F$1) * ('Master Data Sheet'!$G:$G=$B18) * ('Master Data Sheet'!$F:$F=$E18) * ('Master Data Sheet'!$A:$A=$F18), 0), MATCH($F$1, 'Master Data Sheet'!$1:$1, 0)), "")</f>
        <v>0</v>
      </c>
      <c r="I18" s="11" cm="1">
        <f t="array" ref="I18">IFERROR(INDEX('Master Data Sheet'!$1:$1048576, MATCH(1, ('Master Data Sheet'!$H:$H=I$2) * (INDEX('Master Data Sheet'!$1:$1, , MATCH($F$1, 'Master Data Sheet'!$1:$1, 0)) = $F$1) * ('Master Data Sheet'!$G:$G=$B18) * ('Master Data Sheet'!$F:$F=$E18) * ('Master Data Sheet'!$A:$A=$F18), 0), MATCH($F$1, 'Master Data Sheet'!$1:$1, 0)), "")</f>
        <v>0</v>
      </c>
      <c r="J18" s="11" cm="1">
        <f t="array" ref="J18">IFERROR(INDEX('Master Data Sheet'!$1:$1048576, MATCH(1, ('Master Data Sheet'!$H:$H=J$2) * (INDEX('Master Data Sheet'!$1:$1, , MATCH($F$1, 'Master Data Sheet'!$1:$1, 0)) = $F$1) * ('Master Data Sheet'!$G:$G=$B18) * ('Master Data Sheet'!$F:$F=$E18) * ('Master Data Sheet'!$A:$A=$F18), 0), MATCH($F$1, 'Master Data Sheet'!$1:$1, 0)), "")</f>
        <v>0</v>
      </c>
      <c r="K18" s="11" cm="1">
        <f t="array" ref="K18">IFERROR(INDEX('Master Data Sheet'!$1:$1048576, MATCH(1, ('Master Data Sheet'!$H:$H=K$2) * (INDEX('Master Data Sheet'!$1:$1, , MATCH($F$1, 'Master Data Sheet'!$1:$1, 0)) = $F$1) * ('Master Data Sheet'!$G:$G=$B18) * ('Master Data Sheet'!$F:$F=$E18) * ('Master Data Sheet'!$A:$A=$F18), 0), MATCH($F$1, 'Master Data Sheet'!$1:$1, 0)), "")</f>
        <v>0</v>
      </c>
      <c r="L18" s="11" cm="1">
        <f t="array" ref="L18">IFERROR(INDEX('Master Data Sheet'!$1:$1048576, MATCH(1, ('Master Data Sheet'!$H:$H=L$2) * (INDEX('Master Data Sheet'!$1:$1, , MATCH($F$1, 'Master Data Sheet'!$1:$1, 0)) = $F$1) * ('Master Data Sheet'!$G:$G=$B18) * ('Master Data Sheet'!$F:$F=$E18) * ('Master Data Sheet'!$A:$A=$F18), 0), MATCH($F$1, 'Master Data Sheet'!$1:$1, 0)), "")</f>
        <v>0</v>
      </c>
      <c r="M18" s="11" cm="1">
        <f t="array" ref="M18">IFERROR(INDEX('Master Data Sheet'!$1:$1048576, MATCH(1, ('Master Data Sheet'!$H:$H=M$2) * (INDEX('Master Data Sheet'!$1:$1, , MATCH($F$1, 'Master Data Sheet'!$1:$1, 0)) = $F$1) * ('Master Data Sheet'!$G:$G=$B18) * ('Master Data Sheet'!$F:$F=$E18) * ('Master Data Sheet'!$A:$A=$F18), 0), MATCH($F$1, 'Master Data Sheet'!$1:$1, 0)), "")</f>
        <v>0</v>
      </c>
      <c r="N18" s="11" cm="1">
        <f t="array" ref="N18">IFERROR(INDEX('Master Data Sheet'!$1:$1048576, MATCH(1, ('Master Data Sheet'!$H:$H=N$2) * (INDEX('Master Data Sheet'!$1:$1, , MATCH($F$1, 'Master Data Sheet'!$1:$1, 0)) = $F$1) * ('Master Data Sheet'!$G:$G=$B18) * ('Master Data Sheet'!$F:$F=$E18) * ('Master Data Sheet'!$A:$A=$F18), 0), MATCH($F$1, 'Master Data Sheet'!$1:$1, 0)), "")</f>
        <v>0</v>
      </c>
      <c r="O18" s="11">
        <f t="shared" si="8"/>
        <v>0</v>
      </c>
      <c r="P18" s="11">
        <f t="shared" si="4"/>
        <v>0</v>
      </c>
      <c r="Q18" s="11">
        <f>AVERAGE(N18:N20)</f>
        <v>0</v>
      </c>
      <c r="R18" s="46" t="e">
        <f>(1-(O18/O12))*100</f>
        <v>#DIV/0!</v>
      </c>
      <c r="S18" s="46" t="e">
        <f>AVERAGE(R18:R20)</f>
        <v>#DIV/0!</v>
      </c>
      <c r="T18" s="46" t="e">
        <f>STDEV(R18:R20)</f>
        <v>#DIV/0!</v>
      </c>
      <c r="U18" s="47" t="e">
        <f>(1-(AVERAGE(H18:N20)/AVERAGE(H12:N14)))*100</f>
        <v>#DIV/0!</v>
      </c>
      <c r="V18" s="47"/>
      <c r="Y18" s="2"/>
      <c r="Z18" s="2"/>
      <c r="AA18" s="2"/>
      <c r="AB18" s="2"/>
      <c r="AC18" s="2"/>
      <c r="AD18" s="2"/>
      <c r="AE18" s="2"/>
      <c r="AF18" s="2"/>
      <c r="AG18" s="2"/>
    </row>
    <row r="19" spans="1:45" x14ac:dyDescent="0.35">
      <c r="A19" s="41">
        <f>IFERROR(INDEX('Date Key'!$B$2:$B$19, MATCH(F19,'Date Key'!$A$2:$A$19, 0)), "")</f>
        <v>45224</v>
      </c>
      <c r="B19" s="4">
        <f t="shared" si="15"/>
        <v>2</v>
      </c>
      <c r="C19" s="26" t="str">
        <f>IFERROR(INDEX('Date Key'!$G$57:$G$62, MATCH(B19,'Date Key'!$A$57:$A$62, 0)), "")</f>
        <v>Medium HLR, Lower Outlet Height, No Plants</v>
      </c>
      <c r="D19" s="4" t="str">
        <f>IFERROR(INDEX('Date Key'!$G$2:$G$19, MATCH(F19, 'Date Key'!$A$2:$A$19, 0)), "")</f>
        <v>No</v>
      </c>
      <c r="E19" s="4" t="str">
        <f t="shared" si="1"/>
        <v>tank 2</v>
      </c>
      <c r="F19" s="4">
        <f t="shared" si="2"/>
        <v>5</v>
      </c>
      <c r="G19" s="4">
        <f t="shared" si="22"/>
        <v>2</v>
      </c>
      <c r="H19" s="11" cm="1">
        <f t="array" ref="H19">IFERROR(INDEX('Master Data Sheet'!$1:$1048576, MATCH(1, ('Master Data Sheet'!$H:$H=H$2) * (INDEX('Master Data Sheet'!$1:$1, , MATCH($F$1, 'Master Data Sheet'!$1:$1, 0)) = $F$1) * ('Master Data Sheet'!$G:$G=$B19) * ('Master Data Sheet'!$F:$F=$E19) * ('Master Data Sheet'!$A:$A=$F19), 0), MATCH($F$1, 'Master Data Sheet'!$1:$1, 0)), "")</f>
        <v>0</v>
      </c>
      <c r="I19" s="11" cm="1">
        <f t="array" ref="I19">IFERROR(INDEX('Master Data Sheet'!$1:$1048576, MATCH(1, ('Master Data Sheet'!$H:$H=I$2) * (INDEX('Master Data Sheet'!$1:$1, , MATCH($F$1, 'Master Data Sheet'!$1:$1, 0)) = $F$1) * ('Master Data Sheet'!$G:$G=$B19) * ('Master Data Sheet'!$F:$F=$E19) * ('Master Data Sheet'!$A:$A=$F19), 0), MATCH($F$1, 'Master Data Sheet'!$1:$1, 0)), "")</f>
        <v>0</v>
      </c>
      <c r="J19" s="11" cm="1">
        <f t="array" ref="J19">IFERROR(INDEX('Master Data Sheet'!$1:$1048576, MATCH(1, ('Master Data Sheet'!$H:$H=J$2) * (INDEX('Master Data Sheet'!$1:$1, , MATCH($F$1, 'Master Data Sheet'!$1:$1, 0)) = $F$1) * ('Master Data Sheet'!$G:$G=$B19) * ('Master Data Sheet'!$F:$F=$E19) * ('Master Data Sheet'!$A:$A=$F19), 0), MATCH($F$1, 'Master Data Sheet'!$1:$1, 0)), "")</f>
        <v>0</v>
      </c>
      <c r="K19" s="11" cm="1">
        <f t="array" ref="K19">IFERROR(INDEX('Master Data Sheet'!$1:$1048576, MATCH(1, ('Master Data Sheet'!$H:$H=K$2) * (INDEX('Master Data Sheet'!$1:$1, , MATCH($F$1, 'Master Data Sheet'!$1:$1, 0)) = $F$1) * ('Master Data Sheet'!$G:$G=$B19) * ('Master Data Sheet'!$F:$F=$E19) * ('Master Data Sheet'!$A:$A=$F19), 0), MATCH($F$1, 'Master Data Sheet'!$1:$1, 0)), "")</f>
        <v>0</v>
      </c>
      <c r="L19" s="11" cm="1">
        <f t="array" ref="L19">IFERROR(INDEX('Master Data Sheet'!$1:$1048576, MATCH(1, ('Master Data Sheet'!$H:$H=L$2) * (INDEX('Master Data Sheet'!$1:$1, , MATCH($F$1, 'Master Data Sheet'!$1:$1, 0)) = $F$1) * ('Master Data Sheet'!$G:$G=$B19) * ('Master Data Sheet'!$F:$F=$E19) * ('Master Data Sheet'!$A:$A=$F19), 0), MATCH($F$1, 'Master Data Sheet'!$1:$1, 0)), "")</f>
        <v>0</v>
      </c>
      <c r="M19" s="11" cm="1">
        <f t="array" ref="M19">IFERROR(INDEX('Master Data Sheet'!$1:$1048576, MATCH(1, ('Master Data Sheet'!$H:$H=M$2) * (INDEX('Master Data Sheet'!$1:$1, , MATCH($F$1, 'Master Data Sheet'!$1:$1, 0)) = $F$1) * ('Master Data Sheet'!$G:$G=$B19) * ('Master Data Sheet'!$F:$F=$E19) * ('Master Data Sheet'!$A:$A=$F19), 0), MATCH($F$1, 'Master Data Sheet'!$1:$1, 0)), "")</f>
        <v>0</v>
      </c>
      <c r="N19" s="11" cm="1">
        <f t="array" ref="N19">IFERROR(INDEX('Master Data Sheet'!$1:$1048576, MATCH(1, ('Master Data Sheet'!$H:$H=N$2) * (INDEX('Master Data Sheet'!$1:$1, , MATCH($F$1, 'Master Data Sheet'!$1:$1, 0)) = $F$1) * ('Master Data Sheet'!$G:$G=$B19) * ('Master Data Sheet'!$F:$F=$E19) * ('Master Data Sheet'!$A:$A=$F19), 0), MATCH($F$1, 'Master Data Sheet'!$1:$1, 0)), "")</f>
        <v>0</v>
      </c>
      <c r="O19" s="11">
        <f t="shared" si="8"/>
        <v>0</v>
      </c>
      <c r="P19" s="11">
        <f t="shared" si="4"/>
        <v>0</v>
      </c>
      <c r="Q19" s="11"/>
      <c r="R19" s="46" t="e">
        <f>(1-(O19/O13))*100</f>
        <v>#DIV/0!</v>
      </c>
      <c r="X19" t="str">
        <f>IFERROR(INDEX('Date Key'!$G$57:$G$62, MATCH(B18,'Date Key'!$A$57:$A$62, 0)), "")</f>
        <v>Medium HLR, Lower Outlet Height, No Plants</v>
      </c>
      <c r="Y19" s="1">
        <f t="shared" ref="Y19:AE19" si="23">H18</f>
        <v>0</v>
      </c>
      <c r="Z19" s="1">
        <f t="shared" si="23"/>
        <v>0</v>
      </c>
      <c r="AA19" s="1">
        <f t="shared" si="23"/>
        <v>0</v>
      </c>
      <c r="AB19" s="1">
        <f t="shared" si="23"/>
        <v>0</v>
      </c>
      <c r="AC19" s="1">
        <f t="shared" si="23"/>
        <v>0</v>
      </c>
      <c r="AD19" s="1">
        <f t="shared" si="23"/>
        <v>0</v>
      </c>
      <c r="AE19" s="1">
        <f t="shared" si="23"/>
        <v>0</v>
      </c>
      <c r="AF19" s="1">
        <f t="shared" ref="AF19:AL19" si="24">H19</f>
        <v>0</v>
      </c>
      <c r="AG19" s="1">
        <f t="shared" si="24"/>
        <v>0</v>
      </c>
      <c r="AH19" s="1">
        <f t="shared" si="24"/>
        <v>0</v>
      </c>
      <c r="AI19" s="1">
        <f t="shared" si="24"/>
        <v>0</v>
      </c>
      <c r="AJ19" s="1">
        <f t="shared" si="24"/>
        <v>0</v>
      </c>
      <c r="AK19" s="1">
        <f t="shared" si="24"/>
        <v>0</v>
      </c>
      <c r="AL19" s="1">
        <f t="shared" si="24"/>
        <v>0</v>
      </c>
      <c r="AM19" s="1">
        <f t="shared" ref="AM19:AS19" si="25">H20</f>
        <v>0</v>
      </c>
      <c r="AN19" s="1">
        <f t="shared" si="25"/>
        <v>0</v>
      </c>
      <c r="AO19" s="1">
        <f t="shared" si="25"/>
        <v>0</v>
      </c>
      <c r="AP19" s="1">
        <f t="shared" si="25"/>
        <v>0</v>
      </c>
      <c r="AQ19" s="1">
        <f t="shared" si="25"/>
        <v>0</v>
      </c>
      <c r="AR19" s="1">
        <f t="shared" si="25"/>
        <v>0</v>
      </c>
      <c r="AS19" s="1">
        <f t="shared" si="25"/>
        <v>0</v>
      </c>
    </row>
    <row r="20" spans="1:45" x14ac:dyDescent="0.35">
      <c r="A20" s="42">
        <f>IFERROR(INDEX('Date Key'!$B$2:$B$19, MATCH(F20,'Date Key'!$A$2:$A$19, 0)), "")</f>
        <v>45230</v>
      </c>
      <c r="B20" s="27">
        <f t="shared" si="15"/>
        <v>2</v>
      </c>
      <c r="C20" s="51" t="str">
        <f>IFERROR(INDEX('Date Key'!$G$57:$G$62, MATCH(B20,'Date Key'!$A$57:$A$62, 0)), "")</f>
        <v>Medium HLR, Lower Outlet Height, No Plants</v>
      </c>
      <c r="D20" s="27" t="str">
        <f>IFERROR(INDEX('Date Key'!$G$2:$G$19, MATCH(F20, 'Date Key'!$A$2:$A$19, 0)), "")</f>
        <v>Yes</v>
      </c>
      <c r="E20" s="27" t="str">
        <f t="shared" si="1"/>
        <v>tank 2</v>
      </c>
      <c r="F20" s="27">
        <f t="shared" si="2"/>
        <v>6</v>
      </c>
      <c r="G20" s="27">
        <f t="shared" si="22"/>
        <v>3</v>
      </c>
      <c r="H20" s="28" cm="1">
        <f t="array" ref="H20">IFERROR(INDEX('Master Data Sheet'!$1:$1048576, MATCH(1, ('Master Data Sheet'!$H:$H=H$2) * (INDEX('Master Data Sheet'!$1:$1, , MATCH($F$1, 'Master Data Sheet'!$1:$1, 0)) = $F$1) * ('Master Data Sheet'!$G:$G=$B20) * ('Master Data Sheet'!$F:$F=$E20) * ('Master Data Sheet'!$A:$A=$F20), 0), MATCH($F$1, 'Master Data Sheet'!$1:$1, 0)), "")</f>
        <v>0</v>
      </c>
      <c r="I20" s="28" cm="1">
        <f t="array" ref="I20">IFERROR(INDEX('Master Data Sheet'!$1:$1048576, MATCH(1, ('Master Data Sheet'!$H:$H=I$2) * (INDEX('Master Data Sheet'!$1:$1, , MATCH($F$1, 'Master Data Sheet'!$1:$1, 0)) = $F$1) * ('Master Data Sheet'!$G:$G=$B20) * ('Master Data Sheet'!$F:$F=$E20) * ('Master Data Sheet'!$A:$A=$F20), 0), MATCH($F$1, 'Master Data Sheet'!$1:$1, 0)), "")</f>
        <v>0</v>
      </c>
      <c r="J20" s="28" cm="1">
        <f t="array" ref="J20">IFERROR(INDEX('Master Data Sheet'!$1:$1048576, MATCH(1, ('Master Data Sheet'!$H:$H=J$2) * (INDEX('Master Data Sheet'!$1:$1, , MATCH($F$1, 'Master Data Sheet'!$1:$1, 0)) = $F$1) * ('Master Data Sheet'!$G:$G=$B20) * ('Master Data Sheet'!$F:$F=$E20) * ('Master Data Sheet'!$A:$A=$F20), 0), MATCH($F$1, 'Master Data Sheet'!$1:$1, 0)), "")</f>
        <v>0</v>
      </c>
      <c r="K20" s="28" cm="1">
        <f t="array" ref="K20">IFERROR(INDEX('Master Data Sheet'!$1:$1048576, MATCH(1, ('Master Data Sheet'!$H:$H=K$2) * (INDEX('Master Data Sheet'!$1:$1, , MATCH($F$1, 'Master Data Sheet'!$1:$1, 0)) = $F$1) * ('Master Data Sheet'!$G:$G=$B20) * ('Master Data Sheet'!$F:$F=$E20) * ('Master Data Sheet'!$A:$A=$F20), 0), MATCH($F$1, 'Master Data Sheet'!$1:$1, 0)), "")</f>
        <v>0</v>
      </c>
      <c r="L20" s="28" cm="1">
        <f t="array" ref="L20">IFERROR(INDEX('Master Data Sheet'!$1:$1048576, MATCH(1, ('Master Data Sheet'!$H:$H=L$2) * (INDEX('Master Data Sheet'!$1:$1, , MATCH($F$1, 'Master Data Sheet'!$1:$1, 0)) = $F$1) * ('Master Data Sheet'!$G:$G=$B20) * ('Master Data Sheet'!$F:$F=$E20) * ('Master Data Sheet'!$A:$A=$F20), 0), MATCH($F$1, 'Master Data Sheet'!$1:$1, 0)), "")</f>
        <v>0</v>
      </c>
      <c r="M20" s="28" cm="1">
        <f t="array" ref="M20">IFERROR(INDEX('Master Data Sheet'!$1:$1048576, MATCH(1, ('Master Data Sheet'!$H:$H=M$2) * (INDEX('Master Data Sheet'!$1:$1, , MATCH($F$1, 'Master Data Sheet'!$1:$1, 0)) = $F$1) * ('Master Data Sheet'!$G:$G=$B20) * ('Master Data Sheet'!$F:$F=$E20) * ('Master Data Sheet'!$A:$A=$F20), 0), MATCH($F$1, 'Master Data Sheet'!$1:$1, 0)), "")</f>
        <v>0</v>
      </c>
      <c r="N20" s="28" cm="1">
        <f t="array" ref="N20">IFERROR(INDEX('Master Data Sheet'!$1:$1048576, MATCH(1, ('Master Data Sheet'!$H:$H=N$2) * (INDEX('Master Data Sheet'!$1:$1, , MATCH($F$1, 'Master Data Sheet'!$1:$1, 0)) = $F$1) * ('Master Data Sheet'!$G:$G=$B20) * ('Master Data Sheet'!$F:$F=$E20) * ('Master Data Sheet'!$A:$A=$F20), 0), MATCH($F$1, 'Master Data Sheet'!$1:$1, 0)), "")</f>
        <v>0</v>
      </c>
      <c r="O20" s="28">
        <f t="shared" si="8"/>
        <v>0</v>
      </c>
      <c r="P20" s="28">
        <f t="shared" si="4"/>
        <v>0</v>
      </c>
      <c r="Q20" s="28"/>
      <c r="R20" s="48" t="e">
        <f>(1-(O20/O14))*100</f>
        <v>#DIV/0!</v>
      </c>
      <c r="S20" s="27"/>
      <c r="T20" s="27"/>
      <c r="U20" s="27"/>
      <c r="V20" s="27"/>
    </row>
    <row r="21" spans="1:45" x14ac:dyDescent="0.35">
      <c r="A21" s="41">
        <f>IFERROR(INDEX('Date Key'!$B$2:$B$19, MATCH(F21,'Date Key'!$A$2:$A$19, 0)), "")</f>
        <v>45233</v>
      </c>
      <c r="B21" s="4">
        <f t="shared" si="15"/>
        <v>3</v>
      </c>
      <c r="C21" s="26" t="str">
        <f>IFERROR(INDEX('Date Key'!$G$57:$G$62, MATCH(B21,'Date Key'!$A$57:$A$62, 0)), "")</f>
        <v>High HLR, Lower Outlet Height, No Plants</v>
      </c>
      <c r="D21" s="4" t="str">
        <f>IFERROR(INDEX('Date Key'!$G$2:$G$19, MATCH(F21, 'Date Key'!$A$2:$A$19, 0)), "")</f>
        <v>No</v>
      </c>
      <c r="E21" s="4" t="str">
        <f t="shared" si="1"/>
        <v>in</v>
      </c>
      <c r="F21" s="4">
        <f t="shared" si="2"/>
        <v>7</v>
      </c>
      <c r="G21" s="4">
        <f t="shared" si="22"/>
        <v>1</v>
      </c>
      <c r="H21" s="11" cm="1">
        <f t="array" ref="H21">IFERROR(INDEX('Master Data Sheet'!$1:$1048576, MATCH(1, ('Master Data Sheet'!$H:$H=H$2) * (INDEX('Master Data Sheet'!$1:$1, , MATCH($F$1, 'Master Data Sheet'!$1:$1, 0)) = $F$1) * ('Master Data Sheet'!$G:$G=$B21) * ('Master Data Sheet'!$F:$F=$E21) * ('Master Data Sheet'!$A:$A=$F21), 0), MATCH($F$1, 'Master Data Sheet'!$1:$1, 0)), "")</f>
        <v>0</v>
      </c>
      <c r="I21" s="11" cm="1">
        <f t="array" ref="I21">IFERROR(INDEX('Master Data Sheet'!$1:$1048576, MATCH(1, ('Master Data Sheet'!$H:$H=I$2) * (INDEX('Master Data Sheet'!$1:$1, , MATCH($F$1, 'Master Data Sheet'!$1:$1, 0)) = $F$1) * ('Master Data Sheet'!$G:$G=$B21) * ('Master Data Sheet'!$F:$F=$E21) * ('Master Data Sheet'!$A:$A=$F21), 0), MATCH($F$1, 'Master Data Sheet'!$1:$1, 0)), "")</f>
        <v>0</v>
      </c>
      <c r="J21" s="11" cm="1">
        <f t="array" ref="J21">IFERROR(INDEX('Master Data Sheet'!$1:$1048576, MATCH(1, ('Master Data Sheet'!$H:$H=J$2) * (INDEX('Master Data Sheet'!$1:$1, , MATCH($F$1, 'Master Data Sheet'!$1:$1, 0)) = $F$1) * ('Master Data Sheet'!$G:$G=$B21) * ('Master Data Sheet'!$F:$F=$E21) * ('Master Data Sheet'!$A:$A=$F21), 0), MATCH($F$1, 'Master Data Sheet'!$1:$1, 0)), "")</f>
        <v>0</v>
      </c>
      <c r="K21" s="11" cm="1">
        <f t="array" ref="K21">IFERROR(INDEX('Master Data Sheet'!$1:$1048576, MATCH(1, ('Master Data Sheet'!$H:$H=K$2) * (INDEX('Master Data Sheet'!$1:$1, , MATCH($F$1, 'Master Data Sheet'!$1:$1, 0)) = $F$1) * ('Master Data Sheet'!$G:$G=$B21) * ('Master Data Sheet'!$F:$F=$E21) * ('Master Data Sheet'!$A:$A=$F21), 0), MATCH($F$1, 'Master Data Sheet'!$1:$1, 0)), "")</f>
        <v>0</v>
      </c>
      <c r="L21" s="11" cm="1">
        <f t="array" ref="L21">IFERROR(INDEX('Master Data Sheet'!$1:$1048576, MATCH(1, ('Master Data Sheet'!$H:$H=L$2) * (INDEX('Master Data Sheet'!$1:$1, , MATCH($F$1, 'Master Data Sheet'!$1:$1, 0)) = $F$1) * ('Master Data Sheet'!$G:$G=$B21) * ('Master Data Sheet'!$F:$F=$E21) * ('Master Data Sheet'!$A:$A=$F21), 0), MATCH($F$1, 'Master Data Sheet'!$1:$1, 0)), "")</f>
        <v>0</v>
      </c>
      <c r="M21" s="11" cm="1">
        <f t="array" ref="M21">IFERROR(INDEX('Master Data Sheet'!$1:$1048576, MATCH(1, ('Master Data Sheet'!$H:$H=M$2) * (INDEX('Master Data Sheet'!$1:$1, , MATCH($F$1, 'Master Data Sheet'!$1:$1, 0)) = $F$1) * ('Master Data Sheet'!$G:$G=$B21) * ('Master Data Sheet'!$F:$F=$E21) * ('Master Data Sheet'!$A:$A=$F21), 0), MATCH($F$1, 'Master Data Sheet'!$1:$1, 0)), "")</f>
        <v>0</v>
      </c>
      <c r="N21" s="11" cm="1">
        <f t="array" ref="N21">IFERROR(INDEX('Master Data Sheet'!$1:$1048576, MATCH(1, ('Master Data Sheet'!$H:$H=N$2) * (INDEX('Master Data Sheet'!$1:$1, , MATCH($F$1, 'Master Data Sheet'!$1:$1, 0)) = $F$1) * ('Master Data Sheet'!$G:$G=$B21) * ('Master Data Sheet'!$F:$F=$E21) * ('Master Data Sheet'!$A:$A=$F21), 0), MATCH($F$1, 'Master Data Sheet'!$1:$1, 0)), "")</f>
        <v>0</v>
      </c>
      <c r="O21" s="11">
        <f>AVERAGE(H21:N21)</f>
        <v>0</v>
      </c>
      <c r="P21" s="11">
        <f t="shared" si="4"/>
        <v>0</v>
      </c>
      <c r="Q21" s="11">
        <f>AVERAGE(O21:O23)</f>
        <v>4.3909523809523812</v>
      </c>
      <c r="S21" s="11">
        <f>AVERAGE(O21:O23)</f>
        <v>4.3909523809523812</v>
      </c>
      <c r="T21" s="11">
        <f>AVERAGE(P21:P23)</f>
        <v>0.39511429559537986</v>
      </c>
      <c r="V21" s="47">
        <f>AVERAGE(U24, U27)</f>
        <v>79.004446372410811</v>
      </c>
      <c r="X21" t="s">
        <v>343</v>
      </c>
    </row>
    <row r="22" spans="1:45" x14ac:dyDescent="0.35">
      <c r="A22" s="41">
        <f>IFERROR(INDEX('Date Key'!$B$2:$B$19, MATCH(F22,'Date Key'!$A$2:$A$19, 0)), "")</f>
        <v>45238</v>
      </c>
      <c r="B22" s="4">
        <f t="shared" si="15"/>
        <v>3</v>
      </c>
      <c r="C22" s="26" t="str">
        <f>IFERROR(INDEX('Date Key'!$G$57:$G$62, MATCH(B22,'Date Key'!$A$57:$A$62, 0)), "")</f>
        <v>High HLR, Lower Outlet Height, No Plants</v>
      </c>
      <c r="D22" s="4" t="str">
        <f>IFERROR(INDEX('Date Key'!$G$2:$G$19, MATCH(F22, 'Date Key'!$A$2:$A$19, 0)), "")</f>
        <v>No</v>
      </c>
      <c r="E22" s="4" t="str">
        <f t="shared" si="1"/>
        <v>in</v>
      </c>
      <c r="F22" s="4">
        <f t="shared" si="2"/>
        <v>8</v>
      </c>
      <c r="G22" s="4">
        <f t="shared" si="22"/>
        <v>2</v>
      </c>
      <c r="H22" s="11" cm="1">
        <f t="array" ref="H22">IFERROR(INDEX('Master Data Sheet'!$1:$1048576, MATCH(1, ('Master Data Sheet'!$H:$H=H$2) * (INDEX('Master Data Sheet'!$1:$1, , MATCH($F$1, 'Master Data Sheet'!$1:$1, 0)) = $F$1) * ('Master Data Sheet'!$G:$G=$B22) * ('Master Data Sheet'!$F:$F=$E22) * ('Master Data Sheet'!$A:$A=$F22), 0), MATCH($F$1, 'Master Data Sheet'!$1:$1, 0)), "")</f>
        <v>7.53</v>
      </c>
      <c r="I22" s="11" cm="1">
        <f t="array" ref="I22">IFERROR(INDEX('Master Data Sheet'!$1:$1048576, MATCH(1, ('Master Data Sheet'!$H:$H=I$2) * (INDEX('Master Data Sheet'!$1:$1, , MATCH($F$1, 'Master Data Sheet'!$1:$1, 0)) = $F$1) * ('Master Data Sheet'!$G:$G=$B22) * ('Master Data Sheet'!$F:$F=$E22) * ('Master Data Sheet'!$A:$A=$F22), 0), MATCH($F$1, 'Master Data Sheet'!$1:$1, 0)), "")</f>
        <v>7.04</v>
      </c>
      <c r="J22" s="11" cm="1">
        <f t="array" ref="J22">IFERROR(INDEX('Master Data Sheet'!$1:$1048576, MATCH(1, ('Master Data Sheet'!$H:$H=J$2) * (INDEX('Master Data Sheet'!$1:$1, , MATCH($F$1, 'Master Data Sheet'!$1:$1, 0)) = $F$1) * ('Master Data Sheet'!$G:$G=$B22) * ('Master Data Sheet'!$F:$F=$E22) * ('Master Data Sheet'!$A:$A=$F22), 0), MATCH($F$1, 'Master Data Sheet'!$1:$1, 0)), "")</f>
        <v>6.25</v>
      </c>
      <c r="K22" s="11" cm="1">
        <f t="array" ref="K22">IFERROR(INDEX('Master Data Sheet'!$1:$1048576, MATCH(1, ('Master Data Sheet'!$H:$H=K$2) * (INDEX('Master Data Sheet'!$1:$1, , MATCH($F$1, 'Master Data Sheet'!$1:$1, 0)) = $F$1) * ('Master Data Sheet'!$G:$G=$B22) * ('Master Data Sheet'!$F:$F=$E22) * ('Master Data Sheet'!$A:$A=$F22), 0), MATCH($F$1, 'Master Data Sheet'!$1:$1, 0)), "")</f>
        <v>6.12</v>
      </c>
      <c r="L22" s="11" cm="1">
        <f t="array" ref="L22">IFERROR(INDEX('Master Data Sheet'!$1:$1048576, MATCH(1, ('Master Data Sheet'!$H:$H=L$2) * (INDEX('Master Data Sheet'!$1:$1, , MATCH($F$1, 'Master Data Sheet'!$1:$1, 0)) = $F$1) * ('Master Data Sheet'!$G:$G=$B22) * ('Master Data Sheet'!$F:$F=$E22) * ('Master Data Sheet'!$A:$A=$F22), 0), MATCH($F$1, 'Master Data Sheet'!$1:$1, 0)), "")</f>
        <v>6.29</v>
      </c>
      <c r="M22" s="11" cm="1">
        <f t="array" ref="M22">IFERROR(INDEX('Master Data Sheet'!$1:$1048576, MATCH(1, ('Master Data Sheet'!$H:$H=M$2) * (INDEX('Master Data Sheet'!$1:$1, , MATCH($F$1, 'Master Data Sheet'!$1:$1, 0)) = $F$1) * ('Master Data Sheet'!$G:$G=$B22) * ('Master Data Sheet'!$F:$F=$E22) * ('Master Data Sheet'!$A:$A=$F22), 0), MATCH($F$1, 'Master Data Sheet'!$1:$1, 0)), "")</f>
        <v>6.49</v>
      </c>
      <c r="N22" s="11" cm="1">
        <f t="array" ref="N22">IFERROR(INDEX('Master Data Sheet'!$1:$1048576, MATCH(1, ('Master Data Sheet'!$H:$H=N$2) * (INDEX('Master Data Sheet'!$1:$1, , MATCH($F$1, 'Master Data Sheet'!$1:$1, 0)) = $F$1) * ('Master Data Sheet'!$G:$G=$B22) * ('Master Data Sheet'!$F:$F=$E22) * ('Master Data Sheet'!$A:$A=$F22), 0), MATCH($F$1, 'Master Data Sheet'!$1:$1, 0)), "")</f>
        <v>6.27</v>
      </c>
      <c r="O22" s="11">
        <f t="shared" si="8"/>
        <v>6.5700000000000012</v>
      </c>
      <c r="P22" s="11">
        <f t="shared" si="4"/>
        <v>0.51996794773011423</v>
      </c>
      <c r="Q22" s="11"/>
      <c r="X22" t="str">
        <f>IFERROR(INDEX('Date Key'!$G$57:$G$62, MATCH(B21,'Date Key'!$A$57:$A$62, 0)), "")</f>
        <v>High HLR, Lower Outlet Height, No Plants</v>
      </c>
      <c r="Y22" s="1">
        <f t="shared" ref="Y22:AE22" si="26">H21</f>
        <v>0</v>
      </c>
      <c r="Z22" s="1">
        <f t="shared" si="26"/>
        <v>0</v>
      </c>
      <c r="AA22" s="1">
        <f t="shared" si="26"/>
        <v>0</v>
      </c>
      <c r="AB22" s="1">
        <f t="shared" si="26"/>
        <v>0</v>
      </c>
      <c r="AC22" s="1">
        <f t="shared" si="26"/>
        <v>0</v>
      </c>
      <c r="AD22" s="1">
        <f t="shared" si="26"/>
        <v>0</v>
      </c>
      <c r="AE22" s="1">
        <f t="shared" si="26"/>
        <v>0</v>
      </c>
      <c r="AF22" s="1">
        <f t="shared" ref="AF22:AL22" si="27">H22</f>
        <v>7.53</v>
      </c>
      <c r="AG22" s="1">
        <f t="shared" si="27"/>
        <v>7.04</v>
      </c>
      <c r="AH22" s="1">
        <f t="shared" si="27"/>
        <v>6.25</v>
      </c>
      <c r="AI22" s="1">
        <f t="shared" si="27"/>
        <v>6.12</v>
      </c>
      <c r="AJ22" s="1">
        <f t="shared" si="27"/>
        <v>6.29</v>
      </c>
      <c r="AK22" s="1">
        <f t="shared" si="27"/>
        <v>6.49</v>
      </c>
      <c r="AL22" s="1">
        <f t="shared" si="27"/>
        <v>6.27</v>
      </c>
      <c r="AM22" s="1">
        <f t="shared" ref="AM22:AS22" si="28">H23</f>
        <v>6.2</v>
      </c>
      <c r="AN22" s="1">
        <f t="shared" si="28"/>
        <v>5.42</v>
      </c>
      <c r="AO22" s="1">
        <f t="shared" si="28"/>
        <v>6.26</v>
      </c>
      <c r="AP22" s="1">
        <f t="shared" si="28"/>
        <v>7.18</v>
      </c>
      <c r="AQ22" s="1">
        <f t="shared" si="28"/>
        <v>6.9</v>
      </c>
      <c r="AR22" s="1">
        <f t="shared" si="28"/>
        <v>7.12</v>
      </c>
      <c r="AS22" s="1">
        <f t="shared" si="28"/>
        <v>7.14</v>
      </c>
    </row>
    <row r="23" spans="1:45" x14ac:dyDescent="0.35">
      <c r="A23" s="41">
        <f>IFERROR(INDEX('Date Key'!$B$2:$B$19, MATCH(F23,'Date Key'!$A$2:$A$19, 0)), "")</f>
        <v>45246</v>
      </c>
      <c r="B23" s="4">
        <f t="shared" si="15"/>
        <v>3</v>
      </c>
      <c r="C23" s="26" t="str">
        <f>IFERROR(INDEX('Date Key'!$G$57:$G$62, MATCH(B23,'Date Key'!$A$57:$A$62, 0)), "")</f>
        <v>High HLR, Lower Outlet Height, No Plants</v>
      </c>
      <c r="D23" s="4" t="str">
        <f>IFERROR(INDEX('Date Key'!$G$2:$G$19, MATCH(F23, 'Date Key'!$A$2:$A$19, 0)), "")</f>
        <v>Yes</v>
      </c>
      <c r="E23" s="4" t="str">
        <f t="shared" si="1"/>
        <v>in</v>
      </c>
      <c r="F23" s="4">
        <f t="shared" si="2"/>
        <v>9</v>
      </c>
      <c r="G23" s="4">
        <f t="shared" si="22"/>
        <v>3</v>
      </c>
      <c r="H23" s="11" cm="1">
        <f t="array" ref="H23">IFERROR(INDEX('Master Data Sheet'!$1:$1048576, MATCH(1, ('Master Data Sheet'!$H:$H=H$2) * (INDEX('Master Data Sheet'!$1:$1, , MATCH($F$1, 'Master Data Sheet'!$1:$1, 0)) = $F$1) * ('Master Data Sheet'!$G:$G=$B23) * ('Master Data Sheet'!$F:$F=$E23) * ('Master Data Sheet'!$A:$A=$F23), 0), MATCH($F$1, 'Master Data Sheet'!$1:$1, 0)), "")</f>
        <v>6.2</v>
      </c>
      <c r="I23" s="11" cm="1">
        <f t="array" ref="I23">IFERROR(INDEX('Master Data Sheet'!$1:$1048576, MATCH(1, ('Master Data Sheet'!$H:$H=I$2) * (INDEX('Master Data Sheet'!$1:$1, , MATCH($F$1, 'Master Data Sheet'!$1:$1, 0)) = $F$1) * ('Master Data Sheet'!$G:$G=$B23) * ('Master Data Sheet'!$F:$F=$E23) * ('Master Data Sheet'!$A:$A=$F23), 0), MATCH($F$1, 'Master Data Sheet'!$1:$1, 0)), "")</f>
        <v>5.42</v>
      </c>
      <c r="J23" s="11" cm="1">
        <f t="array" ref="J23">IFERROR(INDEX('Master Data Sheet'!$1:$1048576, MATCH(1, ('Master Data Sheet'!$H:$H=J$2) * (INDEX('Master Data Sheet'!$1:$1, , MATCH($F$1, 'Master Data Sheet'!$1:$1, 0)) = $F$1) * ('Master Data Sheet'!$G:$G=$B23) * ('Master Data Sheet'!$F:$F=$E23) * ('Master Data Sheet'!$A:$A=$F23), 0), MATCH($F$1, 'Master Data Sheet'!$1:$1, 0)), "")</f>
        <v>6.26</v>
      </c>
      <c r="K23" s="11" cm="1">
        <f t="array" ref="K23">IFERROR(INDEX('Master Data Sheet'!$1:$1048576, MATCH(1, ('Master Data Sheet'!$H:$H=K$2) * (INDEX('Master Data Sheet'!$1:$1, , MATCH($F$1, 'Master Data Sheet'!$1:$1, 0)) = $F$1) * ('Master Data Sheet'!$G:$G=$B23) * ('Master Data Sheet'!$F:$F=$E23) * ('Master Data Sheet'!$A:$A=$F23), 0), MATCH($F$1, 'Master Data Sheet'!$1:$1, 0)), "")</f>
        <v>7.18</v>
      </c>
      <c r="L23" s="11" cm="1">
        <f t="array" ref="L23">IFERROR(INDEX('Master Data Sheet'!$1:$1048576, MATCH(1, ('Master Data Sheet'!$H:$H=L$2) * (INDEX('Master Data Sheet'!$1:$1, , MATCH($F$1, 'Master Data Sheet'!$1:$1, 0)) = $F$1) * ('Master Data Sheet'!$G:$G=$B23) * ('Master Data Sheet'!$F:$F=$E23) * ('Master Data Sheet'!$A:$A=$F23), 0), MATCH($F$1, 'Master Data Sheet'!$1:$1, 0)), "")</f>
        <v>6.9</v>
      </c>
      <c r="M23" s="11" cm="1">
        <f t="array" ref="M23">IFERROR(INDEX('Master Data Sheet'!$1:$1048576, MATCH(1, ('Master Data Sheet'!$H:$H=M$2) * (INDEX('Master Data Sheet'!$1:$1, , MATCH($F$1, 'Master Data Sheet'!$1:$1, 0)) = $F$1) * ('Master Data Sheet'!$G:$G=$B23) * ('Master Data Sheet'!$F:$F=$E23) * ('Master Data Sheet'!$A:$A=$F23), 0), MATCH($F$1, 'Master Data Sheet'!$1:$1, 0)), "")</f>
        <v>7.12</v>
      </c>
      <c r="N23" s="11" cm="1">
        <f t="array" ref="N23">IFERROR(INDEX('Master Data Sheet'!$1:$1048576, MATCH(1, ('Master Data Sheet'!$H:$H=N$2) * (INDEX('Master Data Sheet'!$1:$1, , MATCH($F$1, 'Master Data Sheet'!$1:$1, 0)) = $F$1) * ('Master Data Sheet'!$G:$G=$B23) * ('Master Data Sheet'!$F:$F=$E23) * ('Master Data Sheet'!$A:$A=$F23), 0), MATCH($F$1, 'Master Data Sheet'!$1:$1, 0)), "")</f>
        <v>7.14</v>
      </c>
      <c r="O23" s="11">
        <f t="shared" si="8"/>
        <v>6.6028571428571423</v>
      </c>
      <c r="P23" s="11">
        <f t="shared" si="4"/>
        <v>0.66537493905602541</v>
      </c>
      <c r="Q23" s="11"/>
      <c r="Y23" s="1"/>
      <c r="Z23" s="1"/>
      <c r="AA23" s="1"/>
      <c r="AB23" s="1"/>
      <c r="AC23" s="1"/>
      <c r="AD23" s="1"/>
      <c r="AE23" s="1"/>
      <c r="AF23" s="1"/>
      <c r="AG23" s="1"/>
      <c r="AH23" s="1"/>
      <c r="AI23" s="1"/>
      <c r="AJ23" s="1"/>
      <c r="AK23" s="1"/>
      <c r="AL23" s="1"/>
      <c r="AM23" s="1"/>
      <c r="AN23" s="1"/>
      <c r="AO23" s="1"/>
      <c r="AP23" s="1"/>
      <c r="AQ23" s="1"/>
      <c r="AR23" s="1"/>
      <c r="AS23" s="1"/>
    </row>
    <row r="24" spans="1:45" x14ac:dyDescent="0.35">
      <c r="A24" s="41">
        <f>IFERROR(INDEX('Date Key'!$B$2:$B$19, MATCH(F24,'Date Key'!$A$2:$A$19, 0)), "")</f>
        <v>45233</v>
      </c>
      <c r="B24" s="4">
        <f t="shared" si="15"/>
        <v>3</v>
      </c>
      <c r="C24" s="26" t="str">
        <f>IFERROR(INDEX('Date Key'!$G$57:$G$62, MATCH(B24,'Date Key'!$A$57:$A$62, 0)), "")</f>
        <v>High HLR, Lower Outlet Height, No Plants</v>
      </c>
      <c r="D24" s="4" t="str">
        <f>IFERROR(INDEX('Date Key'!$G$2:$G$19, MATCH(F24, 'Date Key'!$A$2:$A$19, 0)), "")</f>
        <v>No</v>
      </c>
      <c r="E24" s="4" t="str">
        <f t="shared" si="1"/>
        <v>tank 1</v>
      </c>
      <c r="F24" s="4">
        <f t="shared" si="2"/>
        <v>7</v>
      </c>
      <c r="G24" s="4">
        <f t="shared" si="22"/>
        <v>1</v>
      </c>
      <c r="H24" s="11" cm="1">
        <f t="array" ref="H24">IFERROR(INDEX('Master Data Sheet'!$1:$1048576, MATCH(1, ('Master Data Sheet'!$H:$H=H$2) * (INDEX('Master Data Sheet'!$1:$1, , MATCH($F$1, 'Master Data Sheet'!$1:$1, 0)) = $F$1) * ('Master Data Sheet'!$G:$G=$B24) * ('Master Data Sheet'!$F:$F=$E24) * ('Master Data Sheet'!$A:$A=$F24), 0), MATCH($F$1, 'Master Data Sheet'!$1:$1, 0)), "")</f>
        <v>0</v>
      </c>
      <c r="I24" s="11" cm="1">
        <f t="array" ref="I24">IFERROR(INDEX('Master Data Sheet'!$1:$1048576, MATCH(1, ('Master Data Sheet'!$H:$H=I$2) * (INDEX('Master Data Sheet'!$1:$1, , MATCH($F$1, 'Master Data Sheet'!$1:$1, 0)) = $F$1) * ('Master Data Sheet'!$G:$G=$B24) * ('Master Data Sheet'!$F:$F=$E24) * ('Master Data Sheet'!$A:$A=$F24), 0), MATCH($F$1, 'Master Data Sheet'!$1:$1, 0)), "")</f>
        <v>0</v>
      </c>
      <c r="J24" s="11" cm="1">
        <f t="array" ref="J24">IFERROR(INDEX('Master Data Sheet'!$1:$1048576, MATCH(1, ('Master Data Sheet'!$H:$H=J$2) * (INDEX('Master Data Sheet'!$1:$1, , MATCH($F$1, 'Master Data Sheet'!$1:$1, 0)) = $F$1) * ('Master Data Sheet'!$G:$G=$B24) * ('Master Data Sheet'!$F:$F=$E24) * ('Master Data Sheet'!$A:$A=$F24), 0), MATCH($F$1, 'Master Data Sheet'!$1:$1, 0)), "")</f>
        <v>0</v>
      </c>
      <c r="K24" s="11" cm="1">
        <f t="array" ref="K24">IFERROR(INDEX('Master Data Sheet'!$1:$1048576, MATCH(1, ('Master Data Sheet'!$H:$H=K$2) * (INDEX('Master Data Sheet'!$1:$1, , MATCH($F$1, 'Master Data Sheet'!$1:$1, 0)) = $F$1) * ('Master Data Sheet'!$G:$G=$B24) * ('Master Data Sheet'!$F:$F=$E24) * ('Master Data Sheet'!$A:$A=$F24), 0), MATCH($F$1, 'Master Data Sheet'!$1:$1, 0)), "")</f>
        <v>0</v>
      </c>
      <c r="L24" s="11" cm="1">
        <f t="array" ref="L24">IFERROR(INDEX('Master Data Sheet'!$1:$1048576, MATCH(1, ('Master Data Sheet'!$H:$H=L$2) * (INDEX('Master Data Sheet'!$1:$1, , MATCH($F$1, 'Master Data Sheet'!$1:$1, 0)) = $F$1) * ('Master Data Sheet'!$G:$G=$B24) * ('Master Data Sheet'!$F:$F=$E24) * ('Master Data Sheet'!$A:$A=$F24), 0), MATCH($F$1, 'Master Data Sheet'!$1:$1, 0)), "")</f>
        <v>0</v>
      </c>
      <c r="M24" s="11" cm="1">
        <f t="array" ref="M24">IFERROR(INDEX('Master Data Sheet'!$1:$1048576, MATCH(1, ('Master Data Sheet'!$H:$H=M$2) * (INDEX('Master Data Sheet'!$1:$1, , MATCH($F$1, 'Master Data Sheet'!$1:$1, 0)) = $F$1) * ('Master Data Sheet'!$G:$G=$B24) * ('Master Data Sheet'!$F:$F=$E24) * ('Master Data Sheet'!$A:$A=$F24), 0), MATCH($F$1, 'Master Data Sheet'!$1:$1, 0)), "")</f>
        <v>0</v>
      </c>
      <c r="N24" s="11" cm="1">
        <f t="array" ref="N24">IFERROR(INDEX('Master Data Sheet'!$1:$1048576, MATCH(1, ('Master Data Sheet'!$H:$H=N$2) * (INDEX('Master Data Sheet'!$1:$1, , MATCH($F$1, 'Master Data Sheet'!$1:$1, 0)) = $F$1) * ('Master Data Sheet'!$G:$G=$B24) * ('Master Data Sheet'!$F:$F=$E24) * ('Master Data Sheet'!$A:$A=$F24), 0), MATCH($F$1, 'Master Data Sheet'!$1:$1, 0)), "")</f>
        <v>0</v>
      </c>
      <c r="O24" s="11">
        <f t="shared" si="8"/>
        <v>0</v>
      </c>
      <c r="P24" s="11">
        <f t="shared" si="4"/>
        <v>0</v>
      </c>
      <c r="Q24" s="11">
        <f>AVERAGE(O24:O26)</f>
        <v>0.63952380952380949</v>
      </c>
      <c r="R24" s="46" t="e">
        <f>(1-(O24/O21))*100</f>
        <v>#DIV/0!</v>
      </c>
      <c r="S24" s="46" t="e">
        <f>AVERAGE(R24:R26)</f>
        <v>#DIV/0!</v>
      </c>
      <c r="T24" s="46" t="e">
        <f>STDEV(R24:R26)</f>
        <v>#DIV/0!</v>
      </c>
      <c r="U24" s="47">
        <f>(1-(AVERAGE(H24:N26)/AVERAGE(H21:N23)))*100</f>
        <v>85.435419151935804</v>
      </c>
      <c r="V24" s="47"/>
      <c r="Y24" s="2"/>
      <c r="Z24" s="2"/>
      <c r="AA24" s="2"/>
      <c r="AB24" s="2"/>
      <c r="AC24" s="2"/>
      <c r="AD24" s="2"/>
      <c r="AE24" s="2"/>
      <c r="AF24" s="2"/>
      <c r="AG24" s="2"/>
    </row>
    <row r="25" spans="1:45" x14ac:dyDescent="0.35">
      <c r="A25" s="41">
        <f>IFERROR(INDEX('Date Key'!$B$2:$B$19, MATCH(F25,'Date Key'!$A$2:$A$19, 0)), "")</f>
        <v>45238</v>
      </c>
      <c r="B25" s="4">
        <f t="shared" si="15"/>
        <v>3</v>
      </c>
      <c r="C25" s="26" t="str">
        <f>IFERROR(INDEX('Date Key'!$G$57:$G$62, MATCH(B25,'Date Key'!$A$57:$A$62, 0)), "")</f>
        <v>High HLR, Lower Outlet Height, No Plants</v>
      </c>
      <c r="D25" s="4" t="str">
        <f>IFERROR(INDEX('Date Key'!$G$2:$G$19, MATCH(F25, 'Date Key'!$A$2:$A$19, 0)), "")</f>
        <v>No</v>
      </c>
      <c r="E25" s="4" t="str">
        <f t="shared" si="1"/>
        <v>tank 1</v>
      </c>
      <c r="F25" s="4">
        <f t="shared" si="2"/>
        <v>8</v>
      </c>
      <c r="G25" s="4">
        <f t="shared" si="22"/>
        <v>2</v>
      </c>
      <c r="H25" s="11" cm="1">
        <f t="array" ref="H25">IFERROR(INDEX('Master Data Sheet'!$1:$1048576, MATCH(1, ('Master Data Sheet'!$H:$H=H$2) * (INDEX('Master Data Sheet'!$1:$1, , MATCH($F$1, 'Master Data Sheet'!$1:$1, 0)) = $F$1) * ('Master Data Sheet'!$G:$G=$B25) * ('Master Data Sheet'!$F:$F=$E25) * ('Master Data Sheet'!$A:$A=$F25), 0), MATCH($F$1, 'Master Data Sheet'!$1:$1, 0)), "")</f>
        <v>1.42</v>
      </c>
      <c r="I25" s="11" cm="1">
        <f t="array" ref="I25">IFERROR(INDEX('Master Data Sheet'!$1:$1048576, MATCH(1, ('Master Data Sheet'!$H:$H=I$2) * (INDEX('Master Data Sheet'!$1:$1, , MATCH($F$1, 'Master Data Sheet'!$1:$1, 0)) = $F$1) * ('Master Data Sheet'!$G:$G=$B25) * ('Master Data Sheet'!$F:$F=$E25) * ('Master Data Sheet'!$A:$A=$F25), 0), MATCH($F$1, 'Master Data Sheet'!$1:$1, 0)), "")</f>
        <v>0.8</v>
      </c>
      <c r="J25" s="11" cm="1">
        <f t="array" ref="J25">IFERROR(INDEX('Master Data Sheet'!$1:$1048576, MATCH(1, ('Master Data Sheet'!$H:$H=J$2) * (INDEX('Master Data Sheet'!$1:$1, , MATCH($F$1, 'Master Data Sheet'!$1:$1, 0)) = $F$1) * ('Master Data Sheet'!$G:$G=$B25) * ('Master Data Sheet'!$F:$F=$E25) * ('Master Data Sheet'!$A:$A=$F25), 0), MATCH($F$1, 'Master Data Sheet'!$1:$1, 0)), "")</f>
        <v>0.98</v>
      </c>
      <c r="K25" s="11" cm="1">
        <f t="array" ref="K25">IFERROR(INDEX('Master Data Sheet'!$1:$1048576, MATCH(1, ('Master Data Sheet'!$H:$H=K$2) * (INDEX('Master Data Sheet'!$1:$1, , MATCH($F$1, 'Master Data Sheet'!$1:$1, 0)) = $F$1) * ('Master Data Sheet'!$G:$G=$B25) * ('Master Data Sheet'!$F:$F=$E25) * ('Master Data Sheet'!$A:$A=$F25), 0), MATCH($F$1, 'Master Data Sheet'!$1:$1, 0)), "")</f>
        <v>1.1299999999999999</v>
      </c>
      <c r="L25" s="11" cm="1">
        <f t="array" ref="L25">IFERROR(INDEX('Master Data Sheet'!$1:$1048576, MATCH(1, ('Master Data Sheet'!$H:$H=L$2) * (INDEX('Master Data Sheet'!$1:$1, , MATCH($F$1, 'Master Data Sheet'!$1:$1, 0)) = $F$1) * ('Master Data Sheet'!$G:$G=$B25) * ('Master Data Sheet'!$F:$F=$E25) * ('Master Data Sheet'!$A:$A=$F25), 0), MATCH($F$1, 'Master Data Sheet'!$1:$1, 0)), "")</f>
        <v>0.84</v>
      </c>
      <c r="M25" s="11" cm="1">
        <f t="array" ref="M25">IFERROR(INDEX('Master Data Sheet'!$1:$1048576, MATCH(1, ('Master Data Sheet'!$H:$H=M$2) * (INDEX('Master Data Sheet'!$1:$1, , MATCH($F$1, 'Master Data Sheet'!$1:$1, 0)) = $F$1) * ('Master Data Sheet'!$G:$G=$B25) * ('Master Data Sheet'!$F:$F=$E25) * ('Master Data Sheet'!$A:$A=$F25), 0), MATCH($F$1, 'Master Data Sheet'!$1:$1, 0)), "")</f>
        <v>0.74</v>
      </c>
      <c r="N25" s="11" cm="1">
        <f t="array" ref="N25">IFERROR(INDEX('Master Data Sheet'!$1:$1048576, MATCH(1, ('Master Data Sheet'!$H:$H=N$2) * (INDEX('Master Data Sheet'!$1:$1, , MATCH($F$1, 'Master Data Sheet'!$1:$1, 0)) = $F$1) * ('Master Data Sheet'!$G:$G=$B25) * ('Master Data Sheet'!$F:$F=$E25) * ('Master Data Sheet'!$A:$A=$F25), 0), MATCH($F$1, 'Master Data Sheet'!$1:$1, 0)), "")</f>
        <v>0.79</v>
      </c>
      <c r="O25" s="11">
        <f t="shared" si="8"/>
        <v>0.95714285714285718</v>
      </c>
      <c r="P25" s="11">
        <f t="shared" si="4"/>
        <v>0.24431634450129647</v>
      </c>
      <c r="Q25" s="11"/>
      <c r="R25" s="46">
        <f>(1-(O25/O22))*100</f>
        <v>85.43161556860187</v>
      </c>
      <c r="X25" t="str">
        <f>IFERROR(INDEX('Date Key'!$G$57:$G$62, MATCH(B24,'Date Key'!$A$57:$A$62, 0)), "")</f>
        <v>High HLR, Lower Outlet Height, No Plants</v>
      </c>
      <c r="Y25" s="1">
        <f t="shared" ref="Y25:AE25" si="29">H24</f>
        <v>0</v>
      </c>
      <c r="Z25" s="1">
        <f t="shared" si="29"/>
        <v>0</v>
      </c>
      <c r="AA25" s="1">
        <f t="shared" si="29"/>
        <v>0</v>
      </c>
      <c r="AB25" s="1">
        <f t="shared" si="29"/>
        <v>0</v>
      </c>
      <c r="AC25" s="1">
        <f t="shared" si="29"/>
        <v>0</v>
      </c>
      <c r="AD25" s="1">
        <f t="shared" si="29"/>
        <v>0</v>
      </c>
      <c r="AE25" s="1">
        <f t="shared" si="29"/>
        <v>0</v>
      </c>
      <c r="AF25" s="1">
        <f t="shared" ref="AF25:AL25" si="30">H25</f>
        <v>1.42</v>
      </c>
      <c r="AG25" s="1">
        <f t="shared" si="30"/>
        <v>0.8</v>
      </c>
      <c r="AH25" s="1">
        <f t="shared" si="30"/>
        <v>0.98</v>
      </c>
      <c r="AI25" s="1">
        <f t="shared" si="30"/>
        <v>1.1299999999999999</v>
      </c>
      <c r="AJ25" s="1">
        <f t="shared" si="30"/>
        <v>0.84</v>
      </c>
      <c r="AK25" s="1">
        <f t="shared" si="30"/>
        <v>0.74</v>
      </c>
      <c r="AL25" s="1">
        <f t="shared" si="30"/>
        <v>0.79</v>
      </c>
      <c r="AM25" s="1">
        <f t="shared" ref="AM25:AS25" si="31">H26</f>
        <v>1.2</v>
      </c>
      <c r="AN25" s="1">
        <f t="shared" si="31"/>
        <v>0.93</v>
      </c>
      <c r="AO25" s="1">
        <f t="shared" si="31"/>
        <v>0.93</v>
      </c>
      <c r="AP25" s="1">
        <f t="shared" si="31"/>
        <v>0.68</v>
      </c>
      <c r="AQ25" s="1">
        <f t="shared" si="31"/>
        <v>1.03</v>
      </c>
      <c r="AR25" s="1">
        <f t="shared" si="31"/>
        <v>0.91</v>
      </c>
      <c r="AS25" s="1">
        <f t="shared" si="31"/>
        <v>1.05</v>
      </c>
    </row>
    <row r="26" spans="1:45" x14ac:dyDescent="0.35">
      <c r="A26" s="41">
        <f>IFERROR(INDEX('Date Key'!$B$2:$B$19, MATCH(F26,'Date Key'!$A$2:$A$19, 0)), "")</f>
        <v>45246</v>
      </c>
      <c r="B26" s="4">
        <f t="shared" si="15"/>
        <v>3</v>
      </c>
      <c r="C26" s="26" t="str">
        <f>IFERROR(INDEX('Date Key'!$G$57:$G$62, MATCH(B26,'Date Key'!$A$57:$A$62, 0)), "")</f>
        <v>High HLR, Lower Outlet Height, No Plants</v>
      </c>
      <c r="D26" s="4" t="str">
        <f>IFERROR(INDEX('Date Key'!$G$2:$G$19, MATCH(F26, 'Date Key'!$A$2:$A$19, 0)), "")</f>
        <v>Yes</v>
      </c>
      <c r="E26" s="4" t="str">
        <f t="shared" si="1"/>
        <v>tank 1</v>
      </c>
      <c r="F26" s="4">
        <f t="shared" si="2"/>
        <v>9</v>
      </c>
      <c r="G26" s="4">
        <f t="shared" si="22"/>
        <v>3</v>
      </c>
      <c r="H26" s="11" cm="1">
        <f t="array" ref="H26">IFERROR(INDEX('Master Data Sheet'!$1:$1048576, MATCH(1, ('Master Data Sheet'!$H:$H=H$2) * (INDEX('Master Data Sheet'!$1:$1, , MATCH($F$1, 'Master Data Sheet'!$1:$1, 0)) = $F$1) * ('Master Data Sheet'!$G:$G=$B26) * ('Master Data Sheet'!$F:$F=$E26) * ('Master Data Sheet'!$A:$A=$F26), 0), MATCH($F$1, 'Master Data Sheet'!$1:$1, 0)), "")</f>
        <v>1.2</v>
      </c>
      <c r="I26" s="11" cm="1">
        <f t="array" ref="I26">IFERROR(INDEX('Master Data Sheet'!$1:$1048576, MATCH(1, ('Master Data Sheet'!$H:$H=I$2) * (INDEX('Master Data Sheet'!$1:$1, , MATCH($F$1, 'Master Data Sheet'!$1:$1, 0)) = $F$1) * ('Master Data Sheet'!$G:$G=$B26) * ('Master Data Sheet'!$F:$F=$E26) * ('Master Data Sheet'!$A:$A=$F26), 0), MATCH($F$1, 'Master Data Sheet'!$1:$1, 0)), "")</f>
        <v>0.93</v>
      </c>
      <c r="J26" s="11" cm="1">
        <f t="array" ref="J26">IFERROR(INDEX('Master Data Sheet'!$1:$1048576, MATCH(1, ('Master Data Sheet'!$H:$H=J$2) * (INDEX('Master Data Sheet'!$1:$1, , MATCH($F$1, 'Master Data Sheet'!$1:$1, 0)) = $F$1) * ('Master Data Sheet'!$G:$G=$B26) * ('Master Data Sheet'!$F:$F=$E26) * ('Master Data Sheet'!$A:$A=$F26), 0), MATCH($F$1, 'Master Data Sheet'!$1:$1, 0)), "")</f>
        <v>0.93</v>
      </c>
      <c r="K26" s="11" cm="1">
        <f t="array" ref="K26">IFERROR(INDEX('Master Data Sheet'!$1:$1048576, MATCH(1, ('Master Data Sheet'!$H:$H=K$2) * (INDEX('Master Data Sheet'!$1:$1, , MATCH($F$1, 'Master Data Sheet'!$1:$1, 0)) = $F$1) * ('Master Data Sheet'!$G:$G=$B26) * ('Master Data Sheet'!$F:$F=$E26) * ('Master Data Sheet'!$A:$A=$F26), 0), MATCH($F$1, 'Master Data Sheet'!$1:$1, 0)), "")</f>
        <v>0.68</v>
      </c>
      <c r="L26" s="11" cm="1">
        <f t="array" ref="L26">IFERROR(INDEX('Master Data Sheet'!$1:$1048576, MATCH(1, ('Master Data Sheet'!$H:$H=L$2) * (INDEX('Master Data Sheet'!$1:$1, , MATCH($F$1, 'Master Data Sheet'!$1:$1, 0)) = $F$1) * ('Master Data Sheet'!$G:$G=$B26) * ('Master Data Sheet'!$F:$F=$E26) * ('Master Data Sheet'!$A:$A=$F26), 0), MATCH($F$1, 'Master Data Sheet'!$1:$1, 0)), "")</f>
        <v>1.03</v>
      </c>
      <c r="M26" s="11" cm="1">
        <f t="array" ref="M26">IFERROR(INDEX('Master Data Sheet'!$1:$1048576, MATCH(1, ('Master Data Sheet'!$H:$H=M$2) * (INDEX('Master Data Sheet'!$1:$1, , MATCH($F$1, 'Master Data Sheet'!$1:$1, 0)) = $F$1) * ('Master Data Sheet'!$G:$G=$B26) * ('Master Data Sheet'!$F:$F=$E26) * ('Master Data Sheet'!$A:$A=$F26), 0), MATCH($F$1, 'Master Data Sheet'!$1:$1, 0)), "")</f>
        <v>0.91</v>
      </c>
      <c r="N26" s="11" cm="1">
        <f t="array" ref="N26">IFERROR(INDEX('Master Data Sheet'!$1:$1048576, MATCH(1, ('Master Data Sheet'!$H:$H=N$2) * (INDEX('Master Data Sheet'!$1:$1, , MATCH($F$1, 'Master Data Sheet'!$1:$1, 0)) = $F$1) * ('Master Data Sheet'!$G:$G=$B26) * ('Master Data Sheet'!$F:$F=$E26) * ('Master Data Sheet'!$A:$A=$F26), 0), MATCH($F$1, 'Master Data Sheet'!$1:$1, 0)), "")</f>
        <v>1.05</v>
      </c>
      <c r="O26" s="11">
        <f t="shared" si="8"/>
        <v>0.96142857142857152</v>
      </c>
      <c r="P26" s="11">
        <f t="shared" si="4"/>
        <v>0.15983622570499806</v>
      </c>
      <c r="Q26" s="11"/>
      <c r="R26" s="46">
        <f>(1-(O26/O23))*100</f>
        <v>85.439203807875373</v>
      </c>
      <c r="Y26" s="2"/>
      <c r="Z26" s="2"/>
      <c r="AA26" s="2"/>
      <c r="AB26" s="2"/>
      <c r="AC26" s="2"/>
      <c r="AD26" s="2"/>
      <c r="AE26" s="2"/>
      <c r="AF26" s="2"/>
      <c r="AG26" s="2"/>
    </row>
    <row r="27" spans="1:45" x14ac:dyDescent="0.35">
      <c r="A27" s="41">
        <f>IFERROR(INDEX('Date Key'!$B$2:$B$19, MATCH(F27,'Date Key'!$A$2:$A$19, 0)), "")</f>
        <v>45233</v>
      </c>
      <c r="B27" s="4">
        <f t="shared" si="15"/>
        <v>3</v>
      </c>
      <c r="C27" s="26" t="str">
        <f>IFERROR(INDEX('Date Key'!$G$57:$G$62, MATCH(B27,'Date Key'!$A$57:$A$62, 0)), "")</f>
        <v>High HLR, Lower Outlet Height, No Plants</v>
      </c>
      <c r="D27" s="4" t="str">
        <f>IFERROR(INDEX('Date Key'!$G$2:$G$19, MATCH(F27, 'Date Key'!$A$2:$A$19, 0)), "")</f>
        <v>No</v>
      </c>
      <c r="E27" s="4" t="str">
        <f t="shared" si="1"/>
        <v>tank 2</v>
      </c>
      <c r="F27" s="4">
        <f t="shared" si="2"/>
        <v>7</v>
      </c>
      <c r="G27" s="4">
        <f t="shared" si="22"/>
        <v>1</v>
      </c>
      <c r="H27" s="11" cm="1">
        <f t="array" ref="H27">IFERROR(INDEX('Master Data Sheet'!$1:$1048576, MATCH(1, ('Master Data Sheet'!$H:$H=H$2) * (INDEX('Master Data Sheet'!$1:$1, , MATCH($F$1, 'Master Data Sheet'!$1:$1, 0)) = $F$1) * ('Master Data Sheet'!$G:$G=$B27) * ('Master Data Sheet'!$F:$F=$E27) * ('Master Data Sheet'!$A:$A=$F27), 0), MATCH($F$1, 'Master Data Sheet'!$1:$1, 0)), "")</f>
        <v>0</v>
      </c>
      <c r="I27" s="11" cm="1">
        <f t="array" ref="I27">IFERROR(INDEX('Master Data Sheet'!$1:$1048576, MATCH(1, ('Master Data Sheet'!$H:$H=I$2) * (INDEX('Master Data Sheet'!$1:$1, , MATCH($F$1, 'Master Data Sheet'!$1:$1, 0)) = $F$1) * ('Master Data Sheet'!$G:$G=$B27) * ('Master Data Sheet'!$F:$F=$E27) * ('Master Data Sheet'!$A:$A=$F27), 0), MATCH($F$1, 'Master Data Sheet'!$1:$1, 0)), "")</f>
        <v>0</v>
      </c>
      <c r="J27" s="11" cm="1">
        <f t="array" ref="J27">IFERROR(INDEX('Master Data Sheet'!$1:$1048576, MATCH(1, ('Master Data Sheet'!$H:$H=J$2) * (INDEX('Master Data Sheet'!$1:$1, , MATCH($F$1, 'Master Data Sheet'!$1:$1, 0)) = $F$1) * ('Master Data Sheet'!$G:$G=$B27) * ('Master Data Sheet'!$F:$F=$E27) * ('Master Data Sheet'!$A:$A=$F27), 0), MATCH($F$1, 'Master Data Sheet'!$1:$1, 0)), "")</f>
        <v>0</v>
      </c>
      <c r="K27" s="11" cm="1">
        <f t="array" ref="K27">IFERROR(INDEX('Master Data Sheet'!$1:$1048576, MATCH(1, ('Master Data Sheet'!$H:$H=K$2) * (INDEX('Master Data Sheet'!$1:$1, , MATCH($F$1, 'Master Data Sheet'!$1:$1, 0)) = $F$1) * ('Master Data Sheet'!$G:$G=$B27) * ('Master Data Sheet'!$F:$F=$E27) * ('Master Data Sheet'!$A:$A=$F27), 0), MATCH($F$1, 'Master Data Sheet'!$1:$1, 0)), "")</f>
        <v>0</v>
      </c>
      <c r="L27" s="11" cm="1">
        <f t="array" ref="L27">IFERROR(INDEX('Master Data Sheet'!$1:$1048576, MATCH(1, ('Master Data Sheet'!$H:$H=L$2) * (INDEX('Master Data Sheet'!$1:$1, , MATCH($F$1, 'Master Data Sheet'!$1:$1, 0)) = $F$1) * ('Master Data Sheet'!$G:$G=$B27) * ('Master Data Sheet'!$F:$F=$E27) * ('Master Data Sheet'!$A:$A=$F27), 0), MATCH($F$1, 'Master Data Sheet'!$1:$1, 0)), "")</f>
        <v>0</v>
      </c>
      <c r="M27" s="11" cm="1">
        <f t="array" ref="M27">IFERROR(INDEX('Master Data Sheet'!$1:$1048576, MATCH(1, ('Master Data Sheet'!$H:$H=M$2) * (INDEX('Master Data Sheet'!$1:$1, , MATCH($F$1, 'Master Data Sheet'!$1:$1, 0)) = $F$1) * ('Master Data Sheet'!$G:$G=$B27) * ('Master Data Sheet'!$F:$F=$E27) * ('Master Data Sheet'!$A:$A=$F27), 0), MATCH($F$1, 'Master Data Sheet'!$1:$1, 0)), "")</f>
        <v>0</v>
      </c>
      <c r="N27" s="11" cm="1">
        <f t="array" ref="N27">IFERROR(INDEX('Master Data Sheet'!$1:$1048576, MATCH(1, ('Master Data Sheet'!$H:$H=N$2) * (INDEX('Master Data Sheet'!$1:$1, , MATCH($F$1, 'Master Data Sheet'!$1:$1, 0)) = $F$1) * ('Master Data Sheet'!$G:$G=$B27) * ('Master Data Sheet'!$F:$F=$E27) * ('Master Data Sheet'!$A:$A=$F27), 0), MATCH($F$1, 'Master Data Sheet'!$1:$1, 0)), "")</f>
        <v>0</v>
      </c>
      <c r="O27" s="11">
        <f t="shared" si="8"/>
        <v>0</v>
      </c>
      <c r="P27" s="11">
        <f t="shared" si="4"/>
        <v>0</v>
      </c>
      <c r="Q27" s="11">
        <f>AVERAGE(N27:N29)</f>
        <v>1.67</v>
      </c>
      <c r="R27" s="46" t="e">
        <f>(1-(O27/O21))*100</f>
        <v>#DIV/0!</v>
      </c>
      <c r="S27" s="46" t="e">
        <f>AVERAGE(R27:R29)</f>
        <v>#DIV/0!</v>
      </c>
      <c r="T27" s="46" t="e">
        <f>STDEV(R27:R29)</f>
        <v>#DIV/0!</v>
      </c>
      <c r="U27" s="47">
        <f>(1-(AVERAGE(H27:N29)/AVERAGE(H21:N23)))*100</f>
        <v>72.573473592885819</v>
      </c>
      <c r="V27" s="47"/>
      <c r="Y27" s="2"/>
      <c r="Z27" s="2"/>
      <c r="AA27" s="2"/>
      <c r="AB27" s="2"/>
      <c r="AC27" s="2"/>
      <c r="AD27" s="2"/>
      <c r="AE27" s="2"/>
      <c r="AF27" s="2"/>
      <c r="AG27" s="2"/>
    </row>
    <row r="28" spans="1:45" x14ac:dyDescent="0.35">
      <c r="A28" s="41">
        <f>IFERROR(INDEX('Date Key'!$B$2:$B$19, MATCH(F28,'Date Key'!$A$2:$A$19, 0)), "")</f>
        <v>45238</v>
      </c>
      <c r="B28" s="4">
        <f t="shared" si="15"/>
        <v>3</v>
      </c>
      <c r="C28" s="26" t="str">
        <f>IFERROR(INDEX('Date Key'!$G$57:$G$62, MATCH(B28,'Date Key'!$A$57:$A$62, 0)), "")</f>
        <v>High HLR, Lower Outlet Height, No Plants</v>
      </c>
      <c r="D28" s="4" t="str">
        <f>IFERROR(INDEX('Date Key'!$G$2:$G$19, MATCH(F28, 'Date Key'!$A$2:$A$19, 0)), "")</f>
        <v>No</v>
      </c>
      <c r="E28" s="4" t="str">
        <f t="shared" si="1"/>
        <v>tank 2</v>
      </c>
      <c r="F28" s="4">
        <f t="shared" si="2"/>
        <v>8</v>
      </c>
      <c r="G28" s="4">
        <f t="shared" si="22"/>
        <v>2</v>
      </c>
      <c r="H28" s="11" cm="1">
        <f t="array" ref="H28">IFERROR(INDEX('Master Data Sheet'!$1:$1048576, MATCH(1, ('Master Data Sheet'!$H:$H=H$2) * (INDEX('Master Data Sheet'!$1:$1, , MATCH($F$1, 'Master Data Sheet'!$1:$1, 0)) = $F$1) * ('Master Data Sheet'!$G:$G=$B28) * ('Master Data Sheet'!$F:$F=$E28) * ('Master Data Sheet'!$A:$A=$F28), 0), MATCH($F$1, 'Master Data Sheet'!$1:$1, 0)), "")</f>
        <v>1.23</v>
      </c>
      <c r="I28" s="11" cm="1">
        <f t="array" ref="I28">IFERROR(INDEX('Master Data Sheet'!$1:$1048576, MATCH(1, ('Master Data Sheet'!$H:$H=I$2) * (INDEX('Master Data Sheet'!$1:$1, , MATCH($F$1, 'Master Data Sheet'!$1:$1, 0)) = $F$1) * ('Master Data Sheet'!$G:$G=$B28) * ('Master Data Sheet'!$F:$F=$E28) * ('Master Data Sheet'!$A:$A=$F28), 0), MATCH($F$1, 'Master Data Sheet'!$1:$1, 0)), "")</f>
        <v>1.1599999999999999</v>
      </c>
      <c r="J28" s="11" cm="1">
        <f t="array" ref="J28">IFERROR(INDEX('Master Data Sheet'!$1:$1048576, MATCH(1, ('Master Data Sheet'!$H:$H=J$2) * (INDEX('Master Data Sheet'!$1:$1, , MATCH($F$1, 'Master Data Sheet'!$1:$1, 0)) = $F$1) * ('Master Data Sheet'!$G:$G=$B28) * ('Master Data Sheet'!$F:$F=$E28) * ('Master Data Sheet'!$A:$A=$F28), 0), MATCH($F$1, 'Master Data Sheet'!$1:$1, 0)), "")</f>
        <v>1.82</v>
      </c>
      <c r="K28" s="11" cm="1">
        <f t="array" ref="K28">IFERROR(INDEX('Master Data Sheet'!$1:$1048576, MATCH(1, ('Master Data Sheet'!$H:$H=K$2) * (INDEX('Master Data Sheet'!$1:$1, , MATCH($F$1, 'Master Data Sheet'!$1:$1, 0)) = $F$1) * ('Master Data Sheet'!$G:$G=$B28) * ('Master Data Sheet'!$F:$F=$E28) * ('Master Data Sheet'!$A:$A=$F28), 0), MATCH($F$1, 'Master Data Sheet'!$1:$1, 0)), "")</f>
        <v>2.2599999999999998</v>
      </c>
      <c r="L28" s="11" cm="1">
        <f t="array" ref="L28">IFERROR(INDEX('Master Data Sheet'!$1:$1048576, MATCH(1, ('Master Data Sheet'!$H:$H=L$2) * (INDEX('Master Data Sheet'!$1:$1, , MATCH($F$1, 'Master Data Sheet'!$1:$1, 0)) = $F$1) * ('Master Data Sheet'!$G:$G=$B28) * ('Master Data Sheet'!$F:$F=$E28) * ('Master Data Sheet'!$A:$A=$F28), 0), MATCH($F$1, 'Master Data Sheet'!$1:$1, 0)), "")</f>
        <v>2.46</v>
      </c>
      <c r="M28" s="11" cm="1">
        <f t="array" ref="M28">IFERROR(INDEX('Master Data Sheet'!$1:$1048576, MATCH(1, ('Master Data Sheet'!$H:$H=M$2) * (INDEX('Master Data Sheet'!$1:$1, , MATCH($F$1, 'Master Data Sheet'!$1:$1, 0)) = $F$1) * ('Master Data Sheet'!$G:$G=$B28) * ('Master Data Sheet'!$F:$F=$E28) * ('Master Data Sheet'!$A:$A=$F28), 0), MATCH($F$1, 'Master Data Sheet'!$1:$1, 0)), "")</f>
        <v>2.11</v>
      </c>
      <c r="N28" s="11" cm="1">
        <f t="array" ref="N28">IFERROR(INDEX('Master Data Sheet'!$1:$1048576, MATCH(1, ('Master Data Sheet'!$H:$H=N$2) * (INDEX('Master Data Sheet'!$1:$1, , MATCH($F$1, 'Master Data Sheet'!$1:$1, 0)) = $F$1) * ('Master Data Sheet'!$G:$G=$B28) * ('Master Data Sheet'!$F:$F=$E28) * ('Master Data Sheet'!$A:$A=$F28), 0), MATCH($F$1, 'Master Data Sheet'!$1:$1, 0)), "")</f>
        <v>2.61</v>
      </c>
      <c r="O28" s="11">
        <f t="shared" si="8"/>
        <v>1.9499999999999997</v>
      </c>
      <c r="P28" s="11">
        <f t="shared" si="4"/>
        <v>0.57399186986112161</v>
      </c>
      <c r="Q28" s="11"/>
      <c r="R28" s="46">
        <f>(1-(O28/O22))*100</f>
        <v>70.319634703196357</v>
      </c>
      <c r="X28" t="str">
        <f>IFERROR(INDEX('Date Key'!$G$57:$G$62, MATCH(B27,'Date Key'!$A$57:$A$62, 0)), "")</f>
        <v>High HLR, Lower Outlet Height, No Plants</v>
      </c>
      <c r="Y28" s="1">
        <f t="shared" ref="Y28:AE28" si="32">H27</f>
        <v>0</v>
      </c>
      <c r="Z28" s="1">
        <f t="shared" si="32"/>
        <v>0</v>
      </c>
      <c r="AA28" s="1">
        <f t="shared" si="32"/>
        <v>0</v>
      </c>
      <c r="AB28" s="1">
        <f t="shared" si="32"/>
        <v>0</v>
      </c>
      <c r="AC28" s="1">
        <f t="shared" si="32"/>
        <v>0</v>
      </c>
      <c r="AD28" s="1">
        <f t="shared" si="32"/>
        <v>0</v>
      </c>
      <c r="AE28" s="1">
        <f t="shared" si="32"/>
        <v>0</v>
      </c>
      <c r="AF28" s="1">
        <f t="shared" ref="AF28:AL28" si="33">H28</f>
        <v>1.23</v>
      </c>
      <c r="AG28" s="1">
        <f t="shared" si="33"/>
        <v>1.1599999999999999</v>
      </c>
      <c r="AH28" s="1">
        <f t="shared" si="33"/>
        <v>1.82</v>
      </c>
      <c r="AI28" s="1">
        <f t="shared" si="33"/>
        <v>2.2599999999999998</v>
      </c>
      <c r="AJ28" s="1">
        <f t="shared" si="33"/>
        <v>2.46</v>
      </c>
      <c r="AK28" s="1">
        <f t="shared" si="33"/>
        <v>2.11</v>
      </c>
      <c r="AL28" s="1">
        <f t="shared" si="33"/>
        <v>2.61</v>
      </c>
      <c r="AM28" s="1">
        <f t="shared" ref="AM28:AS28" si="34">H29</f>
        <v>0.83</v>
      </c>
      <c r="AN28" s="1">
        <f t="shared" si="34"/>
        <v>1.03</v>
      </c>
      <c r="AO28" s="1">
        <f t="shared" si="34"/>
        <v>1.4</v>
      </c>
      <c r="AP28" s="1">
        <f t="shared" si="34"/>
        <v>1.4</v>
      </c>
      <c r="AQ28" s="1">
        <f t="shared" si="34"/>
        <v>2.1800000000000002</v>
      </c>
      <c r="AR28" s="1">
        <f t="shared" si="34"/>
        <v>2.4</v>
      </c>
      <c r="AS28" s="1">
        <f t="shared" si="34"/>
        <v>2.4</v>
      </c>
    </row>
    <row r="29" spans="1:45" x14ac:dyDescent="0.35">
      <c r="A29" s="42">
        <f>IFERROR(INDEX('Date Key'!$B$2:$B$19, MATCH(F29,'Date Key'!$A$2:$A$19, 0)), "")</f>
        <v>45246</v>
      </c>
      <c r="B29" s="27">
        <f t="shared" si="15"/>
        <v>3</v>
      </c>
      <c r="C29" s="51" t="str">
        <f>IFERROR(INDEX('Date Key'!$G$57:$G$62, MATCH(B29,'Date Key'!$A$57:$A$62, 0)), "")</f>
        <v>High HLR, Lower Outlet Height, No Plants</v>
      </c>
      <c r="D29" s="27" t="str">
        <f>IFERROR(INDEX('Date Key'!$G$2:$G$19, MATCH(F29, 'Date Key'!$A$2:$A$19, 0)), "")</f>
        <v>Yes</v>
      </c>
      <c r="E29" s="27" t="str">
        <f t="shared" si="1"/>
        <v>tank 2</v>
      </c>
      <c r="F29" s="27">
        <f t="shared" si="2"/>
        <v>9</v>
      </c>
      <c r="G29" s="27">
        <f t="shared" si="22"/>
        <v>3</v>
      </c>
      <c r="H29" s="28" cm="1">
        <f t="array" ref="H29">IFERROR(INDEX('Master Data Sheet'!$1:$1048576, MATCH(1, ('Master Data Sheet'!$H:$H=H$2) * (INDEX('Master Data Sheet'!$1:$1, , MATCH($F$1, 'Master Data Sheet'!$1:$1, 0)) = $F$1) * ('Master Data Sheet'!$G:$G=$B29) * ('Master Data Sheet'!$F:$F=$E29) * ('Master Data Sheet'!$A:$A=$F29), 0), MATCH($F$1, 'Master Data Sheet'!$1:$1, 0)), "")</f>
        <v>0.83</v>
      </c>
      <c r="I29" s="28" cm="1">
        <f t="array" ref="I29">IFERROR(INDEX('Master Data Sheet'!$1:$1048576, MATCH(1, ('Master Data Sheet'!$H:$H=I$2) * (INDEX('Master Data Sheet'!$1:$1, , MATCH($F$1, 'Master Data Sheet'!$1:$1, 0)) = $F$1) * ('Master Data Sheet'!$G:$G=$B29) * ('Master Data Sheet'!$F:$F=$E29) * ('Master Data Sheet'!$A:$A=$F29), 0), MATCH($F$1, 'Master Data Sheet'!$1:$1, 0)), "")</f>
        <v>1.03</v>
      </c>
      <c r="J29" s="28" cm="1">
        <f t="array" ref="J29">IFERROR(INDEX('Master Data Sheet'!$1:$1048576, MATCH(1, ('Master Data Sheet'!$H:$H=J$2) * (INDEX('Master Data Sheet'!$1:$1, , MATCH($F$1, 'Master Data Sheet'!$1:$1, 0)) = $F$1) * ('Master Data Sheet'!$G:$G=$B29) * ('Master Data Sheet'!$F:$F=$E29) * ('Master Data Sheet'!$A:$A=$F29), 0), MATCH($F$1, 'Master Data Sheet'!$1:$1, 0)), "")</f>
        <v>1.4</v>
      </c>
      <c r="K29" s="28" cm="1">
        <f t="array" ref="K29">IFERROR(INDEX('Master Data Sheet'!$1:$1048576, MATCH(1, ('Master Data Sheet'!$H:$H=K$2) * (INDEX('Master Data Sheet'!$1:$1, , MATCH($F$1, 'Master Data Sheet'!$1:$1, 0)) = $F$1) * ('Master Data Sheet'!$G:$G=$B29) * ('Master Data Sheet'!$F:$F=$E29) * ('Master Data Sheet'!$A:$A=$F29), 0), MATCH($F$1, 'Master Data Sheet'!$1:$1, 0)), "")</f>
        <v>1.4</v>
      </c>
      <c r="L29" s="28" cm="1">
        <f t="array" ref="L29">IFERROR(INDEX('Master Data Sheet'!$1:$1048576, MATCH(1, ('Master Data Sheet'!$H:$H=L$2) * (INDEX('Master Data Sheet'!$1:$1, , MATCH($F$1, 'Master Data Sheet'!$1:$1, 0)) = $F$1) * ('Master Data Sheet'!$G:$G=$B29) * ('Master Data Sheet'!$F:$F=$E29) * ('Master Data Sheet'!$A:$A=$F29), 0), MATCH($F$1, 'Master Data Sheet'!$1:$1, 0)), "")</f>
        <v>2.1800000000000002</v>
      </c>
      <c r="M29" s="28" cm="1">
        <f t="array" ref="M29">IFERROR(INDEX('Master Data Sheet'!$1:$1048576, MATCH(1, ('Master Data Sheet'!$H:$H=M$2) * (INDEX('Master Data Sheet'!$1:$1, , MATCH($F$1, 'Master Data Sheet'!$1:$1, 0)) = $F$1) * ('Master Data Sheet'!$G:$G=$B29) * ('Master Data Sheet'!$F:$F=$E29) * ('Master Data Sheet'!$A:$A=$F29), 0), MATCH($F$1, 'Master Data Sheet'!$1:$1, 0)), "")</f>
        <v>2.4</v>
      </c>
      <c r="N29" s="28" cm="1">
        <f t="array" ref="N29">IFERROR(INDEX('Master Data Sheet'!$1:$1048576, MATCH(1, ('Master Data Sheet'!$H:$H=N$2) * (INDEX('Master Data Sheet'!$1:$1, , MATCH($F$1, 'Master Data Sheet'!$1:$1, 0)) = $F$1) * ('Master Data Sheet'!$G:$G=$B29) * ('Master Data Sheet'!$F:$F=$E29) * ('Master Data Sheet'!$A:$A=$F29), 0), MATCH($F$1, 'Master Data Sheet'!$1:$1, 0)), "")</f>
        <v>2.4</v>
      </c>
      <c r="O29" s="28">
        <f t="shared" si="8"/>
        <v>1.662857142857143</v>
      </c>
      <c r="P29" s="28">
        <f t="shared" si="4"/>
        <v>0.65657480624105236</v>
      </c>
      <c r="Q29" s="28"/>
      <c r="R29" s="48">
        <f>(1-(O29/O23))*100</f>
        <v>74.816096927736908</v>
      </c>
      <c r="S29" s="27"/>
      <c r="T29" s="27"/>
      <c r="U29" s="27"/>
      <c r="V29" s="27"/>
    </row>
    <row r="30" spans="1:45" x14ac:dyDescent="0.35">
      <c r="A30" s="41">
        <f>IFERROR(INDEX('Date Key'!$B$2:$B$19, MATCH(F30,'Date Key'!$A$2:$A$19, 0)), "")</f>
        <v>45250</v>
      </c>
      <c r="B30" s="4">
        <f t="shared" si="15"/>
        <v>4</v>
      </c>
      <c r="C30" s="26" t="str">
        <f>IFERROR(INDEX('Date Key'!$G$57:$G$62, MATCH(B30,'Date Key'!$A$57:$A$62, 0)), "")</f>
        <v>High HLR, Upper Outlet Height, No Plants</v>
      </c>
      <c r="D30" s="4" t="str">
        <f>IFERROR(INDEX('Date Key'!$G$2:$G$19, MATCH(F30, 'Date Key'!$A$2:$A$19, 0)), "")</f>
        <v>Yes</v>
      </c>
      <c r="E30" s="4" t="str">
        <f t="shared" si="1"/>
        <v>in</v>
      </c>
      <c r="F30" s="4">
        <f t="shared" si="2"/>
        <v>10</v>
      </c>
      <c r="G30" s="4">
        <f t="shared" si="22"/>
        <v>1</v>
      </c>
      <c r="H30" s="11" cm="1">
        <f t="array" ref="H30">IFERROR(INDEX('Master Data Sheet'!$1:$1048576, MATCH(1, ('Master Data Sheet'!$H:$H=H$2) * (INDEX('Master Data Sheet'!$1:$1, , MATCH($F$1, 'Master Data Sheet'!$1:$1, 0)) = $F$1) * ('Master Data Sheet'!$G:$G=$B30) * ('Master Data Sheet'!$F:$F=$E30) * ('Master Data Sheet'!$A:$A=$F30), 0), MATCH($F$1, 'Master Data Sheet'!$1:$1, 0)), "")</f>
        <v>4.16</v>
      </c>
      <c r="I30" s="11" cm="1">
        <f t="array" ref="I30">IFERROR(INDEX('Master Data Sheet'!$1:$1048576, MATCH(1, ('Master Data Sheet'!$H:$H=I$2) * (INDEX('Master Data Sheet'!$1:$1, , MATCH($F$1, 'Master Data Sheet'!$1:$1, 0)) = $F$1) * ('Master Data Sheet'!$G:$G=$B30) * ('Master Data Sheet'!$F:$F=$E30) * ('Master Data Sheet'!$A:$A=$F30), 0), MATCH($F$1, 'Master Data Sheet'!$1:$1, 0)), "")</f>
        <v>2.81</v>
      </c>
      <c r="J30" s="11" cm="1">
        <f t="array" ref="J30">IFERROR(INDEX('Master Data Sheet'!$1:$1048576, MATCH(1, ('Master Data Sheet'!$H:$H=J$2) * (INDEX('Master Data Sheet'!$1:$1, , MATCH($F$1, 'Master Data Sheet'!$1:$1, 0)) = $F$1) * ('Master Data Sheet'!$G:$G=$B30) * ('Master Data Sheet'!$F:$F=$E30) * ('Master Data Sheet'!$A:$A=$F30), 0), MATCH($F$1, 'Master Data Sheet'!$1:$1, 0)), "")</f>
        <v>3.13</v>
      </c>
      <c r="K30" s="11" cm="1">
        <f t="array" ref="K30">IFERROR(INDEX('Master Data Sheet'!$1:$1048576, MATCH(1, ('Master Data Sheet'!$H:$H=K$2) * (INDEX('Master Data Sheet'!$1:$1, , MATCH($F$1, 'Master Data Sheet'!$1:$1, 0)) = $F$1) * ('Master Data Sheet'!$G:$G=$B30) * ('Master Data Sheet'!$F:$F=$E30) * ('Master Data Sheet'!$A:$A=$F30), 0), MATCH($F$1, 'Master Data Sheet'!$1:$1, 0)), "")</f>
        <v>2.54</v>
      </c>
      <c r="L30" s="11" cm="1">
        <f t="array" ref="L30">IFERROR(INDEX('Master Data Sheet'!$1:$1048576, MATCH(1, ('Master Data Sheet'!$H:$H=L$2) * (INDEX('Master Data Sheet'!$1:$1, , MATCH($F$1, 'Master Data Sheet'!$1:$1, 0)) = $F$1) * ('Master Data Sheet'!$G:$G=$B30) * ('Master Data Sheet'!$F:$F=$E30) * ('Master Data Sheet'!$A:$A=$F30), 0), MATCH($F$1, 'Master Data Sheet'!$1:$1, 0)), "")</f>
        <v>2.73</v>
      </c>
      <c r="M30" s="11" cm="1">
        <f t="array" ref="M30">IFERROR(INDEX('Master Data Sheet'!$1:$1048576, MATCH(1, ('Master Data Sheet'!$H:$H=M$2) * (INDEX('Master Data Sheet'!$1:$1, , MATCH($F$1, 'Master Data Sheet'!$1:$1, 0)) = $F$1) * ('Master Data Sheet'!$G:$G=$B30) * ('Master Data Sheet'!$F:$F=$E30) * ('Master Data Sheet'!$A:$A=$F30), 0), MATCH($F$1, 'Master Data Sheet'!$1:$1, 0)), "")</f>
        <v>2.42</v>
      </c>
      <c r="N30" s="11" cm="1">
        <f t="array" ref="N30">IFERROR(INDEX('Master Data Sheet'!$1:$1048576, MATCH(1, ('Master Data Sheet'!$H:$H=N$2) * (INDEX('Master Data Sheet'!$1:$1, , MATCH($F$1, 'Master Data Sheet'!$1:$1, 0)) = $F$1) * ('Master Data Sheet'!$G:$G=$B30) * ('Master Data Sheet'!$F:$F=$E30) * ('Master Data Sheet'!$A:$A=$F30), 0), MATCH($F$1, 'Master Data Sheet'!$1:$1, 0)), "")</f>
        <v>2.6</v>
      </c>
      <c r="O30" s="11">
        <f t="shared" si="8"/>
        <v>2.9128571428571428</v>
      </c>
      <c r="P30" s="11">
        <f t="shared" si="4"/>
        <v>0.59530704362578757</v>
      </c>
      <c r="Q30" s="11">
        <f>AVERAGE(O30:O32)</f>
        <v>5.5438095238095242</v>
      </c>
      <c r="S30" s="11">
        <f>AVERAGE(O30:O32)</f>
        <v>5.5438095238095242</v>
      </c>
      <c r="T30" s="11">
        <f>AVERAGE(P30:P32)</f>
        <v>0.81763770441529282</v>
      </c>
      <c r="V30" s="47">
        <f>AVERAGE(U33, U36)</f>
        <v>83.220237072667942</v>
      </c>
      <c r="X30" t="s">
        <v>343</v>
      </c>
    </row>
    <row r="31" spans="1:45" x14ac:dyDescent="0.35">
      <c r="A31" s="41">
        <f>IFERROR(INDEX('Date Key'!$B$2:$B$19, MATCH(F31,'Date Key'!$A$2:$A$19, 0)), "")</f>
        <v>45259</v>
      </c>
      <c r="B31" s="4">
        <f t="shared" si="15"/>
        <v>4</v>
      </c>
      <c r="C31" s="26" t="str">
        <f>IFERROR(INDEX('Date Key'!$G$57:$G$62, MATCH(B31,'Date Key'!$A$57:$A$62, 0)), "")</f>
        <v>High HLR, Upper Outlet Height, No Plants</v>
      </c>
      <c r="D31" s="4" t="str">
        <f>IFERROR(INDEX('Date Key'!$G$2:$G$19, MATCH(F31, 'Date Key'!$A$2:$A$19, 0)), "")</f>
        <v>No</v>
      </c>
      <c r="E31" s="4" t="str">
        <f t="shared" si="1"/>
        <v>in</v>
      </c>
      <c r="F31" s="4">
        <f t="shared" si="2"/>
        <v>11</v>
      </c>
      <c r="G31" s="4">
        <f t="shared" si="22"/>
        <v>2</v>
      </c>
      <c r="H31" s="11" cm="1">
        <f t="array" ref="H31">IFERROR(INDEX('Master Data Sheet'!$1:$1048576, MATCH(1, ('Master Data Sheet'!$H:$H=H$2) * (INDEX('Master Data Sheet'!$1:$1, , MATCH($F$1, 'Master Data Sheet'!$1:$1, 0)) = $F$1) * ('Master Data Sheet'!$G:$G=$B31) * ('Master Data Sheet'!$F:$F=$E31) * ('Master Data Sheet'!$A:$A=$F31), 0), MATCH($F$1, 'Master Data Sheet'!$1:$1, 0)), "")</f>
        <v>4.7699999999999996</v>
      </c>
      <c r="I31" s="11" cm="1">
        <f t="array" ref="I31">IFERROR(INDEX('Master Data Sheet'!$1:$1048576, MATCH(1, ('Master Data Sheet'!$H:$H=I$2) * (INDEX('Master Data Sheet'!$1:$1, , MATCH($F$1, 'Master Data Sheet'!$1:$1, 0)) = $F$1) * ('Master Data Sheet'!$G:$G=$B31) * ('Master Data Sheet'!$F:$F=$E31) * ('Master Data Sheet'!$A:$A=$F31), 0), MATCH($F$1, 'Master Data Sheet'!$1:$1, 0)), "")</f>
        <v>6.4</v>
      </c>
      <c r="J31" s="11" cm="1">
        <f t="array" ref="J31">IFERROR(INDEX('Master Data Sheet'!$1:$1048576, MATCH(1, ('Master Data Sheet'!$H:$H=J$2) * (INDEX('Master Data Sheet'!$1:$1, , MATCH($F$1, 'Master Data Sheet'!$1:$1, 0)) = $F$1) * ('Master Data Sheet'!$G:$G=$B31) * ('Master Data Sheet'!$F:$F=$E31) * ('Master Data Sheet'!$A:$A=$F31), 0), MATCH($F$1, 'Master Data Sheet'!$1:$1, 0)), "")</f>
        <v>8.31</v>
      </c>
      <c r="K31" s="11" cm="1">
        <f t="array" ref="K31">IFERROR(INDEX('Master Data Sheet'!$1:$1048576, MATCH(1, ('Master Data Sheet'!$H:$H=K$2) * (INDEX('Master Data Sheet'!$1:$1, , MATCH($F$1, 'Master Data Sheet'!$1:$1, 0)) = $F$1) * ('Master Data Sheet'!$G:$G=$B31) * ('Master Data Sheet'!$F:$F=$E31) * ('Master Data Sheet'!$A:$A=$F31), 0), MATCH($F$1, 'Master Data Sheet'!$1:$1, 0)), "")</f>
        <v>8.14</v>
      </c>
      <c r="L31" s="11" cm="1">
        <f t="array" ref="L31">IFERROR(INDEX('Master Data Sheet'!$1:$1048576, MATCH(1, ('Master Data Sheet'!$H:$H=L$2) * (INDEX('Master Data Sheet'!$1:$1, , MATCH($F$1, 'Master Data Sheet'!$1:$1, 0)) = $F$1) * ('Master Data Sheet'!$G:$G=$B31) * ('Master Data Sheet'!$F:$F=$E31) * ('Master Data Sheet'!$A:$A=$F31), 0), MATCH($F$1, 'Master Data Sheet'!$1:$1, 0)), "")</f>
        <v>8.0500000000000007</v>
      </c>
      <c r="M31" s="11" cm="1">
        <f t="array" ref="M31">IFERROR(INDEX('Master Data Sheet'!$1:$1048576, MATCH(1, ('Master Data Sheet'!$H:$H=M$2) * (INDEX('Master Data Sheet'!$1:$1, , MATCH($F$1, 'Master Data Sheet'!$1:$1, 0)) = $F$1) * ('Master Data Sheet'!$G:$G=$B31) * ('Master Data Sheet'!$F:$F=$E31) * ('Master Data Sheet'!$A:$A=$F31), 0), MATCH($F$1, 'Master Data Sheet'!$1:$1, 0)), "")</f>
        <v>6.7</v>
      </c>
      <c r="N31" s="11" cm="1">
        <f t="array" ref="N31">IFERROR(INDEX('Master Data Sheet'!$1:$1048576, MATCH(1, ('Master Data Sheet'!$H:$H=N$2) * (INDEX('Master Data Sheet'!$1:$1, , MATCH($F$1, 'Master Data Sheet'!$1:$1, 0)) = $F$1) * ('Master Data Sheet'!$G:$G=$B31) * ('Master Data Sheet'!$F:$F=$E31) * ('Master Data Sheet'!$A:$A=$F31), 0), MATCH($F$1, 'Master Data Sheet'!$1:$1, 0)), "")</f>
        <v>7.12</v>
      </c>
      <c r="O31" s="11">
        <f t="shared" si="8"/>
        <v>7.07</v>
      </c>
      <c r="P31" s="11">
        <f t="shared" si="4"/>
        <v>1.2597089610964318</v>
      </c>
      <c r="Q31" s="11"/>
      <c r="X31" t="str">
        <f>IFERROR(INDEX('Date Key'!$G$57:$G$62, MATCH(B30,'Date Key'!$A$57:$A$62, 0)), "")</f>
        <v>High HLR, Upper Outlet Height, No Plants</v>
      </c>
      <c r="Y31" s="1">
        <f t="shared" ref="Y31:AE31" si="35">H30</f>
        <v>4.16</v>
      </c>
      <c r="Z31" s="1">
        <f t="shared" si="35"/>
        <v>2.81</v>
      </c>
      <c r="AA31" s="1">
        <f t="shared" si="35"/>
        <v>3.13</v>
      </c>
      <c r="AB31" s="1">
        <f t="shared" si="35"/>
        <v>2.54</v>
      </c>
      <c r="AC31" s="1">
        <f t="shared" si="35"/>
        <v>2.73</v>
      </c>
      <c r="AD31" s="1">
        <f t="shared" si="35"/>
        <v>2.42</v>
      </c>
      <c r="AE31" s="1">
        <f t="shared" si="35"/>
        <v>2.6</v>
      </c>
      <c r="AF31" s="1">
        <f t="shared" ref="AF31:AL31" si="36">H31</f>
        <v>4.7699999999999996</v>
      </c>
      <c r="AG31" s="1">
        <f t="shared" si="36"/>
        <v>6.4</v>
      </c>
      <c r="AH31" s="1">
        <f t="shared" si="36"/>
        <v>8.31</v>
      </c>
      <c r="AI31" s="1">
        <f t="shared" si="36"/>
        <v>8.14</v>
      </c>
      <c r="AJ31" s="1">
        <f t="shared" si="36"/>
        <v>8.0500000000000007</v>
      </c>
      <c r="AK31" s="1">
        <f t="shared" si="36"/>
        <v>6.7</v>
      </c>
      <c r="AL31" s="1">
        <f t="shared" si="36"/>
        <v>7.12</v>
      </c>
      <c r="AM31" s="1">
        <f t="shared" ref="AM31:AS31" si="37">H32</f>
        <v>7.64</v>
      </c>
      <c r="AN31" s="1">
        <f t="shared" si="37"/>
        <v>7.25</v>
      </c>
      <c r="AO31" s="1">
        <f t="shared" si="37"/>
        <v>6.2</v>
      </c>
      <c r="AP31" s="1">
        <f t="shared" si="37"/>
        <v>6.3</v>
      </c>
      <c r="AQ31" s="1">
        <f t="shared" si="37"/>
        <v>6.23</v>
      </c>
      <c r="AR31" s="1">
        <f t="shared" si="37"/>
        <v>6.8</v>
      </c>
      <c r="AS31" s="1">
        <f t="shared" si="37"/>
        <v>6.12</v>
      </c>
    </row>
    <row r="32" spans="1:45" x14ac:dyDescent="0.35">
      <c r="A32" s="41">
        <f>IFERROR(INDEX('Date Key'!$B$2:$B$19, MATCH(F32,'Date Key'!$A$2:$A$19, 0)), "")</f>
        <v>45266</v>
      </c>
      <c r="B32" s="4">
        <f t="shared" si="15"/>
        <v>4</v>
      </c>
      <c r="C32" s="26" t="str">
        <f>IFERROR(INDEX('Date Key'!$G$57:$G$62, MATCH(B32,'Date Key'!$A$57:$A$62, 0)), "")</f>
        <v>High HLR, Upper Outlet Height, No Plants</v>
      </c>
      <c r="D32" s="4" t="str">
        <f>IFERROR(INDEX('Date Key'!$G$2:$G$19, MATCH(F32, 'Date Key'!$A$2:$A$19, 0)), "")</f>
        <v>No</v>
      </c>
      <c r="E32" s="4" t="str">
        <f t="shared" si="1"/>
        <v>in</v>
      </c>
      <c r="F32" s="4">
        <f t="shared" si="2"/>
        <v>12</v>
      </c>
      <c r="G32" s="4">
        <f t="shared" si="22"/>
        <v>3</v>
      </c>
      <c r="H32" s="11" cm="1">
        <f t="array" ref="H32">IFERROR(INDEX('Master Data Sheet'!$1:$1048576, MATCH(1, ('Master Data Sheet'!$H:$H=H$2) * (INDEX('Master Data Sheet'!$1:$1, , MATCH($F$1, 'Master Data Sheet'!$1:$1, 0)) = $F$1) * ('Master Data Sheet'!$G:$G=$B32) * ('Master Data Sheet'!$F:$F=$E32) * ('Master Data Sheet'!$A:$A=$F32), 0), MATCH($F$1, 'Master Data Sheet'!$1:$1, 0)), "")</f>
        <v>7.64</v>
      </c>
      <c r="I32" s="11" cm="1">
        <f t="array" ref="I32">IFERROR(INDEX('Master Data Sheet'!$1:$1048576, MATCH(1, ('Master Data Sheet'!$H:$H=I$2) * (INDEX('Master Data Sheet'!$1:$1, , MATCH($F$1, 'Master Data Sheet'!$1:$1, 0)) = $F$1) * ('Master Data Sheet'!$G:$G=$B32) * ('Master Data Sheet'!$F:$F=$E32) * ('Master Data Sheet'!$A:$A=$F32), 0), MATCH($F$1, 'Master Data Sheet'!$1:$1, 0)), "")</f>
        <v>7.25</v>
      </c>
      <c r="J32" s="11" cm="1">
        <f t="array" ref="J32">IFERROR(INDEX('Master Data Sheet'!$1:$1048576, MATCH(1, ('Master Data Sheet'!$H:$H=J$2) * (INDEX('Master Data Sheet'!$1:$1, , MATCH($F$1, 'Master Data Sheet'!$1:$1, 0)) = $F$1) * ('Master Data Sheet'!$G:$G=$B32) * ('Master Data Sheet'!$F:$F=$E32) * ('Master Data Sheet'!$A:$A=$F32), 0), MATCH($F$1, 'Master Data Sheet'!$1:$1, 0)), "")</f>
        <v>6.2</v>
      </c>
      <c r="K32" s="11" cm="1">
        <f t="array" ref="K32">IFERROR(INDEX('Master Data Sheet'!$1:$1048576, MATCH(1, ('Master Data Sheet'!$H:$H=K$2) * (INDEX('Master Data Sheet'!$1:$1, , MATCH($F$1, 'Master Data Sheet'!$1:$1, 0)) = $F$1) * ('Master Data Sheet'!$G:$G=$B32) * ('Master Data Sheet'!$F:$F=$E32) * ('Master Data Sheet'!$A:$A=$F32), 0), MATCH($F$1, 'Master Data Sheet'!$1:$1, 0)), "")</f>
        <v>6.3</v>
      </c>
      <c r="L32" s="11" cm="1">
        <f t="array" ref="L32">IFERROR(INDEX('Master Data Sheet'!$1:$1048576, MATCH(1, ('Master Data Sheet'!$H:$H=L$2) * (INDEX('Master Data Sheet'!$1:$1, , MATCH($F$1, 'Master Data Sheet'!$1:$1, 0)) = $F$1) * ('Master Data Sheet'!$G:$G=$B32) * ('Master Data Sheet'!$F:$F=$E32) * ('Master Data Sheet'!$A:$A=$F32), 0), MATCH($F$1, 'Master Data Sheet'!$1:$1, 0)), "")</f>
        <v>6.23</v>
      </c>
      <c r="M32" s="11" cm="1">
        <f t="array" ref="M32">IFERROR(INDEX('Master Data Sheet'!$1:$1048576, MATCH(1, ('Master Data Sheet'!$H:$H=M$2) * (INDEX('Master Data Sheet'!$1:$1, , MATCH($F$1, 'Master Data Sheet'!$1:$1, 0)) = $F$1) * ('Master Data Sheet'!$G:$G=$B32) * ('Master Data Sheet'!$F:$F=$E32) * ('Master Data Sheet'!$A:$A=$F32), 0), MATCH($F$1, 'Master Data Sheet'!$1:$1, 0)), "")</f>
        <v>6.8</v>
      </c>
      <c r="N32" s="11" cm="1">
        <f t="array" ref="N32">IFERROR(INDEX('Master Data Sheet'!$1:$1048576, MATCH(1, ('Master Data Sheet'!$H:$H=N$2) * (INDEX('Master Data Sheet'!$1:$1, , MATCH($F$1, 'Master Data Sheet'!$1:$1, 0)) = $F$1) * ('Master Data Sheet'!$G:$G=$B32) * ('Master Data Sheet'!$F:$F=$E32) * ('Master Data Sheet'!$A:$A=$F32), 0), MATCH($F$1, 'Master Data Sheet'!$1:$1, 0)), "")</f>
        <v>6.12</v>
      </c>
      <c r="O32" s="11">
        <f t="shared" si="8"/>
        <v>6.6485714285714286</v>
      </c>
      <c r="P32" s="11">
        <f t="shared" si="4"/>
        <v>0.59789710852365918</v>
      </c>
      <c r="Q32" s="11"/>
      <c r="Y32" s="1"/>
      <c r="Z32" s="1"/>
      <c r="AA32" s="1"/>
      <c r="AB32" s="1"/>
      <c r="AC32" s="1"/>
      <c r="AD32" s="1"/>
      <c r="AE32" s="1"/>
      <c r="AF32" s="1"/>
      <c r="AG32" s="1"/>
      <c r="AH32" s="1"/>
      <c r="AI32" s="1"/>
      <c r="AJ32" s="1"/>
      <c r="AK32" s="1"/>
      <c r="AL32" s="1"/>
      <c r="AM32" s="1"/>
      <c r="AN32" s="1"/>
      <c r="AO32" s="1"/>
      <c r="AP32" s="1"/>
      <c r="AQ32" s="1"/>
      <c r="AR32" s="1"/>
      <c r="AS32" s="1"/>
    </row>
    <row r="33" spans="1:45" x14ac:dyDescent="0.35">
      <c r="A33" s="41">
        <f>IFERROR(INDEX('Date Key'!$B$2:$B$19, MATCH(F33,'Date Key'!$A$2:$A$19, 0)), "")</f>
        <v>45250</v>
      </c>
      <c r="B33" s="4">
        <f t="shared" si="15"/>
        <v>4</v>
      </c>
      <c r="C33" s="26" t="str">
        <f>IFERROR(INDEX('Date Key'!$G$57:$G$62, MATCH(B33,'Date Key'!$A$57:$A$62, 0)), "")</f>
        <v>High HLR, Upper Outlet Height, No Plants</v>
      </c>
      <c r="D33" s="4" t="str">
        <f>IFERROR(INDEX('Date Key'!$G$2:$G$19, MATCH(F33, 'Date Key'!$A$2:$A$19, 0)), "")</f>
        <v>Yes</v>
      </c>
      <c r="E33" s="4" t="str">
        <f t="shared" si="1"/>
        <v>tank 1</v>
      </c>
      <c r="F33" s="4">
        <f t="shared" si="2"/>
        <v>10</v>
      </c>
      <c r="G33" s="4">
        <f t="shared" si="22"/>
        <v>1</v>
      </c>
      <c r="H33" s="11" cm="1">
        <f t="array" ref="H33">IFERROR(INDEX('Master Data Sheet'!$1:$1048576, MATCH(1, ('Master Data Sheet'!$H:$H=H$2) * (INDEX('Master Data Sheet'!$1:$1, , MATCH($F$1, 'Master Data Sheet'!$1:$1, 0)) = $F$1) * ('Master Data Sheet'!$G:$G=$B33) * ('Master Data Sheet'!$F:$F=$E33) * ('Master Data Sheet'!$A:$A=$F33), 0), MATCH($F$1, 'Master Data Sheet'!$1:$1, 0)), "")</f>
        <v>1.1399999999999999</v>
      </c>
      <c r="I33" s="11" cm="1">
        <f t="array" ref="I33">IFERROR(INDEX('Master Data Sheet'!$1:$1048576, MATCH(1, ('Master Data Sheet'!$H:$H=I$2) * (INDEX('Master Data Sheet'!$1:$1, , MATCH($F$1, 'Master Data Sheet'!$1:$1, 0)) = $F$1) * ('Master Data Sheet'!$G:$G=$B33) * ('Master Data Sheet'!$F:$F=$E33) * ('Master Data Sheet'!$A:$A=$F33), 0), MATCH($F$1, 'Master Data Sheet'!$1:$1, 0)), "")</f>
        <v>0.86</v>
      </c>
      <c r="J33" s="11" cm="1">
        <f t="array" ref="J33">IFERROR(INDEX('Master Data Sheet'!$1:$1048576, MATCH(1, ('Master Data Sheet'!$H:$H=J$2) * (INDEX('Master Data Sheet'!$1:$1, , MATCH($F$1, 'Master Data Sheet'!$1:$1, 0)) = $F$1) * ('Master Data Sheet'!$G:$G=$B33) * ('Master Data Sheet'!$F:$F=$E33) * ('Master Data Sheet'!$A:$A=$F33), 0), MATCH($F$1, 'Master Data Sheet'!$1:$1, 0)), "")</f>
        <v>0.76</v>
      </c>
      <c r="K33" s="11" cm="1">
        <f t="array" ref="K33">IFERROR(INDEX('Master Data Sheet'!$1:$1048576, MATCH(1, ('Master Data Sheet'!$H:$H=K$2) * (INDEX('Master Data Sheet'!$1:$1, , MATCH($F$1, 'Master Data Sheet'!$1:$1, 0)) = $F$1) * ('Master Data Sheet'!$G:$G=$B33) * ('Master Data Sheet'!$F:$F=$E33) * ('Master Data Sheet'!$A:$A=$F33), 0), MATCH($F$1, 'Master Data Sheet'!$1:$1, 0)), "")</f>
        <v>1.02</v>
      </c>
      <c r="L33" s="11" cm="1">
        <f t="array" ref="L33">IFERROR(INDEX('Master Data Sheet'!$1:$1048576, MATCH(1, ('Master Data Sheet'!$H:$H=L$2) * (INDEX('Master Data Sheet'!$1:$1, , MATCH($F$1, 'Master Data Sheet'!$1:$1, 0)) = $F$1) * ('Master Data Sheet'!$G:$G=$B33) * ('Master Data Sheet'!$F:$F=$E33) * ('Master Data Sheet'!$A:$A=$F33), 0), MATCH($F$1, 'Master Data Sheet'!$1:$1, 0)), "")</f>
        <v>0.47</v>
      </c>
      <c r="M33" s="11" cm="1">
        <f t="array" ref="M33">IFERROR(INDEX('Master Data Sheet'!$1:$1048576, MATCH(1, ('Master Data Sheet'!$H:$H=M$2) * (INDEX('Master Data Sheet'!$1:$1, , MATCH($F$1, 'Master Data Sheet'!$1:$1, 0)) = $F$1) * ('Master Data Sheet'!$G:$G=$B33) * ('Master Data Sheet'!$F:$F=$E33) * ('Master Data Sheet'!$A:$A=$F33), 0), MATCH($F$1, 'Master Data Sheet'!$1:$1, 0)), "")</f>
        <v>0.54</v>
      </c>
      <c r="N33" s="11" cm="1">
        <f t="array" ref="N33">IFERROR(INDEX('Master Data Sheet'!$1:$1048576, MATCH(1, ('Master Data Sheet'!$H:$H=N$2) * (INDEX('Master Data Sheet'!$1:$1, , MATCH($F$1, 'Master Data Sheet'!$1:$1, 0)) = $F$1) * ('Master Data Sheet'!$G:$G=$B33) * ('Master Data Sheet'!$F:$F=$E33) * ('Master Data Sheet'!$A:$A=$F33), 0), MATCH($F$1, 'Master Data Sheet'!$1:$1, 0)), "")</f>
        <v>0.51</v>
      </c>
      <c r="O33" s="11">
        <f t="shared" si="8"/>
        <v>0.75714285714285712</v>
      </c>
      <c r="P33" s="11">
        <f t="shared" si="4"/>
        <v>0.26361046297610474</v>
      </c>
      <c r="Q33" s="11">
        <f>AVERAGE(O33:O35)</f>
        <v>0.92666666666666664</v>
      </c>
      <c r="R33" s="46">
        <f>(1-(O33/O30))*100</f>
        <v>74.006866110838644</v>
      </c>
      <c r="S33" s="46">
        <f>AVERAGE(R33:R35)</f>
        <v>81.478571020460024</v>
      </c>
      <c r="T33" s="46">
        <f>STDEV(R33:R35)</f>
        <v>6.60158487483187</v>
      </c>
      <c r="U33" s="47">
        <f>(1-(AVERAGE(H33:N35)/AVERAGE(H30:N32)))*100</f>
        <v>83.284658993300127</v>
      </c>
      <c r="V33" s="47"/>
      <c r="Y33" s="2"/>
      <c r="Z33" s="2"/>
      <c r="AA33" s="2"/>
      <c r="AB33" s="2"/>
      <c r="AC33" s="2"/>
      <c r="AD33" s="2"/>
      <c r="AE33" s="2"/>
      <c r="AF33" s="2"/>
      <c r="AG33" s="2"/>
    </row>
    <row r="34" spans="1:45" x14ac:dyDescent="0.35">
      <c r="A34" s="41">
        <f>IFERROR(INDEX('Date Key'!$B$2:$B$19, MATCH(F34,'Date Key'!$A$2:$A$19, 0)), "")</f>
        <v>45259</v>
      </c>
      <c r="B34" s="4">
        <f t="shared" si="15"/>
        <v>4</v>
      </c>
      <c r="C34" s="26" t="str">
        <f>IFERROR(INDEX('Date Key'!$G$57:$G$62, MATCH(B34,'Date Key'!$A$57:$A$62, 0)), "")</f>
        <v>High HLR, Upper Outlet Height, No Plants</v>
      </c>
      <c r="D34" s="4" t="str">
        <f>IFERROR(INDEX('Date Key'!$G$2:$G$19, MATCH(F34, 'Date Key'!$A$2:$A$19, 0)), "")</f>
        <v>No</v>
      </c>
      <c r="E34" s="4" t="str">
        <f t="shared" si="1"/>
        <v>tank 1</v>
      </c>
      <c r="F34" s="4">
        <f t="shared" si="2"/>
        <v>11</v>
      </c>
      <c r="G34" s="4">
        <f t="shared" si="22"/>
        <v>2</v>
      </c>
      <c r="H34" s="11" cm="1">
        <f t="array" ref="H34">IFERROR(INDEX('Master Data Sheet'!$1:$1048576, MATCH(1, ('Master Data Sheet'!$H:$H=H$2) * (INDEX('Master Data Sheet'!$1:$1, , MATCH($F$1, 'Master Data Sheet'!$1:$1, 0)) = $F$1) * ('Master Data Sheet'!$G:$G=$B34) * ('Master Data Sheet'!$F:$F=$E34) * ('Master Data Sheet'!$A:$A=$F34), 0), MATCH($F$1, 'Master Data Sheet'!$1:$1, 0)), "")</f>
        <v>0.96</v>
      </c>
      <c r="I34" s="11" cm="1">
        <f t="array" ref="I34">IFERROR(INDEX('Master Data Sheet'!$1:$1048576, MATCH(1, ('Master Data Sheet'!$H:$H=I$2) * (INDEX('Master Data Sheet'!$1:$1, , MATCH($F$1, 'Master Data Sheet'!$1:$1, 0)) = $F$1) * ('Master Data Sheet'!$G:$G=$B34) * ('Master Data Sheet'!$F:$F=$E34) * ('Master Data Sheet'!$A:$A=$F34), 0), MATCH($F$1, 'Master Data Sheet'!$1:$1, 0)), "")</f>
        <v>0.86</v>
      </c>
      <c r="J34" s="11" cm="1">
        <f t="array" ref="J34">IFERROR(INDEX('Master Data Sheet'!$1:$1048576, MATCH(1, ('Master Data Sheet'!$H:$H=J$2) * (INDEX('Master Data Sheet'!$1:$1, , MATCH($F$1, 'Master Data Sheet'!$1:$1, 0)) = $F$1) * ('Master Data Sheet'!$G:$G=$B34) * ('Master Data Sheet'!$F:$F=$E34) * ('Master Data Sheet'!$A:$A=$F34), 0), MATCH($F$1, 'Master Data Sheet'!$1:$1, 0)), "")</f>
        <v>0.91</v>
      </c>
      <c r="K34" s="11" cm="1">
        <f t="array" ref="K34">IFERROR(INDEX('Master Data Sheet'!$1:$1048576, MATCH(1, ('Master Data Sheet'!$H:$H=K$2) * (INDEX('Master Data Sheet'!$1:$1, , MATCH($F$1, 'Master Data Sheet'!$1:$1, 0)) = $F$1) * ('Master Data Sheet'!$G:$G=$B34) * ('Master Data Sheet'!$F:$F=$E34) * ('Master Data Sheet'!$A:$A=$F34), 0), MATCH($F$1, 'Master Data Sheet'!$1:$1, 0)), "")</f>
        <v>0.99</v>
      </c>
      <c r="L34" s="11" cm="1">
        <f t="array" ref="L34">IFERROR(INDEX('Master Data Sheet'!$1:$1048576, MATCH(1, ('Master Data Sheet'!$H:$H=L$2) * (INDEX('Master Data Sheet'!$1:$1, , MATCH($F$1, 'Master Data Sheet'!$1:$1, 0)) = $F$1) * ('Master Data Sheet'!$G:$G=$B34) * ('Master Data Sheet'!$F:$F=$E34) * ('Master Data Sheet'!$A:$A=$F34), 0), MATCH($F$1, 'Master Data Sheet'!$1:$1, 0)), "")</f>
        <v>1.3</v>
      </c>
      <c r="M34" s="11" cm="1">
        <f t="array" ref="M34">IFERROR(INDEX('Master Data Sheet'!$1:$1048576, MATCH(1, ('Master Data Sheet'!$H:$H=M$2) * (INDEX('Master Data Sheet'!$1:$1, , MATCH($F$1, 'Master Data Sheet'!$1:$1, 0)) = $F$1) * ('Master Data Sheet'!$G:$G=$B34) * ('Master Data Sheet'!$F:$F=$E34) * ('Master Data Sheet'!$A:$A=$F34), 0), MATCH($F$1, 'Master Data Sheet'!$1:$1, 0)), "")</f>
        <v>0.72</v>
      </c>
      <c r="N34" s="11" cm="1">
        <f t="array" ref="N34">IFERROR(INDEX('Master Data Sheet'!$1:$1048576, MATCH(1, ('Master Data Sheet'!$H:$H=N$2) * (INDEX('Master Data Sheet'!$1:$1, , MATCH($F$1, 'Master Data Sheet'!$1:$1, 0)) = $F$1) * ('Master Data Sheet'!$G:$G=$B34) * ('Master Data Sheet'!$F:$F=$E34) * ('Master Data Sheet'!$A:$A=$F34), 0), MATCH($F$1, 'Master Data Sheet'!$1:$1, 0)), "")</f>
        <v>0.93</v>
      </c>
      <c r="O34" s="11">
        <f t="shared" si="8"/>
        <v>0.95285714285714274</v>
      </c>
      <c r="P34" s="11">
        <f t="shared" si="4"/>
        <v>0.17660825629193155</v>
      </c>
      <c r="Q34" s="11"/>
      <c r="R34" s="46">
        <f>(1-(O34/O31))*100</f>
        <v>86.522529804000811</v>
      </c>
      <c r="X34" t="str">
        <f>IFERROR(INDEX('Date Key'!$G$57:$G$62, MATCH(B33,'Date Key'!$A$57:$A$62, 0)), "")</f>
        <v>High HLR, Upper Outlet Height, No Plants</v>
      </c>
      <c r="Y34" s="1">
        <f t="shared" ref="Y34:AE34" si="38">H33</f>
        <v>1.1399999999999999</v>
      </c>
      <c r="Z34" s="1">
        <f t="shared" si="38"/>
        <v>0.86</v>
      </c>
      <c r="AA34" s="1">
        <f t="shared" si="38"/>
        <v>0.76</v>
      </c>
      <c r="AB34" s="1">
        <f t="shared" si="38"/>
        <v>1.02</v>
      </c>
      <c r="AC34" s="1">
        <f t="shared" si="38"/>
        <v>0.47</v>
      </c>
      <c r="AD34" s="1">
        <f t="shared" si="38"/>
        <v>0.54</v>
      </c>
      <c r="AE34" s="1">
        <f t="shared" si="38"/>
        <v>0.51</v>
      </c>
      <c r="AF34" s="1">
        <f t="shared" ref="AF34:AL34" si="39">H34</f>
        <v>0.96</v>
      </c>
      <c r="AG34" s="1">
        <f t="shared" si="39"/>
        <v>0.86</v>
      </c>
      <c r="AH34" s="1">
        <f t="shared" si="39"/>
        <v>0.91</v>
      </c>
      <c r="AI34" s="1">
        <f t="shared" si="39"/>
        <v>0.99</v>
      </c>
      <c r="AJ34" s="1">
        <f t="shared" si="39"/>
        <v>1.3</v>
      </c>
      <c r="AK34" s="1">
        <f t="shared" si="39"/>
        <v>0.72</v>
      </c>
      <c r="AL34" s="1">
        <f t="shared" si="39"/>
        <v>0.93</v>
      </c>
      <c r="AM34" s="1">
        <f t="shared" ref="AM34:AS34" si="40">H35</f>
        <v>1.1599999999999999</v>
      </c>
      <c r="AN34" s="1">
        <f t="shared" si="40"/>
        <v>1.06</v>
      </c>
      <c r="AO34" s="1">
        <f t="shared" si="40"/>
        <v>0.73</v>
      </c>
      <c r="AP34" s="1">
        <f t="shared" si="40"/>
        <v>1.1200000000000001</v>
      </c>
      <c r="AQ34" s="1">
        <f t="shared" si="40"/>
        <v>0.93</v>
      </c>
      <c r="AR34" s="1">
        <f t="shared" si="40"/>
        <v>1.64</v>
      </c>
      <c r="AS34" s="1">
        <f t="shared" si="40"/>
        <v>0.85</v>
      </c>
    </row>
    <row r="35" spans="1:45" x14ac:dyDescent="0.35">
      <c r="A35" s="41">
        <f>IFERROR(INDEX('Date Key'!$B$2:$B$19, MATCH(F35,'Date Key'!$A$2:$A$19, 0)), "")</f>
        <v>45266</v>
      </c>
      <c r="B35" s="4">
        <f t="shared" si="15"/>
        <v>4</v>
      </c>
      <c r="C35" s="26" t="str">
        <f>IFERROR(INDEX('Date Key'!$G$57:$G$62, MATCH(B35,'Date Key'!$A$57:$A$62, 0)), "")</f>
        <v>High HLR, Upper Outlet Height, No Plants</v>
      </c>
      <c r="D35" s="4" t="str">
        <f>IFERROR(INDEX('Date Key'!$G$2:$G$19, MATCH(F35, 'Date Key'!$A$2:$A$19, 0)), "")</f>
        <v>No</v>
      </c>
      <c r="E35" s="4" t="str">
        <f t="shared" si="1"/>
        <v>tank 1</v>
      </c>
      <c r="F35" s="4">
        <f t="shared" si="2"/>
        <v>12</v>
      </c>
      <c r="G35" s="4">
        <f t="shared" si="22"/>
        <v>3</v>
      </c>
      <c r="H35" s="11" cm="1">
        <f t="array" ref="H35">IFERROR(INDEX('Master Data Sheet'!$1:$1048576, MATCH(1, ('Master Data Sheet'!$H:$H=H$2) * (INDEX('Master Data Sheet'!$1:$1, , MATCH($F$1, 'Master Data Sheet'!$1:$1, 0)) = $F$1) * ('Master Data Sheet'!$G:$G=$B35) * ('Master Data Sheet'!$F:$F=$E35) * ('Master Data Sheet'!$A:$A=$F35), 0), MATCH($F$1, 'Master Data Sheet'!$1:$1, 0)), "")</f>
        <v>1.1599999999999999</v>
      </c>
      <c r="I35" s="11" cm="1">
        <f t="array" ref="I35">IFERROR(INDEX('Master Data Sheet'!$1:$1048576, MATCH(1, ('Master Data Sheet'!$H:$H=I$2) * (INDEX('Master Data Sheet'!$1:$1, , MATCH($F$1, 'Master Data Sheet'!$1:$1, 0)) = $F$1) * ('Master Data Sheet'!$G:$G=$B35) * ('Master Data Sheet'!$F:$F=$E35) * ('Master Data Sheet'!$A:$A=$F35), 0), MATCH($F$1, 'Master Data Sheet'!$1:$1, 0)), "")</f>
        <v>1.06</v>
      </c>
      <c r="J35" s="11" cm="1">
        <f t="array" ref="J35">IFERROR(INDEX('Master Data Sheet'!$1:$1048576, MATCH(1, ('Master Data Sheet'!$H:$H=J$2) * (INDEX('Master Data Sheet'!$1:$1, , MATCH($F$1, 'Master Data Sheet'!$1:$1, 0)) = $F$1) * ('Master Data Sheet'!$G:$G=$B35) * ('Master Data Sheet'!$F:$F=$E35) * ('Master Data Sheet'!$A:$A=$F35), 0), MATCH($F$1, 'Master Data Sheet'!$1:$1, 0)), "")</f>
        <v>0.73</v>
      </c>
      <c r="K35" s="11" cm="1">
        <f t="array" ref="K35">IFERROR(INDEX('Master Data Sheet'!$1:$1048576, MATCH(1, ('Master Data Sheet'!$H:$H=K$2) * (INDEX('Master Data Sheet'!$1:$1, , MATCH($F$1, 'Master Data Sheet'!$1:$1, 0)) = $F$1) * ('Master Data Sheet'!$G:$G=$B35) * ('Master Data Sheet'!$F:$F=$E35) * ('Master Data Sheet'!$A:$A=$F35), 0), MATCH($F$1, 'Master Data Sheet'!$1:$1, 0)), "")</f>
        <v>1.1200000000000001</v>
      </c>
      <c r="L35" s="11" cm="1">
        <f t="array" ref="L35">IFERROR(INDEX('Master Data Sheet'!$1:$1048576, MATCH(1, ('Master Data Sheet'!$H:$H=L$2) * (INDEX('Master Data Sheet'!$1:$1, , MATCH($F$1, 'Master Data Sheet'!$1:$1, 0)) = $F$1) * ('Master Data Sheet'!$G:$G=$B35) * ('Master Data Sheet'!$F:$F=$E35) * ('Master Data Sheet'!$A:$A=$F35), 0), MATCH($F$1, 'Master Data Sheet'!$1:$1, 0)), "")</f>
        <v>0.93</v>
      </c>
      <c r="M35" s="11" cm="1">
        <f t="array" ref="M35">IFERROR(INDEX('Master Data Sheet'!$1:$1048576, MATCH(1, ('Master Data Sheet'!$H:$H=M$2) * (INDEX('Master Data Sheet'!$1:$1, , MATCH($F$1, 'Master Data Sheet'!$1:$1, 0)) = $F$1) * ('Master Data Sheet'!$G:$G=$B35) * ('Master Data Sheet'!$F:$F=$E35) * ('Master Data Sheet'!$A:$A=$F35), 0), MATCH($F$1, 'Master Data Sheet'!$1:$1, 0)), "")</f>
        <v>1.64</v>
      </c>
      <c r="N35" s="11" cm="1">
        <f t="array" ref="N35">IFERROR(INDEX('Master Data Sheet'!$1:$1048576, MATCH(1, ('Master Data Sheet'!$H:$H=N$2) * (INDEX('Master Data Sheet'!$1:$1, , MATCH($F$1, 'Master Data Sheet'!$1:$1, 0)) = $F$1) * ('Master Data Sheet'!$G:$G=$B35) * ('Master Data Sheet'!$F:$F=$E35) * ('Master Data Sheet'!$A:$A=$F35), 0), MATCH($F$1, 'Master Data Sheet'!$1:$1, 0)), "")</f>
        <v>0.85</v>
      </c>
      <c r="O35" s="11">
        <f t="shared" si="8"/>
        <v>1.0699999999999998</v>
      </c>
      <c r="P35" s="11">
        <f t="shared" si="4"/>
        <v>0.29416548630546985</v>
      </c>
      <c r="Q35" s="11"/>
      <c r="R35" s="46">
        <f>(1-(O35/O32))*100</f>
        <v>83.906317146540616</v>
      </c>
      <c r="Y35" s="2"/>
      <c r="Z35" s="2"/>
      <c r="AA35" s="2"/>
      <c r="AB35" s="2"/>
      <c r="AC35" s="2"/>
      <c r="AD35" s="2"/>
      <c r="AE35" s="2"/>
      <c r="AF35" s="2"/>
      <c r="AG35" s="2"/>
    </row>
    <row r="36" spans="1:45" x14ac:dyDescent="0.35">
      <c r="A36" s="41">
        <f>IFERROR(INDEX('Date Key'!$B$2:$B$19, MATCH(F36,'Date Key'!$A$2:$A$19, 0)), "")</f>
        <v>45250</v>
      </c>
      <c r="B36" s="4">
        <f t="shared" si="15"/>
        <v>4</v>
      </c>
      <c r="C36" s="26" t="str">
        <f>IFERROR(INDEX('Date Key'!$G$57:$G$62, MATCH(B36,'Date Key'!$A$57:$A$62, 0)), "")</f>
        <v>High HLR, Upper Outlet Height, No Plants</v>
      </c>
      <c r="D36" s="4" t="str">
        <f>IFERROR(INDEX('Date Key'!$G$2:$G$19, MATCH(F36, 'Date Key'!$A$2:$A$19, 0)), "")</f>
        <v>Yes</v>
      </c>
      <c r="E36" s="4" t="str">
        <f t="shared" si="1"/>
        <v>tank 2</v>
      </c>
      <c r="F36" s="4">
        <f t="shared" si="2"/>
        <v>10</v>
      </c>
      <c r="G36" s="4">
        <f t="shared" si="22"/>
        <v>1</v>
      </c>
      <c r="H36" s="11" cm="1">
        <f t="array" ref="H36">IFERROR(INDEX('Master Data Sheet'!$1:$1048576, MATCH(1, ('Master Data Sheet'!$H:$H=H$2) * (INDEX('Master Data Sheet'!$1:$1, , MATCH($F$1, 'Master Data Sheet'!$1:$1, 0)) = $F$1) * ('Master Data Sheet'!$G:$G=$B36) * ('Master Data Sheet'!$F:$F=$E36) * ('Master Data Sheet'!$A:$A=$F36), 0), MATCH($F$1, 'Master Data Sheet'!$1:$1, 0)), "")</f>
        <v>0.59</v>
      </c>
      <c r="I36" s="11" cm="1">
        <f t="array" ref="I36">IFERROR(INDEX('Master Data Sheet'!$1:$1048576, MATCH(1, ('Master Data Sheet'!$H:$H=I$2) * (INDEX('Master Data Sheet'!$1:$1, , MATCH($F$1, 'Master Data Sheet'!$1:$1, 0)) = $F$1) * ('Master Data Sheet'!$G:$G=$B36) * ('Master Data Sheet'!$F:$F=$E36) * ('Master Data Sheet'!$A:$A=$F36), 0), MATCH($F$1, 'Master Data Sheet'!$1:$1, 0)), "")</f>
        <v>0.53</v>
      </c>
      <c r="J36" s="11" cm="1">
        <f t="array" ref="J36">IFERROR(INDEX('Master Data Sheet'!$1:$1048576, MATCH(1, ('Master Data Sheet'!$H:$H=J$2) * (INDEX('Master Data Sheet'!$1:$1, , MATCH($F$1, 'Master Data Sheet'!$1:$1, 0)) = $F$1) * ('Master Data Sheet'!$G:$G=$B36) * ('Master Data Sheet'!$F:$F=$E36) * ('Master Data Sheet'!$A:$A=$F36), 0), MATCH($F$1, 'Master Data Sheet'!$1:$1, 0)), "")</f>
        <v>0.92</v>
      </c>
      <c r="K36" s="11" cm="1">
        <f t="array" ref="K36">IFERROR(INDEX('Master Data Sheet'!$1:$1048576, MATCH(1, ('Master Data Sheet'!$H:$H=K$2) * (INDEX('Master Data Sheet'!$1:$1, , MATCH($F$1, 'Master Data Sheet'!$1:$1, 0)) = $F$1) * ('Master Data Sheet'!$G:$G=$B36) * ('Master Data Sheet'!$F:$F=$E36) * ('Master Data Sheet'!$A:$A=$F36), 0), MATCH($F$1, 'Master Data Sheet'!$1:$1, 0)), "")</f>
        <v>0.56999999999999995</v>
      </c>
      <c r="L36" s="11" cm="1">
        <f t="array" ref="L36">IFERROR(INDEX('Master Data Sheet'!$1:$1048576, MATCH(1, ('Master Data Sheet'!$H:$H=L$2) * (INDEX('Master Data Sheet'!$1:$1, , MATCH($F$1, 'Master Data Sheet'!$1:$1, 0)) = $F$1) * ('Master Data Sheet'!$G:$G=$B36) * ('Master Data Sheet'!$F:$F=$E36) * ('Master Data Sheet'!$A:$A=$F36), 0), MATCH($F$1, 'Master Data Sheet'!$1:$1, 0)), "")</f>
        <v>0.49</v>
      </c>
      <c r="M36" s="11" cm="1">
        <f t="array" ref="M36">IFERROR(INDEX('Master Data Sheet'!$1:$1048576, MATCH(1, ('Master Data Sheet'!$H:$H=M$2) * (INDEX('Master Data Sheet'!$1:$1, , MATCH($F$1, 'Master Data Sheet'!$1:$1, 0)) = $F$1) * ('Master Data Sheet'!$G:$G=$B36) * ('Master Data Sheet'!$F:$F=$E36) * ('Master Data Sheet'!$A:$A=$F36), 0), MATCH($F$1, 'Master Data Sheet'!$1:$1, 0)), "")</f>
        <v>0.5</v>
      </c>
      <c r="N36" s="11" cm="1">
        <f t="array" ref="N36">IFERROR(INDEX('Master Data Sheet'!$1:$1048576, MATCH(1, ('Master Data Sheet'!$H:$H=N$2) * (INDEX('Master Data Sheet'!$1:$1, , MATCH($F$1, 'Master Data Sheet'!$1:$1, 0)) = $F$1) * ('Master Data Sheet'!$G:$G=$B36) * ('Master Data Sheet'!$F:$F=$E36) * ('Master Data Sheet'!$A:$A=$F36), 0), MATCH($F$1, 'Master Data Sheet'!$1:$1, 0)), "")</f>
        <v>0.52</v>
      </c>
      <c r="O36" s="11">
        <f t="shared" si="8"/>
        <v>0.58857142857142841</v>
      </c>
      <c r="P36" s="11">
        <f t="shared" si="4"/>
        <v>0.150491259040581</v>
      </c>
      <c r="Q36" s="11">
        <f>AVERAGE(N36:N38)</f>
        <v>1.4566666666666668</v>
      </c>
      <c r="R36" s="46">
        <f>(1-(O36/O30))*100</f>
        <v>79.794016674840606</v>
      </c>
      <c r="S36" s="46">
        <f>AVERAGE(R36:R38)</f>
        <v>82.523344459131351</v>
      </c>
      <c r="T36" s="46">
        <f>STDEV(R36:R38)</f>
        <v>2.4382516051988166</v>
      </c>
      <c r="U36" s="47">
        <f>(1-(AVERAGE(H36:N38)/AVERAGE(H30:N32)))*100</f>
        <v>83.155815152035743</v>
      </c>
      <c r="V36" s="47"/>
      <c r="Y36" s="2"/>
      <c r="Z36" s="2"/>
      <c r="AA36" s="2"/>
      <c r="AB36" s="2"/>
      <c r="AC36" s="2"/>
      <c r="AD36" s="2"/>
      <c r="AE36" s="2"/>
      <c r="AF36" s="2"/>
      <c r="AG36" s="2"/>
    </row>
    <row r="37" spans="1:45" x14ac:dyDescent="0.35">
      <c r="A37" s="41">
        <f>IFERROR(INDEX('Date Key'!$B$2:$B$19, MATCH(F37,'Date Key'!$A$2:$A$19, 0)), "")</f>
        <v>45259</v>
      </c>
      <c r="B37" s="4">
        <f t="shared" si="15"/>
        <v>4</v>
      </c>
      <c r="C37" s="26" t="str">
        <f>IFERROR(INDEX('Date Key'!$G$57:$G$62, MATCH(B37,'Date Key'!$A$57:$A$62, 0)), "")</f>
        <v>High HLR, Upper Outlet Height, No Plants</v>
      </c>
      <c r="D37" s="4" t="str">
        <f>IFERROR(INDEX('Date Key'!$G$2:$G$19, MATCH(F37, 'Date Key'!$A$2:$A$19, 0)), "")</f>
        <v>No</v>
      </c>
      <c r="E37" s="4" t="str">
        <f t="shared" si="1"/>
        <v>tank 2</v>
      </c>
      <c r="F37" s="4">
        <f t="shared" si="2"/>
        <v>11</v>
      </c>
      <c r="G37" s="4">
        <f t="shared" si="22"/>
        <v>2</v>
      </c>
      <c r="H37" s="11" cm="1">
        <f t="array" ref="H37">IFERROR(INDEX('Master Data Sheet'!$1:$1048576, MATCH(1, ('Master Data Sheet'!$H:$H=H$2) * (INDEX('Master Data Sheet'!$1:$1, , MATCH($F$1, 'Master Data Sheet'!$1:$1, 0)) = $F$1) * ('Master Data Sheet'!$G:$G=$B37) * ('Master Data Sheet'!$F:$F=$E37) * ('Master Data Sheet'!$A:$A=$F37), 0), MATCH($F$1, 'Master Data Sheet'!$1:$1, 0)), "")</f>
        <v>0.97</v>
      </c>
      <c r="I37" s="11" cm="1">
        <f t="array" ref="I37">IFERROR(INDEX('Master Data Sheet'!$1:$1048576, MATCH(1, ('Master Data Sheet'!$H:$H=I$2) * (INDEX('Master Data Sheet'!$1:$1, , MATCH($F$1, 'Master Data Sheet'!$1:$1, 0)) = $F$1) * ('Master Data Sheet'!$G:$G=$B37) * ('Master Data Sheet'!$F:$F=$E37) * ('Master Data Sheet'!$A:$A=$F37), 0), MATCH($F$1, 'Master Data Sheet'!$1:$1, 0)), "")</f>
        <v>0.96</v>
      </c>
      <c r="J37" s="11" cm="1">
        <f t="array" ref="J37">IFERROR(INDEX('Master Data Sheet'!$1:$1048576, MATCH(1, ('Master Data Sheet'!$H:$H=J$2) * (INDEX('Master Data Sheet'!$1:$1, , MATCH($F$1, 'Master Data Sheet'!$1:$1, 0)) = $F$1) * ('Master Data Sheet'!$G:$G=$B37) * ('Master Data Sheet'!$F:$F=$E37) * ('Master Data Sheet'!$A:$A=$F37), 0), MATCH($F$1, 'Master Data Sheet'!$1:$1, 0)), "")</f>
        <v>0.98</v>
      </c>
      <c r="K37" s="11" cm="1">
        <f t="array" ref="K37">IFERROR(INDEX('Master Data Sheet'!$1:$1048576, MATCH(1, ('Master Data Sheet'!$H:$H=K$2) * (INDEX('Master Data Sheet'!$1:$1, , MATCH($F$1, 'Master Data Sheet'!$1:$1, 0)) = $F$1) * ('Master Data Sheet'!$G:$G=$B37) * ('Master Data Sheet'!$F:$F=$E37) * ('Master Data Sheet'!$A:$A=$F37), 0), MATCH($F$1, 'Master Data Sheet'!$1:$1, 0)), "")</f>
        <v>0.9</v>
      </c>
      <c r="L37" s="11" cm="1">
        <f t="array" ref="L37">IFERROR(INDEX('Master Data Sheet'!$1:$1048576, MATCH(1, ('Master Data Sheet'!$H:$H=L$2) * (INDEX('Master Data Sheet'!$1:$1, , MATCH($F$1, 'Master Data Sheet'!$1:$1, 0)) = $F$1) * ('Master Data Sheet'!$G:$G=$B37) * ('Master Data Sheet'!$F:$F=$E37) * ('Master Data Sheet'!$A:$A=$F37), 0), MATCH($F$1, 'Master Data Sheet'!$1:$1, 0)), "")</f>
        <v>1.1299999999999999</v>
      </c>
      <c r="M37" s="11" cm="1">
        <f t="array" ref="M37">IFERROR(INDEX('Master Data Sheet'!$1:$1048576, MATCH(1, ('Master Data Sheet'!$H:$H=M$2) * (INDEX('Master Data Sheet'!$1:$1, , MATCH($F$1, 'Master Data Sheet'!$1:$1, 0)) = $F$1) * ('Master Data Sheet'!$G:$G=$B37) * ('Master Data Sheet'!$F:$F=$E37) * ('Master Data Sheet'!$A:$A=$F37), 0), MATCH($F$1, 'Master Data Sheet'!$1:$1, 0)), "")</f>
        <v>1.5</v>
      </c>
      <c r="N37" s="11" cm="1">
        <f t="array" ref="N37">IFERROR(INDEX('Master Data Sheet'!$1:$1048576, MATCH(1, ('Master Data Sheet'!$H:$H=N$2) * (INDEX('Master Data Sheet'!$1:$1, , MATCH($F$1, 'Master Data Sheet'!$1:$1, 0)) = $F$1) * ('Master Data Sheet'!$G:$G=$B37) * ('Master Data Sheet'!$F:$F=$E37) * ('Master Data Sheet'!$A:$A=$F37), 0), MATCH($F$1, 'Master Data Sheet'!$1:$1, 0)), "")</f>
        <v>1.83</v>
      </c>
      <c r="O37" s="11">
        <f t="shared" si="8"/>
        <v>1.1814285714285713</v>
      </c>
      <c r="P37" s="11">
        <f t="shared" si="4"/>
        <v>0.35078144056893795</v>
      </c>
      <c r="Q37" s="11"/>
      <c r="R37" s="46">
        <f>(1-(O37/O31))*100</f>
        <v>83.289553445140442</v>
      </c>
      <c r="X37" t="str">
        <f>IFERROR(INDEX('Date Key'!$G$57:$G$62, MATCH(B36,'Date Key'!$A$57:$A$62, 0)), "")</f>
        <v>High HLR, Upper Outlet Height, No Plants</v>
      </c>
      <c r="Y37" s="1">
        <f t="shared" ref="Y37:AE37" si="41">H36</f>
        <v>0.59</v>
      </c>
      <c r="Z37" s="1">
        <f t="shared" si="41"/>
        <v>0.53</v>
      </c>
      <c r="AA37" s="1">
        <f t="shared" si="41"/>
        <v>0.92</v>
      </c>
      <c r="AB37" s="1">
        <f t="shared" si="41"/>
        <v>0.56999999999999995</v>
      </c>
      <c r="AC37" s="1">
        <f t="shared" si="41"/>
        <v>0.49</v>
      </c>
      <c r="AD37" s="1">
        <f t="shared" si="41"/>
        <v>0.5</v>
      </c>
      <c r="AE37" s="1">
        <f t="shared" si="41"/>
        <v>0.52</v>
      </c>
      <c r="AF37" s="1">
        <f t="shared" ref="AF37:AL37" si="42">H37</f>
        <v>0.97</v>
      </c>
      <c r="AG37" s="1">
        <f t="shared" si="42"/>
        <v>0.96</v>
      </c>
      <c r="AH37" s="1">
        <f t="shared" si="42"/>
        <v>0.98</v>
      </c>
      <c r="AI37" s="1">
        <f t="shared" si="42"/>
        <v>0.9</v>
      </c>
      <c r="AJ37" s="1">
        <f t="shared" si="42"/>
        <v>1.1299999999999999</v>
      </c>
      <c r="AK37" s="1">
        <f t="shared" si="42"/>
        <v>1.5</v>
      </c>
      <c r="AL37" s="1">
        <f t="shared" si="42"/>
        <v>1.83</v>
      </c>
      <c r="AM37" s="1">
        <f t="shared" ref="AM37:AS37" si="43">H38</f>
        <v>1.2</v>
      </c>
      <c r="AN37" s="1">
        <f t="shared" si="43"/>
        <v>0.54</v>
      </c>
      <c r="AO37" s="1">
        <f t="shared" si="43"/>
        <v>0.67</v>
      </c>
      <c r="AP37" s="1">
        <f t="shared" si="43"/>
        <v>0.85</v>
      </c>
      <c r="AQ37" s="1">
        <f t="shared" si="43"/>
        <v>1.1000000000000001</v>
      </c>
      <c r="AR37" s="1">
        <f t="shared" si="43"/>
        <v>0.84</v>
      </c>
      <c r="AS37" s="1">
        <f t="shared" si="43"/>
        <v>2.02</v>
      </c>
    </row>
    <row r="38" spans="1:45" x14ac:dyDescent="0.35">
      <c r="A38" s="42">
        <f>IFERROR(INDEX('Date Key'!$B$2:$B$19, MATCH(F38,'Date Key'!$A$2:$A$19, 0)), "")</f>
        <v>45266</v>
      </c>
      <c r="B38" s="27">
        <f t="shared" si="15"/>
        <v>4</v>
      </c>
      <c r="C38" s="51" t="str">
        <f>IFERROR(INDEX('Date Key'!$G$57:$G$62, MATCH(B38,'Date Key'!$A$57:$A$62, 0)), "")</f>
        <v>High HLR, Upper Outlet Height, No Plants</v>
      </c>
      <c r="D38" s="27" t="str">
        <f>IFERROR(INDEX('Date Key'!$G$2:$G$19, MATCH(F38, 'Date Key'!$A$2:$A$19, 0)), "")</f>
        <v>No</v>
      </c>
      <c r="E38" s="27" t="str">
        <f t="shared" si="1"/>
        <v>tank 2</v>
      </c>
      <c r="F38" s="27">
        <f t="shared" si="2"/>
        <v>12</v>
      </c>
      <c r="G38" s="27">
        <f t="shared" si="22"/>
        <v>3</v>
      </c>
      <c r="H38" s="28" cm="1">
        <f t="array" ref="H38">IFERROR(INDEX('Master Data Sheet'!$1:$1048576, MATCH(1, ('Master Data Sheet'!$H:$H=H$2) * (INDEX('Master Data Sheet'!$1:$1, , MATCH($F$1, 'Master Data Sheet'!$1:$1, 0)) = $F$1) * ('Master Data Sheet'!$G:$G=$B38) * ('Master Data Sheet'!$F:$F=$E38) * ('Master Data Sheet'!$A:$A=$F38), 0), MATCH($F$1, 'Master Data Sheet'!$1:$1, 0)), "")</f>
        <v>1.2</v>
      </c>
      <c r="I38" s="28" cm="1">
        <f t="array" ref="I38">IFERROR(INDEX('Master Data Sheet'!$1:$1048576, MATCH(1, ('Master Data Sheet'!$H:$H=I$2) * (INDEX('Master Data Sheet'!$1:$1, , MATCH($F$1, 'Master Data Sheet'!$1:$1, 0)) = $F$1) * ('Master Data Sheet'!$G:$G=$B38) * ('Master Data Sheet'!$F:$F=$E38) * ('Master Data Sheet'!$A:$A=$F38), 0), MATCH($F$1, 'Master Data Sheet'!$1:$1, 0)), "")</f>
        <v>0.54</v>
      </c>
      <c r="J38" s="28" cm="1">
        <f t="array" ref="J38">IFERROR(INDEX('Master Data Sheet'!$1:$1048576, MATCH(1, ('Master Data Sheet'!$H:$H=J$2) * (INDEX('Master Data Sheet'!$1:$1, , MATCH($F$1, 'Master Data Sheet'!$1:$1, 0)) = $F$1) * ('Master Data Sheet'!$G:$G=$B38) * ('Master Data Sheet'!$F:$F=$E38) * ('Master Data Sheet'!$A:$A=$F38), 0), MATCH($F$1, 'Master Data Sheet'!$1:$1, 0)), "")</f>
        <v>0.67</v>
      </c>
      <c r="K38" s="28" cm="1">
        <f t="array" ref="K38">IFERROR(INDEX('Master Data Sheet'!$1:$1048576, MATCH(1, ('Master Data Sheet'!$H:$H=K$2) * (INDEX('Master Data Sheet'!$1:$1, , MATCH($F$1, 'Master Data Sheet'!$1:$1, 0)) = $F$1) * ('Master Data Sheet'!$G:$G=$B38) * ('Master Data Sheet'!$F:$F=$E38) * ('Master Data Sheet'!$A:$A=$F38), 0), MATCH($F$1, 'Master Data Sheet'!$1:$1, 0)), "")</f>
        <v>0.85</v>
      </c>
      <c r="L38" s="28" cm="1">
        <f t="array" ref="L38">IFERROR(INDEX('Master Data Sheet'!$1:$1048576, MATCH(1, ('Master Data Sheet'!$H:$H=L$2) * (INDEX('Master Data Sheet'!$1:$1, , MATCH($F$1, 'Master Data Sheet'!$1:$1, 0)) = $F$1) * ('Master Data Sheet'!$G:$G=$B38) * ('Master Data Sheet'!$F:$F=$E38) * ('Master Data Sheet'!$A:$A=$F38), 0), MATCH($F$1, 'Master Data Sheet'!$1:$1, 0)), "")</f>
        <v>1.1000000000000001</v>
      </c>
      <c r="M38" s="28" cm="1">
        <f t="array" ref="M38">IFERROR(INDEX('Master Data Sheet'!$1:$1048576, MATCH(1, ('Master Data Sheet'!$H:$H=M$2) * (INDEX('Master Data Sheet'!$1:$1, , MATCH($F$1, 'Master Data Sheet'!$1:$1, 0)) = $F$1) * ('Master Data Sheet'!$G:$G=$B38) * ('Master Data Sheet'!$F:$F=$E38) * ('Master Data Sheet'!$A:$A=$F38), 0), MATCH($F$1, 'Master Data Sheet'!$1:$1, 0)), "")</f>
        <v>0.84</v>
      </c>
      <c r="N38" s="28" cm="1">
        <f t="array" ref="N38">IFERROR(INDEX('Master Data Sheet'!$1:$1048576, MATCH(1, ('Master Data Sheet'!$H:$H=N$2) * (INDEX('Master Data Sheet'!$1:$1, , MATCH($F$1, 'Master Data Sheet'!$1:$1, 0)) = $F$1) * ('Master Data Sheet'!$G:$G=$B38) * ('Master Data Sheet'!$F:$F=$E38) * ('Master Data Sheet'!$A:$A=$F38), 0), MATCH($F$1, 'Master Data Sheet'!$1:$1, 0)), "")</f>
        <v>2.02</v>
      </c>
      <c r="O38" s="28">
        <f t="shared" si="8"/>
        <v>1.0314285714285716</v>
      </c>
      <c r="P38" s="28">
        <f t="shared" si="4"/>
        <v>0.49194947475760736</v>
      </c>
      <c r="Q38" s="28"/>
      <c r="R38" s="48">
        <f>(1-(O38/O32))*100</f>
        <v>84.486463257412979</v>
      </c>
      <c r="S38" s="27"/>
      <c r="T38" s="27"/>
      <c r="U38" s="27"/>
      <c r="V38" s="27"/>
    </row>
    <row r="39" spans="1:45" x14ac:dyDescent="0.35">
      <c r="A39" s="41">
        <f>IFERROR(INDEX('Date Key'!$B$2:$B$19, MATCH(F39,'Date Key'!$A$2:$A$19, 0)), "")</f>
        <v>45313</v>
      </c>
      <c r="B39" s="4">
        <f t="shared" si="15"/>
        <v>5</v>
      </c>
      <c r="C39" s="26" t="str">
        <f>IFERROR(INDEX('Date Key'!$G$57:$G$62, MATCH(B39,'Date Key'!$A$57:$A$62, 0)), "")</f>
        <v>High HLR, Lower Outlet Height, Yes Plants</v>
      </c>
      <c r="D39" s="4" t="str">
        <f>IFERROR(INDEX('Date Key'!$G$2:$G$19, MATCH(F39, 'Date Key'!$A$2:$A$19, 0)), "")</f>
        <v>Yes</v>
      </c>
      <c r="E39" s="4" t="str">
        <f t="shared" si="1"/>
        <v>in</v>
      </c>
      <c r="F39" s="4">
        <f t="shared" si="2"/>
        <v>13</v>
      </c>
      <c r="G39" s="4">
        <f t="shared" si="22"/>
        <v>1</v>
      </c>
      <c r="H39" s="11" cm="1">
        <f t="array" ref="H39">IFERROR(INDEX('Master Data Sheet'!$1:$1048576, MATCH(1, ('Master Data Sheet'!$H:$H=H$2) * (INDEX('Master Data Sheet'!$1:$1, , MATCH($F$1, 'Master Data Sheet'!$1:$1, 0)) = $F$1) * ('Master Data Sheet'!$G:$G=$B39) * ('Master Data Sheet'!$F:$F=$E39) * ('Master Data Sheet'!$A:$A=$F39), 0), MATCH($F$1, 'Master Data Sheet'!$1:$1, 0)), "")</f>
        <v>0</v>
      </c>
      <c r="I39" s="11" cm="1">
        <f t="array" ref="I39">IFERROR(INDEX('Master Data Sheet'!$1:$1048576, MATCH(1, ('Master Data Sheet'!$H:$H=I$2) * (INDEX('Master Data Sheet'!$1:$1, , MATCH($F$1, 'Master Data Sheet'!$1:$1, 0)) = $F$1) * ('Master Data Sheet'!$G:$G=$B39) * ('Master Data Sheet'!$F:$F=$E39) * ('Master Data Sheet'!$A:$A=$F39), 0), MATCH($F$1, 'Master Data Sheet'!$1:$1, 0)), "")</f>
        <v>0</v>
      </c>
      <c r="J39" s="11" cm="1">
        <f t="array" ref="J39">IFERROR(INDEX('Master Data Sheet'!$1:$1048576, MATCH(1, ('Master Data Sheet'!$H:$H=J$2) * (INDEX('Master Data Sheet'!$1:$1, , MATCH($F$1, 'Master Data Sheet'!$1:$1, 0)) = $F$1) * ('Master Data Sheet'!$G:$G=$B39) * ('Master Data Sheet'!$F:$F=$E39) * ('Master Data Sheet'!$A:$A=$F39), 0), MATCH($F$1, 'Master Data Sheet'!$1:$1, 0)), "")</f>
        <v>0</v>
      </c>
      <c r="K39" s="11" cm="1">
        <f t="array" ref="K39">IFERROR(INDEX('Master Data Sheet'!$1:$1048576, MATCH(1, ('Master Data Sheet'!$H:$H=K$2) * (INDEX('Master Data Sheet'!$1:$1, , MATCH($F$1, 'Master Data Sheet'!$1:$1, 0)) = $F$1) * ('Master Data Sheet'!$G:$G=$B39) * ('Master Data Sheet'!$F:$F=$E39) * ('Master Data Sheet'!$A:$A=$F39), 0), MATCH($F$1, 'Master Data Sheet'!$1:$1, 0)), "")</f>
        <v>0</v>
      </c>
      <c r="L39" s="11" cm="1">
        <f t="array" ref="L39">IFERROR(INDEX('Master Data Sheet'!$1:$1048576, MATCH(1, ('Master Data Sheet'!$H:$H=L$2) * (INDEX('Master Data Sheet'!$1:$1, , MATCH($F$1, 'Master Data Sheet'!$1:$1, 0)) = $F$1) * ('Master Data Sheet'!$G:$G=$B39) * ('Master Data Sheet'!$F:$F=$E39) * ('Master Data Sheet'!$A:$A=$F39), 0), MATCH($F$1, 'Master Data Sheet'!$1:$1, 0)), "")</f>
        <v>0</v>
      </c>
      <c r="M39" s="11" cm="1">
        <f t="array" ref="M39">IFERROR(INDEX('Master Data Sheet'!$1:$1048576, MATCH(1, ('Master Data Sheet'!$H:$H=M$2) * (INDEX('Master Data Sheet'!$1:$1, , MATCH($F$1, 'Master Data Sheet'!$1:$1, 0)) = $F$1) * ('Master Data Sheet'!$G:$G=$B39) * ('Master Data Sheet'!$F:$F=$E39) * ('Master Data Sheet'!$A:$A=$F39), 0), MATCH($F$1, 'Master Data Sheet'!$1:$1, 0)), "")</f>
        <v>0</v>
      </c>
      <c r="N39" s="11" cm="1">
        <f t="array" ref="N39">IFERROR(INDEX('Master Data Sheet'!$1:$1048576, MATCH(1, ('Master Data Sheet'!$H:$H=N$2) * (INDEX('Master Data Sheet'!$1:$1, , MATCH($F$1, 'Master Data Sheet'!$1:$1, 0)) = $F$1) * ('Master Data Sheet'!$G:$G=$B39) * ('Master Data Sheet'!$F:$F=$E39) * ('Master Data Sheet'!$A:$A=$F39), 0), MATCH($F$1, 'Master Data Sheet'!$1:$1, 0)), "")</f>
        <v>0</v>
      </c>
      <c r="O39" s="11">
        <f t="shared" si="8"/>
        <v>0</v>
      </c>
      <c r="P39" s="11">
        <f t="shared" si="4"/>
        <v>0</v>
      </c>
      <c r="Q39" s="11">
        <f>AVERAGE(O39:O41)</f>
        <v>0</v>
      </c>
      <c r="S39" s="11">
        <f>AVERAGE(O39:O41)</f>
        <v>0</v>
      </c>
      <c r="T39" s="11">
        <f>AVERAGE(P39:P41)</f>
        <v>0</v>
      </c>
      <c r="V39" s="47" t="e">
        <f>AVERAGE(U42, U45)</f>
        <v>#DIV/0!</v>
      </c>
      <c r="X39" t="s">
        <v>343</v>
      </c>
    </row>
    <row r="40" spans="1:45" x14ac:dyDescent="0.35">
      <c r="A40" s="41">
        <f>IFERROR(INDEX('Date Key'!$B$2:$B$19, MATCH(F40,'Date Key'!$A$2:$A$19, 0)), "")</f>
        <v>45322</v>
      </c>
      <c r="B40" s="4">
        <f t="shared" si="15"/>
        <v>5</v>
      </c>
      <c r="C40" s="26" t="str">
        <f>IFERROR(INDEX('Date Key'!$G$57:$G$62, MATCH(B40,'Date Key'!$A$57:$A$62, 0)), "")</f>
        <v>High HLR, Lower Outlet Height, Yes Plants</v>
      </c>
      <c r="D40" s="4" t="str">
        <f>IFERROR(INDEX('Date Key'!$G$2:$G$19, MATCH(F40, 'Date Key'!$A$2:$A$19, 0)), "")</f>
        <v>No</v>
      </c>
      <c r="E40" s="4" t="str">
        <f t="shared" si="1"/>
        <v>in</v>
      </c>
      <c r="F40" s="4">
        <f t="shared" si="2"/>
        <v>14</v>
      </c>
      <c r="G40" s="4">
        <f t="shared" si="22"/>
        <v>2</v>
      </c>
      <c r="H40" s="11" cm="1">
        <f t="array" ref="H40">IFERROR(INDEX('Master Data Sheet'!$1:$1048576, MATCH(1, ('Master Data Sheet'!$H:$H=H$2) * (INDEX('Master Data Sheet'!$1:$1, , MATCH($F$1, 'Master Data Sheet'!$1:$1, 0)) = $F$1) * ('Master Data Sheet'!$G:$G=$B40) * ('Master Data Sheet'!$F:$F=$E40) * ('Master Data Sheet'!$A:$A=$F40), 0), MATCH($F$1, 'Master Data Sheet'!$1:$1, 0)), "")</f>
        <v>0</v>
      </c>
      <c r="I40" s="11" cm="1">
        <f t="array" ref="I40">IFERROR(INDEX('Master Data Sheet'!$1:$1048576, MATCH(1, ('Master Data Sheet'!$H:$H=I$2) * (INDEX('Master Data Sheet'!$1:$1, , MATCH($F$1, 'Master Data Sheet'!$1:$1, 0)) = $F$1) * ('Master Data Sheet'!$G:$G=$B40) * ('Master Data Sheet'!$F:$F=$E40) * ('Master Data Sheet'!$A:$A=$F40), 0), MATCH($F$1, 'Master Data Sheet'!$1:$1, 0)), "")</f>
        <v>0</v>
      </c>
      <c r="J40" s="11" cm="1">
        <f t="array" ref="J40">IFERROR(INDEX('Master Data Sheet'!$1:$1048576, MATCH(1, ('Master Data Sheet'!$H:$H=J$2) * (INDEX('Master Data Sheet'!$1:$1, , MATCH($F$1, 'Master Data Sheet'!$1:$1, 0)) = $F$1) * ('Master Data Sheet'!$G:$G=$B40) * ('Master Data Sheet'!$F:$F=$E40) * ('Master Data Sheet'!$A:$A=$F40), 0), MATCH($F$1, 'Master Data Sheet'!$1:$1, 0)), "")</f>
        <v>0</v>
      </c>
      <c r="K40" s="11" cm="1">
        <f t="array" ref="K40">IFERROR(INDEX('Master Data Sheet'!$1:$1048576, MATCH(1, ('Master Data Sheet'!$H:$H=K$2) * (INDEX('Master Data Sheet'!$1:$1, , MATCH($F$1, 'Master Data Sheet'!$1:$1, 0)) = $F$1) * ('Master Data Sheet'!$G:$G=$B40) * ('Master Data Sheet'!$F:$F=$E40) * ('Master Data Sheet'!$A:$A=$F40), 0), MATCH($F$1, 'Master Data Sheet'!$1:$1, 0)), "")</f>
        <v>0</v>
      </c>
      <c r="L40" s="11" cm="1">
        <f t="array" ref="L40">IFERROR(INDEX('Master Data Sheet'!$1:$1048576, MATCH(1, ('Master Data Sheet'!$H:$H=L$2) * (INDEX('Master Data Sheet'!$1:$1, , MATCH($F$1, 'Master Data Sheet'!$1:$1, 0)) = $F$1) * ('Master Data Sheet'!$G:$G=$B40) * ('Master Data Sheet'!$F:$F=$E40) * ('Master Data Sheet'!$A:$A=$F40), 0), MATCH($F$1, 'Master Data Sheet'!$1:$1, 0)), "")</f>
        <v>0</v>
      </c>
      <c r="M40" s="11" cm="1">
        <f t="array" ref="M40">IFERROR(INDEX('Master Data Sheet'!$1:$1048576, MATCH(1, ('Master Data Sheet'!$H:$H=M$2) * (INDEX('Master Data Sheet'!$1:$1, , MATCH($F$1, 'Master Data Sheet'!$1:$1, 0)) = $F$1) * ('Master Data Sheet'!$G:$G=$B40) * ('Master Data Sheet'!$F:$F=$E40) * ('Master Data Sheet'!$A:$A=$F40), 0), MATCH($F$1, 'Master Data Sheet'!$1:$1, 0)), "")</f>
        <v>0</v>
      </c>
      <c r="N40" s="11" cm="1">
        <f t="array" ref="N40">IFERROR(INDEX('Master Data Sheet'!$1:$1048576, MATCH(1, ('Master Data Sheet'!$H:$H=N$2) * (INDEX('Master Data Sheet'!$1:$1, , MATCH($F$1, 'Master Data Sheet'!$1:$1, 0)) = $F$1) * ('Master Data Sheet'!$G:$G=$B40) * ('Master Data Sheet'!$F:$F=$E40) * ('Master Data Sheet'!$A:$A=$F40), 0), MATCH($F$1, 'Master Data Sheet'!$1:$1, 0)), "")</f>
        <v>0</v>
      </c>
      <c r="O40" s="11">
        <f t="shared" si="8"/>
        <v>0</v>
      </c>
      <c r="P40" s="11">
        <f t="shared" si="4"/>
        <v>0</v>
      </c>
      <c r="Q40" s="11"/>
      <c r="X40" t="str">
        <f>IFERROR(INDEX('Date Key'!$G$57:$G$62, MATCH(B39,'Date Key'!$A$57:$A$62, 0)), "")</f>
        <v>High HLR, Lower Outlet Height, Yes Plants</v>
      </c>
      <c r="Y40" s="1">
        <f t="shared" ref="Y40:AE40" si="44">H39</f>
        <v>0</v>
      </c>
      <c r="Z40" s="1">
        <f t="shared" si="44"/>
        <v>0</v>
      </c>
      <c r="AA40" s="1">
        <f t="shared" si="44"/>
        <v>0</v>
      </c>
      <c r="AB40" s="1">
        <f t="shared" si="44"/>
        <v>0</v>
      </c>
      <c r="AC40" s="1">
        <f t="shared" si="44"/>
        <v>0</v>
      </c>
      <c r="AD40" s="1">
        <f t="shared" si="44"/>
        <v>0</v>
      </c>
      <c r="AE40" s="1">
        <f t="shared" si="44"/>
        <v>0</v>
      </c>
      <c r="AF40" s="1">
        <f t="shared" ref="AF40:AL40" si="45">H40</f>
        <v>0</v>
      </c>
      <c r="AG40" s="1">
        <f t="shared" si="45"/>
        <v>0</v>
      </c>
      <c r="AH40" s="1">
        <f t="shared" si="45"/>
        <v>0</v>
      </c>
      <c r="AI40" s="1">
        <f t="shared" si="45"/>
        <v>0</v>
      </c>
      <c r="AJ40" s="1">
        <f t="shared" si="45"/>
        <v>0</v>
      </c>
      <c r="AK40" s="1">
        <f t="shared" si="45"/>
        <v>0</v>
      </c>
      <c r="AL40" s="1">
        <f t="shared" si="45"/>
        <v>0</v>
      </c>
      <c r="AM40" s="1">
        <f t="shared" ref="AM40:AS40" si="46">H41</f>
        <v>0</v>
      </c>
      <c r="AN40" s="1">
        <f t="shared" si="46"/>
        <v>0</v>
      </c>
      <c r="AO40" s="1">
        <f t="shared" si="46"/>
        <v>0</v>
      </c>
      <c r="AP40" s="1">
        <f t="shared" si="46"/>
        <v>0</v>
      </c>
      <c r="AQ40" s="1">
        <f t="shared" si="46"/>
        <v>0</v>
      </c>
      <c r="AR40" s="1">
        <f t="shared" si="46"/>
        <v>0</v>
      </c>
      <c r="AS40" s="1">
        <f t="shared" si="46"/>
        <v>0</v>
      </c>
    </row>
    <row r="41" spans="1:45" x14ac:dyDescent="0.35">
      <c r="A41" s="41">
        <f>IFERROR(INDEX('Date Key'!$B$2:$B$19, MATCH(F41,'Date Key'!$A$2:$A$19, 0)), "")</f>
        <v>45330</v>
      </c>
      <c r="B41" s="4">
        <f t="shared" si="15"/>
        <v>5</v>
      </c>
      <c r="C41" s="26" t="str">
        <f>IFERROR(INDEX('Date Key'!$G$57:$G$62, MATCH(B41,'Date Key'!$A$57:$A$62, 0)), "")</f>
        <v>High HLR, Lower Outlet Height, Yes Plants</v>
      </c>
      <c r="D41" s="4" t="str">
        <f>IFERROR(INDEX('Date Key'!$G$2:$G$19, MATCH(F41, 'Date Key'!$A$2:$A$19, 0)), "")</f>
        <v>No</v>
      </c>
      <c r="E41" s="4" t="str">
        <f t="shared" si="1"/>
        <v>in</v>
      </c>
      <c r="F41" s="4">
        <f t="shared" si="2"/>
        <v>15</v>
      </c>
      <c r="G41" s="4">
        <f t="shared" si="22"/>
        <v>3</v>
      </c>
      <c r="H41" s="11" cm="1">
        <f t="array" ref="H41">IFERROR(INDEX('Master Data Sheet'!$1:$1048576, MATCH(1, ('Master Data Sheet'!$H:$H=H$2) * (INDEX('Master Data Sheet'!$1:$1, , MATCH($F$1, 'Master Data Sheet'!$1:$1, 0)) = $F$1) * ('Master Data Sheet'!$G:$G=$B41) * ('Master Data Sheet'!$F:$F=$E41) * ('Master Data Sheet'!$A:$A=$F41), 0), MATCH($F$1, 'Master Data Sheet'!$1:$1, 0)), "")</f>
        <v>0</v>
      </c>
      <c r="I41" s="11" cm="1">
        <f t="array" ref="I41">IFERROR(INDEX('Master Data Sheet'!$1:$1048576, MATCH(1, ('Master Data Sheet'!$H:$H=I$2) * (INDEX('Master Data Sheet'!$1:$1, , MATCH($F$1, 'Master Data Sheet'!$1:$1, 0)) = $F$1) * ('Master Data Sheet'!$G:$G=$B41) * ('Master Data Sheet'!$F:$F=$E41) * ('Master Data Sheet'!$A:$A=$F41), 0), MATCH($F$1, 'Master Data Sheet'!$1:$1, 0)), "")</f>
        <v>0</v>
      </c>
      <c r="J41" s="11" cm="1">
        <f t="array" ref="J41">IFERROR(INDEX('Master Data Sheet'!$1:$1048576, MATCH(1, ('Master Data Sheet'!$H:$H=J$2) * (INDEX('Master Data Sheet'!$1:$1, , MATCH($F$1, 'Master Data Sheet'!$1:$1, 0)) = $F$1) * ('Master Data Sheet'!$G:$G=$B41) * ('Master Data Sheet'!$F:$F=$E41) * ('Master Data Sheet'!$A:$A=$F41), 0), MATCH($F$1, 'Master Data Sheet'!$1:$1, 0)), "")</f>
        <v>0</v>
      </c>
      <c r="K41" s="11" cm="1">
        <f t="array" ref="K41">IFERROR(INDEX('Master Data Sheet'!$1:$1048576, MATCH(1, ('Master Data Sheet'!$H:$H=K$2) * (INDEX('Master Data Sheet'!$1:$1, , MATCH($F$1, 'Master Data Sheet'!$1:$1, 0)) = $F$1) * ('Master Data Sheet'!$G:$G=$B41) * ('Master Data Sheet'!$F:$F=$E41) * ('Master Data Sheet'!$A:$A=$F41), 0), MATCH($F$1, 'Master Data Sheet'!$1:$1, 0)), "")</f>
        <v>0</v>
      </c>
      <c r="L41" s="11" cm="1">
        <f t="array" ref="L41">IFERROR(INDEX('Master Data Sheet'!$1:$1048576, MATCH(1, ('Master Data Sheet'!$H:$H=L$2) * (INDEX('Master Data Sheet'!$1:$1, , MATCH($F$1, 'Master Data Sheet'!$1:$1, 0)) = $F$1) * ('Master Data Sheet'!$G:$G=$B41) * ('Master Data Sheet'!$F:$F=$E41) * ('Master Data Sheet'!$A:$A=$F41), 0), MATCH($F$1, 'Master Data Sheet'!$1:$1, 0)), "")</f>
        <v>0</v>
      </c>
      <c r="M41" s="11" cm="1">
        <f t="array" ref="M41">IFERROR(INDEX('Master Data Sheet'!$1:$1048576, MATCH(1, ('Master Data Sheet'!$H:$H=M$2) * (INDEX('Master Data Sheet'!$1:$1, , MATCH($F$1, 'Master Data Sheet'!$1:$1, 0)) = $F$1) * ('Master Data Sheet'!$G:$G=$B41) * ('Master Data Sheet'!$F:$F=$E41) * ('Master Data Sheet'!$A:$A=$F41), 0), MATCH($F$1, 'Master Data Sheet'!$1:$1, 0)), "")</f>
        <v>0</v>
      </c>
      <c r="N41" s="11" cm="1">
        <f t="array" ref="N41">IFERROR(INDEX('Master Data Sheet'!$1:$1048576, MATCH(1, ('Master Data Sheet'!$H:$H=N$2) * (INDEX('Master Data Sheet'!$1:$1, , MATCH($F$1, 'Master Data Sheet'!$1:$1, 0)) = $F$1) * ('Master Data Sheet'!$G:$G=$B41) * ('Master Data Sheet'!$F:$F=$E41) * ('Master Data Sheet'!$A:$A=$F41), 0), MATCH($F$1, 'Master Data Sheet'!$1:$1, 0)), "")</f>
        <v>0</v>
      </c>
      <c r="O41" s="11">
        <f t="shared" si="8"/>
        <v>0</v>
      </c>
      <c r="P41" s="11">
        <f t="shared" si="4"/>
        <v>0</v>
      </c>
      <c r="Q41" s="11"/>
      <c r="Y41" s="1"/>
      <c r="Z41" s="1"/>
      <c r="AA41" s="1"/>
      <c r="AB41" s="1"/>
      <c r="AC41" s="1"/>
      <c r="AD41" s="1"/>
      <c r="AE41" s="1"/>
      <c r="AF41" s="1"/>
      <c r="AG41" s="1"/>
      <c r="AH41" s="1"/>
      <c r="AI41" s="1"/>
      <c r="AJ41" s="1"/>
      <c r="AK41" s="1"/>
      <c r="AL41" s="1"/>
      <c r="AM41" s="1"/>
      <c r="AN41" s="1"/>
      <c r="AO41" s="1"/>
      <c r="AP41" s="1"/>
      <c r="AQ41" s="1"/>
      <c r="AR41" s="1"/>
      <c r="AS41" s="1"/>
    </row>
    <row r="42" spans="1:45" x14ac:dyDescent="0.35">
      <c r="A42" s="41">
        <f>IFERROR(INDEX('Date Key'!$B$2:$B$19, MATCH(F42,'Date Key'!$A$2:$A$19, 0)), "")</f>
        <v>45313</v>
      </c>
      <c r="B42" s="4">
        <f t="shared" si="15"/>
        <v>5</v>
      </c>
      <c r="C42" s="26" t="str">
        <f>IFERROR(INDEX('Date Key'!$G$57:$G$62, MATCH(B42,'Date Key'!$A$57:$A$62, 0)), "")</f>
        <v>High HLR, Lower Outlet Height, Yes Plants</v>
      </c>
      <c r="D42" s="4" t="str">
        <f>IFERROR(INDEX('Date Key'!$G$2:$G$19, MATCH(F42, 'Date Key'!$A$2:$A$19, 0)), "")</f>
        <v>Yes</v>
      </c>
      <c r="E42" s="4" t="str">
        <f t="shared" si="1"/>
        <v>tank 1</v>
      </c>
      <c r="F42" s="4">
        <f t="shared" si="2"/>
        <v>13</v>
      </c>
      <c r="G42" s="4">
        <f t="shared" si="22"/>
        <v>1</v>
      </c>
      <c r="H42" s="11" cm="1">
        <f t="array" ref="H42">IFERROR(INDEX('Master Data Sheet'!$1:$1048576, MATCH(1, ('Master Data Sheet'!$H:$H=H$2) * (INDEX('Master Data Sheet'!$1:$1, , MATCH($F$1, 'Master Data Sheet'!$1:$1, 0)) = $F$1) * ('Master Data Sheet'!$G:$G=$B42) * ('Master Data Sheet'!$F:$F=$E42) * ('Master Data Sheet'!$A:$A=$F42), 0), MATCH($F$1, 'Master Data Sheet'!$1:$1, 0)), "")</f>
        <v>0</v>
      </c>
      <c r="I42" s="11" cm="1">
        <f t="array" ref="I42">IFERROR(INDEX('Master Data Sheet'!$1:$1048576, MATCH(1, ('Master Data Sheet'!$H:$H=I$2) * (INDEX('Master Data Sheet'!$1:$1, , MATCH($F$1, 'Master Data Sheet'!$1:$1, 0)) = $F$1) * ('Master Data Sheet'!$G:$G=$B42) * ('Master Data Sheet'!$F:$F=$E42) * ('Master Data Sheet'!$A:$A=$F42), 0), MATCH($F$1, 'Master Data Sheet'!$1:$1, 0)), "")</f>
        <v>0</v>
      </c>
      <c r="J42" s="11" cm="1">
        <f t="array" ref="J42">IFERROR(INDEX('Master Data Sheet'!$1:$1048576, MATCH(1, ('Master Data Sheet'!$H:$H=J$2) * (INDEX('Master Data Sheet'!$1:$1, , MATCH($F$1, 'Master Data Sheet'!$1:$1, 0)) = $F$1) * ('Master Data Sheet'!$G:$G=$B42) * ('Master Data Sheet'!$F:$F=$E42) * ('Master Data Sheet'!$A:$A=$F42), 0), MATCH($F$1, 'Master Data Sheet'!$1:$1, 0)), "")</f>
        <v>0</v>
      </c>
      <c r="K42" s="11" cm="1">
        <f t="array" ref="K42">IFERROR(INDEX('Master Data Sheet'!$1:$1048576, MATCH(1, ('Master Data Sheet'!$H:$H=K$2) * (INDEX('Master Data Sheet'!$1:$1, , MATCH($F$1, 'Master Data Sheet'!$1:$1, 0)) = $F$1) * ('Master Data Sheet'!$G:$G=$B42) * ('Master Data Sheet'!$F:$F=$E42) * ('Master Data Sheet'!$A:$A=$F42), 0), MATCH($F$1, 'Master Data Sheet'!$1:$1, 0)), "")</f>
        <v>0</v>
      </c>
      <c r="L42" s="11" cm="1">
        <f t="array" ref="L42">IFERROR(INDEX('Master Data Sheet'!$1:$1048576, MATCH(1, ('Master Data Sheet'!$H:$H=L$2) * (INDEX('Master Data Sheet'!$1:$1, , MATCH($F$1, 'Master Data Sheet'!$1:$1, 0)) = $F$1) * ('Master Data Sheet'!$G:$G=$B42) * ('Master Data Sheet'!$F:$F=$E42) * ('Master Data Sheet'!$A:$A=$F42), 0), MATCH($F$1, 'Master Data Sheet'!$1:$1, 0)), "")</f>
        <v>0</v>
      </c>
      <c r="M42" s="11" cm="1">
        <f t="array" ref="M42">IFERROR(INDEX('Master Data Sheet'!$1:$1048576, MATCH(1, ('Master Data Sheet'!$H:$H=M$2) * (INDEX('Master Data Sheet'!$1:$1, , MATCH($F$1, 'Master Data Sheet'!$1:$1, 0)) = $F$1) * ('Master Data Sheet'!$G:$G=$B42) * ('Master Data Sheet'!$F:$F=$E42) * ('Master Data Sheet'!$A:$A=$F42), 0), MATCH($F$1, 'Master Data Sheet'!$1:$1, 0)), "")</f>
        <v>0</v>
      </c>
      <c r="N42" s="11" cm="1">
        <f t="array" ref="N42">IFERROR(INDEX('Master Data Sheet'!$1:$1048576, MATCH(1, ('Master Data Sheet'!$H:$H=N$2) * (INDEX('Master Data Sheet'!$1:$1, , MATCH($F$1, 'Master Data Sheet'!$1:$1, 0)) = $F$1) * ('Master Data Sheet'!$G:$G=$B42) * ('Master Data Sheet'!$F:$F=$E42) * ('Master Data Sheet'!$A:$A=$F42), 0), MATCH($F$1, 'Master Data Sheet'!$1:$1, 0)), "")</f>
        <v>0</v>
      </c>
      <c r="O42" s="11">
        <f t="shared" si="8"/>
        <v>0</v>
      </c>
      <c r="P42" s="11">
        <f t="shared" si="4"/>
        <v>0</v>
      </c>
      <c r="Q42" s="11">
        <f>AVERAGE(O42:O44)</f>
        <v>0</v>
      </c>
      <c r="R42" s="46" t="e">
        <f>(1-(O42/O39))*100</f>
        <v>#DIV/0!</v>
      </c>
      <c r="S42" s="46" t="e">
        <f>AVERAGE(R42:R44)</f>
        <v>#DIV/0!</v>
      </c>
      <c r="T42" s="46" t="e">
        <f>STDEV(R42:R44)</f>
        <v>#DIV/0!</v>
      </c>
      <c r="U42" s="47" t="e">
        <f>(1-(AVERAGE(H42:N44)/AVERAGE(H39:N41)))*100</f>
        <v>#DIV/0!</v>
      </c>
      <c r="V42" s="47"/>
      <c r="Y42" s="2"/>
      <c r="Z42" s="2"/>
      <c r="AA42" s="2"/>
      <c r="AB42" s="2"/>
      <c r="AC42" s="2"/>
      <c r="AD42" s="2"/>
      <c r="AE42" s="2"/>
      <c r="AF42" s="2"/>
      <c r="AG42" s="2"/>
    </row>
    <row r="43" spans="1:45" x14ac:dyDescent="0.35">
      <c r="A43" s="41">
        <f>IFERROR(INDEX('Date Key'!$B$2:$B$19, MATCH(F43,'Date Key'!$A$2:$A$19, 0)), "")</f>
        <v>45322</v>
      </c>
      <c r="B43" s="4">
        <f t="shared" si="15"/>
        <v>5</v>
      </c>
      <c r="C43" s="26" t="str">
        <f>IFERROR(INDEX('Date Key'!$G$57:$G$62, MATCH(B43,'Date Key'!$A$57:$A$62, 0)), "")</f>
        <v>High HLR, Lower Outlet Height, Yes Plants</v>
      </c>
      <c r="D43" s="4" t="str">
        <f>IFERROR(INDEX('Date Key'!$G$2:$G$19, MATCH(F43, 'Date Key'!$A$2:$A$19, 0)), "")</f>
        <v>No</v>
      </c>
      <c r="E43" s="4" t="str">
        <f t="shared" si="1"/>
        <v>tank 1</v>
      </c>
      <c r="F43" s="4">
        <f t="shared" si="2"/>
        <v>14</v>
      </c>
      <c r="G43" s="4">
        <f t="shared" si="22"/>
        <v>2</v>
      </c>
      <c r="H43" s="11" cm="1">
        <f t="array" ref="H43">IFERROR(INDEX('Master Data Sheet'!$1:$1048576, MATCH(1, ('Master Data Sheet'!$H:$H=H$2) * (INDEX('Master Data Sheet'!$1:$1, , MATCH($F$1, 'Master Data Sheet'!$1:$1, 0)) = $F$1) * ('Master Data Sheet'!$G:$G=$B43) * ('Master Data Sheet'!$F:$F=$E43) * ('Master Data Sheet'!$A:$A=$F43), 0), MATCH($F$1, 'Master Data Sheet'!$1:$1, 0)), "")</f>
        <v>0</v>
      </c>
      <c r="I43" s="11" cm="1">
        <f t="array" ref="I43">IFERROR(INDEX('Master Data Sheet'!$1:$1048576, MATCH(1, ('Master Data Sheet'!$H:$H=I$2) * (INDEX('Master Data Sheet'!$1:$1, , MATCH($F$1, 'Master Data Sheet'!$1:$1, 0)) = $F$1) * ('Master Data Sheet'!$G:$G=$B43) * ('Master Data Sheet'!$F:$F=$E43) * ('Master Data Sheet'!$A:$A=$F43), 0), MATCH($F$1, 'Master Data Sheet'!$1:$1, 0)), "")</f>
        <v>0</v>
      </c>
      <c r="J43" s="11" cm="1">
        <f t="array" ref="J43">IFERROR(INDEX('Master Data Sheet'!$1:$1048576, MATCH(1, ('Master Data Sheet'!$H:$H=J$2) * (INDEX('Master Data Sheet'!$1:$1, , MATCH($F$1, 'Master Data Sheet'!$1:$1, 0)) = $F$1) * ('Master Data Sheet'!$G:$G=$B43) * ('Master Data Sheet'!$F:$F=$E43) * ('Master Data Sheet'!$A:$A=$F43), 0), MATCH($F$1, 'Master Data Sheet'!$1:$1, 0)), "")</f>
        <v>0</v>
      </c>
      <c r="K43" s="11" cm="1">
        <f t="array" ref="K43">IFERROR(INDEX('Master Data Sheet'!$1:$1048576, MATCH(1, ('Master Data Sheet'!$H:$H=K$2) * (INDEX('Master Data Sheet'!$1:$1, , MATCH($F$1, 'Master Data Sheet'!$1:$1, 0)) = $F$1) * ('Master Data Sheet'!$G:$G=$B43) * ('Master Data Sheet'!$F:$F=$E43) * ('Master Data Sheet'!$A:$A=$F43), 0), MATCH($F$1, 'Master Data Sheet'!$1:$1, 0)), "")</f>
        <v>0</v>
      </c>
      <c r="L43" s="11" cm="1">
        <f t="array" ref="L43">IFERROR(INDEX('Master Data Sheet'!$1:$1048576, MATCH(1, ('Master Data Sheet'!$H:$H=L$2) * (INDEX('Master Data Sheet'!$1:$1, , MATCH($F$1, 'Master Data Sheet'!$1:$1, 0)) = $F$1) * ('Master Data Sheet'!$G:$G=$B43) * ('Master Data Sheet'!$F:$F=$E43) * ('Master Data Sheet'!$A:$A=$F43), 0), MATCH($F$1, 'Master Data Sheet'!$1:$1, 0)), "")</f>
        <v>0</v>
      </c>
      <c r="M43" s="11" cm="1">
        <f t="array" ref="M43">IFERROR(INDEX('Master Data Sheet'!$1:$1048576, MATCH(1, ('Master Data Sheet'!$H:$H=M$2) * (INDEX('Master Data Sheet'!$1:$1, , MATCH($F$1, 'Master Data Sheet'!$1:$1, 0)) = $F$1) * ('Master Data Sheet'!$G:$G=$B43) * ('Master Data Sheet'!$F:$F=$E43) * ('Master Data Sheet'!$A:$A=$F43), 0), MATCH($F$1, 'Master Data Sheet'!$1:$1, 0)), "")</f>
        <v>0</v>
      </c>
      <c r="N43" s="11" cm="1">
        <f t="array" ref="N43">IFERROR(INDEX('Master Data Sheet'!$1:$1048576, MATCH(1, ('Master Data Sheet'!$H:$H=N$2) * (INDEX('Master Data Sheet'!$1:$1, , MATCH($F$1, 'Master Data Sheet'!$1:$1, 0)) = $F$1) * ('Master Data Sheet'!$G:$G=$B43) * ('Master Data Sheet'!$F:$F=$E43) * ('Master Data Sheet'!$A:$A=$F43), 0), MATCH($F$1, 'Master Data Sheet'!$1:$1, 0)), "")</f>
        <v>0</v>
      </c>
      <c r="O43" s="11">
        <f t="shared" si="8"/>
        <v>0</v>
      </c>
      <c r="P43" s="11">
        <f t="shared" si="4"/>
        <v>0</v>
      </c>
      <c r="Q43" s="11"/>
      <c r="R43" s="46" t="e">
        <f>(1-(O43/O40))*100</f>
        <v>#DIV/0!</v>
      </c>
      <c r="X43" t="str">
        <f>IFERROR(INDEX('Date Key'!$G$57:$G$62, MATCH(B42,'Date Key'!$A$57:$A$62, 0)), "")</f>
        <v>High HLR, Lower Outlet Height, Yes Plants</v>
      </c>
      <c r="Y43" s="1">
        <f t="shared" ref="Y43:AE43" si="47">H42</f>
        <v>0</v>
      </c>
      <c r="Z43" s="1">
        <f t="shared" si="47"/>
        <v>0</v>
      </c>
      <c r="AA43" s="1">
        <f t="shared" si="47"/>
        <v>0</v>
      </c>
      <c r="AB43" s="1">
        <f t="shared" si="47"/>
        <v>0</v>
      </c>
      <c r="AC43" s="1">
        <f t="shared" si="47"/>
        <v>0</v>
      </c>
      <c r="AD43" s="1">
        <f t="shared" si="47"/>
        <v>0</v>
      </c>
      <c r="AE43" s="1">
        <f t="shared" si="47"/>
        <v>0</v>
      </c>
      <c r="AF43" s="1">
        <f t="shared" ref="AF43:AL43" si="48">H43</f>
        <v>0</v>
      </c>
      <c r="AG43" s="1">
        <f t="shared" si="48"/>
        <v>0</v>
      </c>
      <c r="AH43" s="1">
        <f t="shared" si="48"/>
        <v>0</v>
      </c>
      <c r="AI43" s="1">
        <f t="shared" si="48"/>
        <v>0</v>
      </c>
      <c r="AJ43" s="1">
        <f t="shared" si="48"/>
        <v>0</v>
      </c>
      <c r="AK43" s="1">
        <f t="shared" si="48"/>
        <v>0</v>
      </c>
      <c r="AL43" s="1">
        <f t="shared" si="48"/>
        <v>0</v>
      </c>
      <c r="AM43" s="1">
        <f t="shared" ref="AM43:AS43" si="49">H44</f>
        <v>0</v>
      </c>
      <c r="AN43" s="1">
        <f t="shared" si="49"/>
        <v>0</v>
      </c>
      <c r="AO43" s="1">
        <f t="shared" si="49"/>
        <v>0</v>
      </c>
      <c r="AP43" s="1">
        <f t="shared" si="49"/>
        <v>0</v>
      </c>
      <c r="AQ43" s="1">
        <f t="shared" si="49"/>
        <v>0</v>
      </c>
      <c r="AR43" s="1">
        <f t="shared" si="49"/>
        <v>0</v>
      </c>
      <c r="AS43" s="1">
        <f t="shared" si="49"/>
        <v>0</v>
      </c>
    </row>
    <row r="44" spans="1:45" x14ac:dyDescent="0.35">
      <c r="A44" s="41">
        <f>IFERROR(INDEX('Date Key'!$B$2:$B$19, MATCH(F44,'Date Key'!$A$2:$A$19, 0)), "")</f>
        <v>45330</v>
      </c>
      <c r="B44" s="4">
        <f t="shared" si="15"/>
        <v>5</v>
      </c>
      <c r="C44" s="26" t="str">
        <f>IFERROR(INDEX('Date Key'!$G$57:$G$62, MATCH(B44,'Date Key'!$A$57:$A$62, 0)), "")</f>
        <v>High HLR, Lower Outlet Height, Yes Plants</v>
      </c>
      <c r="D44" s="4" t="str">
        <f>IFERROR(INDEX('Date Key'!$G$2:$G$19, MATCH(F44, 'Date Key'!$A$2:$A$19, 0)), "")</f>
        <v>No</v>
      </c>
      <c r="E44" s="4" t="str">
        <f t="shared" si="1"/>
        <v>tank 1</v>
      </c>
      <c r="F44" s="4">
        <f t="shared" si="2"/>
        <v>15</v>
      </c>
      <c r="G44" s="4">
        <f t="shared" si="22"/>
        <v>3</v>
      </c>
      <c r="H44" s="11" cm="1">
        <f t="array" ref="H44">IFERROR(INDEX('Master Data Sheet'!$1:$1048576, MATCH(1, ('Master Data Sheet'!$H:$H=H$2) * (INDEX('Master Data Sheet'!$1:$1, , MATCH($F$1, 'Master Data Sheet'!$1:$1, 0)) = $F$1) * ('Master Data Sheet'!$G:$G=$B44) * ('Master Data Sheet'!$F:$F=$E44) * ('Master Data Sheet'!$A:$A=$F44), 0), MATCH($F$1, 'Master Data Sheet'!$1:$1, 0)), "")</f>
        <v>0</v>
      </c>
      <c r="I44" s="11" cm="1">
        <f t="array" ref="I44">IFERROR(INDEX('Master Data Sheet'!$1:$1048576, MATCH(1, ('Master Data Sheet'!$H:$H=I$2) * (INDEX('Master Data Sheet'!$1:$1, , MATCH($F$1, 'Master Data Sheet'!$1:$1, 0)) = $F$1) * ('Master Data Sheet'!$G:$G=$B44) * ('Master Data Sheet'!$F:$F=$E44) * ('Master Data Sheet'!$A:$A=$F44), 0), MATCH($F$1, 'Master Data Sheet'!$1:$1, 0)), "")</f>
        <v>0</v>
      </c>
      <c r="J44" s="11" cm="1">
        <f t="array" ref="J44">IFERROR(INDEX('Master Data Sheet'!$1:$1048576, MATCH(1, ('Master Data Sheet'!$H:$H=J$2) * (INDEX('Master Data Sheet'!$1:$1, , MATCH($F$1, 'Master Data Sheet'!$1:$1, 0)) = $F$1) * ('Master Data Sheet'!$G:$G=$B44) * ('Master Data Sheet'!$F:$F=$E44) * ('Master Data Sheet'!$A:$A=$F44), 0), MATCH($F$1, 'Master Data Sheet'!$1:$1, 0)), "")</f>
        <v>0</v>
      </c>
      <c r="K44" s="11" cm="1">
        <f t="array" ref="K44">IFERROR(INDEX('Master Data Sheet'!$1:$1048576, MATCH(1, ('Master Data Sheet'!$H:$H=K$2) * (INDEX('Master Data Sheet'!$1:$1, , MATCH($F$1, 'Master Data Sheet'!$1:$1, 0)) = $F$1) * ('Master Data Sheet'!$G:$G=$B44) * ('Master Data Sheet'!$F:$F=$E44) * ('Master Data Sheet'!$A:$A=$F44), 0), MATCH($F$1, 'Master Data Sheet'!$1:$1, 0)), "")</f>
        <v>0</v>
      </c>
      <c r="L44" s="11" cm="1">
        <f t="array" ref="L44">IFERROR(INDEX('Master Data Sheet'!$1:$1048576, MATCH(1, ('Master Data Sheet'!$H:$H=L$2) * (INDEX('Master Data Sheet'!$1:$1, , MATCH($F$1, 'Master Data Sheet'!$1:$1, 0)) = $F$1) * ('Master Data Sheet'!$G:$G=$B44) * ('Master Data Sheet'!$F:$F=$E44) * ('Master Data Sheet'!$A:$A=$F44), 0), MATCH($F$1, 'Master Data Sheet'!$1:$1, 0)), "")</f>
        <v>0</v>
      </c>
      <c r="M44" s="11" cm="1">
        <f t="array" ref="M44">IFERROR(INDEX('Master Data Sheet'!$1:$1048576, MATCH(1, ('Master Data Sheet'!$H:$H=M$2) * (INDEX('Master Data Sheet'!$1:$1, , MATCH($F$1, 'Master Data Sheet'!$1:$1, 0)) = $F$1) * ('Master Data Sheet'!$G:$G=$B44) * ('Master Data Sheet'!$F:$F=$E44) * ('Master Data Sheet'!$A:$A=$F44), 0), MATCH($F$1, 'Master Data Sheet'!$1:$1, 0)), "")</f>
        <v>0</v>
      </c>
      <c r="N44" s="11" cm="1">
        <f t="array" ref="N44">IFERROR(INDEX('Master Data Sheet'!$1:$1048576, MATCH(1, ('Master Data Sheet'!$H:$H=N$2) * (INDEX('Master Data Sheet'!$1:$1, , MATCH($F$1, 'Master Data Sheet'!$1:$1, 0)) = $F$1) * ('Master Data Sheet'!$G:$G=$B44) * ('Master Data Sheet'!$F:$F=$E44) * ('Master Data Sheet'!$A:$A=$F44), 0), MATCH($F$1, 'Master Data Sheet'!$1:$1, 0)), "")</f>
        <v>0</v>
      </c>
      <c r="O44" s="11">
        <f t="shared" si="8"/>
        <v>0</v>
      </c>
      <c r="P44" s="11">
        <f t="shared" si="4"/>
        <v>0</v>
      </c>
      <c r="Q44" s="11"/>
      <c r="R44" s="46" t="e">
        <f>(1-(O44/O41))*100</f>
        <v>#DIV/0!</v>
      </c>
      <c r="Y44" s="2"/>
      <c r="Z44" s="2"/>
      <c r="AA44" s="2"/>
      <c r="AB44" s="2"/>
      <c r="AC44" s="2"/>
      <c r="AD44" s="2"/>
      <c r="AE44" s="2"/>
      <c r="AF44" s="2"/>
      <c r="AG44" s="2"/>
    </row>
    <row r="45" spans="1:45" x14ac:dyDescent="0.35">
      <c r="A45" s="41">
        <f>IFERROR(INDEX('Date Key'!$B$2:$B$19, MATCH(F45,'Date Key'!$A$2:$A$19, 0)), "")</f>
        <v>45313</v>
      </c>
      <c r="B45" s="4">
        <f t="shared" si="15"/>
        <v>5</v>
      </c>
      <c r="C45" s="26" t="str">
        <f>IFERROR(INDEX('Date Key'!$G$57:$G$62, MATCH(B45,'Date Key'!$A$57:$A$62, 0)), "")</f>
        <v>High HLR, Lower Outlet Height, Yes Plants</v>
      </c>
      <c r="D45" s="4" t="str">
        <f>IFERROR(INDEX('Date Key'!$G$2:$G$19, MATCH(F45, 'Date Key'!$A$2:$A$19, 0)), "")</f>
        <v>Yes</v>
      </c>
      <c r="E45" s="4" t="str">
        <f t="shared" si="1"/>
        <v>tank 2</v>
      </c>
      <c r="F45" s="4">
        <f t="shared" si="2"/>
        <v>13</v>
      </c>
      <c r="G45" s="4">
        <f t="shared" si="22"/>
        <v>1</v>
      </c>
      <c r="H45" s="11" cm="1">
        <f t="array" ref="H45">IFERROR(INDEX('Master Data Sheet'!$1:$1048576, MATCH(1, ('Master Data Sheet'!$H:$H=H$2) * (INDEX('Master Data Sheet'!$1:$1, , MATCH($F$1, 'Master Data Sheet'!$1:$1, 0)) = $F$1) * ('Master Data Sheet'!$G:$G=$B45) * ('Master Data Sheet'!$F:$F=$E45) * ('Master Data Sheet'!$A:$A=$F45), 0), MATCH($F$1, 'Master Data Sheet'!$1:$1, 0)), "")</f>
        <v>0</v>
      </c>
      <c r="I45" s="11" cm="1">
        <f t="array" ref="I45">IFERROR(INDEX('Master Data Sheet'!$1:$1048576, MATCH(1, ('Master Data Sheet'!$H:$H=I$2) * (INDEX('Master Data Sheet'!$1:$1, , MATCH($F$1, 'Master Data Sheet'!$1:$1, 0)) = $F$1) * ('Master Data Sheet'!$G:$G=$B45) * ('Master Data Sheet'!$F:$F=$E45) * ('Master Data Sheet'!$A:$A=$F45), 0), MATCH($F$1, 'Master Data Sheet'!$1:$1, 0)), "")</f>
        <v>0</v>
      </c>
      <c r="J45" s="11" cm="1">
        <f t="array" ref="J45">IFERROR(INDEX('Master Data Sheet'!$1:$1048576, MATCH(1, ('Master Data Sheet'!$H:$H=J$2) * (INDEX('Master Data Sheet'!$1:$1, , MATCH($F$1, 'Master Data Sheet'!$1:$1, 0)) = $F$1) * ('Master Data Sheet'!$G:$G=$B45) * ('Master Data Sheet'!$F:$F=$E45) * ('Master Data Sheet'!$A:$A=$F45), 0), MATCH($F$1, 'Master Data Sheet'!$1:$1, 0)), "")</f>
        <v>0</v>
      </c>
      <c r="K45" s="11" cm="1">
        <f t="array" ref="K45">IFERROR(INDEX('Master Data Sheet'!$1:$1048576, MATCH(1, ('Master Data Sheet'!$H:$H=K$2) * (INDEX('Master Data Sheet'!$1:$1, , MATCH($F$1, 'Master Data Sheet'!$1:$1, 0)) = $F$1) * ('Master Data Sheet'!$G:$G=$B45) * ('Master Data Sheet'!$F:$F=$E45) * ('Master Data Sheet'!$A:$A=$F45), 0), MATCH($F$1, 'Master Data Sheet'!$1:$1, 0)), "")</f>
        <v>0</v>
      </c>
      <c r="L45" s="11" cm="1">
        <f t="array" ref="L45">IFERROR(INDEX('Master Data Sheet'!$1:$1048576, MATCH(1, ('Master Data Sheet'!$H:$H=L$2) * (INDEX('Master Data Sheet'!$1:$1, , MATCH($F$1, 'Master Data Sheet'!$1:$1, 0)) = $F$1) * ('Master Data Sheet'!$G:$G=$B45) * ('Master Data Sheet'!$F:$F=$E45) * ('Master Data Sheet'!$A:$A=$F45), 0), MATCH($F$1, 'Master Data Sheet'!$1:$1, 0)), "")</f>
        <v>0</v>
      </c>
      <c r="M45" s="11" cm="1">
        <f t="array" ref="M45">IFERROR(INDEX('Master Data Sheet'!$1:$1048576, MATCH(1, ('Master Data Sheet'!$H:$H=M$2) * (INDEX('Master Data Sheet'!$1:$1, , MATCH($F$1, 'Master Data Sheet'!$1:$1, 0)) = $F$1) * ('Master Data Sheet'!$G:$G=$B45) * ('Master Data Sheet'!$F:$F=$E45) * ('Master Data Sheet'!$A:$A=$F45), 0), MATCH($F$1, 'Master Data Sheet'!$1:$1, 0)), "")</f>
        <v>0</v>
      </c>
      <c r="N45" s="11" cm="1">
        <f t="array" ref="N45">IFERROR(INDEX('Master Data Sheet'!$1:$1048576, MATCH(1, ('Master Data Sheet'!$H:$H=N$2) * (INDEX('Master Data Sheet'!$1:$1, , MATCH($F$1, 'Master Data Sheet'!$1:$1, 0)) = $F$1) * ('Master Data Sheet'!$G:$G=$B45) * ('Master Data Sheet'!$F:$F=$E45) * ('Master Data Sheet'!$A:$A=$F45), 0), MATCH($F$1, 'Master Data Sheet'!$1:$1, 0)), "")</f>
        <v>0</v>
      </c>
      <c r="O45" s="11">
        <f t="shared" si="8"/>
        <v>0</v>
      </c>
      <c r="P45" s="11">
        <f t="shared" si="4"/>
        <v>0</v>
      </c>
      <c r="Q45" s="11">
        <f>AVERAGE(N45:N47)</f>
        <v>0</v>
      </c>
      <c r="R45" s="46" t="e">
        <f>(1-(O45/O39))*100</f>
        <v>#DIV/0!</v>
      </c>
      <c r="S45" s="46" t="e">
        <f>AVERAGE(R45:R47)</f>
        <v>#DIV/0!</v>
      </c>
      <c r="T45" s="46" t="e">
        <f>STDEV(R45:R47)</f>
        <v>#DIV/0!</v>
      </c>
      <c r="U45" s="47" t="e">
        <f>(1-(AVERAGE(H45:N47)/AVERAGE(H39:N41)))*100</f>
        <v>#DIV/0!</v>
      </c>
      <c r="V45" s="47"/>
      <c r="Y45" s="2"/>
      <c r="Z45" s="2"/>
      <c r="AA45" s="2"/>
      <c r="AB45" s="2"/>
      <c r="AC45" s="2"/>
      <c r="AD45" s="2"/>
      <c r="AE45" s="2"/>
      <c r="AF45" s="2"/>
      <c r="AG45" s="2"/>
    </row>
    <row r="46" spans="1:45" x14ac:dyDescent="0.35">
      <c r="A46" s="41">
        <f>IFERROR(INDEX('Date Key'!$B$2:$B$19, MATCH(F46,'Date Key'!$A$2:$A$19, 0)), "")</f>
        <v>45322</v>
      </c>
      <c r="B46" s="4">
        <f t="shared" si="15"/>
        <v>5</v>
      </c>
      <c r="C46" s="26" t="str">
        <f>IFERROR(INDEX('Date Key'!$G$57:$G$62, MATCH(B46,'Date Key'!$A$57:$A$62, 0)), "")</f>
        <v>High HLR, Lower Outlet Height, Yes Plants</v>
      </c>
      <c r="D46" s="4" t="str">
        <f>IFERROR(INDEX('Date Key'!$G$2:$G$19, MATCH(F46, 'Date Key'!$A$2:$A$19, 0)), "")</f>
        <v>No</v>
      </c>
      <c r="E46" s="4" t="str">
        <f t="shared" si="1"/>
        <v>tank 2</v>
      </c>
      <c r="F46" s="4">
        <f t="shared" si="2"/>
        <v>14</v>
      </c>
      <c r="G46" s="4">
        <f t="shared" si="22"/>
        <v>2</v>
      </c>
      <c r="H46" s="11" cm="1">
        <f t="array" ref="H46">IFERROR(INDEX('Master Data Sheet'!$1:$1048576, MATCH(1, ('Master Data Sheet'!$H:$H=H$2) * (INDEX('Master Data Sheet'!$1:$1, , MATCH($F$1, 'Master Data Sheet'!$1:$1, 0)) = $F$1) * ('Master Data Sheet'!$G:$G=$B46) * ('Master Data Sheet'!$F:$F=$E46) * ('Master Data Sheet'!$A:$A=$F46), 0), MATCH($F$1, 'Master Data Sheet'!$1:$1, 0)), "")</f>
        <v>0</v>
      </c>
      <c r="I46" s="11" cm="1">
        <f t="array" ref="I46">IFERROR(INDEX('Master Data Sheet'!$1:$1048576, MATCH(1, ('Master Data Sheet'!$H:$H=I$2) * (INDEX('Master Data Sheet'!$1:$1, , MATCH($F$1, 'Master Data Sheet'!$1:$1, 0)) = $F$1) * ('Master Data Sheet'!$G:$G=$B46) * ('Master Data Sheet'!$F:$F=$E46) * ('Master Data Sheet'!$A:$A=$F46), 0), MATCH($F$1, 'Master Data Sheet'!$1:$1, 0)), "")</f>
        <v>0</v>
      </c>
      <c r="J46" s="11" cm="1">
        <f t="array" ref="J46">IFERROR(INDEX('Master Data Sheet'!$1:$1048576, MATCH(1, ('Master Data Sheet'!$H:$H=J$2) * (INDEX('Master Data Sheet'!$1:$1, , MATCH($F$1, 'Master Data Sheet'!$1:$1, 0)) = $F$1) * ('Master Data Sheet'!$G:$G=$B46) * ('Master Data Sheet'!$F:$F=$E46) * ('Master Data Sheet'!$A:$A=$F46), 0), MATCH($F$1, 'Master Data Sheet'!$1:$1, 0)), "")</f>
        <v>0</v>
      </c>
      <c r="K46" s="11" cm="1">
        <f t="array" ref="K46">IFERROR(INDEX('Master Data Sheet'!$1:$1048576, MATCH(1, ('Master Data Sheet'!$H:$H=K$2) * (INDEX('Master Data Sheet'!$1:$1, , MATCH($F$1, 'Master Data Sheet'!$1:$1, 0)) = $F$1) * ('Master Data Sheet'!$G:$G=$B46) * ('Master Data Sheet'!$F:$F=$E46) * ('Master Data Sheet'!$A:$A=$F46), 0), MATCH($F$1, 'Master Data Sheet'!$1:$1, 0)), "")</f>
        <v>0</v>
      </c>
      <c r="L46" s="11" cm="1">
        <f t="array" ref="L46">IFERROR(INDEX('Master Data Sheet'!$1:$1048576, MATCH(1, ('Master Data Sheet'!$H:$H=L$2) * (INDEX('Master Data Sheet'!$1:$1, , MATCH($F$1, 'Master Data Sheet'!$1:$1, 0)) = $F$1) * ('Master Data Sheet'!$G:$G=$B46) * ('Master Data Sheet'!$F:$F=$E46) * ('Master Data Sheet'!$A:$A=$F46), 0), MATCH($F$1, 'Master Data Sheet'!$1:$1, 0)), "")</f>
        <v>0</v>
      </c>
      <c r="M46" s="11" cm="1">
        <f t="array" ref="M46">IFERROR(INDEX('Master Data Sheet'!$1:$1048576, MATCH(1, ('Master Data Sheet'!$H:$H=M$2) * (INDEX('Master Data Sheet'!$1:$1, , MATCH($F$1, 'Master Data Sheet'!$1:$1, 0)) = $F$1) * ('Master Data Sheet'!$G:$G=$B46) * ('Master Data Sheet'!$F:$F=$E46) * ('Master Data Sheet'!$A:$A=$F46), 0), MATCH($F$1, 'Master Data Sheet'!$1:$1, 0)), "")</f>
        <v>0</v>
      </c>
      <c r="N46" s="11" cm="1">
        <f t="array" ref="N46">IFERROR(INDEX('Master Data Sheet'!$1:$1048576, MATCH(1, ('Master Data Sheet'!$H:$H=N$2) * (INDEX('Master Data Sheet'!$1:$1, , MATCH($F$1, 'Master Data Sheet'!$1:$1, 0)) = $F$1) * ('Master Data Sheet'!$G:$G=$B46) * ('Master Data Sheet'!$F:$F=$E46) * ('Master Data Sheet'!$A:$A=$F46), 0), MATCH($F$1, 'Master Data Sheet'!$1:$1, 0)), "")</f>
        <v>0</v>
      </c>
      <c r="O46" s="11">
        <f t="shared" si="8"/>
        <v>0</v>
      </c>
      <c r="P46" s="11">
        <f t="shared" si="4"/>
        <v>0</v>
      </c>
      <c r="Q46" s="11"/>
      <c r="R46" s="46" t="e">
        <f>(1-(O46/O40))*100</f>
        <v>#DIV/0!</v>
      </c>
      <c r="X46" t="str">
        <f>IFERROR(INDEX('Date Key'!$G$57:$G$62, MATCH(B45,'Date Key'!$A$57:$A$62, 0)), "")</f>
        <v>High HLR, Lower Outlet Height, Yes Plants</v>
      </c>
      <c r="Y46" s="1">
        <f t="shared" ref="Y46:AE46" si="50">H45</f>
        <v>0</v>
      </c>
      <c r="Z46" s="1">
        <f t="shared" si="50"/>
        <v>0</v>
      </c>
      <c r="AA46" s="1">
        <f t="shared" si="50"/>
        <v>0</v>
      </c>
      <c r="AB46" s="1">
        <f t="shared" si="50"/>
        <v>0</v>
      </c>
      <c r="AC46" s="1">
        <f t="shared" si="50"/>
        <v>0</v>
      </c>
      <c r="AD46" s="1">
        <f t="shared" si="50"/>
        <v>0</v>
      </c>
      <c r="AE46" s="1">
        <f t="shared" si="50"/>
        <v>0</v>
      </c>
      <c r="AF46" s="1">
        <f t="shared" ref="AF46:AL46" si="51">H46</f>
        <v>0</v>
      </c>
      <c r="AG46" s="1">
        <f t="shared" si="51"/>
        <v>0</v>
      </c>
      <c r="AH46" s="1">
        <f t="shared" si="51"/>
        <v>0</v>
      </c>
      <c r="AI46" s="1">
        <f t="shared" si="51"/>
        <v>0</v>
      </c>
      <c r="AJ46" s="1">
        <f t="shared" si="51"/>
        <v>0</v>
      </c>
      <c r="AK46" s="1">
        <f t="shared" si="51"/>
        <v>0</v>
      </c>
      <c r="AL46" s="1">
        <f t="shared" si="51"/>
        <v>0</v>
      </c>
      <c r="AM46" s="1">
        <f t="shared" ref="AM46:AS46" si="52">H47</f>
        <v>0</v>
      </c>
      <c r="AN46" s="1">
        <f t="shared" si="52"/>
        <v>0</v>
      </c>
      <c r="AO46" s="1">
        <f t="shared" si="52"/>
        <v>0</v>
      </c>
      <c r="AP46" s="1">
        <f t="shared" si="52"/>
        <v>0</v>
      </c>
      <c r="AQ46" s="1">
        <f t="shared" si="52"/>
        <v>0</v>
      </c>
      <c r="AR46" s="1">
        <f t="shared" si="52"/>
        <v>0</v>
      </c>
      <c r="AS46" s="1">
        <f t="shared" si="52"/>
        <v>0</v>
      </c>
    </row>
    <row r="47" spans="1:45" x14ac:dyDescent="0.35">
      <c r="A47" s="42">
        <f>IFERROR(INDEX('Date Key'!$B$2:$B$19, MATCH(F47,'Date Key'!$A$2:$A$19, 0)), "")</f>
        <v>45330</v>
      </c>
      <c r="B47" s="27">
        <f t="shared" si="15"/>
        <v>5</v>
      </c>
      <c r="C47" s="51" t="str">
        <f>IFERROR(INDEX('Date Key'!$G$57:$G$62, MATCH(B47,'Date Key'!$A$57:$A$62, 0)), "")</f>
        <v>High HLR, Lower Outlet Height, Yes Plants</v>
      </c>
      <c r="D47" s="27" t="str">
        <f>IFERROR(INDEX('Date Key'!$G$2:$G$19, MATCH(F47, 'Date Key'!$A$2:$A$19, 0)), "")</f>
        <v>No</v>
      </c>
      <c r="E47" s="27" t="str">
        <f t="shared" si="1"/>
        <v>tank 2</v>
      </c>
      <c r="F47" s="27">
        <f t="shared" si="2"/>
        <v>15</v>
      </c>
      <c r="G47" s="27">
        <f t="shared" si="22"/>
        <v>3</v>
      </c>
      <c r="H47" s="28" cm="1">
        <f t="array" ref="H47">IFERROR(INDEX('Master Data Sheet'!$1:$1048576, MATCH(1, ('Master Data Sheet'!$H:$H=H$2) * (INDEX('Master Data Sheet'!$1:$1, , MATCH($F$1, 'Master Data Sheet'!$1:$1, 0)) = $F$1) * ('Master Data Sheet'!$G:$G=$B47) * ('Master Data Sheet'!$F:$F=$E47) * ('Master Data Sheet'!$A:$A=$F47), 0), MATCH($F$1, 'Master Data Sheet'!$1:$1, 0)), "")</f>
        <v>0</v>
      </c>
      <c r="I47" s="28" cm="1">
        <f t="array" ref="I47">IFERROR(INDEX('Master Data Sheet'!$1:$1048576, MATCH(1, ('Master Data Sheet'!$H:$H=I$2) * (INDEX('Master Data Sheet'!$1:$1, , MATCH($F$1, 'Master Data Sheet'!$1:$1, 0)) = $F$1) * ('Master Data Sheet'!$G:$G=$B47) * ('Master Data Sheet'!$F:$F=$E47) * ('Master Data Sheet'!$A:$A=$F47), 0), MATCH($F$1, 'Master Data Sheet'!$1:$1, 0)), "")</f>
        <v>0</v>
      </c>
      <c r="J47" s="28" cm="1">
        <f t="array" ref="J47">IFERROR(INDEX('Master Data Sheet'!$1:$1048576, MATCH(1, ('Master Data Sheet'!$H:$H=J$2) * (INDEX('Master Data Sheet'!$1:$1, , MATCH($F$1, 'Master Data Sheet'!$1:$1, 0)) = $F$1) * ('Master Data Sheet'!$G:$G=$B47) * ('Master Data Sheet'!$F:$F=$E47) * ('Master Data Sheet'!$A:$A=$F47), 0), MATCH($F$1, 'Master Data Sheet'!$1:$1, 0)), "")</f>
        <v>0</v>
      </c>
      <c r="K47" s="28" cm="1">
        <f t="array" ref="K47">IFERROR(INDEX('Master Data Sheet'!$1:$1048576, MATCH(1, ('Master Data Sheet'!$H:$H=K$2) * (INDEX('Master Data Sheet'!$1:$1, , MATCH($F$1, 'Master Data Sheet'!$1:$1, 0)) = $F$1) * ('Master Data Sheet'!$G:$G=$B47) * ('Master Data Sheet'!$F:$F=$E47) * ('Master Data Sheet'!$A:$A=$F47), 0), MATCH($F$1, 'Master Data Sheet'!$1:$1, 0)), "")</f>
        <v>0</v>
      </c>
      <c r="L47" s="28" cm="1">
        <f t="array" ref="L47">IFERROR(INDEX('Master Data Sheet'!$1:$1048576, MATCH(1, ('Master Data Sheet'!$H:$H=L$2) * (INDEX('Master Data Sheet'!$1:$1, , MATCH($F$1, 'Master Data Sheet'!$1:$1, 0)) = $F$1) * ('Master Data Sheet'!$G:$G=$B47) * ('Master Data Sheet'!$F:$F=$E47) * ('Master Data Sheet'!$A:$A=$F47), 0), MATCH($F$1, 'Master Data Sheet'!$1:$1, 0)), "")</f>
        <v>0</v>
      </c>
      <c r="M47" s="28" cm="1">
        <f t="array" ref="M47">IFERROR(INDEX('Master Data Sheet'!$1:$1048576, MATCH(1, ('Master Data Sheet'!$H:$H=M$2) * (INDEX('Master Data Sheet'!$1:$1, , MATCH($F$1, 'Master Data Sheet'!$1:$1, 0)) = $F$1) * ('Master Data Sheet'!$G:$G=$B47) * ('Master Data Sheet'!$F:$F=$E47) * ('Master Data Sheet'!$A:$A=$F47), 0), MATCH($F$1, 'Master Data Sheet'!$1:$1, 0)), "")</f>
        <v>0</v>
      </c>
      <c r="N47" s="28" cm="1">
        <f t="array" ref="N47">IFERROR(INDEX('Master Data Sheet'!$1:$1048576, MATCH(1, ('Master Data Sheet'!$H:$H=N$2) * (INDEX('Master Data Sheet'!$1:$1, , MATCH($F$1, 'Master Data Sheet'!$1:$1, 0)) = $F$1) * ('Master Data Sheet'!$G:$G=$B47) * ('Master Data Sheet'!$F:$F=$E47) * ('Master Data Sheet'!$A:$A=$F47), 0), MATCH($F$1, 'Master Data Sheet'!$1:$1, 0)), "")</f>
        <v>0</v>
      </c>
      <c r="O47" s="28">
        <f t="shared" si="8"/>
        <v>0</v>
      </c>
      <c r="P47" s="28">
        <f t="shared" si="4"/>
        <v>0</v>
      </c>
      <c r="Q47" s="28"/>
      <c r="R47" s="48" t="e">
        <f>(1-(O47/O41))*100</f>
        <v>#DIV/0!</v>
      </c>
      <c r="S47" s="27"/>
      <c r="T47" s="27"/>
      <c r="U47" s="27"/>
      <c r="V47" s="27"/>
    </row>
    <row r="48" spans="1:45" x14ac:dyDescent="0.35">
      <c r="A48" s="41">
        <f>IFERROR(INDEX('Date Key'!$B$2:$B$19, MATCH(F48,'Date Key'!$A$2:$A$19, 0)), "")</f>
        <v>45371</v>
      </c>
      <c r="B48" s="4">
        <f t="shared" si="15"/>
        <v>6</v>
      </c>
      <c r="C48" s="26" t="str">
        <f>IFERROR(INDEX('Date Key'!$G$57:$G$62, MATCH(B48,'Date Key'!$A$57:$A$62, 0)), "")</f>
        <v>Medium HLR, Upper Outlet Height, Yes Plants</v>
      </c>
      <c r="D48" s="4" t="str">
        <f>IFERROR(INDEX('Date Key'!$G$2:$G$19, MATCH(F48, 'Date Key'!$A$2:$A$19, 0)), "")</f>
        <v>No</v>
      </c>
      <c r="E48" s="4" t="str">
        <f t="shared" si="1"/>
        <v>in</v>
      </c>
      <c r="F48" s="4">
        <f t="shared" si="2"/>
        <v>16</v>
      </c>
      <c r="G48" s="4">
        <f t="shared" si="22"/>
        <v>1</v>
      </c>
      <c r="H48" s="11" cm="1">
        <f t="array" ref="H48">IFERROR(INDEX('Master Data Sheet'!$1:$1048576, MATCH(1, ('Master Data Sheet'!$H:$H=H$2) * (INDEX('Master Data Sheet'!$1:$1, , MATCH($F$1, 'Master Data Sheet'!$1:$1, 0)) = $F$1) * ('Master Data Sheet'!$G:$G=$B48) * ('Master Data Sheet'!$F:$F=$E48) * ('Master Data Sheet'!$A:$A=$F48), 0), MATCH($F$1, 'Master Data Sheet'!$1:$1, 0)), "")</f>
        <v>0</v>
      </c>
      <c r="I48" s="11" cm="1">
        <f t="array" ref="I48">IFERROR(INDEX('Master Data Sheet'!$1:$1048576, MATCH(1, ('Master Data Sheet'!$H:$H=I$2) * (INDEX('Master Data Sheet'!$1:$1, , MATCH($F$1, 'Master Data Sheet'!$1:$1, 0)) = $F$1) * ('Master Data Sheet'!$G:$G=$B48) * ('Master Data Sheet'!$F:$F=$E48) * ('Master Data Sheet'!$A:$A=$F48), 0), MATCH($F$1, 'Master Data Sheet'!$1:$1, 0)), "")</f>
        <v>0</v>
      </c>
      <c r="J48" s="11" cm="1">
        <f t="array" ref="J48">IFERROR(INDEX('Master Data Sheet'!$1:$1048576, MATCH(1, ('Master Data Sheet'!$H:$H=J$2) * (INDEX('Master Data Sheet'!$1:$1, , MATCH($F$1, 'Master Data Sheet'!$1:$1, 0)) = $F$1) * ('Master Data Sheet'!$G:$G=$B48) * ('Master Data Sheet'!$F:$F=$E48) * ('Master Data Sheet'!$A:$A=$F48), 0), MATCH($F$1, 'Master Data Sheet'!$1:$1, 0)), "")</f>
        <v>0</v>
      </c>
      <c r="K48" s="11" cm="1">
        <f t="array" ref="K48">IFERROR(INDEX('Master Data Sheet'!$1:$1048576, MATCH(1, ('Master Data Sheet'!$H:$H=K$2) * (INDEX('Master Data Sheet'!$1:$1, , MATCH($F$1, 'Master Data Sheet'!$1:$1, 0)) = $F$1) * ('Master Data Sheet'!$G:$G=$B48) * ('Master Data Sheet'!$F:$F=$E48) * ('Master Data Sheet'!$A:$A=$F48), 0), MATCH($F$1, 'Master Data Sheet'!$1:$1, 0)), "")</f>
        <v>0</v>
      </c>
      <c r="L48" s="11" cm="1">
        <f t="array" ref="L48">IFERROR(INDEX('Master Data Sheet'!$1:$1048576, MATCH(1, ('Master Data Sheet'!$H:$H=L$2) * (INDEX('Master Data Sheet'!$1:$1, , MATCH($F$1, 'Master Data Sheet'!$1:$1, 0)) = $F$1) * ('Master Data Sheet'!$G:$G=$B48) * ('Master Data Sheet'!$F:$F=$E48) * ('Master Data Sheet'!$A:$A=$F48), 0), MATCH($F$1, 'Master Data Sheet'!$1:$1, 0)), "")</f>
        <v>0</v>
      </c>
      <c r="M48" s="11" cm="1">
        <f t="array" ref="M48">IFERROR(INDEX('Master Data Sheet'!$1:$1048576, MATCH(1, ('Master Data Sheet'!$H:$H=M$2) * (INDEX('Master Data Sheet'!$1:$1, , MATCH($F$1, 'Master Data Sheet'!$1:$1, 0)) = $F$1) * ('Master Data Sheet'!$G:$G=$B48) * ('Master Data Sheet'!$F:$F=$E48) * ('Master Data Sheet'!$A:$A=$F48), 0), MATCH($F$1, 'Master Data Sheet'!$1:$1, 0)), "")</f>
        <v>0</v>
      </c>
      <c r="N48" s="11" cm="1">
        <f t="array" ref="N48">IFERROR(INDEX('Master Data Sheet'!$1:$1048576, MATCH(1, ('Master Data Sheet'!$H:$H=N$2) * (INDEX('Master Data Sheet'!$1:$1, , MATCH($F$1, 'Master Data Sheet'!$1:$1, 0)) = $F$1) * ('Master Data Sheet'!$G:$G=$B48) * ('Master Data Sheet'!$F:$F=$E48) * ('Master Data Sheet'!$A:$A=$F48), 0), MATCH($F$1, 'Master Data Sheet'!$1:$1, 0)), "")</f>
        <v>0</v>
      </c>
      <c r="O48" s="11">
        <f t="shared" si="8"/>
        <v>0</v>
      </c>
      <c r="P48" s="11">
        <f t="shared" si="4"/>
        <v>0</v>
      </c>
      <c r="Q48" s="11">
        <f>AVERAGE(O48:O50)</f>
        <v>0</v>
      </c>
      <c r="S48" s="11">
        <f>AVERAGE(O48:O50)</f>
        <v>0</v>
      </c>
      <c r="T48" s="11">
        <f>AVERAGE(P48:P50)</f>
        <v>0</v>
      </c>
      <c r="V48" s="47" t="e">
        <f>AVERAGE(U51, U54)</f>
        <v>#DIV/0!</v>
      </c>
      <c r="X48" t="s">
        <v>343</v>
      </c>
    </row>
    <row r="49" spans="1:46" x14ac:dyDescent="0.35">
      <c r="A49" s="41">
        <f>IFERROR(INDEX('Date Key'!$B$2:$B$19, MATCH(F49,'Date Key'!$A$2:$A$19, 0)), "")</f>
        <v>45392</v>
      </c>
      <c r="B49" s="4">
        <f t="shared" si="15"/>
        <v>6</v>
      </c>
      <c r="C49" s="26" t="str">
        <f>IFERROR(INDEX('Date Key'!$G$57:$G$62, MATCH(B49,'Date Key'!$A$57:$A$62, 0)), "")</f>
        <v>Medium HLR, Upper Outlet Height, Yes Plants</v>
      </c>
      <c r="D49" s="4" t="str">
        <f>IFERROR(INDEX('Date Key'!$G$2:$G$19, MATCH(F49, 'Date Key'!$A$2:$A$19, 0)), "")</f>
        <v>No</v>
      </c>
      <c r="E49" s="4" t="str">
        <f t="shared" si="1"/>
        <v>in</v>
      </c>
      <c r="F49" s="4">
        <f t="shared" si="2"/>
        <v>17</v>
      </c>
      <c r="G49" s="4">
        <f t="shared" si="22"/>
        <v>2</v>
      </c>
      <c r="H49" s="11" cm="1">
        <f t="array" ref="H49">IFERROR(INDEX('Master Data Sheet'!$1:$1048576, MATCH(1, ('Master Data Sheet'!$H:$H=H$2) * (INDEX('Master Data Sheet'!$1:$1, , MATCH($F$1, 'Master Data Sheet'!$1:$1, 0)) = $F$1) * ('Master Data Sheet'!$G:$G=$B49) * ('Master Data Sheet'!$F:$F=$E49) * ('Master Data Sheet'!$A:$A=$F49), 0), MATCH($F$1, 'Master Data Sheet'!$1:$1, 0)), "")</f>
        <v>0</v>
      </c>
      <c r="I49" s="11" cm="1">
        <f t="array" ref="I49">IFERROR(INDEX('Master Data Sheet'!$1:$1048576, MATCH(1, ('Master Data Sheet'!$H:$H=I$2) * (INDEX('Master Data Sheet'!$1:$1, , MATCH($F$1, 'Master Data Sheet'!$1:$1, 0)) = $F$1) * ('Master Data Sheet'!$G:$G=$B49) * ('Master Data Sheet'!$F:$F=$E49) * ('Master Data Sheet'!$A:$A=$F49), 0), MATCH($F$1, 'Master Data Sheet'!$1:$1, 0)), "")</f>
        <v>0</v>
      </c>
      <c r="J49" s="11" cm="1">
        <f t="array" ref="J49">IFERROR(INDEX('Master Data Sheet'!$1:$1048576, MATCH(1, ('Master Data Sheet'!$H:$H=J$2) * (INDEX('Master Data Sheet'!$1:$1, , MATCH($F$1, 'Master Data Sheet'!$1:$1, 0)) = $F$1) * ('Master Data Sheet'!$G:$G=$B49) * ('Master Data Sheet'!$F:$F=$E49) * ('Master Data Sheet'!$A:$A=$F49), 0), MATCH($F$1, 'Master Data Sheet'!$1:$1, 0)), "")</f>
        <v>0</v>
      </c>
      <c r="K49" s="11" cm="1">
        <f t="array" ref="K49">IFERROR(INDEX('Master Data Sheet'!$1:$1048576, MATCH(1, ('Master Data Sheet'!$H:$H=K$2) * (INDEX('Master Data Sheet'!$1:$1, , MATCH($F$1, 'Master Data Sheet'!$1:$1, 0)) = $F$1) * ('Master Data Sheet'!$G:$G=$B49) * ('Master Data Sheet'!$F:$F=$E49) * ('Master Data Sheet'!$A:$A=$F49), 0), MATCH($F$1, 'Master Data Sheet'!$1:$1, 0)), "")</f>
        <v>0</v>
      </c>
      <c r="L49" s="11" cm="1">
        <f t="array" ref="L49">IFERROR(INDEX('Master Data Sheet'!$1:$1048576, MATCH(1, ('Master Data Sheet'!$H:$H=L$2) * (INDEX('Master Data Sheet'!$1:$1, , MATCH($F$1, 'Master Data Sheet'!$1:$1, 0)) = $F$1) * ('Master Data Sheet'!$G:$G=$B49) * ('Master Data Sheet'!$F:$F=$E49) * ('Master Data Sheet'!$A:$A=$F49), 0), MATCH($F$1, 'Master Data Sheet'!$1:$1, 0)), "")</f>
        <v>0</v>
      </c>
      <c r="M49" s="11" cm="1">
        <f t="array" ref="M49">IFERROR(INDEX('Master Data Sheet'!$1:$1048576, MATCH(1, ('Master Data Sheet'!$H:$H=M$2) * (INDEX('Master Data Sheet'!$1:$1, , MATCH($F$1, 'Master Data Sheet'!$1:$1, 0)) = $F$1) * ('Master Data Sheet'!$G:$G=$B49) * ('Master Data Sheet'!$F:$F=$E49) * ('Master Data Sheet'!$A:$A=$F49), 0), MATCH($F$1, 'Master Data Sheet'!$1:$1, 0)), "")</f>
        <v>0</v>
      </c>
      <c r="N49" s="11" cm="1">
        <f t="array" ref="N49">IFERROR(INDEX('Master Data Sheet'!$1:$1048576, MATCH(1, ('Master Data Sheet'!$H:$H=N$2) * (INDEX('Master Data Sheet'!$1:$1, , MATCH($F$1, 'Master Data Sheet'!$1:$1, 0)) = $F$1) * ('Master Data Sheet'!$G:$G=$B49) * ('Master Data Sheet'!$F:$F=$E49) * ('Master Data Sheet'!$A:$A=$F49), 0), MATCH($F$1, 'Master Data Sheet'!$1:$1, 0)), "")</f>
        <v>0</v>
      </c>
      <c r="O49" s="11">
        <f t="shared" si="8"/>
        <v>0</v>
      </c>
      <c r="P49" s="11">
        <f t="shared" si="4"/>
        <v>0</v>
      </c>
      <c r="Q49" s="11"/>
      <c r="X49" t="str">
        <f>IFERROR(INDEX('Date Key'!$G$57:$G$62, MATCH(B48,'Date Key'!$A$57:$A$62, 0)), "")</f>
        <v>Medium HLR, Upper Outlet Height, Yes Plants</v>
      </c>
      <c r="Y49" s="1">
        <f t="shared" ref="Y49:AE49" si="53">H48</f>
        <v>0</v>
      </c>
      <c r="Z49" s="1">
        <f t="shared" si="53"/>
        <v>0</v>
      </c>
      <c r="AA49" s="1">
        <f t="shared" si="53"/>
        <v>0</v>
      </c>
      <c r="AB49" s="1">
        <f t="shared" si="53"/>
        <v>0</v>
      </c>
      <c r="AC49" s="1">
        <f t="shared" si="53"/>
        <v>0</v>
      </c>
      <c r="AD49" s="1">
        <f t="shared" si="53"/>
        <v>0</v>
      </c>
      <c r="AE49" s="1">
        <f t="shared" si="53"/>
        <v>0</v>
      </c>
      <c r="AF49" s="1">
        <f t="shared" ref="AF49:AL49" si="54">H49</f>
        <v>0</v>
      </c>
      <c r="AG49" s="1">
        <f t="shared" si="54"/>
        <v>0</v>
      </c>
      <c r="AH49" s="1">
        <f t="shared" si="54"/>
        <v>0</v>
      </c>
      <c r="AI49" s="1">
        <f t="shared" si="54"/>
        <v>0</v>
      </c>
      <c r="AJ49" s="1">
        <f t="shared" si="54"/>
        <v>0</v>
      </c>
      <c r="AK49" s="1">
        <f t="shared" si="54"/>
        <v>0</v>
      </c>
      <c r="AL49" s="1">
        <f t="shared" si="54"/>
        <v>0</v>
      </c>
      <c r="AM49" s="1">
        <f t="shared" ref="AM49:AS49" si="55">H50</f>
        <v>0</v>
      </c>
      <c r="AN49" s="1">
        <f t="shared" si="55"/>
        <v>0</v>
      </c>
      <c r="AO49" s="1">
        <f t="shared" si="55"/>
        <v>0</v>
      </c>
      <c r="AP49" s="1">
        <f t="shared" si="55"/>
        <v>0</v>
      </c>
      <c r="AQ49" s="1">
        <f t="shared" si="55"/>
        <v>0</v>
      </c>
      <c r="AR49" s="1">
        <f t="shared" si="55"/>
        <v>0</v>
      </c>
      <c r="AS49" s="1">
        <f t="shared" si="55"/>
        <v>0</v>
      </c>
    </row>
    <row r="50" spans="1:46" x14ac:dyDescent="0.35">
      <c r="A50" s="41">
        <f>IFERROR(INDEX('Date Key'!$B$2:$B$19, MATCH(F50,'Date Key'!$A$2:$A$19, 0)), "")</f>
        <v>45400</v>
      </c>
      <c r="B50" s="4">
        <f t="shared" si="15"/>
        <v>6</v>
      </c>
      <c r="C50" s="26" t="str">
        <f>IFERROR(INDEX('Date Key'!$G$57:$G$62, MATCH(B50,'Date Key'!$A$57:$A$62, 0)), "")</f>
        <v>Medium HLR, Upper Outlet Height, Yes Plants</v>
      </c>
      <c r="D50" s="4" t="str">
        <f>IFERROR(INDEX('Date Key'!$G$2:$G$19, MATCH(F50, 'Date Key'!$A$2:$A$19, 0)), "")</f>
        <v>Yes</v>
      </c>
      <c r="E50" s="4" t="str">
        <f t="shared" si="1"/>
        <v>in</v>
      </c>
      <c r="F50" s="4">
        <f t="shared" si="2"/>
        <v>18</v>
      </c>
      <c r="G50" s="4">
        <f t="shared" si="22"/>
        <v>3</v>
      </c>
      <c r="H50" s="11" cm="1">
        <f t="array" ref="H50">IFERROR(INDEX('Master Data Sheet'!$1:$1048576, MATCH(1, ('Master Data Sheet'!$H:$H=H$2) * (INDEX('Master Data Sheet'!$1:$1, , MATCH($F$1, 'Master Data Sheet'!$1:$1, 0)) = $F$1) * ('Master Data Sheet'!$G:$G=$B50) * ('Master Data Sheet'!$F:$F=$E50) * ('Master Data Sheet'!$A:$A=$F50), 0), MATCH($F$1, 'Master Data Sheet'!$1:$1, 0)), "")</f>
        <v>0</v>
      </c>
      <c r="I50" s="11" cm="1">
        <f t="array" ref="I50">IFERROR(INDEX('Master Data Sheet'!$1:$1048576, MATCH(1, ('Master Data Sheet'!$H:$H=I$2) * (INDEX('Master Data Sheet'!$1:$1, , MATCH($F$1, 'Master Data Sheet'!$1:$1, 0)) = $F$1) * ('Master Data Sheet'!$G:$G=$B50) * ('Master Data Sheet'!$F:$F=$E50) * ('Master Data Sheet'!$A:$A=$F50), 0), MATCH($F$1, 'Master Data Sheet'!$1:$1, 0)), "")</f>
        <v>0</v>
      </c>
      <c r="J50" s="11" cm="1">
        <f t="array" ref="J50">IFERROR(INDEX('Master Data Sheet'!$1:$1048576, MATCH(1, ('Master Data Sheet'!$H:$H=J$2) * (INDEX('Master Data Sheet'!$1:$1, , MATCH($F$1, 'Master Data Sheet'!$1:$1, 0)) = $F$1) * ('Master Data Sheet'!$G:$G=$B50) * ('Master Data Sheet'!$F:$F=$E50) * ('Master Data Sheet'!$A:$A=$F50), 0), MATCH($F$1, 'Master Data Sheet'!$1:$1, 0)), "")</f>
        <v>0</v>
      </c>
      <c r="K50" s="11" cm="1">
        <f t="array" ref="K50">IFERROR(INDEX('Master Data Sheet'!$1:$1048576, MATCH(1, ('Master Data Sheet'!$H:$H=K$2) * (INDEX('Master Data Sheet'!$1:$1, , MATCH($F$1, 'Master Data Sheet'!$1:$1, 0)) = $F$1) * ('Master Data Sheet'!$G:$G=$B50) * ('Master Data Sheet'!$F:$F=$E50) * ('Master Data Sheet'!$A:$A=$F50), 0), MATCH($F$1, 'Master Data Sheet'!$1:$1, 0)), "")</f>
        <v>0</v>
      </c>
      <c r="L50" s="11" cm="1">
        <f t="array" ref="L50">IFERROR(INDEX('Master Data Sheet'!$1:$1048576, MATCH(1, ('Master Data Sheet'!$H:$H=L$2) * (INDEX('Master Data Sheet'!$1:$1, , MATCH($F$1, 'Master Data Sheet'!$1:$1, 0)) = $F$1) * ('Master Data Sheet'!$G:$G=$B50) * ('Master Data Sheet'!$F:$F=$E50) * ('Master Data Sheet'!$A:$A=$F50), 0), MATCH($F$1, 'Master Data Sheet'!$1:$1, 0)), "")</f>
        <v>0</v>
      </c>
      <c r="M50" s="11" cm="1">
        <f t="array" ref="M50">IFERROR(INDEX('Master Data Sheet'!$1:$1048576, MATCH(1, ('Master Data Sheet'!$H:$H=M$2) * (INDEX('Master Data Sheet'!$1:$1, , MATCH($F$1, 'Master Data Sheet'!$1:$1, 0)) = $F$1) * ('Master Data Sheet'!$G:$G=$B50) * ('Master Data Sheet'!$F:$F=$E50) * ('Master Data Sheet'!$A:$A=$F50), 0), MATCH($F$1, 'Master Data Sheet'!$1:$1, 0)), "")</f>
        <v>0</v>
      </c>
      <c r="N50" s="11" cm="1">
        <f t="array" ref="N50">IFERROR(INDEX('Master Data Sheet'!$1:$1048576, MATCH(1, ('Master Data Sheet'!$H:$H=N$2) * (INDEX('Master Data Sheet'!$1:$1, , MATCH($F$1, 'Master Data Sheet'!$1:$1, 0)) = $F$1) * ('Master Data Sheet'!$G:$G=$B50) * ('Master Data Sheet'!$F:$F=$E50) * ('Master Data Sheet'!$A:$A=$F50), 0), MATCH($F$1, 'Master Data Sheet'!$1:$1, 0)), "")</f>
        <v>0</v>
      </c>
      <c r="O50" s="11">
        <f t="shared" si="8"/>
        <v>0</v>
      </c>
      <c r="P50" s="11">
        <f t="shared" si="4"/>
        <v>0</v>
      </c>
      <c r="Q50" s="11"/>
      <c r="Y50" s="1"/>
      <c r="Z50" s="1"/>
      <c r="AA50" s="1"/>
      <c r="AB50" s="1"/>
      <c r="AC50" s="1"/>
      <c r="AD50" s="1"/>
      <c r="AE50" s="1"/>
      <c r="AF50" s="1"/>
      <c r="AG50" s="1"/>
      <c r="AH50" s="1"/>
      <c r="AI50" s="1"/>
      <c r="AJ50" s="1"/>
      <c r="AK50" s="1"/>
      <c r="AL50" s="1"/>
      <c r="AM50" s="1"/>
      <c r="AN50" s="1"/>
      <c r="AO50" s="1"/>
      <c r="AP50" s="1"/>
      <c r="AQ50" s="1"/>
      <c r="AR50" s="1"/>
      <c r="AS50" s="1"/>
    </row>
    <row r="51" spans="1:46" x14ac:dyDescent="0.35">
      <c r="A51" s="41">
        <f>IFERROR(INDEX('Date Key'!$B$2:$B$19, MATCH(F51,'Date Key'!$A$2:$A$19, 0)), "")</f>
        <v>45371</v>
      </c>
      <c r="B51" s="4">
        <f t="shared" si="15"/>
        <v>6</v>
      </c>
      <c r="C51" s="26" t="str">
        <f>IFERROR(INDEX('Date Key'!$G$57:$G$62, MATCH(B51,'Date Key'!$A$57:$A$62, 0)), "")</f>
        <v>Medium HLR, Upper Outlet Height, Yes Plants</v>
      </c>
      <c r="D51" s="4" t="str">
        <f>IFERROR(INDEX('Date Key'!$G$2:$G$19, MATCH(F51, 'Date Key'!$A$2:$A$19, 0)), "")</f>
        <v>No</v>
      </c>
      <c r="E51" s="4" t="str">
        <f t="shared" si="1"/>
        <v>tank 1</v>
      </c>
      <c r="F51" s="4">
        <f t="shared" si="2"/>
        <v>16</v>
      </c>
      <c r="G51" s="4">
        <f t="shared" si="22"/>
        <v>1</v>
      </c>
      <c r="H51" s="11" cm="1">
        <f t="array" ref="H51">IFERROR(INDEX('Master Data Sheet'!$1:$1048576, MATCH(1, ('Master Data Sheet'!$H:$H=H$2) * (INDEX('Master Data Sheet'!$1:$1, , MATCH($F$1, 'Master Data Sheet'!$1:$1, 0)) = $F$1) * ('Master Data Sheet'!$G:$G=$B51) * ('Master Data Sheet'!$F:$F=$E51) * ('Master Data Sheet'!$A:$A=$F51), 0), MATCH($F$1, 'Master Data Sheet'!$1:$1, 0)), "")</f>
        <v>0</v>
      </c>
      <c r="I51" s="11" cm="1">
        <f t="array" ref="I51">IFERROR(INDEX('Master Data Sheet'!$1:$1048576, MATCH(1, ('Master Data Sheet'!$H:$H=I$2) * (INDEX('Master Data Sheet'!$1:$1, , MATCH($F$1, 'Master Data Sheet'!$1:$1, 0)) = $F$1) * ('Master Data Sheet'!$G:$G=$B51) * ('Master Data Sheet'!$F:$F=$E51) * ('Master Data Sheet'!$A:$A=$F51), 0), MATCH($F$1, 'Master Data Sheet'!$1:$1, 0)), "")</f>
        <v>0</v>
      </c>
      <c r="J51" s="11" cm="1">
        <f t="array" ref="J51">IFERROR(INDEX('Master Data Sheet'!$1:$1048576, MATCH(1, ('Master Data Sheet'!$H:$H=J$2) * (INDEX('Master Data Sheet'!$1:$1, , MATCH($F$1, 'Master Data Sheet'!$1:$1, 0)) = $F$1) * ('Master Data Sheet'!$G:$G=$B51) * ('Master Data Sheet'!$F:$F=$E51) * ('Master Data Sheet'!$A:$A=$F51), 0), MATCH($F$1, 'Master Data Sheet'!$1:$1, 0)), "")</f>
        <v>0</v>
      </c>
      <c r="K51" s="11" cm="1">
        <f t="array" ref="K51">IFERROR(INDEX('Master Data Sheet'!$1:$1048576, MATCH(1, ('Master Data Sheet'!$H:$H=K$2) * (INDEX('Master Data Sheet'!$1:$1, , MATCH($F$1, 'Master Data Sheet'!$1:$1, 0)) = $F$1) * ('Master Data Sheet'!$G:$G=$B51) * ('Master Data Sheet'!$F:$F=$E51) * ('Master Data Sheet'!$A:$A=$F51), 0), MATCH($F$1, 'Master Data Sheet'!$1:$1, 0)), "")</f>
        <v>0</v>
      </c>
      <c r="L51" s="11" cm="1">
        <f t="array" ref="L51">IFERROR(INDEX('Master Data Sheet'!$1:$1048576, MATCH(1, ('Master Data Sheet'!$H:$H=L$2) * (INDEX('Master Data Sheet'!$1:$1, , MATCH($F$1, 'Master Data Sheet'!$1:$1, 0)) = $F$1) * ('Master Data Sheet'!$G:$G=$B51) * ('Master Data Sheet'!$F:$F=$E51) * ('Master Data Sheet'!$A:$A=$F51), 0), MATCH($F$1, 'Master Data Sheet'!$1:$1, 0)), "")</f>
        <v>0</v>
      </c>
      <c r="M51" s="11" cm="1">
        <f t="array" ref="M51">IFERROR(INDEX('Master Data Sheet'!$1:$1048576, MATCH(1, ('Master Data Sheet'!$H:$H=M$2) * (INDEX('Master Data Sheet'!$1:$1, , MATCH($F$1, 'Master Data Sheet'!$1:$1, 0)) = $F$1) * ('Master Data Sheet'!$G:$G=$B51) * ('Master Data Sheet'!$F:$F=$E51) * ('Master Data Sheet'!$A:$A=$F51), 0), MATCH($F$1, 'Master Data Sheet'!$1:$1, 0)), "")</f>
        <v>0</v>
      </c>
      <c r="N51" s="11" cm="1">
        <f t="array" ref="N51">IFERROR(INDEX('Master Data Sheet'!$1:$1048576, MATCH(1, ('Master Data Sheet'!$H:$H=N$2) * (INDEX('Master Data Sheet'!$1:$1, , MATCH($F$1, 'Master Data Sheet'!$1:$1, 0)) = $F$1) * ('Master Data Sheet'!$G:$G=$B51) * ('Master Data Sheet'!$F:$F=$E51) * ('Master Data Sheet'!$A:$A=$F51), 0), MATCH($F$1, 'Master Data Sheet'!$1:$1, 0)), "")</f>
        <v>0</v>
      </c>
      <c r="O51" s="11">
        <f t="shared" si="8"/>
        <v>0</v>
      </c>
      <c r="P51" s="11">
        <f t="shared" si="4"/>
        <v>0</v>
      </c>
      <c r="Q51" s="11">
        <f>AVERAGE(O51:O53)</f>
        <v>0</v>
      </c>
      <c r="R51" s="46" t="e">
        <f>(1-(O51/O48))*100</f>
        <v>#DIV/0!</v>
      </c>
      <c r="S51" s="46" t="e">
        <f>AVERAGE(R51:R53)</f>
        <v>#DIV/0!</v>
      </c>
      <c r="T51" s="46" t="e">
        <f>STDEV(R51:R53)</f>
        <v>#DIV/0!</v>
      </c>
      <c r="U51" s="47" t="e">
        <f>(1-(AVERAGE(H51:N53)/AVERAGE(H48:N50)))*100</f>
        <v>#DIV/0!</v>
      </c>
      <c r="V51" s="47"/>
      <c r="Y51" s="2"/>
      <c r="Z51" s="2"/>
      <c r="AA51" s="2"/>
      <c r="AB51" s="2"/>
      <c r="AC51" s="2"/>
      <c r="AD51" s="2"/>
      <c r="AE51" s="2"/>
      <c r="AF51" s="2"/>
      <c r="AG51" s="2"/>
    </row>
    <row r="52" spans="1:46" x14ac:dyDescent="0.35">
      <c r="A52" s="41">
        <f>IFERROR(INDEX('Date Key'!$B$2:$B$19, MATCH(F52,'Date Key'!$A$2:$A$19, 0)), "")</f>
        <v>45392</v>
      </c>
      <c r="B52" s="4">
        <f t="shared" si="15"/>
        <v>6</v>
      </c>
      <c r="C52" s="26" t="str">
        <f>IFERROR(INDEX('Date Key'!$G$57:$G$62, MATCH(B52,'Date Key'!$A$57:$A$62, 0)), "")</f>
        <v>Medium HLR, Upper Outlet Height, Yes Plants</v>
      </c>
      <c r="D52" s="4" t="str">
        <f>IFERROR(INDEX('Date Key'!$G$2:$G$19, MATCH(F52, 'Date Key'!$A$2:$A$19, 0)), "")</f>
        <v>No</v>
      </c>
      <c r="E52" s="4" t="str">
        <f t="shared" si="1"/>
        <v>tank 1</v>
      </c>
      <c r="F52" s="4">
        <f t="shared" si="2"/>
        <v>17</v>
      </c>
      <c r="G52" s="4">
        <f t="shared" si="22"/>
        <v>2</v>
      </c>
      <c r="H52" s="11" cm="1">
        <f t="array" ref="H52">IFERROR(INDEX('Master Data Sheet'!$1:$1048576, MATCH(1, ('Master Data Sheet'!$H:$H=H$2) * (INDEX('Master Data Sheet'!$1:$1, , MATCH($F$1, 'Master Data Sheet'!$1:$1, 0)) = $F$1) * ('Master Data Sheet'!$G:$G=$B52) * ('Master Data Sheet'!$F:$F=$E52) * ('Master Data Sheet'!$A:$A=$F52), 0), MATCH($F$1, 'Master Data Sheet'!$1:$1, 0)), "")</f>
        <v>0</v>
      </c>
      <c r="I52" s="11" cm="1">
        <f t="array" ref="I52">IFERROR(INDEX('Master Data Sheet'!$1:$1048576, MATCH(1, ('Master Data Sheet'!$H:$H=I$2) * (INDEX('Master Data Sheet'!$1:$1, , MATCH($F$1, 'Master Data Sheet'!$1:$1, 0)) = $F$1) * ('Master Data Sheet'!$G:$G=$B52) * ('Master Data Sheet'!$F:$F=$E52) * ('Master Data Sheet'!$A:$A=$F52), 0), MATCH($F$1, 'Master Data Sheet'!$1:$1, 0)), "")</f>
        <v>0</v>
      </c>
      <c r="J52" s="11" cm="1">
        <f t="array" ref="J52">IFERROR(INDEX('Master Data Sheet'!$1:$1048576, MATCH(1, ('Master Data Sheet'!$H:$H=J$2) * (INDEX('Master Data Sheet'!$1:$1, , MATCH($F$1, 'Master Data Sheet'!$1:$1, 0)) = $F$1) * ('Master Data Sheet'!$G:$G=$B52) * ('Master Data Sheet'!$F:$F=$E52) * ('Master Data Sheet'!$A:$A=$F52), 0), MATCH($F$1, 'Master Data Sheet'!$1:$1, 0)), "")</f>
        <v>0</v>
      </c>
      <c r="K52" s="11" cm="1">
        <f t="array" ref="K52">IFERROR(INDEX('Master Data Sheet'!$1:$1048576, MATCH(1, ('Master Data Sheet'!$H:$H=K$2) * (INDEX('Master Data Sheet'!$1:$1, , MATCH($F$1, 'Master Data Sheet'!$1:$1, 0)) = $F$1) * ('Master Data Sheet'!$G:$G=$B52) * ('Master Data Sheet'!$F:$F=$E52) * ('Master Data Sheet'!$A:$A=$F52), 0), MATCH($F$1, 'Master Data Sheet'!$1:$1, 0)), "")</f>
        <v>0</v>
      </c>
      <c r="L52" s="11" cm="1">
        <f t="array" ref="L52">IFERROR(INDEX('Master Data Sheet'!$1:$1048576, MATCH(1, ('Master Data Sheet'!$H:$H=L$2) * (INDEX('Master Data Sheet'!$1:$1, , MATCH($F$1, 'Master Data Sheet'!$1:$1, 0)) = $F$1) * ('Master Data Sheet'!$G:$G=$B52) * ('Master Data Sheet'!$F:$F=$E52) * ('Master Data Sheet'!$A:$A=$F52), 0), MATCH($F$1, 'Master Data Sheet'!$1:$1, 0)), "")</f>
        <v>0</v>
      </c>
      <c r="M52" s="11" cm="1">
        <f t="array" ref="M52">IFERROR(INDEX('Master Data Sheet'!$1:$1048576, MATCH(1, ('Master Data Sheet'!$H:$H=M$2) * (INDEX('Master Data Sheet'!$1:$1, , MATCH($F$1, 'Master Data Sheet'!$1:$1, 0)) = $F$1) * ('Master Data Sheet'!$G:$G=$B52) * ('Master Data Sheet'!$F:$F=$E52) * ('Master Data Sheet'!$A:$A=$F52), 0), MATCH($F$1, 'Master Data Sheet'!$1:$1, 0)), "")</f>
        <v>0</v>
      </c>
      <c r="N52" s="11" cm="1">
        <f t="array" ref="N52">IFERROR(INDEX('Master Data Sheet'!$1:$1048576, MATCH(1, ('Master Data Sheet'!$H:$H=N$2) * (INDEX('Master Data Sheet'!$1:$1, , MATCH($F$1, 'Master Data Sheet'!$1:$1, 0)) = $F$1) * ('Master Data Sheet'!$G:$G=$B52) * ('Master Data Sheet'!$F:$F=$E52) * ('Master Data Sheet'!$A:$A=$F52), 0), MATCH($F$1, 'Master Data Sheet'!$1:$1, 0)), "")</f>
        <v>0</v>
      </c>
      <c r="O52" s="11">
        <f t="shared" si="8"/>
        <v>0</v>
      </c>
      <c r="P52" s="11">
        <f t="shared" si="4"/>
        <v>0</v>
      </c>
      <c r="Q52" s="11"/>
      <c r="R52" s="46" t="e">
        <f>(1-(O52/O49))*100</f>
        <v>#DIV/0!</v>
      </c>
      <c r="X52" t="str">
        <f>IFERROR(INDEX('Date Key'!$G$57:$G$62, MATCH(B51,'Date Key'!$A$57:$A$62, 0)), "")</f>
        <v>Medium HLR, Upper Outlet Height, Yes Plants</v>
      </c>
      <c r="Y52" s="1">
        <f t="shared" ref="Y52:AE52" si="56">H51</f>
        <v>0</v>
      </c>
      <c r="Z52" s="1">
        <f t="shared" si="56"/>
        <v>0</v>
      </c>
      <c r="AA52" s="1">
        <f t="shared" si="56"/>
        <v>0</v>
      </c>
      <c r="AB52" s="1">
        <f t="shared" si="56"/>
        <v>0</v>
      </c>
      <c r="AC52" s="1">
        <f t="shared" si="56"/>
        <v>0</v>
      </c>
      <c r="AD52" s="1">
        <f t="shared" si="56"/>
        <v>0</v>
      </c>
      <c r="AE52" s="1">
        <f t="shared" si="56"/>
        <v>0</v>
      </c>
      <c r="AF52" s="1">
        <f t="shared" ref="AF52:AL52" si="57">H52</f>
        <v>0</v>
      </c>
      <c r="AG52" s="1">
        <f t="shared" si="57"/>
        <v>0</v>
      </c>
      <c r="AH52" s="1">
        <f t="shared" si="57"/>
        <v>0</v>
      </c>
      <c r="AI52" s="1">
        <f t="shared" si="57"/>
        <v>0</v>
      </c>
      <c r="AJ52" s="1">
        <f t="shared" si="57"/>
        <v>0</v>
      </c>
      <c r="AK52" s="1">
        <f t="shared" si="57"/>
        <v>0</v>
      </c>
      <c r="AL52" s="1">
        <f t="shared" si="57"/>
        <v>0</v>
      </c>
      <c r="AM52" s="1">
        <f t="shared" ref="AM52:AS52" si="58">H53</f>
        <v>0</v>
      </c>
      <c r="AN52" s="1">
        <f t="shared" si="58"/>
        <v>0</v>
      </c>
      <c r="AO52" s="1">
        <f t="shared" si="58"/>
        <v>0</v>
      </c>
      <c r="AP52" s="1">
        <f t="shared" si="58"/>
        <v>0</v>
      </c>
      <c r="AQ52" s="1">
        <f t="shared" si="58"/>
        <v>0</v>
      </c>
      <c r="AR52" s="1">
        <f t="shared" si="58"/>
        <v>0</v>
      </c>
      <c r="AS52" s="1">
        <f t="shared" si="58"/>
        <v>0</v>
      </c>
    </row>
    <row r="53" spans="1:46" x14ac:dyDescent="0.35">
      <c r="A53" s="41">
        <f>IFERROR(INDEX('Date Key'!$B$2:$B$19, MATCH(F53,'Date Key'!$A$2:$A$19, 0)), "")</f>
        <v>45400</v>
      </c>
      <c r="B53" s="4">
        <f t="shared" si="15"/>
        <v>6</v>
      </c>
      <c r="C53" s="26" t="str">
        <f>IFERROR(INDEX('Date Key'!$G$57:$G$62, MATCH(B53,'Date Key'!$A$57:$A$62, 0)), "")</f>
        <v>Medium HLR, Upper Outlet Height, Yes Plants</v>
      </c>
      <c r="D53" s="4" t="str">
        <f>IFERROR(INDEX('Date Key'!$G$2:$G$19, MATCH(F53, 'Date Key'!$A$2:$A$19, 0)), "")</f>
        <v>Yes</v>
      </c>
      <c r="E53" s="4" t="str">
        <f t="shared" si="1"/>
        <v>tank 1</v>
      </c>
      <c r="F53" s="4">
        <f t="shared" si="2"/>
        <v>18</v>
      </c>
      <c r="G53" s="4">
        <f t="shared" si="22"/>
        <v>3</v>
      </c>
      <c r="H53" s="11" cm="1">
        <f t="array" ref="H53">IFERROR(INDEX('Master Data Sheet'!$1:$1048576, MATCH(1, ('Master Data Sheet'!$H:$H=H$2) * (INDEX('Master Data Sheet'!$1:$1, , MATCH($F$1, 'Master Data Sheet'!$1:$1, 0)) = $F$1) * ('Master Data Sheet'!$G:$G=$B53) * ('Master Data Sheet'!$F:$F=$E53) * ('Master Data Sheet'!$A:$A=$F53), 0), MATCH($F$1, 'Master Data Sheet'!$1:$1, 0)), "")</f>
        <v>0</v>
      </c>
      <c r="I53" s="11" cm="1">
        <f t="array" ref="I53">IFERROR(INDEX('Master Data Sheet'!$1:$1048576, MATCH(1, ('Master Data Sheet'!$H:$H=I$2) * (INDEX('Master Data Sheet'!$1:$1, , MATCH($F$1, 'Master Data Sheet'!$1:$1, 0)) = $F$1) * ('Master Data Sheet'!$G:$G=$B53) * ('Master Data Sheet'!$F:$F=$E53) * ('Master Data Sheet'!$A:$A=$F53), 0), MATCH($F$1, 'Master Data Sheet'!$1:$1, 0)), "")</f>
        <v>0</v>
      </c>
      <c r="J53" s="11" cm="1">
        <f t="array" ref="J53">IFERROR(INDEX('Master Data Sheet'!$1:$1048576, MATCH(1, ('Master Data Sheet'!$H:$H=J$2) * (INDEX('Master Data Sheet'!$1:$1, , MATCH($F$1, 'Master Data Sheet'!$1:$1, 0)) = $F$1) * ('Master Data Sheet'!$G:$G=$B53) * ('Master Data Sheet'!$F:$F=$E53) * ('Master Data Sheet'!$A:$A=$F53), 0), MATCH($F$1, 'Master Data Sheet'!$1:$1, 0)), "")</f>
        <v>0</v>
      </c>
      <c r="K53" s="11" cm="1">
        <f t="array" ref="K53">IFERROR(INDEX('Master Data Sheet'!$1:$1048576, MATCH(1, ('Master Data Sheet'!$H:$H=K$2) * (INDEX('Master Data Sheet'!$1:$1, , MATCH($F$1, 'Master Data Sheet'!$1:$1, 0)) = $F$1) * ('Master Data Sheet'!$G:$G=$B53) * ('Master Data Sheet'!$F:$F=$E53) * ('Master Data Sheet'!$A:$A=$F53), 0), MATCH($F$1, 'Master Data Sheet'!$1:$1, 0)), "")</f>
        <v>0</v>
      </c>
      <c r="L53" s="11" cm="1">
        <f t="array" ref="L53">IFERROR(INDEX('Master Data Sheet'!$1:$1048576, MATCH(1, ('Master Data Sheet'!$H:$H=L$2) * (INDEX('Master Data Sheet'!$1:$1, , MATCH($F$1, 'Master Data Sheet'!$1:$1, 0)) = $F$1) * ('Master Data Sheet'!$G:$G=$B53) * ('Master Data Sheet'!$F:$F=$E53) * ('Master Data Sheet'!$A:$A=$F53), 0), MATCH($F$1, 'Master Data Sheet'!$1:$1, 0)), "")</f>
        <v>0</v>
      </c>
      <c r="M53" s="11" cm="1">
        <f t="array" ref="M53">IFERROR(INDEX('Master Data Sheet'!$1:$1048576, MATCH(1, ('Master Data Sheet'!$H:$H=M$2) * (INDEX('Master Data Sheet'!$1:$1, , MATCH($F$1, 'Master Data Sheet'!$1:$1, 0)) = $F$1) * ('Master Data Sheet'!$G:$G=$B53) * ('Master Data Sheet'!$F:$F=$E53) * ('Master Data Sheet'!$A:$A=$F53), 0), MATCH($F$1, 'Master Data Sheet'!$1:$1, 0)), "")</f>
        <v>0</v>
      </c>
      <c r="N53" s="11" cm="1">
        <f t="array" ref="N53">IFERROR(INDEX('Master Data Sheet'!$1:$1048576, MATCH(1, ('Master Data Sheet'!$H:$H=N$2) * (INDEX('Master Data Sheet'!$1:$1, , MATCH($F$1, 'Master Data Sheet'!$1:$1, 0)) = $F$1) * ('Master Data Sheet'!$G:$G=$B53) * ('Master Data Sheet'!$F:$F=$E53) * ('Master Data Sheet'!$A:$A=$F53), 0), MATCH($F$1, 'Master Data Sheet'!$1:$1, 0)), "")</f>
        <v>0</v>
      </c>
      <c r="O53" s="11">
        <f t="shared" si="8"/>
        <v>0</v>
      </c>
      <c r="P53" s="11">
        <f t="shared" si="4"/>
        <v>0</v>
      </c>
      <c r="Q53" s="11"/>
      <c r="R53" s="46" t="e">
        <f>(1-(O53/O50))*100</f>
        <v>#DIV/0!</v>
      </c>
      <c r="Y53" s="2"/>
      <c r="Z53" s="2"/>
      <c r="AA53" s="2"/>
      <c r="AB53" s="2"/>
      <c r="AC53" s="2"/>
      <c r="AD53" s="2"/>
      <c r="AE53" s="2"/>
      <c r="AF53" s="2"/>
      <c r="AG53" s="2"/>
    </row>
    <row r="54" spans="1:46" x14ac:dyDescent="0.35">
      <c r="A54" s="41">
        <f>IFERROR(INDEX('Date Key'!$B$2:$B$19, MATCH(F54,'Date Key'!$A$2:$A$19, 0)), "")</f>
        <v>45371</v>
      </c>
      <c r="B54" s="4">
        <f t="shared" si="15"/>
        <v>6</v>
      </c>
      <c r="C54" s="26" t="str">
        <f>IFERROR(INDEX('Date Key'!$G$57:$G$62, MATCH(B54,'Date Key'!$A$57:$A$62, 0)), "")</f>
        <v>Medium HLR, Upper Outlet Height, Yes Plants</v>
      </c>
      <c r="D54" s="4" t="str">
        <f>IFERROR(INDEX('Date Key'!$G$2:$G$19, MATCH(F54, 'Date Key'!$A$2:$A$19, 0)), "")</f>
        <v>No</v>
      </c>
      <c r="E54" s="4" t="str">
        <f t="shared" si="1"/>
        <v>tank 2</v>
      </c>
      <c r="F54" s="4">
        <f t="shared" si="2"/>
        <v>16</v>
      </c>
      <c r="G54" s="4">
        <f t="shared" si="22"/>
        <v>1</v>
      </c>
      <c r="H54" s="11" cm="1">
        <f t="array" ref="H54">IFERROR(INDEX('Master Data Sheet'!$1:$1048576, MATCH(1, ('Master Data Sheet'!$H:$H=H$2) * (INDEX('Master Data Sheet'!$1:$1, , MATCH($F$1, 'Master Data Sheet'!$1:$1, 0)) = $F$1) * ('Master Data Sheet'!$G:$G=$B54) * ('Master Data Sheet'!$F:$F=$E54) * ('Master Data Sheet'!$A:$A=$F54), 0), MATCH($F$1, 'Master Data Sheet'!$1:$1, 0)), "")</f>
        <v>0</v>
      </c>
      <c r="I54" s="11" cm="1">
        <f t="array" ref="I54">IFERROR(INDEX('Master Data Sheet'!$1:$1048576, MATCH(1, ('Master Data Sheet'!$H:$H=I$2) * (INDEX('Master Data Sheet'!$1:$1, , MATCH($F$1, 'Master Data Sheet'!$1:$1, 0)) = $F$1) * ('Master Data Sheet'!$G:$G=$B54) * ('Master Data Sheet'!$F:$F=$E54) * ('Master Data Sheet'!$A:$A=$F54), 0), MATCH($F$1, 'Master Data Sheet'!$1:$1, 0)), "")</f>
        <v>0</v>
      </c>
      <c r="J54" s="11" cm="1">
        <f t="array" ref="J54">IFERROR(INDEX('Master Data Sheet'!$1:$1048576, MATCH(1, ('Master Data Sheet'!$H:$H=J$2) * (INDEX('Master Data Sheet'!$1:$1, , MATCH($F$1, 'Master Data Sheet'!$1:$1, 0)) = $F$1) * ('Master Data Sheet'!$G:$G=$B54) * ('Master Data Sheet'!$F:$F=$E54) * ('Master Data Sheet'!$A:$A=$F54), 0), MATCH($F$1, 'Master Data Sheet'!$1:$1, 0)), "")</f>
        <v>0</v>
      </c>
      <c r="K54" s="11" cm="1">
        <f t="array" ref="K54">IFERROR(INDEX('Master Data Sheet'!$1:$1048576, MATCH(1, ('Master Data Sheet'!$H:$H=K$2) * (INDEX('Master Data Sheet'!$1:$1, , MATCH($F$1, 'Master Data Sheet'!$1:$1, 0)) = $F$1) * ('Master Data Sheet'!$G:$G=$B54) * ('Master Data Sheet'!$F:$F=$E54) * ('Master Data Sheet'!$A:$A=$F54), 0), MATCH($F$1, 'Master Data Sheet'!$1:$1, 0)), "")</f>
        <v>0</v>
      </c>
      <c r="L54" s="11" cm="1">
        <f t="array" ref="L54">IFERROR(INDEX('Master Data Sheet'!$1:$1048576, MATCH(1, ('Master Data Sheet'!$H:$H=L$2) * (INDEX('Master Data Sheet'!$1:$1, , MATCH($F$1, 'Master Data Sheet'!$1:$1, 0)) = $F$1) * ('Master Data Sheet'!$G:$G=$B54) * ('Master Data Sheet'!$F:$F=$E54) * ('Master Data Sheet'!$A:$A=$F54), 0), MATCH($F$1, 'Master Data Sheet'!$1:$1, 0)), "")</f>
        <v>0</v>
      </c>
      <c r="M54" s="11" cm="1">
        <f t="array" ref="M54">IFERROR(INDEX('Master Data Sheet'!$1:$1048576, MATCH(1, ('Master Data Sheet'!$H:$H=M$2) * (INDEX('Master Data Sheet'!$1:$1, , MATCH($F$1, 'Master Data Sheet'!$1:$1, 0)) = $F$1) * ('Master Data Sheet'!$G:$G=$B54) * ('Master Data Sheet'!$F:$F=$E54) * ('Master Data Sheet'!$A:$A=$F54), 0), MATCH($F$1, 'Master Data Sheet'!$1:$1, 0)), "")</f>
        <v>0</v>
      </c>
      <c r="N54" s="11" cm="1">
        <f t="array" ref="N54">IFERROR(INDEX('Master Data Sheet'!$1:$1048576, MATCH(1, ('Master Data Sheet'!$H:$H=N$2) * (INDEX('Master Data Sheet'!$1:$1, , MATCH($F$1, 'Master Data Sheet'!$1:$1, 0)) = $F$1) * ('Master Data Sheet'!$G:$G=$B54) * ('Master Data Sheet'!$F:$F=$E54) * ('Master Data Sheet'!$A:$A=$F54), 0), MATCH($F$1, 'Master Data Sheet'!$1:$1, 0)), "")</f>
        <v>0</v>
      </c>
      <c r="O54" s="11">
        <f t="shared" si="8"/>
        <v>0</v>
      </c>
      <c r="P54" s="11">
        <f t="shared" si="4"/>
        <v>0</v>
      </c>
      <c r="Q54" s="11">
        <f>AVERAGE(N54:N56)</f>
        <v>0</v>
      </c>
      <c r="R54" s="46" t="e">
        <f>(1-(O54/O48))*100</f>
        <v>#DIV/0!</v>
      </c>
      <c r="S54" s="46" t="e">
        <f>AVERAGE(R54:R56)</f>
        <v>#DIV/0!</v>
      </c>
      <c r="T54" s="46" t="e">
        <f>STDEV(R54:R56)</f>
        <v>#DIV/0!</v>
      </c>
      <c r="U54" s="47" t="e">
        <f>(1-(AVERAGE(H54:N56)/AVERAGE(H48:N50)))*100</f>
        <v>#DIV/0!</v>
      </c>
      <c r="Y54" s="2"/>
      <c r="Z54" s="2"/>
      <c r="AA54" s="2"/>
      <c r="AB54" s="2"/>
      <c r="AC54" s="2"/>
      <c r="AD54" s="2"/>
      <c r="AE54" s="2"/>
      <c r="AF54" s="2"/>
      <c r="AG54" s="2"/>
    </row>
    <row r="55" spans="1:46" x14ac:dyDescent="0.35">
      <c r="A55" s="41">
        <f>IFERROR(INDEX('Date Key'!$B$2:$B$19, MATCH(F55,'Date Key'!$A$2:$A$19, 0)), "")</f>
        <v>45392</v>
      </c>
      <c r="B55" s="4">
        <f t="shared" si="15"/>
        <v>6</v>
      </c>
      <c r="C55" s="26" t="str">
        <f>IFERROR(INDEX('Date Key'!$G$57:$G$62, MATCH(B55,'Date Key'!$A$57:$A$62, 0)), "")</f>
        <v>Medium HLR, Upper Outlet Height, Yes Plants</v>
      </c>
      <c r="D55" s="4" t="str">
        <f>IFERROR(INDEX('Date Key'!$G$2:$G$19, MATCH(F55, 'Date Key'!$A$2:$A$19, 0)), "")</f>
        <v>No</v>
      </c>
      <c r="E55" s="4" t="str">
        <f t="shared" si="1"/>
        <v>tank 2</v>
      </c>
      <c r="F55" s="4">
        <f t="shared" si="2"/>
        <v>17</v>
      </c>
      <c r="G55" s="4">
        <f t="shared" si="22"/>
        <v>2</v>
      </c>
      <c r="H55" s="11" cm="1">
        <f t="array" ref="H55">IFERROR(INDEX('Master Data Sheet'!$1:$1048576, MATCH(1, ('Master Data Sheet'!$H:$H=H$2) * (INDEX('Master Data Sheet'!$1:$1, , MATCH($F$1, 'Master Data Sheet'!$1:$1, 0)) = $F$1) * ('Master Data Sheet'!$G:$G=$B55) * ('Master Data Sheet'!$F:$F=$E55) * ('Master Data Sheet'!$A:$A=$F55), 0), MATCH($F$1, 'Master Data Sheet'!$1:$1, 0)), "")</f>
        <v>0</v>
      </c>
      <c r="I55" s="11" cm="1">
        <f t="array" ref="I55">IFERROR(INDEX('Master Data Sheet'!$1:$1048576, MATCH(1, ('Master Data Sheet'!$H:$H=I$2) * (INDEX('Master Data Sheet'!$1:$1, , MATCH($F$1, 'Master Data Sheet'!$1:$1, 0)) = $F$1) * ('Master Data Sheet'!$G:$G=$B55) * ('Master Data Sheet'!$F:$F=$E55) * ('Master Data Sheet'!$A:$A=$F55), 0), MATCH($F$1, 'Master Data Sheet'!$1:$1, 0)), "")</f>
        <v>0</v>
      </c>
      <c r="J55" s="11" cm="1">
        <f t="array" ref="J55">IFERROR(INDEX('Master Data Sheet'!$1:$1048576, MATCH(1, ('Master Data Sheet'!$H:$H=J$2) * (INDEX('Master Data Sheet'!$1:$1, , MATCH($F$1, 'Master Data Sheet'!$1:$1, 0)) = $F$1) * ('Master Data Sheet'!$G:$G=$B55) * ('Master Data Sheet'!$F:$F=$E55) * ('Master Data Sheet'!$A:$A=$F55), 0), MATCH($F$1, 'Master Data Sheet'!$1:$1, 0)), "")</f>
        <v>0</v>
      </c>
      <c r="K55" s="11" cm="1">
        <f t="array" ref="K55">IFERROR(INDEX('Master Data Sheet'!$1:$1048576, MATCH(1, ('Master Data Sheet'!$H:$H=K$2) * (INDEX('Master Data Sheet'!$1:$1, , MATCH($F$1, 'Master Data Sheet'!$1:$1, 0)) = $F$1) * ('Master Data Sheet'!$G:$G=$B55) * ('Master Data Sheet'!$F:$F=$E55) * ('Master Data Sheet'!$A:$A=$F55), 0), MATCH($F$1, 'Master Data Sheet'!$1:$1, 0)), "")</f>
        <v>0</v>
      </c>
      <c r="L55" s="11" cm="1">
        <f t="array" ref="L55">IFERROR(INDEX('Master Data Sheet'!$1:$1048576, MATCH(1, ('Master Data Sheet'!$H:$H=L$2) * (INDEX('Master Data Sheet'!$1:$1, , MATCH($F$1, 'Master Data Sheet'!$1:$1, 0)) = $F$1) * ('Master Data Sheet'!$G:$G=$B55) * ('Master Data Sheet'!$F:$F=$E55) * ('Master Data Sheet'!$A:$A=$F55), 0), MATCH($F$1, 'Master Data Sheet'!$1:$1, 0)), "")</f>
        <v>0</v>
      </c>
      <c r="M55" s="11" cm="1">
        <f t="array" ref="M55">IFERROR(INDEX('Master Data Sheet'!$1:$1048576, MATCH(1, ('Master Data Sheet'!$H:$H=M$2) * (INDEX('Master Data Sheet'!$1:$1, , MATCH($F$1, 'Master Data Sheet'!$1:$1, 0)) = $F$1) * ('Master Data Sheet'!$G:$G=$B55) * ('Master Data Sheet'!$F:$F=$E55) * ('Master Data Sheet'!$A:$A=$F55), 0), MATCH($F$1, 'Master Data Sheet'!$1:$1, 0)), "")</f>
        <v>0</v>
      </c>
      <c r="N55" s="11" cm="1">
        <f t="array" ref="N55">IFERROR(INDEX('Master Data Sheet'!$1:$1048576, MATCH(1, ('Master Data Sheet'!$H:$H=N$2) * (INDEX('Master Data Sheet'!$1:$1, , MATCH($F$1, 'Master Data Sheet'!$1:$1, 0)) = $F$1) * ('Master Data Sheet'!$G:$G=$B55) * ('Master Data Sheet'!$F:$F=$E55) * ('Master Data Sheet'!$A:$A=$F55), 0), MATCH($F$1, 'Master Data Sheet'!$1:$1, 0)), "")</f>
        <v>0</v>
      </c>
      <c r="O55" s="11">
        <f t="shared" si="8"/>
        <v>0</v>
      </c>
      <c r="P55" s="11">
        <f t="shared" si="4"/>
        <v>0</v>
      </c>
      <c r="Q55" s="11"/>
      <c r="R55" s="46" t="e">
        <f>(1-(O55/O49))*100</f>
        <v>#DIV/0!</v>
      </c>
      <c r="X55" t="str">
        <f>IFERROR(INDEX('Date Key'!$G$57:$G$62, MATCH(B54,'Date Key'!$A$57:$A$62, 0)), "")</f>
        <v>Medium HLR, Upper Outlet Height, Yes Plants</v>
      </c>
      <c r="Y55" s="1">
        <f t="shared" ref="Y55:AE55" si="59">H54</f>
        <v>0</v>
      </c>
      <c r="Z55" s="1">
        <f t="shared" si="59"/>
        <v>0</v>
      </c>
      <c r="AA55" s="1">
        <f t="shared" si="59"/>
        <v>0</v>
      </c>
      <c r="AB55" s="1">
        <f t="shared" si="59"/>
        <v>0</v>
      </c>
      <c r="AC55" s="1">
        <f t="shared" si="59"/>
        <v>0</v>
      </c>
      <c r="AD55" s="1">
        <f t="shared" si="59"/>
        <v>0</v>
      </c>
      <c r="AE55" s="1">
        <f t="shared" si="59"/>
        <v>0</v>
      </c>
      <c r="AF55" s="1">
        <f t="shared" ref="AF55:AL55" si="60">H55</f>
        <v>0</v>
      </c>
      <c r="AG55" s="1">
        <f t="shared" si="60"/>
        <v>0</v>
      </c>
      <c r="AH55" s="1">
        <f t="shared" si="60"/>
        <v>0</v>
      </c>
      <c r="AI55" s="1">
        <f t="shared" si="60"/>
        <v>0</v>
      </c>
      <c r="AJ55" s="1">
        <f t="shared" si="60"/>
        <v>0</v>
      </c>
      <c r="AK55" s="1">
        <f t="shared" si="60"/>
        <v>0</v>
      </c>
      <c r="AL55" s="1">
        <f t="shared" si="60"/>
        <v>0</v>
      </c>
      <c r="AM55" s="1">
        <f t="shared" ref="AM55:AS55" si="61">H56</f>
        <v>0</v>
      </c>
      <c r="AN55" s="1">
        <f t="shared" si="61"/>
        <v>0</v>
      </c>
      <c r="AO55" s="1">
        <f t="shared" si="61"/>
        <v>0</v>
      </c>
      <c r="AP55" s="1">
        <f t="shared" si="61"/>
        <v>0</v>
      </c>
      <c r="AQ55" s="1">
        <f t="shared" si="61"/>
        <v>0</v>
      </c>
      <c r="AR55" s="1">
        <f t="shared" si="61"/>
        <v>0</v>
      </c>
      <c r="AS55" s="1">
        <f t="shared" si="61"/>
        <v>0</v>
      </c>
    </row>
    <row r="56" spans="1:46" x14ac:dyDescent="0.35">
      <c r="A56" s="42">
        <f>IFERROR(INDEX('Date Key'!$B$2:$B$19, MATCH(F56,'Date Key'!$A$2:$A$19, 0)), "")</f>
        <v>45400</v>
      </c>
      <c r="B56" s="27">
        <f t="shared" si="15"/>
        <v>6</v>
      </c>
      <c r="C56" s="51" t="str">
        <f>IFERROR(INDEX('Date Key'!$G$57:$G$62, MATCH(B56,'Date Key'!$A$57:$A$62, 0)), "")</f>
        <v>Medium HLR, Upper Outlet Height, Yes Plants</v>
      </c>
      <c r="D56" s="27" t="str">
        <f>IFERROR(INDEX('Date Key'!$G$2:$G$19, MATCH(F56, 'Date Key'!$A$2:$A$19, 0)), "")</f>
        <v>Yes</v>
      </c>
      <c r="E56" s="27" t="str">
        <f t="shared" si="1"/>
        <v>tank 2</v>
      </c>
      <c r="F56" s="27">
        <f t="shared" si="2"/>
        <v>18</v>
      </c>
      <c r="G56" s="27">
        <f t="shared" si="22"/>
        <v>3</v>
      </c>
      <c r="H56" s="28" cm="1">
        <f t="array" ref="H56">IFERROR(INDEX('Master Data Sheet'!$1:$1048576, MATCH(1, ('Master Data Sheet'!$H:$H=H$2) * (INDEX('Master Data Sheet'!$1:$1, , MATCH($F$1, 'Master Data Sheet'!$1:$1, 0)) = $F$1) * ('Master Data Sheet'!$G:$G=$B56) * ('Master Data Sheet'!$F:$F=$E56) * ('Master Data Sheet'!$A:$A=$F56), 0), MATCH($F$1, 'Master Data Sheet'!$1:$1, 0)), "")</f>
        <v>0</v>
      </c>
      <c r="I56" s="28" cm="1">
        <f t="array" ref="I56">IFERROR(INDEX('Master Data Sheet'!$1:$1048576, MATCH(1, ('Master Data Sheet'!$H:$H=I$2) * (INDEX('Master Data Sheet'!$1:$1, , MATCH($F$1, 'Master Data Sheet'!$1:$1, 0)) = $F$1) * ('Master Data Sheet'!$G:$G=$B56) * ('Master Data Sheet'!$F:$F=$E56) * ('Master Data Sheet'!$A:$A=$F56), 0), MATCH($F$1, 'Master Data Sheet'!$1:$1, 0)), "")</f>
        <v>0</v>
      </c>
      <c r="J56" s="28" cm="1">
        <f t="array" ref="J56">IFERROR(INDEX('Master Data Sheet'!$1:$1048576, MATCH(1, ('Master Data Sheet'!$H:$H=J$2) * (INDEX('Master Data Sheet'!$1:$1, , MATCH($F$1, 'Master Data Sheet'!$1:$1, 0)) = $F$1) * ('Master Data Sheet'!$G:$G=$B56) * ('Master Data Sheet'!$F:$F=$E56) * ('Master Data Sheet'!$A:$A=$F56), 0), MATCH($F$1, 'Master Data Sheet'!$1:$1, 0)), "")</f>
        <v>0</v>
      </c>
      <c r="K56" s="28" cm="1">
        <f t="array" ref="K56">IFERROR(INDEX('Master Data Sheet'!$1:$1048576, MATCH(1, ('Master Data Sheet'!$H:$H=K$2) * (INDEX('Master Data Sheet'!$1:$1, , MATCH($F$1, 'Master Data Sheet'!$1:$1, 0)) = $F$1) * ('Master Data Sheet'!$G:$G=$B56) * ('Master Data Sheet'!$F:$F=$E56) * ('Master Data Sheet'!$A:$A=$F56), 0), MATCH($F$1, 'Master Data Sheet'!$1:$1, 0)), "")</f>
        <v>0</v>
      </c>
      <c r="L56" s="28" cm="1">
        <f t="array" ref="L56">IFERROR(INDEX('Master Data Sheet'!$1:$1048576, MATCH(1, ('Master Data Sheet'!$H:$H=L$2) * (INDEX('Master Data Sheet'!$1:$1, , MATCH($F$1, 'Master Data Sheet'!$1:$1, 0)) = $F$1) * ('Master Data Sheet'!$G:$G=$B56) * ('Master Data Sheet'!$F:$F=$E56) * ('Master Data Sheet'!$A:$A=$F56), 0), MATCH($F$1, 'Master Data Sheet'!$1:$1, 0)), "")</f>
        <v>0</v>
      </c>
      <c r="M56" s="28" cm="1">
        <f t="array" ref="M56">IFERROR(INDEX('Master Data Sheet'!$1:$1048576, MATCH(1, ('Master Data Sheet'!$H:$H=M$2) * (INDEX('Master Data Sheet'!$1:$1, , MATCH($F$1, 'Master Data Sheet'!$1:$1, 0)) = $F$1) * ('Master Data Sheet'!$G:$G=$B56) * ('Master Data Sheet'!$F:$F=$E56) * ('Master Data Sheet'!$A:$A=$F56), 0), MATCH($F$1, 'Master Data Sheet'!$1:$1, 0)), "")</f>
        <v>0</v>
      </c>
      <c r="N56" s="28" cm="1">
        <f t="array" ref="N56">IFERROR(INDEX('Master Data Sheet'!$1:$1048576, MATCH(1, ('Master Data Sheet'!$H:$H=N$2) * (INDEX('Master Data Sheet'!$1:$1, , MATCH($F$1, 'Master Data Sheet'!$1:$1, 0)) = $F$1) * ('Master Data Sheet'!$G:$G=$B56) * ('Master Data Sheet'!$F:$F=$E56) * ('Master Data Sheet'!$A:$A=$F56), 0), MATCH($F$1, 'Master Data Sheet'!$1:$1, 0)), "")</f>
        <v>0</v>
      </c>
      <c r="O56" s="28">
        <f t="shared" si="8"/>
        <v>0</v>
      </c>
      <c r="P56" s="28">
        <f t="shared" si="4"/>
        <v>0</v>
      </c>
      <c r="Q56" s="28"/>
      <c r="R56" s="48" t="e">
        <f>(1-(O56/O50))*100</f>
        <v>#DIV/0!</v>
      </c>
      <c r="S56" s="27"/>
      <c r="T56" s="27"/>
      <c r="U56" s="27"/>
      <c r="V56" s="27"/>
    </row>
    <row r="58" spans="1:46" x14ac:dyDescent="0.35">
      <c r="X58" t="s">
        <v>456</v>
      </c>
      <c r="Y58" t="s">
        <v>465</v>
      </c>
    </row>
    <row r="59" spans="1:46" x14ac:dyDescent="0.35">
      <c r="X59" t="s">
        <v>344</v>
      </c>
      <c r="Y59" s="30" t="s">
        <v>457</v>
      </c>
      <c r="Z59" s="1">
        <f t="shared" ref="Z59:AT59" si="62">Y4</f>
        <v>0</v>
      </c>
      <c r="AA59" s="1">
        <f t="shared" si="62"/>
        <v>0</v>
      </c>
      <c r="AB59" s="1">
        <f t="shared" si="62"/>
        <v>0</v>
      </c>
      <c r="AC59" s="1">
        <f t="shared" si="62"/>
        <v>0</v>
      </c>
      <c r="AD59" s="1">
        <f t="shared" si="62"/>
        <v>0</v>
      </c>
      <c r="AE59" s="1">
        <f t="shared" si="62"/>
        <v>0</v>
      </c>
      <c r="AF59" s="1">
        <f t="shared" si="62"/>
        <v>0</v>
      </c>
      <c r="AG59" s="1">
        <f t="shared" si="62"/>
        <v>0</v>
      </c>
      <c r="AH59" s="1">
        <f t="shared" si="62"/>
        <v>0</v>
      </c>
      <c r="AI59" s="1">
        <f t="shared" si="62"/>
        <v>0</v>
      </c>
      <c r="AJ59" s="1">
        <f t="shared" si="62"/>
        <v>0</v>
      </c>
      <c r="AK59" s="1">
        <f t="shared" si="62"/>
        <v>0</v>
      </c>
      <c r="AL59" s="1">
        <f t="shared" si="62"/>
        <v>0</v>
      </c>
      <c r="AM59" s="1">
        <f t="shared" si="62"/>
        <v>0</v>
      </c>
      <c r="AN59" s="1">
        <f t="shared" si="62"/>
        <v>0</v>
      </c>
      <c r="AO59" s="1">
        <f t="shared" si="62"/>
        <v>0</v>
      </c>
      <c r="AP59" s="1">
        <f t="shared" si="62"/>
        <v>0</v>
      </c>
      <c r="AQ59" s="1">
        <f t="shared" si="62"/>
        <v>0</v>
      </c>
      <c r="AR59" s="1">
        <f t="shared" si="62"/>
        <v>0</v>
      </c>
      <c r="AS59" s="1">
        <f t="shared" si="62"/>
        <v>0</v>
      </c>
      <c r="AT59" s="1">
        <f t="shared" si="62"/>
        <v>0</v>
      </c>
    </row>
    <row r="60" spans="1:46" x14ac:dyDescent="0.35">
      <c r="X60" t="s">
        <v>345</v>
      </c>
      <c r="Y60" s="30" t="s">
        <v>457</v>
      </c>
      <c r="Z60" s="1">
        <f t="shared" ref="Z60:AT60" si="63">Y7</f>
        <v>0</v>
      </c>
      <c r="AA60" s="1">
        <f t="shared" si="63"/>
        <v>0</v>
      </c>
      <c r="AB60" s="1">
        <f t="shared" si="63"/>
        <v>0</v>
      </c>
      <c r="AC60" s="1">
        <f t="shared" si="63"/>
        <v>0</v>
      </c>
      <c r="AD60" s="1">
        <f t="shared" si="63"/>
        <v>0</v>
      </c>
      <c r="AE60" s="1">
        <f t="shared" si="63"/>
        <v>0</v>
      </c>
      <c r="AF60" s="1">
        <f t="shared" si="63"/>
        <v>0</v>
      </c>
      <c r="AG60" s="1">
        <f t="shared" si="63"/>
        <v>0</v>
      </c>
      <c r="AH60" s="1">
        <f t="shared" si="63"/>
        <v>0</v>
      </c>
      <c r="AI60" s="1">
        <f t="shared" si="63"/>
        <v>0</v>
      </c>
      <c r="AJ60" s="1">
        <f t="shared" si="63"/>
        <v>0</v>
      </c>
      <c r="AK60" s="1">
        <f t="shared" si="63"/>
        <v>0</v>
      </c>
      <c r="AL60" s="1">
        <f t="shared" si="63"/>
        <v>0</v>
      </c>
      <c r="AM60" s="1">
        <f t="shared" si="63"/>
        <v>0</v>
      </c>
      <c r="AN60" s="1">
        <f t="shared" si="63"/>
        <v>0</v>
      </c>
      <c r="AO60" s="1">
        <f t="shared" si="63"/>
        <v>0</v>
      </c>
      <c r="AP60" s="1">
        <f t="shared" si="63"/>
        <v>0</v>
      </c>
      <c r="AQ60" s="1">
        <f t="shared" si="63"/>
        <v>0</v>
      </c>
      <c r="AR60" s="1">
        <f t="shared" si="63"/>
        <v>0</v>
      </c>
      <c r="AS60" s="1">
        <f t="shared" si="63"/>
        <v>0</v>
      </c>
      <c r="AT60" s="1">
        <f t="shared" si="63"/>
        <v>0</v>
      </c>
    </row>
    <row r="61" spans="1:46" x14ac:dyDescent="0.35">
      <c r="X61" t="s">
        <v>346</v>
      </c>
      <c r="Y61" s="30" t="s">
        <v>457</v>
      </c>
      <c r="Z61" s="1">
        <f t="shared" ref="Z61:AT61" si="64">Y10</f>
        <v>0</v>
      </c>
      <c r="AA61" s="1">
        <f t="shared" si="64"/>
        <v>0</v>
      </c>
      <c r="AB61" s="1">
        <f t="shared" si="64"/>
        <v>0</v>
      </c>
      <c r="AC61" s="1">
        <f t="shared" si="64"/>
        <v>0</v>
      </c>
      <c r="AD61" s="1">
        <f t="shared" si="64"/>
        <v>0</v>
      </c>
      <c r="AE61" s="1">
        <f t="shared" si="64"/>
        <v>0</v>
      </c>
      <c r="AF61" s="1">
        <f t="shared" si="64"/>
        <v>0</v>
      </c>
      <c r="AG61" s="1">
        <f t="shared" si="64"/>
        <v>0</v>
      </c>
      <c r="AH61" s="1">
        <f t="shared" si="64"/>
        <v>0</v>
      </c>
      <c r="AI61" s="1">
        <f t="shared" si="64"/>
        <v>0</v>
      </c>
      <c r="AJ61" s="1">
        <f t="shared" si="64"/>
        <v>0</v>
      </c>
      <c r="AK61" s="1">
        <f t="shared" si="64"/>
        <v>0</v>
      </c>
      <c r="AL61" s="1">
        <f t="shared" si="64"/>
        <v>0</v>
      </c>
      <c r="AM61" s="1">
        <f t="shared" si="64"/>
        <v>0</v>
      </c>
      <c r="AN61" s="1">
        <f t="shared" si="64"/>
        <v>0</v>
      </c>
      <c r="AO61" s="1">
        <f t="shared" si="64"/>
        <v>0</v>
      </c>
      <c r="AP61" s="1">
        <f t="shared" si="64"/>
        <v>0</v>
      </c>
      <c r="AQ61" s="1">
        <f t="shared" si="64"/>
        <v>0</v>
      </c>
      <c r="AR61" s="1">
        <f t="shared" si="64"/>
        <v>0</v>
      </c>
      <c r="AS61" s="1">
        <f t="shared" si="64"/>
        <v>0</v>
      </c>
      <c r="AT61" s="1">
        <f t="shared" si="64"/>
        <v>0</v>
      </c>
    </row>
    <row r="62" spans="1:46" x14ac:dyDescent="0.35">
      <c r="X62" t="s">
        <v>344</v>
      </c>
      <c r="Y62" s="30" t="s">
        <v>458</v>
      </c>
      <c r="Z62" s="1">
        <f t="shared" ref="Z62:AT62" si="65">Y13</f>
        <v>0</v>
      </c>
      <c r="AA62" s="1">
        <f t="shared" si="65"/>
        <v>0</v>
      </c>
      <c r="AB62" s="1">
        <f t="shared" si="65"/>
        <v>0</v>
      </c>
      <c r="AC62" s="1">
        <f t="shared" si="65"/>
        <v>0</v>
      </c>
      <c r="AD62" s="1">
        <f t="shared" si="65"/>
        <v>0</v>
      </c>
      <c r="AE62" s="1">
        <f t="shared" si="65"/>
        <v>0</v>
      </c>
      <c r="AF62" s="1">
        <f t="shared" si="65"/>
        <v>0</v>
      </c>
      <c r="AG62" s="1">
        <f t="shared" si="65"/>
        <v>0</v>
      </c>
      <c r="AH62" s="1">
        <f t="shared" si="65"/>
        <v>0</v>
      </c>
      <c r="AI62" s="1">
        <f t="shared" si="65"/>
        <v>0</v>
      </c>
      <c r="AJ62" s="1">
        <f t="shared" si="65"/>
        <v>0</v>
      </c>
      <c r="AK62" s="1">
        <f t="shared" si="65"/>
        <v>0</v>
      </c>
      <c r="AL62" s="1">
        <f t="shared" si="65"/>
        <v>0</v>
      </c>
      <c r="AM62" s="1">
        <f t="shared" si="65"/>
        <v>0</v>
      </c>
      <c r="AN62" s="1">
        <f t="shared" si="65"/>
        <v>0</v>
      </c>
      <c r="AO62" s="1">
        <f t="shared" si="65"/>
        <v>0</v>
      </c>
      <c r="AP62" s="1">
        <f t="shared" si="65"/>
        <v>0</v>
      </c>
      <c r="AQ62" s="1">
        <f t="shared" si="65"/>
        <v>0</v>
      </c>
      <c r="AR62" s="1">
        <f t="shared" si="65"/>
        <v>0</v>
      </c>
      <c r="AS62" s="1">
        <f t="shared" si="65"/>
        <v>0</v>
      </c>
      <c r="AT62" s="1">
        <f t="shared" si="65"/>
        <v>0</v>
      </c>
    </row>
    <row r="63" spans="1:46" x14ac:dyDescent="0.35">
      <c r="X63" t="s">
        <v>345</v>
      </c>
      <c r="Y63" s="30" t="s">
        <v>458</v>
      </c>
      <c r="Z63" s="1">
        <f t="shared" ref="Z63:AT63" si="66">Y16</f>
        <v>0</v>
      </c>
      <c r="AA63" s="1">
        <f t="shared" si="66"/>
        <v>0</v>
      </c>
      <c r="AB63" s="1">
        <f t="shared" si="66"/>
        <v>0</v>
      </c>
      <c r="AC63" s="1">
        <f t="shared" si="66"/>
        <v>0</v>
      </c>
      <c r="AD63" s="1">
        <f t="shared" si="66"/>
        <v>0</v>
      </c>
      <c r="AE63" s="1">
        <f t="shared" si="66"/>
        <v>0</v>
      </c>
      <c r="AF63" s="1">
        <f t="shared" si="66"/>
        <v>0</v>
      </c>
      <c r="AG63" s="1">
        <f t="shared" si="66"/>
        <v>0</v>
      </c>
      <c r="AH63" s="1">
        <f t="shared" si="66"/>
        <v>0</v>
      </c>
      <c r="AI63" s="1">
        <f t="shared" si="66"/>
        <v>0</v>
      </c>
      <c r="AJ63" s="1">
        <f t="shared" si="66"/>
        <v>0</v>
      </c>
      <c r="AK63" s="1">
        <f t="shared" si="66"/>
        <v>0</v>
      </c>
      <c r="AL63" s="1">
        <f t="shared" si="66"/>
        <v>0</v>
      </c>
      <c r="AM63" s="1">
        <f t="shared" si="66"/>
        <v>0</v>
      </c>
      <c r="AN63" s="1">
        <f t="shared" si="66"/>
        <v>0</v>
      </c>
      <c r="AO63" s="1">
        <f t="shared" si="66"/>
        <v>0</v>
      </c>
      <c r="AP63" s="1">
        <f t="shared" si="66"/>
        <v>0</v>
      </c>
      <c r="AQ63" s="1">
        <f t="shared" si="66"/>
        <v>0</v>
      </c>
      <c r="AR63" s="1">
        <f t="shared" si="66"/>
        <v>0</v>
      </c>
      <c r="AS63" s="1">
        <f t="shared" si="66"/>
        <v>0</v>
      </c>
      <c r="AT63" s="1">
        <f t="shared" si="66"/>
        <v>0</v>
      </c>
    </row>
    <row r="64" spans="1:46" x14ac:dyDescent="0.35">
      <c r="X64" t="s">
        <v>346</v>
      </c>
      <c r="Y64" s="30" t="s">
        <v>458</v>
      </c>
      <c r="Z64" s="1">
        <f t="shared" ref="Z64:AT64" si="67">Y19</f>
        <v>0</v>
      </c>
      <c r="AA64" s="1">
        <f t="shared" si="67"/>
        <v>0</v>
      </c>
      <c r="AB64" s="1">
        <f t="shared" si="67"/>
        <v>0</v>
      </c>
      <c r="AC64" s="1">
        <f t="shared" si="67"/>
        <v>0</v>
      </c>
      <c r="AD64" s="1">
        <f t="shared" si="67"/>
        <v>0</v>
      </c>
      <c r="AE64" s="1">
        <f t="shared" si="67"/>
        <v>0</v>
      </c>
      <c r="AF64" s="1">
        <f t="shared" si="67"/>
        <v>0</v>
      </c>
      <c r="AG64" s="1">
        <f t="shared" si="67"/>
        <v>0</v>
      </c>
      <c r="AH64" s="1">
        <f t="shared" si="67"/>
        <v>0</v>
      </c>
      <c r="AI64" s="1">
        <f t="shared" si="67"/>
        <v>0</v>
      </c>
      <c r="AJ64" s="1">
        <f t="shared" si="67"/>
        <v>0</v>
      </c>
      <c r="AK64" s="1">
        <f t="shared" si="67"/>
        <v>0</v>
      </c>
      <c r="AL64" s="1">
        <f t="shared" si="67"/>
        <v>0</v>
      </c>
      <c r="AM64" s="1">
        <f t="shared" si="67"/>
        <v>0</v>
      </c>
      <c r="AN64" s="1">
        <f t="shared" si="67"/>
        <v>0</v>
      </c>
      <c r="AO64" s="1">
        <f t="shared" si="67"/>
        <v>0</v>
      </c>
      <c r="AP64" s="1">
        <f t="shared" si="67"/>
        <v>0</v>
      </c>
      <c r="AQ64" s="1">
        <f t="shared" si="67"/>
        <v>0</v>
      </c>
      <c r="AR64" s="1">
        <f t="shared" si="67"/>
        <v>0</v>
      </c>
      <c r="AS64" s="1">
        <f t="shared" si="67"/>
        <v>0</v>
      </c>
      <c r="AT64" s="1">
        <f t="shared" si="67"/>
        <v>0</v>
      </c>
    </row>
    <row r="65" spans="24:46" x14ac:dyDescent="0.35">
      <c r="X65" t="s">
        <v>344</v>
      </c>
      <c r="Y65" s="30" t="s">
        <v>459</v>
      </c>
      <c r="Z65" s="1">
        <f t="shared" ref="Z65:AT65" si="68">Y22</f>
        <v>0</v>
      </c>
      <c r="AA65" s="1">
        <f t="shared" si="68"/>
        <v>0</v>
      </c>
      <c r="AB65" s="1">
        <f t="shared" si="68"/>
        <v>0</v>
      </c>
      <c r="AC65" s="1">
        <f t="shared" si="68"/>
        <v>0</v>
      </c>
      <c r="AD65" s="1">
        <f t="shared" si="68"/>
        <v>0</v>
      </c>
      <c r="AE65" s="1">
        <f t="shared" si="68"/>
        <v>0</v>
      </c>
      <c r="AF65" s="1">
        <f t="shared" si="68"/>
        <v>0</v>
      </c>
      <c r="AG65" s="1">
        <f t="shared" si="68"/>
        <v>7.53</v>
      </c>
      <c r="AH65" s="1">
        <f t="shared" si="68"/>
        <v>7.04</v>
      </c>
      <c r="AI65" s="1">
        <f t="shared" si="68"/>
        <v>6.25</v>
      </c>
      <c r="AJ65" s="1">
        <f t="shared" si="68"/>
        <v>6.12</v>
      </c>
      <c r="AK65" s="1">
        <f t="shared" si="68"/>
        <v>6.29</v>
      </c>
      <c r="AL65" s="1">
        <f t="shared" si="68"/>
        <v>6.49</v>
      </c>
      <c r="AM65" s="1">
        <f t="shared" si="68"/>
        <v>6.27</v>
      </c>
      <c r="AN65" s="1">
        <f t="shared" si="68"/>
        <v>6.2</v>
      </c>
      <c r="AO65" s="1">
        <f t="shared" si="68"/>
        <v>5.42</v>
      </c>
      <c r="AP65" s="1">
        <f t="shared" si="68"/>
        <v>6.26</v>
      </c>
      <c r="AQ65" s="1">
        <f t="shared" si="68"/>
        <v>7.18</v>
      </c>
      <c r="AR65" s="1">
        <f t="shared" si="68"/>
        <v>6.9</v>
      </c>
      <c r="AS65" s="1">
        <f t="shared" si="68"/>
        <v>7.12</v>
      </c>
      <c r="AT65" s="1">
        <f t="shared" si="68"/>
        <v>7.14</v>
      </c>
    </row>
    <row r="66" spans="24:46" x14ac:dyDescent="0.35">
      <c r="X66" t="s">
        <v>345</v>
      </c>
      <c r="Y66" s="30" t="s">
        <v>459</v>
      </c>
      <c r="Z66" s="1">
        <f t="shared" ref="Z66:AT66" si="69">Y25</f>
        <v>0</v>
      </c>
      <c r="AA66" s="1">
        <f t="shared" si="69"/>
        <v>0</v>
      </c>
      <c r="AB66" s="1">
        <f t="shared" si="69"/>
        <v>0</v>
      </c>
      <c r="AC66" s="1">
        <f t="shared" si="69"/>
        <v>0</v>
      </c>
      <c r="AD66" s="1">
        <f t="shared" si="69"/>
        <v>0</v>
      </c>
      <c r="AE66" s="1">
        <f t="shared" si="69"/>
        <v>0</v>
      </c>
      <c r="AF66" s="1">
        <f t="shared" si="69"/>
        <v>0</v>
      </c>
      <c r="AG66" s="1">
        <f t="shared" si="69"/>
        <v>1.42</v>
      </c>
      <c r="AH66" s="1">
        <f t="shared" si="69"/>
        <v>0.8</v>
      </c>
      <c r="AI66" s="1">
        <f t="shared" si="69"/>
        <v>0.98</v>
      </c>
      <c r="AJ66" s="1">
        <f t="shared" si="69"/>
        <v>1.1299999999999999</v>
      </c>
      <c r="AK66" s="1">
        <f t="shared" si="69"/>
        <v>0.84</v>
      </c>
      <c r="AL66" s="1">
        <f t="shared" si="69"/>
        <v>0.74</v>
      </c>
      <c r="AM66" s="1">
        <f t="shared" si="69"/>
        <v>0.79</v>
      </c>
      <c r="AN66" s="1">
        <f t="shared" si="69"/>
        <v>1.2</v>
      </c>
      <c r="AO66" s="1">
        <f t="shared" si="69"/>
        <v>0.93</v>
      </c>
      <c r="AP66" s="1">
        <f t="shared" si="69"/>
        <v>0.93</v>
      </c>
      <c r="AQ66" s="1">
        <f t="shared" si="69"/>
        <v>0.68</v>
      </c>
      <c r="AR66" s="1">
        <f t="shared" si="69"/>
        <v>1.03</v>
      </c>
      <c r="AS66" s="1">
        <f t="shared" si="69"/>
        <v>0.91</v>
      </c>
      <c r="AT66" s="1">
        <f t="shared" si="69"/>
        <v>1.05</v>
      </c>
    </row>
    <row r="67" spans="24:46" x14ac:dyDescent="0.35">
      <c r="X67" t="s">
        <v>346</v>
      </c>
      <c r="Y67" s="30" t="s">
        <v>459</v>
      </c>
      <c r="Z67" s="1">
        <f t="shared" ref="Z67:AT67" si="70">Y28</f>
        <v>0</v>
      </c>
      <c r="AA67" s="1">
        <f t="shared" si="70"/>
        <v>0</v>
      </c>
      <c r="AB67" s="1">
        <f t="shared" si="70"/>
        <v>0</v>
      </c>
      <c r="AC67" s="1">
        <f t="shared" si="70"/>
        <v>0</v>
      </c>
      <c r="AD67" s="1">
        <f t="shared" si="70"/>
        <v>0</v>
      </c>
      <c r="AE67" s="1">
        <f t="shared" si="70"/>
        <v>0</v>
      </c>
      <c r="AF67" s="1">
        <f t="shared" si="70"/>
        <v>0</v>
      </c>
      <c r="AG67" s="1">
        <f t="shared" si="70"/>
        <v>1.23</v>
      </c>
      <c r="AH67" s="1">
        <f t="shared" si="70"/>
        <v>1.1599999999999999</v>
      </c>
      <c r="AI67" s="1">
        <f t="shared" si="70"/>
        <v>1.82</v>
      </c>
      <c r="AJ67" s="1">
        <f t="shared" si="70"/>
        <v>2.2599999999999998</v>
      </c>
      <c r="AK67" s="1">
        <f t="shared" si="70"/>
        <v>2.46</v>
      </c>
      <c r="AL67" s="1">
        <f t="shared" si="70"/>
        <v>2.11</v>
      </c>
      <c r="AM67" s="1">
        <f t="shared" si="70"/>
        <v>2.61</v>
      </c>
      <c r="AN67" s="1">
        <f t="shared" si="70"/>
        <v>0.83</v>
      </c>
      <c r="AO67" s="1">
        <f t="shared" si="70"/>
        <v>1.03</v>
      </c>
      <c r="AP67" s="1">
        <f t="shared" si="70"/>
        <v>1.4</v>
      </c>
      <c r="AQ67" s="1">
        <f t="shared" si="70"/>
        <v>1.4</v>
      </c>
      <c r="AR67" s="1">
        <f t="shared" si="70"/>
        <v>2.1800000000000002</v>
      </c>
      <c r="AS67" s="1">
        <f t="shared" si="70"/>
        <v>2.4</v>
      </c>
      <c r="AT67" s="1">
        <f t="shared" si="70"/>
        <v>2.4</v>
      </c>
    </row>
    <row r="68" spans="24:46" x14ac:dyDescent="0.35">
      <c r="X68" t="s">
        <v>344</v>
      </c>
      <c r="Y68" s="30" t="s">
        <v>460</v>
      </c>
      <c r="Z68" s="1">
        <f t="shared" ref="Z68:AT68" si="71">Y31</f>
        <v>4.16</v>
      </c>
      <c r="AA68" s="1">
        <f t="shared" si="71"/>
        <v>2.81</v>
      </c>
      <c r="AB68" s="1">
        <f t="shared" si="71"/>
        <v>3.13</v>
      </c>
      <c r="AC68" s="1">
        <f t="shared" si="71"/>
        <v>2.54</v>
      </c>
      <c r="AD68" s="1">
        <f t="shared" si="71"/>
        <v>2.73</v>
      </c>
      <c r="AE68" s="1">
        <f t="shared" si="71"/>
        <v>2.42</v>
      </c>
      <c r="AF68" s="1">
        <f t="shared" si="71"/>
        <v>2.6</v>
      </c>
      <c r="AG68" s="1">
        <f t="shared" si="71"/>
        <v>4.7699999999999996</v>
      </c>
      <c r="AH68" s="1">
        <f t="shared" si="71"/>
        <v>6.4</v>
      </c>
      <c r="AI68" s="1">
        <f t="shared" si="71"/>
        <v>8.31</v>
      </c>
      <c r="AJ68" s="1">
        <f t="shared" si="71"/>
        <v>8.14</v>
      </c>
      <c r="AK68" s="1">
        <f t="shared" si="71"/>
        <v>8.0500000000000007</v>
      </c>
      <c r="AL68" s="1">
        <f t="shared" si="71"/>
        <v>6.7</v>
      </c>
      <c r="AM68" s="1">
        <f t="shared" si="71"/>
        <v>7.12</v>
      </c>
      <c r="AN68" s="1">
        <f t="shared" si="71"/>
        <v>7.64</v>
      </c>
      <c r="AO68" s="1">
        <f t="shared" si="71"/>
        <v>7.25</v>
      </c>
      <c r="AP68" s="1">
        <f t="shared" si="71"/>
        <v>6.2</v>
      </c>
      <c r="AQ68" s="1">
        <f t="shared" si="71"/>
        <v>6.3</v>
      </c>
      <c r="AR68" s="1">
        <f t="shared" si="71"/>
        <v>6.23</v>
      </c>
      <c r="AS68" s="1">
        <f t="shared" si="71"/>
        <v>6.8</v>
      </c>
      <c r="AT68" s="1">
        <f t="shared" si="71"/>
        <v>6.12</v>
      </c>
    </row>
    <row r="69" spans="24:46" x14ac:dyDescent="0.35">
      <c r="X69" t="s">
        <v>345</v>
      </c>
      <c r="Y69" s="30" t="s">
        <v>460</v>
      </c>
      <c r="Z69" s="1">
        <f t="shared" ref="Z69:AT69" si="72">Y34</f>
        <v>1.1399999999999999</v>
      </c>
      <c r="AA69" s="1">
        <f t="shared" si="72"/>
        <v>0.86</v>
      </c>
      <c r="AB69" s="1">
        <f t="shared" si="72"/>
        <v>0.76</v>
      </c>
      <c r="AC69" s="1">
        <f t="shared" si="72"/>
        <v>1.02</v>
      </c>
      <c r="AD69" s="1">
        <f t="shared" si="72"/>
        <v>0.47</v>
      </c>
      <c r="AE69" s="1">
        <f t="shared" si="72"/>
        <v>0.54</v>
      </c>
      <c r="AF69" s="1">
        <f t="shared" si="72"/>
        <v>0.51</v>
      </c>
      <c r="AG69" s="1">
        <f t="shared" si="72"/>
        <v>0.96</v>
      </c>
      <c r="AH69" s="1">
        <f t="shared" si="72"/>
        <v>0.86</v>
      </c>
      <c r="AI69" s="1">
        <f t="shared" si="72"/>
        <v>0.91</v>
      </c>
      <c r="AJ69" s="1">
        <f t="shared" si="72"/>
        <v>0.99</v>
      </c>
      <c r="AK69" s="1">
        <f t="shared" si="72"/>
        <v>1.3</v>
      </c>
      <c r="AL69" s="1">
        <f t="shared" si="72"/>
        <v>0.72</v>
      </c>
      <c r="AM69" s="1">
        <f t="shared" si="72"/>
        <v>0.93</v>
      </c>
      <c r="AN69" s="1">
        <f t="shared" si="72"/>
        <v>1.1599999999999999</v>
      </c>
      <c r="AO69" s="1">
        <f t="shared" si="72"/>
        <v>1.06</v>
      </c>
      <c r="AP69" s="1">
        <f t="shared" si="72"/>
        <v>0.73</v>
      </c>
      <c r="AQ69" s="1">
        <f t="shared" si="72"/>
        <v>1.1200000000000001</v>
      </c>
      <c r="AR69" s="1">
        <f t="shared" si="72"/>
        <v>0.93</v>
      </c>
      <c r="AS69" s="1">
        <f t="shared" si="72"/>
        <v>1.64</v>
      </c>
      <c r="AT69" s="1">
        <f t="shared" si="72"/>
        <v>0.85</v>
      </c>
    </row>
    <row r="70" spans="24:46" x14ac:dyDescent="0.35">
      <c r="X70" t="s">
        <v>346</v>
      </c>
      <c r="Y70" s="30" t="s">
        <v>460</v>
      </c>
      <c r="Z70" s="1">
        <f t="shared" ref="Z70:AT70" si="73">Y37</f>
        <v>0.59</v>
      </c>
      <c r="AA70" s="1">
        <f t="shared" si="73"/>
        <v>0.53</v>
      </c>
      <c r="AB70" s="1">
        <f t="shared" si="73"/>
        <v>0.92</v>
      </c>
      <c r="AC70" s="1">
        <f t="shared" si="73"/>
        <v>0.56999999999999995</v>
      </c>
      <c r="AD70" s="1">
        <f t="shared" si="73"/>
        <v>0.49</v>
      </c>
      <c r="AE70" s="1">
        <f t="shared" si="73"/>
        <v>0.5</v>
      </c>
      <c r="AF70" s="1">
        <f t="shared" si="73"/>
        <v>0.52</v>
      </c>
      <c r="AG70" s="1">
        <f t="shared" si="73"/>
        <v>0.97</v>
      </c>
      <c r="AH70" s="1">
        <f t="shared" si="73"/>
        <v>0.96</v>
      </c>
      <c r="AI70" s="1">
        <f t="shared" si="73"/>
        <v>0.98</v>
      </c>
      <c r="AJ70" s="1">
        <f t="shared" si="73"/>
        <v>0.9</v>
      </c>
      <c r="AK70" s="1">
        <f t="shared" si="73"/>
        <v>1.1299999999999999</v>
      </c>
      <c r="AL70" s="1">
        <f t="shared" si="73"/>
        <v>1.5</v>
      </c>
      <c r="AM70" s="1">
        <f t="shared" si="73"/>
        <v>1.83</v>
      </c>
      <c r="AN70" s="1">
        <f t="shared" si="73"/>
        <v>1.2</v>
      </c>
      <c r="AO70" s="1">
        <f t="shared" si="73"/>
        <v>0.54</v>
      </c>
      <c r="AP70" s="1">
        <f t="shared" si="73"/>
        <v>0.67</v>
      </c>
      <c r="AQ70" s="1">
        <f t="shared" si="73"/>
        <v>0.85</v>
      </c>
      <c r="AR70" s="1">
        <f t="shared" si="73"/>
        <v>1.1000000000000001</v>
      </c>
      <c r="AS70" s="1">
        <f t="shared" si="73"/>
        <v>0.84</v>
      </c>
      <c r="AT70" s="1">
        <f t="shared" si="73"/>
        <v>2.02</v>
      </c>
    </row>
    <row r="71" spans="24:46" x14ac:dyDescent="0.35">
      <c r="X71" t="s">
        <v>344</v>
      </c>
      <c r="Y71" s="30" t="s">
        <v>461</v>
      </c>
      <c r="Z71" s="1">
        <f t="shared" ref="Z71:AT71" si="74">Y40</f>
        <v>0</v>
      </c>
      <c r="AA71" s="1">
        <f t="shared" si="74"/>
        <v>0</v>
      </c>
      <c r="AB71" s="1">
        <f t="shared" si="74"/>
        <v>0</v>
      </c>
      <c r="AC71" s="1">
        <f t="shared" si="74"/>
        <v>0</v>
      </c>
      <c r="AD71" s="1">
        <f t="shared" si="74"/>
        <v>0</v>
      </c>
      <c r="AE71" s="1">
        <f t="shared" si="74"/>
        <v>0</v>
      </c>
      <c r="AF71" s="1">
        <f t="shared" si="74"/>
        <v>0</v>
      </c>
      <c r="AG71" s="1">
        <f t="shared" si="74"/>
        <v>0</v>
      </c>
      <c r="AH71" s="1">
        <f t="shared" si="74"/>
        <v>0</v>
      </c>
      <c r="AI71" s="1">
        <f t="shared" si="74"/>
        <v>0</v>
      </c>
      <c r="AJ71" s="1">
        <f t="shared" si="74"/>
        <v>0</v>
      </c>
      <c r="AK71" s="1">
        <f t="shared" si="74"/>
        <v>0</v>
      </c>
      <c r="AL71" s="1">
        <f t="shared" si="74"/>
        <v>0</v>
      </c>
      <c r="AM71" s="1">
        <f t="shared" si="74"/>
        <v>0</v>
      </c>
      <c r="AN71" s="1">
        <f t="shared" si="74"/>
        <v>0</v>
      </c>
      <c r="AO71" s="1">
        <f t="shared" si="74"/>
        <v>0</v>
      </c>
      <c r="AP71" s="1">
        <f t="shared" si="74"/>
        <v>0</v>
      </c>
      <c r="AQ71" s="1">
        <f t="shared" si="74"/>
        <v>0</v>
      </c>
      <c r="AR71" s="1">
        <f t="shared" si="74"/>
        <v>0</v>
      </c>
      <c r="AS71" s="1">
        <f t="shared" si="74"/>
        <v>0</v>
      </c>
      <c r="AT71" s="1">
        <f t="shared" si="74"/>
        <v>0</v>
      </c>
    </row>
    <row r="72" spans="24:46" x14ac:dyDescent="0.35">
      <c r="X72" t="s">
        <v>345</v>
      </c>
      <c r="Y72" s="30" t="s">
        <v>461</v>
      </c>
      <c r="Z72" s="1">
        <f t="shared" ref="Z72:AT72" si="75">Y43</f>
        <v>0</v>
      </c>
      <c r="AA72" s="1">
        <f t="shared" si="75"/>
        <v>0</v>
      </c>
      <c r="AB72" s="1">
        <f t="shared" si="75"/>
        <v>0</v>
      </c>
      <c r="AC72" s="1">
        <f t="shared" si="75"/>
        <v>0</v>
      </c>
      <c r="AD72" s="1">
        <f t="shared" si="75"/>
        <v>0</v>
      </c>
      <c r="AE72" s="1">
        <f t="shared" si="75"/>
        <v>0</v>
      </c>
      <c r="AF72" s="1">
        <f t="shared" si="75"/>
        <v>0</v>
      </c>
      <c r="AG72" s="1">
        <f t="shared" si="75"/>
        <v>0</v>
      </c>
      <c r="AH72" s="1">
        <f t="shared" si="75"/>
        <v>0</v>
      </c>
      <c r="AI72" s="1">
        <f t="shared" si="75"/>
        <v>0</v>
      </c>
      <c r="AJ72" s="1">
        <f t="shared" si="75"/>
        <v>0</v>
      </c>
      <c r="AK72" s="1">
        <f t="shared" si="75"/>
        <v>0</v>
      </c>
      <c r="AL72" s="1">
        <f t="shared" si="75"/>
        <v>0</v>
      </c>
      <c r="AM72" s="1">
        <f t="shared" si="75"/>
        <v>0</v>
      </c>
      <c r="AN72" s="1">
        <f t="shared" si="75"/>
        <v>0</v>
      </c>
      <c r="AO72" s="1">
        <f t="shared" si="75"/>
        <v>0</v>
      </c>
      <c r="AP72" s="1">
        <f t="shared" si="75"/>
        <v>0</v>
      </c>
      <c r="AQ72" s="1">
        <f t="shared" si="75"/>
        <v>0</v>
      </c>
      <c r="AR72" s="1">
        <f t="shared" si="75"/>
        <v>0</v>
      </c>
      <c r="AS72" s="1">
        <f t="shared" si="75"/>
        <v>0</v>
      </c>
      <c r="AT72" s="1">
        <f t="shared" si="75"/>
        <v>0</v>
      </c>
    </row>
    <row r="73" spans="24:46" x14ac:dyDescent="0.35">
      <c r="X73" t="s">
        <v>346</v>
      </c>
      <c r="Y73" s="30" t="s">
        <v>461</v>
      </c>
      <c r="Z73" s="1">
        <f t="shared" ref="Z73:AT73" si="76">Y46</f>
        <v>0</v>
      </c>
      <c r="AA73" s="1">
        <f t="shared" si="76"/>
        <v>0</v>
      </c>
      <c r="AB73" s="1">
        <f t="shared" si="76"/>
        <v>0</v>
      </c>
      <c r="AC73" s="1">
        <f t="shared" si="76"/>
        <v>0</v>
      </c>
      <c r="AD73" s="1">
        <f t="shared" si="76"/>
        <v>0</v>
      </c>
      <c r="AE73" s="1">
        <f t="shared" si="76"/>
        <v>0</v>
      </c>
      <c r="AF73" s="1">
        <f t="shared" si="76"/>
        <v>0</v>
      </c>
      <c r="AG73" s="1">
        <f t="shared" si="76"/>
        <v>0</v>
      </c>
      <c r="AH73" s="1">
        <f t="shared" si="76"/>
        <v>0</v>
      </c>
      <c r="AI73" s="1">
        <f t="shared" si="76"/>
        <v>0</v>
      </c>
      <c r="AJ73" s="1">
        <f t="shared" si="76"/>
        <v>0</v>
      </c>
      <c r="AK73" s="1">
        <f t="shared" si="76"/>
        <v>0</v>
      </c>
      <c r="AL73" s="1">
        <f t="shared" si="76"/>
        <v>0</v>
      </c>
      <c r="AM73" s="1">
        <f t="shared" si="76"/>
        <v>0</v>
      </c>
      <c r="AN73" s="1">
        <f t="shared" si="76"/>
        <v>0</v>
      </c>
      <c r="AO73" s="1">
        <f t="shared" si="76"/>
        <v>0</v>
      </c>
      <c r="AP73" s="1">
        <f t="shared" si="76"/>
        <v>0</v>
      </c>
      <c r="AQ73" s="1">
        <f t="shared" si="76"/>
        <v>0</v>
      </c>
      <c r="AR73" s="1">
        <f t="shared" si="76"/>
        <v>0</v>
      </c>
      <c r="AS73" s="1">
        <f t="shared" si="76"/>
        <v>0</v>
      </c>
      <c r="AT73" s="1">
        <f t="shared" si="76"/>
        <v>0</v>
      </c>
    </row>
    <row r="74" spans="24:46" x14ac:dyDescent="0.35">
      <c r="X74" t="s">
        <v>344</v>
      </c>
      <c r="Y74" s="30" t="s">
        <v>462</v>
      </c>
      <c r="Z74" s="1">
        <f t="shared" ref="Z74:AT74" si="77">Y49</f>
        <v>0</v>
      </c>
      <c r="AA74" s="1">
        <f t="shared" si="77"/>
        <v>0</v>
      </c>
      <c r="AB74" s="1">
        <f t="shared" si="77"/>
        <v>0</v>
      </c>
      <c r="AC74" s="1">
        <f t="shared" si="77"/>
        <v>0</v>
      </c>
      <c r="AD74" s="1">
        <f t="shared" si="77"/>
        <v>0</v>
      </c>
      <c r="AE74" s="1">
        <f t="shared" si="77"/>
        <v>0</v>
      </c>
      <c r="AF74" s="1">
        <f t="shared" si="77"/>
        <v>0</v>
      </c>
      <c r="AG74" s="1">
        <f t="shared" si="77"/>
        <v>0</v>
      </c>
      <c r="AH74" s="1">
        <f t="shared" si="77"/>
        <v>0</v>
      </c>
      <c r="AI74" s="1">
        <f t="shared" si="77"/>
        <v>0</v>
      </c>
      <c r="AJ74" s="1">
        <f t="shared" si="77"/>
        <v>0</v>
      </c>
      <c r="AK74" s="1">
        <f t="shared" si="77"/>
        <v>0</v>
      </c>
      <c r="AL74" s="1">
        <f t="shared" si="77"/>
        <v>0</v>
      </c>
      <c r="AM74" s="1">
        <f t="shared" si="77"/>
        <v>0</v>
      </c>
      <c r="AN74" s="1">
        <f t="shared" si="77"/>
        <v>0</v>
      </c>
      <c r="AO74" s="1">
        <f t="shared" si="77"/>
        <v>0</v>
      </c>
      <c r="AP74" s="1">
        <f t="shared" si="77"/>
        <v>0</v>
      </c>
      <c r="AQ74" s="1">
        <f t="shared" si="77"/>
        <v>0</v>
      </c>
      <c r="AR74" s="1">
        <f t="shared" si="77"/>
        <v>0</v>
      </c>
      <c r="AS74" s="1">
        <f t="shared" si="77"/>
        <v>0</v>
      </c>
      <c r="AT74" s="1">
        <f t="shared" si="77"/>
        <v>0</v>
      </c>
    </row>
    <row r="75" spans="24:46" x14ac:dyDescent="0.35">
      <c r="X75" t="s">
        <v>345</v>
      </c>
      <c r="Y75" s="30" t="s">
        <v>462</v>
      </c>
      <c r="Z75" s="1">
        <f t="shared" ref="Z75:AT75" si="78">Y52</f>
        <v>0</v>
      </c>
      <c r="AA75" s="1">
        <f t="shared" si="78"/>
        <v>0</v>
      </c>
      <c r="AB75" s="1">
        <f t="shared" si="78"/>
        <v>0</v>
      </c>
      <c r="AC75" s="1">
        <f t="shared" si="78"/>
        <v>0</v>
      </c>
      <c r="AD75" s="1">
        <f t="shared" si="78"/>
        <v>0</v>
      </c>
      <c r="AE75" s="1">
        <f t="shared" si="78"/>
        <v>0</v>
      </c>
      <c r="AF75" s="1">
        <f t="shared" si="78"/>
        <v>0</v>
      </c>
      <c r="AG75" s="1">
        <f t="shared" si="78"/>
        <v>0</v>
      </c>
      <c r="AH75" s="1">
        <f t="shared" si="78"/>
        <v>0</v>
      </c>
      <c r="AI75" s="1">
        <f t="shared" si="78"/>
        <v>0</v>
      </c>
      <c r="AJ75" s="1">
        <f t="shared" si="78"/>
        <v>0</v>
      </c>
      <c r="AK75" s="1">
        <f t="shared" si="78"/>
        <v>0</v>
      </c>
      <c r="AL75" s="1">
        <f t="shared" si="78"/>
        <v>0</v>
      </c>
      <c r="AM75" s="1">
        <f t="shared" si="78"/>
        <v>0</v>
      </c>
      <c r="AN75" s="1">
        <f t="shared" si="78"/>
        <v>0</v>
      </c>
      <c r="AO75" s="1">
        <f t="shared" si="78"/>
        <v>0</v>
      </c>
      <c r="AP75" s="1">
        <f t="shared" si="78"/>
        <v>0</v>
      </c>
      <c r="AQ75" s="1">
        <f t="shared" si="78"/>
        <v>0</v>
      </c>
      <c r="AR75" s="1">
        <f t="shared" si="78"/>
        <v>0</v>
      </c>
      <c r="AS75" s="1">
        <f t="shared" si="78"/>
        <v>0</v>
      </c>
      <c r="AT75" s="1">
        <f t="shared" si="78"/>
        <v>0</v>
      </c>
    </row>
    <row r="76" spans="24:46" x14ac:dyDescent="0.35">
      <c r="X76" t="s">
        <v>346</v>
      </c>
      <c r="Y76" s="30" t="s">
        <v>462</v>
      </c>
      <c r="Z76" s="1">
        <f t="shared" ref="Z76:AT76" si="79">Y55</f>
        <v>0</v>
      </c>
      <c r="AA76" s="1">
        <f t="shared" si="79"/>
        <v>0</v>
      </c>
      <c r="AB76" s="1">
        <f t="shared" si="79"/>
        <v>0</v>
      </c>
      <c r="AC76" s="1">
        <f t="shared" si="79"/>
        <v>0</v>
      </c>
      <c r="AD76" s="1">
        <f t="shared" si="79"/>
        <v>0</v>
      </c>
      <c r="AE76" s="1">
        <f t="shared" si="79"/>
        <v>0</v>
      </c>
      <c r="AF76" s="1">
        <f t="shared" si="79"/>
        <v>0</v>
      </c>
      <c r="AG76" s="1">
        <f t="shared" si="79"/>
        <v>0</v>
      </c>
      <c r="AH76" s="1">
        <f t="shared" si="79"/>
        <v>0</v>
      </c>
      <c r="AI76" s="1">
        <f t="shared" si="79"/>
        <v>0</v>
      </c>
      <c r="AJ76" s="1">
        <f t="shared" si="79"/>
        <v>0</v>
      </c>
      <c r="AK76" s="1">
        <f t="shared" si="79"/>
        <v>0</v>
      </c>
      <c r="AL76" s="1">
        <f t="shared" si="79"/>
        <v>0</v>
      </c>
      <c r="AM76" s="1">
        <f t="shared" si="79"/>
        <v>0</v>
      </c>
      <c r="AN76" s="1">
        <f t="shared" si="79"/>
        <v>0</v>
      </c>
      <c r="AO76" s="1">
        <f t="shared" si="79"/>
        <v>0</v>
      </c>
      <c r="AP76" s="1">
        <f t="shared" si="79"/>
        <v>0</v>
      </c>
      <c r="AQ76" s="1">
        <f t="shared" si="79"/>
        <v>0</v>
      </c>
      <c r="AR76" s="1">
        <f t="shared" si="79"/>
        <v>0</v>
      </c>
      <c r="AS76" s="1">
        <f t="shared" si="79"/>
        <v>0</v>
      </c>
      <c r="AT76" s="1">
        <f t="shared" si="79"/>
        <v>0</v>
      </c>
    </row>
    <row r="79" spans="24:46" x14ac:dyDescent="0.35">
      <c r="X79" t="s">
        <v>530</v>
      </c>
    </row>
    <row r="80" spans="24:46" x14ac:dyDescent="0.35">
      <c r="X80" t="s">
        <v>529</v>
      </c>
      <c r="Y80" t="s">
        <v>528</v>
      </c>
    </row>
    <row r="81" spans="24:25" x14ac:dyDescent="0.35">
      <c r="X81">
        <v>0</v>
      </c>
      <c r="Y81" s="1">
        <f>AVERAGE(H52:H53)</f>
        <v>0</v>
      </c>
    </row>
    <row r="82" spans="24:25" x14ac:dyDescent="0.35">
      <c r="X82">
        <f t="shared" ref="X82:X87" si="80">X81+30</f>
        <v>30</v>
      </c>
      <c r="Y82" s="1">
        <f>AVERAGE(I51:I53)</f>
        <v>0</v>
      </c>
    </row>
    <row r="83" spans="24:25" x14ac:dyDescent="0.35">
      <c r="X83">
        <f t="shared" si="80"/>
        <v>60</v>
      </c>
      <c r="Y83" s="1">
        <f>AVERAGE(J51:J53)</f>
        <v>0</v>
      </c>
    </row>
    <row r="84" spans="24:25" x14ac:dyDescent="0.35">
      <c r="X84">
        <f t="shared" si="80"/>
        <v>90</v>
      </c>
      <c r="Y84" s="1">
        <f>AVERAGE(K51:K53)</f>
        <v>0</v>
      </c>
    </row>
    <row r="85" spans="24:25" x14ac:dyDescent="0.35">
      <c r="X85">
        <f t="shared" si="80"/>
        <v>120</v>
      </c>
      <c r="Y85" s="1">
        <f>AVERAGE(L51:L53)</f>
        <v>0</v>
      </c>
    </row>
    <row r="86" spans="24:25" x14ac:dyDescent="0.35">
      <c r="X86">
        <f t="shared" si="80"/>
        <v>150</v>
      </c>
      <c r="Y86" s="1">
        <f>AVERAGE(M51:M53)</f>
        <v>0</v>
      </c>
    </row>
    <row r="87" spans="24:25" x14ac:dyDescent="0.35">
      <c r="X87">
        <f t="shared" si="80"/>
        <v>180</v>
      </c>
      <c r="Y87" s="1">
        <f>AVERAGE(N51:N53)</f>
        <v>0</v>
      </c>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1AF0BC-5C84-4D6D-A9C9-EDE0D4DCB54B}">
  <sheetPr codeName="Sheet22">
    <tabColor theme="8" tint="0.39997558519241921"/>
  </sheetPr>
  <dimension ref="A1:AT87"/>
  <sheetViews>
    <sheetView topLeftCell="B1" zoomScale="75" zoomScaleNormal="75" workbookViewId="0">
      <selection activeCell="Q1" sqref="Q1:Q1048576"/>
    </sheetView>
  </sheetViews>
  <sheetFormatPr defaultColWidth="11" defaultRowHeight="15.5" x14ac:dyDescent="0.35"/>
  <cols>
    <col min="1" max="1" width="14.6640625" style="65" customWidth="1"/>
    <col min="2" max="2" width="12.08203125" style="4" customWidth="1"/>
    <col min="3" max="3" width="41.33203125" style="4" customWidth="1"/>
    <col min="4" max="4" width="8.5" style="4" customWidth="1"/>
    <col min="5" max="22" width="11" style="4"/>
    <col min="24" max="24" width="17" customWidth="1"/>
  </cols>
  <sheetData>
    <row r="1" spans="1:45" ht="23.5" x14ac:dyDescent="0.35">
      <c r="A1" s="50" t="s">
        <v>467</v>
      </c>
      <c r="C1" s="26" t="s">
        <v>468</v>
      </c>
      <c r="F1" s="70" t="s">
        <v>24</v>
      </c>
      <c r="G1" s="26" t="s">
        <v>527</v>
      </c>
    </row>
    <row r="2" spans="1:45" ht="49.5" customHeight="1" x14ac:dyDescent="0.35">
      <c r="A2" s="18"/>
      <c r="B2" s="18" t="s">
        <v>433</v>
      </c>
      <c r="C2" s="18" t="s">
        <v>466</v>
      </c>
      <c r="D2" s="18" t="s">
        <v>497</v>
      </c>
      <c r="E2" s="18" t="s">
        <v>387</v>
      </c>
      <c r="F2" s="18" t="s">
        <v>404</v>
      </c>
      <c r="G2" s="18" t="s">
        <v>454</v>
      </c>
      <c r="H2" s="18">
        <v>0</v>
      </c>
      <c r="I2" s="18">
        <v>30</v>
      </c>
      <c r="J2" s="18">
        <v>60</v>
      </c>
      <c r="K2" s="18">
        <v>90</v>
      </c>
      <c r="L2" s="18">
        <v>120</v>
      </c>
      <c r="M2" s="18">
        <v>150</v>
      </c>
      <c r="N2" s="18">
        <v>180</v>
      </c>
      <c r="O2" s="19" t="s">
        <v>340</v>
      </c>
      <c r="P2" s="19" t="s">
        <v>547</v>
      </c>
      <c r="Q2" s="19" t="s">
        <v>340</v>
      </c>
      <c r="R2" s="19" t="s">
        <v>341</v>
      </c>
      <c r="S2" s="19" t="s">
        <v>342</v>
      </c>
      <c r="T2" s="19" t="s">
        <v>547</v>
      </c>
      <c r="U2" s="19" t="s">
        <v>475</v>
      </c>
      <c r="V2" s="19" t="s">
        <v>533</v>
      </c>
    </row>
    <row r="3" spans="1:45" x14ac:dyDescent="0.35">
      <c r="A3" s="41">
        <f>IFERROR(INDEX('Date Key'!$B$2:$B$19, MATCH(F3,'Date Key'!$A$2:$A$19, 0)), "")</f>
        <v>45175</v>
      </c>
      <c r="B3" s="4">
        <f>INT((ROW(A1)-1)/9)+1</f>
        <v>1</v>
      </c>
      <c r="C3" s="26" t="str">
        <f>IFERROR(INDEX('Date Key'!$G$57:$G$62, MATCH(B3,'Date Key'!$A$57:$A$62, 0)), "")</f>
        <v>Low HLR, Lower Outlet Height, No Plants</v>
      </c>
      <c r="D3" s="4" t="str">
        <f>IFERROR(INDEX('Date Key'!$G$2:$G$19, MATCH(F3, 'Date Key'!$A$2:$A$19, 0)), "")</f>
        <v>No</v>
      </c>
      <c r="E3" s="4" t="str">
        <f>CHOOSE(MOD(ROW(G3)-ROW($G$3), 9) + 1, "in", "in", "in", "tank 1", "tank 1", "tank 1", "tank 2", "tank 2", "tank 2")</f>
        <v>in</v>
      </c>
      <c r="F3" s="4">
        <f>MOD(ROW(G3)-ROW($G$3), 3) + 1 + 3 * INT((ROW(G3)-ROW($G$3))/9)</f>
        <v>1</v>
      </c>
      <c r="G3" s="4">
        <f>MOD(ROW(G3)-ROW($G$3), 3) + 1</f>
        <v>1</v>
      </c>
      <c r="H3" s="11" cm="1">
        <f t="array" ref="H3">IFERROR(INDEX('Master Data Sheet'!$1:$1048576, MATCH(1, ('Master Data Sheet'!$H:$H=H$2) * (INDEX('Master Data Sheet'!$1:$1, , MATCH($F$1, 'Master Data Sheet'!$1:$1, 0)) = $F$1) * ('Master Data Sheet'!$G:$G=$B3) * ('Master Data Sheet'!$F:$F=$E3) * ('Master Data Sheet'!$A:$A=$F3), 0), MATCH($F$1, 'Master Data Sheet'!$1:$1, 0)), "")</f>
        <v>6.82</v>
      </c>
      <c r="I3" s="11" cm="1">
        <f t="array" ref="I3">IFERROR(INDEX('Master Data Sheet'!$1:$1048576, MATCH(1, ('Master Data Sheet'!$H:$H=I$2) * (INDEX('Master Data Sheet'!$1:$1, , MATCH($F$1, 'Master Data Sheet'!$1:$1, 0)) = $F$1) * ('Master Data Sheet'!$G:$G=$B3) * ('Master Data Sheet'!$F:$F=$E3) * ('Master Data Sheet'!$A:$A=$F3), 0), MATCH($F$1, 'Master Data Sheet'!$1:$1, 0)), "")</f>
        <v>7.94</v>
      </c>
      <c r="J3" s="11" cm="1">
        <f t="array" ref="J3">IFERROR(INDEX('Master Data Sheet'!$1:$1048576, MATCH(1, ('Master Data Sheet'!$H:$H=J$2) * (INDEX('Master Data Sheet'!$1:$1, , MATCH($F$1, 'Master Data Sheet'!$1:$1, 0)) = $F$1) * ('Master Data Sheet'!$G:$G=$B3) * ('Master Data Sheet'!$F:$F=$E3) * ('Master Data Sheet'!$A:$A=$F3), 0), MATCH($F$1, 'Master Data Sheet'!$1:$1, 0)), "")</f>
        <v>8.1300000000000008</v>
      </c>
      <c r="K3" s="11" cm="1">
        <f t="array" ref="K3">IFERROR(INDEX('Master Data Sheet'!$1:$1048576, MATCH(1, ('Master Data Sheet'!$H:$H=K$2) * (INDEX('Master Data Sheet'!$1:$1, , MATCH($F$1, 'Master Data Sheet'!$1:$1, 0)) = $F$1) * ('Master Data Sheet'!$G:$G=$B3) * ('Master Data Sheet'!$F:$F=$E3) * ('Master Data Sheet'!$A:$A=$F3), 0), MATCH($F$1, 'Master Data Sheet'!$1:$1, 0)), "")</f>
        <v>8.0299999999999994</v>
      </c>
      <c r="L3" s="11" cm="1">
        <f t="array" ref="L3">IFERROR(INDEX('Master Data Sheet'!$1:$1048576, MATCH(1, ('Master Data Sheet'!$H:$H=L$2) * (INDEX('Master Data Sheet'!$1:$1, , MATCH($F$1, 'Master Data Sheet'!$1:$1, 0)) = $F$1) * ('Master Data Sheet'!$G:$G=$B3) * ('Master Data Sheet'!$F:$F=$E3) * ('Master Data Sheet'!$A:$A=$F3), 0), MATCH($F$1, 'Master Data Sheet'!$1:$1, 0)), "")</f>
        <v>7.98</v>
      </c>
      <c r="M3" s="11" cm="1">
        <f t="array" ref="M3">IFERROR(INDEX('Master Data Sheet'!$1:$1048576, MATCH(1, ('Master Data Sheet'!$H:$H=M$2) * (INDEX('Master Data Sheet'!$1:$1, , MATCH($F$1, 'Master Data Sheet'!$1:$1, 0)) = $F$1) * ('Master Data Sheet'!$G:$G=$B3) * ('Master Data Sheet'!$F:$F=$E3) * ('Master Data Sheet'!$A:$A=$F3), 0), MATCH($F$1, 'Master Data Sheet'!$1:$1, 0)), "")</f>
        <v>7.94</v>
      </c>
      <c r="N3" s="11" cm="1">
        <f t="array" ref="N3">IFERROR(INDEX('Master Data Sheet'!$1:$1048576, MATCH(1, ('Master Data Sheet'!$H:$H=N$2) * (INDEX('Master Data Sheet'!$1:$1, , MATCH($F$1, 'Master Data Sheet'!$1:$1, 0)) = $F$1) * ('Master Data Sheet'!$G:$G=$B3) * ('Master Data Sheet'!$F:$F=$E3) * ('Master Data Sheet'!$A:$A=$F3), 0), MATCH($F$1, 'Master Data Sheet'!$1:$1, 0)), "")</f>
        <v>8.1300000000000008</v>
      </c>
      <c r="O3" s="11">
        <f>AVERAGE(H3:N3)</f>
        <v>7.8528571428571441</v>
      </c>
      <c r="P3" s="11">
        <f>STDEV(H3:N3)</f>
        <v>0.46244690814961986</v>
      </c>
      <c r="Q3" s="11">
        <f>AVERAGE(O3,O5)</f>
        <v>7.7114285714285717</v>
      </c>
      <c r="S3" s="46">
        <f>AVERAGE(O3:O5)</f>
        <v>7.7195238095238103</v>
      </c>
      <c r="T3" s="46">
        <f>AVERAGE(P3:P5)</f>
        <v>0.45660598860915025</v>
      </c>
      <c r="V3" s="47">
        <f>AVERAGE(U6, U9)</f>
        <v>10.527047054464617</v>
      </c>
      <c r="X3" t="s">
        <v>343</v>
      </c>
    </row>
    <row r="4" spans="1:45" x14ac:dyDescent="0.35">
      <c r="A4" s="41">
        <f>IFERROR(INDEX('Date Key'!$B$2:$B$19, MATCH(F4,'Date Key'!$A$2:$A$19, 0)), "")</f>
        <v>45181</v>
      </c>
      <c r="B4" s="4">
        <f t="shared" ref="B4:B11" si="0">INT((ROW(B2)-1)/9)+1</f>
        <v>1</v>
      </c>
      <c r="C4" s="26" t="str">
        <f>IFERROR(INDEX('Date Key'!$G$57:$G$62, MATCH(B4,'Date Key'!$A$57:$A$62, 0)), "")</f>
        <v>Low HLR, Lower Outlet Height, No Plants</v>
      </c>
      <c r="D4" s="4" t="str">
        <f>IFERROR(INDEX('Date Key'!$G$2:$G$19, MATCH(F4, 'Date Key'!$A$2:$A$19, 0)), "")</f>
        <v>No</v>
      </c>
      <c r="E4" s="4" t="str">
        <f t="shared" ref="E4:E56" si="1">CHOOSE(MOD(ROW(G4)-ROW($G$3), 9) + 1, "in", "in", "in", "tank 1", "tank 1", "tank 1", "tank 2", "tank 2", "tank 2")</f>
        <v>in</v>
      </c>
      <c r="F4" s="4">
        <f t="shared" ref="F4:F56" si="2">MOD(ROW(G4)-ROW($G$3), 3) + 1 + 3 * INT((ROW(G4)-ROW($G$3))/9)</f>
        <v>2</v>
      </c>
      <c r="G4" s="4">
        <f t="shared" ref="G4:G15" si="3">MOD(ROW(G4)-ROW($G$3), 3) + 1</f>
        <v>2</v>
      </c>
      <c r="H4" s="11" cm="1">
        <f t="array" ref="H4">IFERROR(INDEX('Master Data Sheet'!$1:$1048576, MATCH(1, ('Master Data Sheet'!$H:$H=H$2) * (INDEX('Master Data Sheet'!$1:$1, , MATCH($F$1, 'Master Data Sheet'!$1:$1, 0)) = $F$1) * ('Master Data Sheet'!$G:$G=$B4) * ('Master Data Sheet'!$F:$F=$E4) * ('Master Data Sheet'!$A:$A=$F4), 0), MATCH($F$1, 'Master Data Sheet'!$1:$1, 0)), "")</f>
        <v>6.72</v>
      </c>
      <c r="I4" s="11" cm="1">
        <f t="array" ref="I4">IFERROR(INDEX('Master Data Sheet'!$1:$1048576, MATCH(1, ('Master Data Sheet'!$H:$H=I$2) * (INDEX('Master Data Sheet'!$1:$1, , MATCH($F$1, 'Master Data Sheet'!$1:$1, 0)) = $F$1) * ('Master Data Sheet'!$G:$G=$B4) * ('Master Data Sheet'!$F:$F=$E4) * ('Master Data Sheet'!$A:$A=$F4), 0), MATCH($F$1, 'Master Data Sheet'!$1:$1, 0)), "")</f>
        <v>7.88</v>
      </c>
      <c r="J4" s="11" cm="1">
        <f t="array" ref="J4">IFERROR(INDEX('Master Data Sheet'!$1:$1048576, MATCH(1, ('Master Data Sheet'!$H:$H=J$2) * (INDEX('Master Data Sheet'!$1:$1, , MATCH($F$1, 'Master Data Sheet'!$1:$1, 0)) = $F$1) * ('Master Data Sheet'!$G:$G=$B4) * ('Master Data Sheet'!$F:$F=$E4) * ('Master Data Sheet'!$A:$A=$F4), 0), MATCH($F$1, 'Master Data Sheet'!$1:$1, 0)), "")</f>
        <v>7.94</v>
      </c>
      <c r="K4" s="11" cm="1">
        <f t="array" ref="K4">IFERROR(INDEX('Master Data Sheet'!$1:$1048576, MATCH(1, ('Master Data Sheet'!$H:$H=K$2) * (INDEX('Master Data Sheet'!$1:$1, , MATCH($F$1, 'Master Data Sheet'!$1:$1, 0)) = $F$1) * ('Master Data Sheet'!$G:$G=$B4) * ('Master Data Sheet'!$F:$F=$E4) * ('Master Data Sheet'!$A:$A=$F4), 0), MATCH($F$1, 'Master Data Sheet'!$1:$1, 0)), "")</f>
        <v>8.0399999999999991</v>
      </c>
      <c r="L4" s="11" cm="1">
        <f t="array" ref="L4">IFERROR(INDEX('Master Data Sheet'!$1:$1048576, MATCH(1, ('Master Data Sheet'!$H:$H=L$2) * (INDEX('Master Data Sheet'!$1:$1, , MATCH($F$1, 'Master Data Sheet'!$1:$1, 0)) = $F$1) * ('Master Data Sheet'!$G:$G=$B4) * ('Master Data Sheet'!$F:$F=$E4) * ('Master Data Sheet'!$A:$A=$F4), 0), MATCH($F$1, 'Master Data Sheet'!$1:$1, 0)), "")</f>
        <v>7.88</v>
      </c>
      <c r="M4" s="11" cm="1">
        <f t="array" ref="M4">IFERROR(INDEX('Master Data Sheet'!$1:$1048576, MATCH(1, ('Master Data Sheet'!$H:$H=M$2) * (INDEX('Master Data Sheet'!$1:$1, , MATCH($F$1, 'Master Data Sheet'!$1:$1, 0)) = $F$1) * ('Master Data Sheet'!$G:$G=$B4) * ('Master Data Sheet'!$F:$F=$E4) * ('Master Data Sheet'!$A:$A=$F4), 0), MATCH($F$1, 'Master Data Sheet'!$1:$1, 0)), "")</f>
        <v>7.84</v>
      </c>
      <c r="N4" s="11" cm="1">
        <f t="array" ref="N4">IFERROR(INDEX('Master Data Sheet'!$1:$1048576, MATCH(1, ('Master Data Sheet'!$H:$H=N$2) * (INDEX('Master Data Sheet'!$1:$1, , MATCH($F$1, 'Master Data Sheet'!$1:$1, 0)) = $F$1) * ('Master Data Sheet'!$G:$G=$B4) * ('Master Data Sheet'!$F:$F=$E4) * ('Master Data Sheet'!$A:$A=$F4), 0), MATCH($F$1, 'Master Data Sheet'!$1:$1, 0)), "")</f>
        <v>7.85</v>
      </c>
      <c r="O4" s="11">
        <f>AVERAGE(H4:N4)</f>
        <v>7.7357142857142858</v>
      </c>
      <c r="P4" s="11">
        <f t="shared" ref="P4:P56" si="4">STDEV(H4:N4)</f>
        <v>0.45305839001380904</v>
      </c>
      <c r="Q4" s="11"/>
      <c r="X4" t="str">
        <f>IFERROR(INDEX('Date Key'!$G$57:$G$62, MATCH(B3,'Date Key'!$A$57:$A$62, 0)), "")</f>
        <v>Low HLR, Lower Outlet Height, No Plants</v>
      </c>
      <c r="Y4" s="1">
        <f t="shared" ref="Y4:AE4" si="5">H3</f>
        <v>6.82</v>
      </c>
      <c r="Z4" s="1">
        <f t="shared" si="5"/>
        <v>7.94</v>
      </c>
      <c r="AA4" s="1">
        <f t="shared" si="5"/>
        <v>8.1300000000000008</v>
      </c>
      <c r="AB4" s="1">
        <f t="shared" si="5"/>
        <v>8.0299999999999994</v>
      </c>
      <c r="AC4" s="1">
        <f t="shared" si="5"/>
        <v>7.98</v>
      </c>
      <c r="AD4" s="1">
        <f t="shared" si="5"/>
        <v>7.94</v>
      </c>
      <c r="AE4" s="1">
        <f t="shared" si="5"/>
        <v>8.1300000000000008</v>
      </c>
      <c r="AF4" s="1">
        <f t="shared" ref="AF4:AL4" si="6">H4</f>
        <v>6.72</v>
      </c>
      <c r="AG4" s="1">
        <f t="shared" si="6"/>
        <v>7.88</v>
      </c>
      <c r="AH4" s="1">
        <f t="shared" si="6"/>
        <v>7.94</v>
      </c>
      <c r="AI4" s="1">
        <f t="shared" si="6"/>
        <v>8.0399999999999991</v>
      </c>
      <c r="AJ4" s="1">
        <f t="shared" si="6"/>
        <v>7.88</v>
      </c>
      <c r="AK4" s="1">
        <f t="shared" si="6"/>
        <v>7.84</v>
      </c>
      <c r="AL4" s="1">
        <f t="shared" si="6"/>
        <v>7.85</v>
      </c>
      <c r="AM4" s="1">
        <f t="shared" ref="AM4:AS4" si="7">H5</f>
        <v>6.72</v>
      </c>
      <c r="AN4" s="1">
        <f t="shared" si="7"/>
        <v>7.14</v>
      </c>
      <c r="AO4" s="1">
        <f t="shared" si="7"/>
        <v>7.81</v>
      </c>
      <c r="AP4" s="1">
        <f t="shared" si="7"/>
        <v>7.81</v>
      </c>
      <c r="AQ4" s="1">
        <f t="shared" si="7"/>
        <v>7.8</v>
      </c>
      <c r="AR4" s="1">
        <f t="shared" si="7"/>
        <v>7.87</v>
      </c>
      <c r="AS4" s="1">
        <f t="shared" si="7"/>
        <v>7.84</v>
      </c>
    </row>
    <row r="5" spans="1:45" x14ac:dyDescent="0.35">
      <c r="A5" s="41">
        <f>IFERROR(INDEX('Date Key'!$B$2:$B$19, MATCH(F5,'Date Key'!$A$2:$A$19, 0)), "")</f>
        <v>45195</v>
      </c>
      <c r="B5" s="4">
        <f t="shared" si="0"/>
        <v>1</v>
      </c>
      <c r="C5" s="26" t="str">
        <f>IFERROR(INDEX('Date Key'!$G$57:$G$62, MATCH(B5,'Date Key'!$A$57:$A$62, 0)), "")</f>
        <v>Low HLR, Lower Outlet Height, No Plants</v>
      </c>
      <c r="D5" s="4" t="str">
        <f>IFERROR(INDEX('Date Key'!$G$2:$G$19, MATCH(F5, 'Date Key'!$A$2:$A$19, 0)), "")</f>
        <v>No</v>
      </c>
      <c r="E5" s="4" t="str">
        <f t="shared" si="1"/>
        <v>in</v>
      </c>
      <c r="F5" s="4">
        <f t="shared" si="2"/>
        <v>3</v>
      </c>
      <c r="G5" s="4">
        <f t="shared" si="3"/>
        <v>3</v>
      </c>
      <c r="H5" s="11" cm="1">
        <f t="array" ref="H5">IFERROR(INDEX('Master Data Sheet'!$1:$1048576, MATCH(1, ('Master Data Sheet'!$H:$H=H$2) * (INDEX('Master Data Sheet'!$1:$1, , MATCH($F$1, 'Master Data Sheet'!$1:$1, 0)) = $F$1) * ('Master Data Sheet'!$G:$G=$B5) * ('Master Data Sheet'!$F:$F=$E5) * ('Master Data Sheet'!$A:$A=$F5), 0), MATCH($F$1, 'Master Data Sheet'!$1:$1, 0)), "")</f>
        <v>6.72</v>
      </c>
      <c r="I5" s="11" cm="1">
        <f t="array" ref="I5">IFERROR(INDEX('Master Data Sheet'!$1:$1048576, MATCH(1, ('Master Data Sheet'!$H:$H=I$2) * (INDEX('Master Data Sheet'!$1:$1, , MATCH($F$1, 'Master Data Sheet'!$1:$1, 0)) = $F$1) * ('Master Data Sheet'!$G:$G=$B5) * ('Master Data Sheet'!$F:$F=$E5) * ('Master Data Sheet'!$A:$A=$F5), 0), MATCH($F$1, 'Master Data Sheet'!$1:$1, 0)), "")</f>
        <v>7.14</v>
      </c>
      <c r="J5" s="11" cm="1">
        <f t="array" ref="J5">IFERROR(INDEX('Master Data Sheet'!$1:$1048576, MATCH(1, ('Master Data Sheet'!$H:$H=J$2) * (INDEX('Master Data Sheet'!$1:$1, , MATCH($F$1, 'Master Data Sheet'!$1:$1, 0)) = $F$1) * ('Master Data Sheet'!$G:$G=$B5) * ('Master Data Sheet'!$F:$F=$E5) * ('Master Data Sheet'!$A:$A=$F5), 0), MATCH($F$1, 'Master Data Sheet'!$1:$1, 0)), "")</f>
        <v>7.81</v>
      </c>
      <c r="K5" s="11" cm="1">
        <f t="array" ref="K5">IFERROR(INDEX('Master Data Sheet'!$1:$1048576, MATCH(1, ('Master Data Sheet'!$H:$H=K$2) * (INDEX('Master Data Sheet'!$1:$1, , MATCH($F$1, 'Master Data Sheet'!$1:$1, 0)) = $F$1) * ('Master Data Sheet'!$G:$G=$B5) * ('Master Data Sheet'!$F:$F=$E5) * ('Master Data Sheet'!$A:$A=$F5), 0), MATCH($F$1, 'Master Data Sheet'!$1:$1, 0)), "")</f>
        <v>7.81</v>
      </c>
      <c r="L5" s="11" cm="1">
        <f t="array" ref="L5">IFERROR(INDEX('Master Data Sheet'!$1:$1048576, MATCH(1, ('Master Data Sheet'!$H:$H=L$2) * (INDEX('Master Data Sheet'!$1:$1, , MATCH($F$1, 'Master Data Sheet'!$1:$1, 0)) = $F$1) * ('Master Data Sheet'!$G:$G=$B5) * ('Master Data Sheet'!$F:$F=$E5) * ('Master Data Sheet'!$A:$A=$F5), 0), MATCH($F$1, 'Master Data Sheet'!$1:$1, 0)), "")</f>
        <v>7.8</v>
      </c>
      <c r="M5" s="11" cm="1">
        <f t="array" ref="M5">IFERROR(INDEX('Master Data Sheet'!$1:$1048576, MATCH(1, ('Master Data Sheet'!$H:$H=M$2) * (INDEX('Master Data Sheet'!$1:$1, , MATCH($F$1, 'Master Data Sheet'!$1:$1, 0)) = $F$1) * ('Master Data Sheet'!$G:$G=$B5) * ('Master Data Sheet'!$F:$F=$E5) * ('Master Data Sheet'!$A:$A=$F5), 0), MATCH($F$1, 'Master Data Sheet'!$1:$1, 0)), "")</f>
        <v>7.87</v>
      </c>
      <c r="N5" s="11" cm="1">
        <f t="array" ref="N5">IFERROR(INDEX('Master Data Sheet'!$1:$1048576, MATCH(1, ('Master Data Sheet'!$H:$H=N$2) * (INDEX('Master Data Sheet'!$1:$1, , MATCH($F$1, 'Master Data Sheet'!$1:$1, 0)) = $F$1) * ('Master Data Sheet'!$G:$G=$B5) * ('Master Data Sheet'!$F:$F=$E5) * ('Master Data Sheet'!$A:$A=$F5), 0), MATCH($F$1, 'Master Data Sheet'!$1:$1, 0)), "")</f>
        <v>7.84</v>
      </c>
      <c r="O5" s="11">
        <f>AVERAGE(H5:N5)</f>
        <v>7.5699999999999994</v>
      </c>
      <c r="P5" s="11">
        <f t="shared" si="4"/>
        <v>0.4543126676640219</v>
      </c>
      <c r="Q5" s="11"/>
      <c r="Y5" s="1"/>
      <c r="Z5" s="1"/>
      <c r="AA5" s="1"/>
      <c r="AB5" s="1"/>
      <c r="AC5" s="1"/>
      <c r="AD5" s="1"/>
      <c r="AE5" s="1"/>
      <c r="AF5" s="1"/>
      <c r="AG5" s="1"/>
      <c r="AH5" s="1"/>
      <c r="AI5" s="1"/>
      <c r="AJ5" s="1"/>
      <c r="AK5" s="1"/>
      <c r="AL5" s="1"/>
      <c r="AM5" s="1"/>
      <c r="AN5" s="1"/>
      <c r="AO5" s="1"/>
      <c r="AP5" s="1"/>
      <c r="AQ5" s="1"/>
      <c r="AR5" s="1"/>
      <c r="AS5" s="1"/>
    </row>
    <row r="6" spans="1:45" x14ac:dyDescent="0.35">
      <c r="A6" s="41">
        <f>IFERROR(INDEX('Date Key'!$B$2:$B$19, MATCH(F6,'Date Key'!$A$2:$A$19, 0)), "")</f>
        <v>45175</v>
      </c>
      <c r="B6" s="4">
        <f t="shared" si="0"/>
        <v>1</v>
      </c>
      <c r="C6" s="26" t="str">
        <f>IFERROR(INDEX('Date Key'!$G$57:$G$62, MATCH(B6,'Date Key'!$A$57:$A$62, 0)), "")</f>
        <v>Low HLR, Lower Outlet Height, No Plants</v>
      </c>
      <c r="D6" s="4" t="str">
        <f>IFERROR(INDEX('Date Key'!$G$2:$G$19, MATCH(F6, 'Date Key'!$A$2:$A$19, 0)), "")</f>
        <v>No</v>
      </c>
      <c r="E6" s="4" t="str">
        <f t="shared" si="1"/>
        <v>tank 1</v>
      </c>
      <c r="F6" s="4">
        <f t="shared" si="2"/>
        <v>1</v>
      </c>
      <c r="G6" s="4">
        <f t="shared" si="3"/>
        <v>1</v>
      </c>
      <c r="H6" s="11" cm="1">
        <f t="array" ref="H6">IFERROR(INDEX('Master Data Sheet'!$1:$1048576, MATCH(1, ('Master Data Sheet'!$H:$H=H$2) * (INDEX('Master Data Sheet'!$1:$1, , MATCH($F$1, 'Master Data Sheet'!$1:$1, 0)) = $F$1) * ('Master Data Sheet'!$G:$G=$B6) * ('Master Data Sheet'!$F:$F=$E6) * ('Master Data Sheet'!$A:$A=$F6), 0), MATCH($F$1, 'Master Data Sheet'!$1:$1, 0)), "")</f>
        <v>6.92</v>
      </c>
      <c r="I6" s="11" cm="1">
        <f t="array" ref="I6">IFERROR(INDEX('Master Data Sheet'!$1:$1048576, MATCH(1, ('Master Data Sheet'!$H:$H=I$2) * (INDEX('Master Data Sheet'!$1:$1, , MATCH($F$1, 'Master Data Sheet'!$1:$1, 0)) = $F$1) * ('Master Data Sheet'!$G:$G=$B6) * ('Master Data Sheet'!$F:$F=$E6) * ('Master Data Sheet'!$A:$A=$F6), 0), MATCH($F$1, 'Master Data Sheet'!$1:$1, 0)), "")</f>
        <v>7.05</v>
      </c>
      <c r="J6" s="11" cm="1">
        <f t="array" ref="J6">IFERROR(INDEX('Master Data Sheet'!$1:$1048576, MATCH(1, ('Master Data Sheet'!$H:$H=J$2) * (INDEX('Master Data Sheet'!$1:$1, , MATCH($F$1, 'Master Data Sheet'!$1:$1, 0)) = $F$1) * ('Master Data Sheet'!$G:$G=$B6) * ('Master Data Sheet'!$F:$F=$E6) * ('Master Data Sheet'!$A:$A=$F6), 0), MATCH($F$1, 'Master Data Sheet'!$1:$1, 0)), "")</f>
        <v>6.96</v>
      </c>
      <c r="K6" s="11" cm="1">
        <f t="array" ref="K6">IFERROR(INDEX('Master Data Sheet'!$1:$1048576, MATCH(1, ('Master Data Sheet'!$H:$H=K$2) * (INDEX('Master Data Sheet'!$1:$1, , MATCH($F$1, 'Master Data Sheet'!$1:$1, 0)) = $F$1) * ('Master Data Sheet'!$G:$G=$B6) * ('Master Data Sheet'!$F:$F=$E6) * ('Master Data Sheet'!$A:$A=$F6), 0), MATCH($F$1, 'Master Data Sheet'!$1:$1, 0)), "")</f>
        <v>6.89</v>
      </c>
      <c r="L6" s="11" cm="1">
        <f t="array" ref="L6">IFERROR(INDEX('Master Data Sheet'!$1:$1048576, MATCH(1, ('Master Data Sheet'!$H:$H=L$2) * (INDEX('Master Data Sheet'!$1:$1, , MATCH($F$1, 'Master Data Sheet'!$1:$1, 0)) = $F$1) * ('Master Data Sheet'!$G:$G=$B6) * ('Master Data Sheet'!$F:$F=$E6) * ('Master Data Sheet'!$A:$A=$F6), 0), MATCH($F$1, 'Master Data Sheet'!$1:$1, 0)), "")</f>
        <v>6.93</v>
      </c>
      <c r="M6" s="11" cm="1">
        <f t="array" ref="M6">IFERROR(INDEX('Master Data Sheet'!$1:$1048576, MATCH(1, ('Master Data Sheet'!$H:$H=M$2) * (INDEX('Master Data Sheet'!$1:$1, , MATCH($F$1, 'Master Data Sheet'!$1:$1, 0)) = $F$1) * ('Master Data Sheet'!$G:$G=$B6) * ('Master Data Sheet'!$F:$F=$E6) * ('Master Data Sheet'!$A:$A=$F6), 0), MATCH($F$1, 'Master Data Sheet'!$1:$1, 0)), "")</f>
        <v>6.88</v>
      </c>
      <c r="N6" s="11" cm="1">
        <f t="array" ref="N6">IFERROR(INDEX('Master Data Sheet'!$1:$1048576, MATCH(1, ('Master Data Sheet'!$H:$H=N$2) * (INDEX('Master Data Sheet'!$1:$1, , MATCH($F$1, 'Master Data Sheet'!$1:$1, 0)) = $F$1) * ('Master Data Sheet'!$G:$G=$B6) * ('Master Data Sheet'!$F:$F=$E6) * ('Master Data Sheet'!$A:$A=$F6), 0), MATCH($F$1, 'Master Data Sheet'!$1:$1, 0)), "")</f>
        <v>6.87</v>
      </c>
      <c r="O6" s="11">
        <f>AVERAGE(H6:N6)</f>
        <v>6.9285714285714288</v>
      </c>
      <c r="P6" s="11">
        <f t="shared" si="4"/>
        <v>6.2029179001652474E-2</v>
      </c>
      <c r="Q6" s="11">
        <f>AVERAGE(O6,O8)</f>
        <v>6.9742857142857151</v>
      </c>
      <c r="R6" s="46">
        <f>(1-(O6/O3))*100</f>
        <v>11.770056394396955</v>
      </c>
      <c r="S6" s="46">
        <f>AVERAGE(R6:R8)</f>
        <v>9.6508252326291792</v>
      </c>
      <c r="T6" s="46">
        <f>STDEV(R6:R8)</f>
        <v>2.2640238132862502</v>
      </c>
      <c r="U6" s="47">
        <f>(1-(AVERAGE(H6:N6,H8:N8)/AVERAGE(H3:N3,H5:N5)))*100</f>
        <v>9.5590959614672126</v>
      </c>
      <c r="V6" s="47"/>
      <c r="W6" s="14"/>
      <c r="Y6" s="2"/>
      <c r="Z6" s="2"/>
      <c r="AA6" s="2"/>
      <c r="AB6" s="2"/>
      <c r="AC6" s="2"/>
      <c r="AD6" s="2"/>
      <c r="AE6" s="2"/>
      <c r="AF6" s="2"/>
      <c r="AG6" s="2"/>
    </row>
    <row r="7" spans="1:45" x14ac:dyDescent="0.35">
      <c r="A7" s="41">
        <f>IFERROR(INDEX('Date Key'!$B$2:$B$19, MATCH(F7,'Date Key'!$A$2:$A$19, 0)), "")</f>
        <v>45181</v>
      </c>
      <c r="B7" s="4">
        <f t="shared" si="0"/>
        <v>1</v>
      </c>
      <c r="C7" s="26" t="str">
        <f>IFERROR(INDEX('Date Key'!$G$57:$G$62, MATCH(B7,'Date Key'!$A$57:$A$62, 0)), "")</f>
        <v>Low HLR, Lower Outlet Height, No Plants</v>
      </c>
      <c r="D7" s="4" t="str">
        <f>IFERROR(INDEX('Date Key'!$G$2:$G$19, MATCH(F7, 'Date Key'!$A$2:$A$19, 0)), "")</f>
        <v>No</v>
      </c>
      <c r="E7" s="4" t="str">
        <f t="shared" si="1"/>
        <v>tank 1</v>
      </c>
      <c r="F7" s="4">
        <f t="shared" si="2"/>
        <v>2</v>
      </c>
      <c r="G7" s="4">
        <f t="shared" si="3"/>
        <v>2</v>
      </c>
      <c r="H7" s="11" cm="1">
        <f t="array" ref="H7">IFERROR(INDEX('Master Data Sheet'!$1:$1048576, MATCH(1, ('Master Data Sheet'!$H:$H=H$2) * (INDEX('Master Data Sheet'!$1:$1, , MATCH($F$1, 'Master Data Sheet'!$1:$1, 0)) = $F$1) * ('Master Data Sheet'!$G:$G=$B7) * ('Master Data Sheet'!$F:$F=$E7) * ('Master Data Sheet'!$A:$A=$F7), 0), MATCH($F$1, 'Master Data Sheet'!$1:$1, 0)), "")</f>
        <v>6.94</v>
      </c>
      <c r="I7" s="11" cm="1">
        <f t="array" ref="I7">IFERROR(INDEX('Master Data Sheet'!$1:$1048576, MATCH(1, ('Master Data Sheet'!$H:$H=I$2) * (INDEX('Master Data Sheet'!$1:$1, , MATCH($F$1, 'Master Data Sheet'!$1:$1, 0)) = $F$1) * ('Master Data Sheet'!$G:$G=$B7) * ('Master Data Sheet'!$F:$F=$E7) * ('Master Data Sheet'!$A:$A=$F7), 0), MATCH($F$1, 'Master Data Sheet'!$1:$1, 0)), "")</f>
        <v>6.97</v>
      </c>
      <c r="J7" s="11" cm="1">
        <f t="array" ref="J7">IFERROR(INDEX('Master Data Sheet'!$1:$1048576, MATCH(1, ('Master Data Sheet'!$H:$H=J$2) * (INDEX('Master Data Sheet'!$1:$1, , MATCH($F$1, 'Master Data Sheet'!$1:$1, 0)) = $F$1) * ('Master Data Sheet'!$G:$G=$B7) * ('Master Data Sheet'!$F:$F=$E7) * ('Master Data Sheet'!$A:$A=$F7), 0), MATCH($F$1, 'Master Data Sheet'!$1:$1, 0)), "")</f>
        <v>6.98</v>
      </c>
      <c r="K7" s="11" cm="1">
        <f t="array" ref="K7">IFERROR(INDEX('Master Data Sheet'!$1:$1048576, MATCH(1, ('Master Data Sheet'!$H:$H=K$2) * (INDEX('Master Data Sheet'!$1:$1, , MATCH($F$1, 'Master Data Sheet'!$1:$1, 0)) = $F$1) * ('Master Data Sheet'!$G:$G=$B7) * ('Master Data Sheet'!$F:$F=$E7) * ('Master Data Sheet'!$A:$A=$F7), 0), MATCH($F$1, 'Master Data Sheet'!$1:$1, 0)), "")</f>
        <v>7.03</v>
      </c>
      <c r="L7" s="11" cm="1">
        <f t="array" ref="L7">IFERROR(INDEX('Master Data Sheet'!$1:$1048576, MATCH(1, ('Master Data Sheet'!$H:$H=L$2) * (INDEX('Master Data Sheet'!$1:$1, , MATCH($F$1, 'Master Data Sheet'!$1:$1, 0)) = $F$1) * ('Master Data Sheet'!$G:$G=$B7) * ('Master Data Sheet'!$F:$F=$E7) * ('Master Data Sheet'!$A:$A=$F7), 0), MATCH($F$1, 'Master Data Sheet'!$1:$1, 0)), "")</f>
        <v>6.97</v>
      </c>
      <c r="M7" s="11" cm="1">
        <f t="array" ref="M7">IFERROR(INDEX('Master Data Sheet'!$1:$1048576, MATCH(1, ('Master Data Sheet'!$H:$H=M$2) * (INDEX('Master Data Sheet'!$1:$1, , MATCH($F$1, 'Master Data Sheet'!$1:$1, 0)) = $F$1) * ('Master Data Sheet'!$G:$G=$B7) * ('Master Data Sheet'!$F:$F=$E7) * ('Master Data Sheet'!$A:$A=$F7), 0), MATCH($F$1, 'Master Data Sheet'!$1:$1, 0)), "")</f>
        <v>6.94</v>
      </c>
      <c r="N7" s="11" cm="1">
        <f t="array" ref="N7">IFERROR(INDEX('Master Data Sheet'!$1:$1048576, MATCH(1, ('Master Data Sheet'!$H:$H=N$2) * (INDEX('Master Data Sheet'!$1:$1, , MATCH($F$1, 'Master Data Sheet'!$1:$1, 0)) = $F$1) * ('Master Data Sheet'!$G:$G=$B7) * ('Master Data Sheet'!$F:$F=$E7) * ('Master Data Sheet'!$A:$A=$F7), 0), MATCH($F$1, 'Master Data Sheet'!$1:$1, 0)), "")</f>
        <v>6.95</v>
      </c>
      <c r="O7" s="11">
        <f t="shared" ref="O7:O56" si="8">AVERAGE(H7:N7)</f>
        <v>6.9685714285714289</v>
      </c>
      <c r="P7" s="11">
        <f t="shared" si="4"/>
        <v>3.1320159337914918E-2</v>
      </c>
      <c r="Q7" s="11"/>
      <c r="R7" s="46">
        <f>(1-(O7/O4))*100</f>
        <v>9.9168975069252046</v>
      </c>
      <c r="X7" t="str">
        <f>IFERROR(INDEX('Date Key'!$G$57:$G$62, MATCH(B6,'Date Key'!$A$57:$A$62, 0)), "")</f>
        <v>Low HLR, Lower Outlet Height, No Plants</v>
      </c>
      <c r="Y7" s="1">
        <f t="shared" ref="Y7:AE7" si="9">H6</f>
        <v>6.92</v>
      </c>
      <c r="Z7" s="1">
        <f t="shared" si="9"/>
        <v>7.05</v>
      </c>
      <c r="AA7" s="1">
        <f t="shared" si="9"/>
        <v>6.96</v>
      </c>
      <c r="AB7" s="1">
        <f t="shared" si="9"/>
        <v>6.89</v>
      </c>
      <c r="AC7" s="1">
        <f t="shared" si="9"/>
        <v>6.93</v>
      </c>
      <c r="AD7" s="1">
        <f t="shared" si="9"/>
        <v>6.88</v>
      </c>
      <c r="AE7" s="1">
        <f t="shared" si="9"/>
        <v>6.87</v>
      </c>
      <c r="AF7" s="1">
        <f t="shared" ref="AF7:AL7" si="10">H7</f>
        <v>6.94</v>
      </c>
      <c r="AG7" s="1">
        <f t="shared" si="10"/>
        <v>6.97</v>
      </c>
      <c r="AH7" s="1">
        <f t="shared" si="10"/>
        <v>6.98</v>
      </c>
      <c r="AI7" s="1">
        <f t="shared" si="10"/>
        <v>7.03</v>
      </c>
      <c r="AJ7" s="1">
        <f t="shared" si="10"/>
        <v>6.97</v>
      </c>
      <c r="AK7" s="1">
        <f t="shared" si="10"/>
        <v>6.94</v>
      </c>
      <c r="AL7" s="1">
        <f t="shared" si="10"/>
        <v>6.95</v>
      </c>
      <c r="AM7" s="1">
        <f t="shared" ref="AM7:AS7" si="11">H8</f>
        <v>7.17</v>
      </c>
      <c r="AN7" s="1">
        <f t="shared" si="11"/>
        <v>6.97</v>
      </c>
      <c r="AO7" s="1">
        <f t="shared" si="11"/>
        <v>7.02</v>
      </c>
      <c r="AP7" s="1">
        <f t="shared" si="11"/>
        <v>6.93</v>
      </c>
      <c r="AQ7" s="1">
        <f t="shared" si="11"/>
        <v>7.04</v>
      </c>
      <c r="AR7" s="1">
        <f t="shared" si="11"/>
        <v>6.99</v>
      </c>
      <c r="AS7" s="1">
        <f t="shared" si="11"/>
        <v>7.02</v>
      </c>
    </row>
    <row r="8" spans="1:45" x14ac:dyDescent="0.35">
      <c r="A8" s="41">
        <f>IFERROR(INDEX('Date Key'!$B$2:$B$19, MATCH(F8,'Date Key'!$A$2:$A$19, 0)), "")</f>
        <v>45195</v>
      </c>
      <c r="B8" s="4">
        <f t="shared" si="0"/>
        <v>1</v>
      </c>
      <c r="C8" s="26" t="str">
        <f>IFERROR(INDEX('Date Key'!$G$57:$G$62, MATCH(B8,'Date Key'!$A$57:$A$62, 0)), "")</f>
        <v>Low HLR, Lower Outlet Height, No Plants</v>
      </c>
      <c r="D8" s="4" t="str">
        <f>IFERROR(INDEX('Date Key'!$G$2:$G$19, MATCH(F8, 'Date Key'!$A$2:$A$19, 0)), "")</f>
        <v>No</v>
      </c>
      <c r="E8" s="4" t="str">
        <f t="shared" si="1"/>
        <v>tank 1</v>
      </c>
      <c r="F8" s="4">
        <f t="shared" si="2"/>
        <v>3</v>
      </c>
      <c r="G8" s="4">
        <f t="shared" si="3"/>
        <v>3</v>
      </c>
      <c r="H8" s="11" cm="1">
        <f t="array" ref="H8">IFERROR(INDEX('Master Data Sheet'!$1:$1048576, MATCH(1, ('Master Data Sheet'!$H:$H=H$2) * (INDEX('Master Data Sheet'!$1:$1, , MATCH($F$1, 'Master Data Sheet'!$1:$1, 0)) = $F$1) * ('Master Data Sheet'!$G:$G=$B8) * ('Master Data Sheet'!$F:$F=$E8) * ('Master Data Sheet'!$A:$A=$F8), 0), MATCH($F$1, 'Master Data Sheet'!$1:$1, 0)), "")</f>
        <v>7.17</v>
      </c>
      <c r="I8" s="11" cm="1">
        <f t="array" ref="I8">IFERROR(INDEX('Master Data Sheet'!$1:$1048576, MATCH(1, ('Master Data Sheet'!$H:$H=I$2) * (INDEX('Master Data Sheet'!$1:$1, , MATCH($F$1, 'Master Data Sheet'!$1:$1, 0)) = $F$1) * ('Master Data Sheet'!$G:$G=$B8) * ('Master Data Sheet'!$F:$F=$E8) * ('Master Data Sheet'!$A:$A=$F8), 0), MATCH($F$1, 'Master Data Sheet'!$1:$1, 0)), "")</f>
        <v>6.97</v>
      </c>
      <c r="J8" s="11" cm="1">
        <f t="array" ref="J8">IFERROR(INDEX('Master Data Sheet'!$1:$1048576, MATCH(1, ('Master Data Sheet'!$H:$H=J$2) * (INDEX('Master Data Sheet'!$1:$1, , MATCH($F$1, 'Master Data Sheet'!$1:$1, 0)) = $F$1) * ('Master Data Sheet'!$G:$G=$B8) * ('Master Data Sheet'!$F:$F=$E8) * ('Master Data Sheet'!$A:$A=$F8), 0), MATCH($F$1, 'Master Data Sheet'!$1:$1, 0)), "")</f>
        <v>7.02</v>
      </c>
      <c r="K8" s="11" cm="1">
        <f t="array" ref="K8">IFERROR(INDEX('Master Data Sheet'!$1:$1048576, MATCH(1, ('Master Data Sheet'!$H:$H=K$2) * (INDEX('Master Data Sheet'!$1:$1, , MATCH($F$1, 'Master Data Sheet'!$1:$1, 0)) = $F$1) * ('Master Data Sheet'!$G:$G=$B8) * ('Master Data Sheet'!$F:$F=$E8) * ('Master Data Sheet'!$A:$A=$F8), 0), MATCH($F$1, 'Master Data Sheet'!$1:$1, 0)), "")</f>
        <v>6.93</v>
      </c>
      <c r="L8" s="11" cm="1">
        <f t="array" ref="L8">IFERROR(INDEX('Master Data Sheet'!$1:$1048576, MATCH(1, ('Master Data Sheet'!$H:$H=L$2) * (INDEX('Master Data Sheet'!$1:$1, , MATCH($F$1, 'Master Data Sheet'!$1:$1, 0)) = $F$1) * ('Master Data Sheet'!$G:$G=$B8) * ('Master Data Sheet'!$F:$F=$E8) * ('Master Data Sheet'!$A:$A=$F8), 0), MATCH($F$1, 'Master Data Sheet'!$1:$1, 0)), "")</f>
        <v>7.04</v>
      </c>
      <c r="M8" s="11" cm="1">
        <f t="array" ref="M8">IFERROR(INDEX('Master Data Sheet'!$1:$1048576, MATCH(1, ('Master Data Sheet'!$H:$H=M$2) * (INDEX('Master Data Sheet'!$1:$1, , MATCH($F$1, 'Master Data Sheet'!$1:$1, 0)) = $F$1) * ('Master Data Sheet'!$G:$G=$B8) * ('Master Data Sheet'!$F:$F=$E8) * ('Master Data Sheet'!$A:$A=$F8), 0), MATCH($F$1, 'Master Data Sheet'!$1:$1, 0)), "")</f>
        <v>6.99</v>
      </c>
      <c r="N8" s="11" cm="1">
        <f t="array" ref="N8">IFERROR(INDEX('Master Data Sheet'!$1:$1048576, MATCH(1, ('Master Data Sheet'!$H:$H=N$2) * (INDEX('Master Data Sheet'!$1:$1, , MATCH($F$1, 'Master Data Sheet'!$1:$1, 0)) = $F$1) * ('Master Data Sheet'!$G:$G=$B8) * ('Master Data Sheet'!$F:$F=$E8) * ('Master Data Sheet'!$A:$A=$F8), 0), MATCH($F$1, 'Master Data Sheet'!$1:$1, 0)), "")</f>
        <v>7.02</v>
      </c>
      <c r="O8" s="11">
        <f t="shared" si="8"/>
        <v>7.0200000000000005</v>
      </c>
      <c r="P8" s="11">
        <f t="shared" si="4"/>
        <v>7.5718777944003696E-2</v>
      </c>
      <c r="Q8" s="11"/>
      <c r="R8" s="46">
        <f>(1-(O8/O5))*100</f>
        <v>7.2655217965653769</v>
      </c>
      <c r="Y8" s="2"/>
      <c r="Z8" s="2"/>
      <c r="AA8" s="2"/>
      <c r="AB8" s="2"/>
      <c r="AC8" s="2"/>
      <c r="AD8" s="2"/>
      <c r="AE8" s="2"/>
      <c r="AF8" s="2"/>
      <c r="AG8" s="2"/>
    </row>
    <row r="9" spans="1:45" x14ac:dyDescent="0.35">
      <c r="A9" s="41">
        <f>IFERROR(INDEX('Date Key'!$B$2:$B$19, MATCH(F9,'Date Key'!$A$2:$A$19, 0)), "")</f>
        <v>45175</v>
      </c>
      <c r="B9" s="4">
        <f t="shared" si="0"/>
        <v>1</v>
      </c>
      <c r="C9" s="26" t="str">
        <f>IFERROR(INDEX('Date Key'!$G$57:$G$62, MATCH(B9,'Date Key'!$A$57:$A$62, 0)), "")</f>
        <v>Low HLR, Lower Outlet Height, No Plants</v>
      </c>
      <c r="D9" s="4" t="str">
        <f>IFERROR(INDEX('Date Key'!$G$2:$G$19, MATCH(F9, 'Date Key'!$A$2:$A$19, 0)), "")</f>
        <v>No</v>
      </c>
      <c r="E9" s="4" t="str">
        <f t="shared" si="1"/>
        <v>tank 2</v>
      </c>
      <c r="F9" s="4">
        <f t="shared" si="2"/>
        <v>1</v>
      </c>
      <c r="G9" s="4">
        <f t="shared" si="3"/>
        <v>1</v>
      </c>
      <c r="H9" s="11" cm="1">
        <f t="array" ref="H9">IFERROR(INDEX('Master Data Sheet'!$1:$1048576, MATCH(1, ('Master Data Sheet'!$H:$H=H$2) * (INDEX('Master Data Sheet'!$1:$1, , MATCH($F$1, 'Master Data Sheet'!$1:$1, 0)) = $F$1) * ('Master Data Sheet'!$G:$G=$B9) * ('Master Data Sheet'!$F:$F=$E9) * ('Master Data Sheet'!$A:$A=$F9), 0), MATCH($F$1, 'Master Data Sheet'!$1:$1, 0)), "")</f>
        <v>6.78</v>
      </c>
      <c r="I9" s="11" cm="1">
        <f t="array" ref="I9">IFERROR(INDEX('Master Data Sheet'!$1:$1048576, MATCH(1, ('Master Data Sheet'!$H:$H=I$2) * (INDEX('Master Data Sheet'!$1:$1, , MATCH($F$1, 'Master Data Sheet'!$1:$1, 0)) = $F$1) * ('Master Data Sheet'!$G:$G=$B9) * ('Master Data Sheet'!$F:$F=$E9) * ('Master Data Sheet'!$A:$A=$F9), 0), MATCH($F$1, 'Master Data Sheet'!$1:$1, 0)), "")</f>
        <v>6.83</v>
      </c>
      <c r="J9" s="11" cm="1">
        <f t="array" ref="J9">IFERROR(INDEX('Master Data Sheet'!$1:$1048576, MATCH(1, ('Master Data Sheet'!$H:$H=J$2) * (INDEX('Master Data Sheet'!$1:$1, , MATCH($F$1, 'Master Data Sheet'!$1:$1, 0)) = $F$1) * ('Master Data Sheet'!$G:$G=$B9) * ('Master Data Sheet'!$F:$F=$E9) * ('Master Data Sheet'!$A:$A=$F9), 0), MATCH($F$1, 'Master Data Sheet'!$1:$1, 0)), "")</f>
        <v>6.85</v>
      </c>
      <c r="K9" s="11" cm="1">
        <f t="array" ref="K9">IFERROR(INDEX('Master Data Sheet'!$1:$1048576, MATCH(1, ('Master Data Sheet'!$H:$H=K$2) * (INDEX('Master Data Sheet'!$1:$1, , MATCH($F$1, 'Master Data Sheet'!$1:$1, 0)) = $F$1) * ('Master Data Sheet'!$G:$G=$B9) * ('Master Data Sheet'!$F:$F=$E9) * ('Master Data Sheet'!$A:$A=$F9), 0), MATCH($F$1, 'Master Data Sheet'!$1:$1, 0)), "")</f>
        <v>6.7</v>
      </c>
      <c r="L9" s="11" cm="1">
        <f t="array" ref="L9">IFERROR(INDEX('Master Data Sheet'!$1:$1048576, MATCH(1, ('Master Data Sheet'!$H:$H=L$2) * (INDEX('Master Data Sheet'!$1:$1, , MATCH($F$1, 'Master Data Sheet'!$1:$1, 0)) = $F$1) * ('Master Data Sheet'!$G:$G=$B9) * ('Master Data Sheet'!$F:$F=$E9) * ('Master Data Sheet'!$A:$A=$F9), 0), MATCH($F$1, 'Master Data Sheet'!$1:$1, 0)), "")</f>
        <v>6.88</v>
      </c>
      <c r="M9" s="11" cm="1">
        <f t="array" ref="M9">IFERROR(INDEX('Master Data Sheet'!$1:$1048576, MATCH(1, ('Master Data Sheet'!$H:$H=M$2) * (INDEX('Master Data Sheet'!$1:$1, , MATCH($F$1, 'Master Data Sheet'!$1:$1, 0)) = $F$1) * ('Master Data Sheet'!$G:$G=$B9) * ('Master Data Sheet'!$F:$F=$E9) * ('Master Data Sheet'!$A:$A=$F9), 0), MATCH($F$1, 'Master Data Sheet'!$1:$1, 0)), "")</f>
        <v>6.82</v>
      </c>
      <c r="N9" s="11" cm="1">
        <f t="array" ref="N9">IFERROR(INDEX('Master Data Sheet'!$1:$1048576, MATCH(1, ('Master Data Sheet'!$H:$H=N$2) * (INDEX('Master Data Sheet'!$1:$1, , MATCH($F$1, 'Master Data Sheet'!$1:$1, 0)) = $F$1) * ('Master Data Sheet'!$G:$G=$B9) * ('Master Data Sheet'!$F:$F=$E9) * ('Master Data Sheet'!$A:$A=$F9), 0), MATCH($F$1, 'Master Data Sheet'!$1:$1, 0)), "")</f>
        <v>7.01</v>
      </c>
      <c r="O9" s="11">
        <f t="shared" si="8"/>
        <v>6.8385714285714281</v>
      </c>
      <c r="P9" s="11">
        <f t="shared" si="4"/>
        <v>9.5118973121134029E-2</v>
      </c>
      <c r="Q9" s="11">
        <f>AVERAGE(N9,N11)</f>
        <v>6.9450000000000003</v>
      </c>
      <c r="R9" s="46">
        <f>(1-(O9/O3))*100</f>
        <v>12.916136074222329</v>
      </c>
      <c r="S9" s="46">
        <f>AVERAGE(R9:R11)</f>
        <v>11.074378876172588</v>
      </c>
      <c r="T9" s="46">
        <f>STDEV(R9:R11)</f>
        <v>1.6005225791378086</v>
      </c>
      <c r="U9" s="47">
        <f>(1-(AVERAGE(H9:N9,H11:N11)/AVERAGE(H3:N3,H5:N5)))*100</f>
        <v>11.49499814746202</v>
      </c>
      <c r="V9" s="47"/>
      <c r="Y9" s="2"/>
      <c r="Z9" s="2"/>
      <c r="AA9" s="2"/>
      <c r="AB9" s="2"/>
      <c r="AC9" s="2"/>
      <c r="AD9" s="2"/>
      <c r="AE9" s="2"/>
      <c r="AF9" s="2"/>
      <c r="AG9" s="2"/>
    </row>
    <row r="10" spans="1:45" x14ac:dyDescent="0.35">
      <c r="A10" s="41">
        <f>IFERROR(INDEX('Date Key'!$B$2:$B$19, MATCH(F10,'Date Key'!$A$2:$A$19, 0)), "")</f>
        <v>45181</v>
      </c>
      <c r="B10" s="4">
        <f t="shared" si="0"/>
        <v>1</v>
      </c>
      <c r="C10" s="26" t="str">
        <f>IFERROR(INDEX('Date Key'!$G$57:$G$62, MATCH(B10,'Date Key'!$A$57:$A$62, 0)), "")</f>
        <v>Low HLR, Lower Outlet Height, No Plants</v>
      </c>
      <c r="D10" s="4" t="str">
        <f>IFERROR(INDEX('Date Key'!$G$2:$G$19, MATCH(F10, 'Date Key'!$A$2:$A$19, 0)), "")</f>
        <v>No</v>
      </c>
      <c r="E10" s="4" t="str">
        <f t="shared" si="1"/>
        <v>tank 2</v>
      </c>
      <c r="F10" s="4">
        <f t="shared" si="2"/>
        <v>2</v>
      </c>
      <c r="G10" s="4">
        <f t="shared" si="3"/>
        <v>2</v>
      </c>
      <c r="H10" s="11" cm="1">
        <f t="array" ref="H10">IFERROR(INDEX('Master Data Sheet'!$1:$1048576, MATCH(1, ('Master Data Sheet'!$H:$H=H$2) * (INDEX('Master Data Sheet'!$1:$1, , MATCH($F$1, 'Master Data Sheet'!$1:$1, 0)) = $F$1) * ('Master Data Sheet'!$G:$G=$B10) * ('Master Data Sheet'!$F:$F=$E10) * ('Master Data Sheet'!$A:$A=$F10), 0), MATCH($F$1, 'Master Data Sheet'!$1:$1, 0)), "")</f>
        <v>6.89</v>
      </c>
      <c r="I10" s="11" cm="1">
        <f t="array" ref="I10">IFERROR(INDEX('Master Data Sheet'!$1:$1048576, MATCH(1, ('Master Data Sheet'!$H:$H=I$2) * (INDEX('Master Data Sheet'!$1:$1, , MATCH($F$1, 'Master Data Sheet'!$1:$1, 0)) = $F$1) * ('Master Data Sheet'!$G:$G=$B10) * ('Master Data Sheet'!$F:$F=$E10) * ('Master Data Sheet'!$A:$A=$F10), 0), MATCH($F$1, 'Master Data Sheet'!$1:$1, 0)), "")</f>
        <v>6.98</v>
      </c>
      <c r="J10" s="11" cm="1">
        <f t="array" ref="J10">IFERROR(INDEX('Master Data Sheet'!$1:$1048576, MATCH(1, ('Master Data Sheet'!$H:$H=J$2) * (INDEX('Master Data Sheet'!$1:$1, , MATCH($F$1, 'Master Data Sheet'!$1:$1, 0)) = $F$1) * ('Master Data Sheet'!$G:$G=$B10) * ('Master Data Sheet'!$F:$F=$E10) * ('Master Data Sheet'!$A:$A=$F10), 0), MATCH($F$1, 'Master Data Sheet'!$1:$1, 0)), "")</f>
        <v>6.85</v>
      </c>
      <c r="K10" s="11" cm="1">
        <f t="array" ref="K10">IFERROR(INDEX('Master Data Sheet'!$1:$1048576, MATCH(1, ('Master Data Sheet'!$H:$H=K$2) * (INDEX('Master Data Sheet'!$1:$1, , MATCH($F$1, 'Master Data Sheet'!$1:$1, 0)) = $F$1) * ('Master Data Sheet'!$G:$G=$B10) * ('Master Data Sheet'!$F:$F=$E10) * ('Master Data Sheet'!$A:$A=$F10), 0), MATCH($F$1, 'Master Data Sheet'!$1:$1, 0)), "")</f>
        <v>6.88</v>
      </c>
      <c r="L10" s="11" cm="1">
        <f t="array" ref="L10">IFERROR(INDEX('Master Data Sheet'!$1:$1048576, MATCH(1, ('Master Data Sheet'!$H:$H=L$2) * (INDEX('Master Data Sheet'!$1:$1, , MATCH($F$1, 'Master Data Sheet'!$1:$1, 0)) = $F$1) * ('Master Data Sheet'!$G:$G=$B10) * ('Master Data Sheet'!$F:$F=$E10) * ('Master Data Sheet'!$A:$A=$F10), 0), MATCH($F$1, 'Master Data Sheet'!$1:$1, 0)), "")</f>
        <v>6.96</v>
      </c>
      <c r="M10" s="11" cm="1">
        <f t="array" ref="M10">IFERROR(INDEX('Master Data Sheet'!$1:$1048576, MATCH(1, ('Master Data Sheet'!$H:$H=M$2) * (INDEX('Master Data Sheet'!$1:$1, , MATCH($F$1, 'Master Data Sheet'!$1:$1, 0)) = $F$1) * ('Master Data Sheet'!$G:$G=$B10) * ('Master Data Sheet'!$F:$F=$E10) * ('Master Data Sheet'!$A:$A=$F10), 0), MATCH($F$1, 'Master Data Sheet'!$1:$1, 0)), "")</f>
        <v>6.97</v>
      </c>
      <c r="N10" s="11" cm="1">
        <f t="array" ref="N10">IFERROR(INDEX('Master Data Sheet'!$1:$1048576, MATCH(1, ('Master Data Sheet'!$H:$H=N$2) * (INDEX('Master Data Sheet'!$1:$1, , MATCH($F$1, 'Master Data Sheet'!$1:$1, 0)) = $F$1) * ('Master Data Sheet'!$G:$G=$B10) * ('Master Data Sheet'!$F:$F=$E10) * ('Master Data Sheet'!$A:$A=$F10), 0), MATCH($F$1, 'Master Data Sheet'!$1:$1, 0)), "")</f>
        <v>7.05</v>
      </c>
      <c r="O10" s="11">
        <f t="shared" si="8"/>
        <v>6.9399999999999986</v>
      </c>
      <c r="P10" s="11">
        <f t="shared" si="4"/>
        <v>6.9761498454854604E-2</v>
      </c>
      <c r="Q10" s="11"/>
      <c r="R10" s="46">
        <f>(1-(O10/O4))*100</f>
        <v>10.286241920590966</v>
      </c>
      <c r="X10" t="str">
        <f>IFERROR(INDEX('Date Key'!$G$57:$G$62, MATCH(B9,'Date Key'!$A$57:$A$62, 0)), "")</f>
        <v>Low HLR, Lower Outlet Height, No Plants</v>
      </c>
      <c r="Y10" s="1">
        <f t="shared" ref="Y10:AE10" si="12">H9</f>
        <v>6.78</v>
      </c>
      <c r="Z10" s="1">
        <f t="shared" si="12"/>
        <v>6.83</v>
      </c>
      <c r="AA10" s="1">
        <f t="shared" si="12"/>
        <v>6.85</v>
      </c>
      <c r="AB10" s="1">
        <f t="shared" si="12"/>
        <v>6.7</v>
      </c>
      <c r="AC10" s="1">
        <f t="shared" si="12"/>
        <v>6.88</v>
      </c>
      <c r="AD10" s="1">
        <f t="shared" si="12"/>
        <v>6.82</v>
      </c>
      <c r="AE10" s="1">
        <f t="shared" si="12"/>
        <v>7.01</v>
      </c>
      <c r="AF10" s="1">
        <f t="shared" ref="AF10:AL10" si="13">H10</f>
        <v>6.89</v>
      </c>
      <c r="AG10" s="1">
        <f t="shared" si="13"/>
        <v>6.98</v>
      </c>
      <c r="AH10" s="1">
        <f t="shared" si="13"/>
        <v>6.85</v>
      </c>
      <c r="AI10" s="1">
        <f t="shared" si="13"/>
        <v>6.88</v>
      </c>
      <c r="AJ10" s="1">
        <f t="shared" si="13"/>
        <v>6.96</v>
      </c>
      <c r="AK10" s="1">
        <f t="shared" si="13"/>
        <v>6.97</v>
      </c>
      <c r="AL10" s="1">
        <f t="shared" si="13"/>
        <v>7.05</v>
      </c>
      <c r="AM10" s="1">
        <f t="shared" ref="AM10:AS10" si="14">H11</f>
        <v>6.83</v>
      </c>
      <c r="AN10" s="1">
        <f t="shared" si="14"/>
        <v>6.8</v>
      </c>
      <c r="AO10" s="1">
        <f t="shared" si="14"/>
        <v>6.76</v>
      </c>
      <c r="AP10" s="1">
        <f t="shared" si="14"/>
        <v>6.76</v>
      </c>
      <c r="AQ10" s="1">
        <f t="shared" si="14"/>
        <v>6.81</v>
      </c>
      <c r="AR10" s="1">
        <f t="shared" si="14"/>
        <v>6.84</v>
      </c>
      <c r="AS10" s="1">
        <f t="shared" si="14"/>
        <v>6.88</v>
      </c>
    </row>
    <row r="11" spans="1:45" x14ac:dyDescent="0.35">
      <c r="A11" s="42">
        <f>IFERROR(INDEX('Date Key'!$B$2:$B$19, MATCH(F11,'Date Key'!$A$2:$A$19, 0)), "")</f>
        <v>45195</v>
      </c>
      <c r="B11" s="27">
        <f t="shared" si="0"/>
        <v>1</v>
      </c>
      <c r="C11" s="51" t="str">
        <f>IFERROR(INDEX('Date Key'!$G$57:$G$62, MATCH(B11,'Date Key'!$A$57:$A$62, 0)), "")</f>
        <v>Low HLR, Lower Outlet Height, No Plants</v>
      </c>
      <c r="D11" s="27" t="str">
        <f>IFERROR(INDEX('Date Key'!$G$2:$G$19, MATCH(F11, 'Date Key'!$A$2:$A$19, 0)), "")</f>
        <v>No</v>
      </c>
      <c r="E11" s="27" t="str">
        <f t="shared" si="1"/>
        <v>tank 2</v>
      </c>
      <c r="F11" s="27">
        <f t="shared" si="2"/>
        <v>3</v>
      </c>
      <c r="G11" s="27">
        <f t="shared" si="3"/>
        <v>3</v>
      </c>
      <c r="H11" s="28" cm="1">
        <f t="array" ref="H11">IFERROR(INDEX('Master Data Sheet'!$1:$1048576, MATCH(1, ('Master Data Sheet'!$H:$H=H$2) * (INDEX('Master Data Sheet'!$1:$1, , MATCH($F$1, 'Master Data Sheet'!$1:$1, 0)) = $F$1) * ('Master Data Sheet'!$G:$G=$B11) * ('Master Data Sheet'!$F:$F=$E11) * ('Master Data Sheet'!$A:$A=$F11), 0), MATCH($F$1, 'Master Data Sheet'!$1:$1, 0)), "")</f>
        <v>6.83</v>
      </c>
      <c r="I11" s="28" cm="1">
        <f t="array" ref="I11">IFERROR(INDEX('Master Data Sheet'!$1:$1048576, MATCH(1, ('Master Data Sheet'!$H:$H=I$2) * (INDEX('Master Data Sheet'!$1:$1, , MATCH($F$1, 'Master Data Sheet'!$1:$1, 0)) = $F$1) * ('Master Data Sheet'!$G:$G=$B11) * ('Master Data Sheet'!$F:$F=$E11) * ('Master Data Sheet'!$A:$A=$F11), 0), MATCH($F$1, 'Master Data Sheet'!$1:$1, 0)), "")</f>
        <v>6.8</v>
      </c>
      <c r="J11" s="28" cm="1">
        <f t="array" ref="J11">IFERROR(INDEX('Master Data Sheet'!$1:$1048576, MATCH(1, ('Master Data Sheet'!$H:$H=J$2) * (INDEX('Master Data Sheet'!$1:$1, , MATCH($F$1, 'Master Data Sheet'!$1:$1, 0)) = $F$1) * ('Master Data Sheet'!$G:$G=$B11) * ('Master Data Sheet'!$F:$F=$E11) * ('Master Data Sheet'!$A:$A=$F11), 0), MATCH($F$1, 'Master Data Sheet'!$1:$1, 0)), "")</f>
        <v>6.76</v>
      </c>
      <c r="K11" s="28" cm="1">
        <f t="array" ref="K11">IFERROR(INDEX('Master Data Sheet'!$1:$1048576, MATCH(1, ('Master Data Sheet'!$H:$H=K$2) * (INDEX('Master Data Sheet'!$1:$1, , MATCH($F$1, 'Master Data Sheet'!$1:$1, 0)) = $F$1) * ('Master Data Sheet'!$G:$G=$B11) * ('Master Data Sheet'!$F:$F=$E11) * ('Master Data Sheet'!$A:$A=$F11), 0), MATCH($F$1, 'Master Data Sheet'!$1:$1, 0)), "")</f>
        <v>6.76</v>
      </c>
      <c r="L11" s="28" cm="1">
        <f t="array" ref="L11">IFERROR(INDEX('Master Data Sheet'!$1:$1048576, MATCH(1, ('Master Data Sheet'!$H:$H=L$2) * (INDEX('Master Data Sheet'!$1:$1, , MATCH($F$1, 'Master Data Sheet'!$1:$1, 0)) = $F$1) * ('Master Data Sheet'!$G:$G=$B11) * ('Master Data Sheet'!$F:$F=$E11) * ('Master Data Sheet'!$A:$A=$F11), 0), MATCH($F$1, 'Master Data Sheet'!$1:$1, 0)), "")</f>
        <v>6.81</v>
      </c>
      <c r="M11" s="28" cm="1">
        <f t="array" ref="M11">IFERROR(INDEX('Master Data Sheet'!$1:$1048576, MATCH(1, ('Master Data Sheet'!$H:$H=M$2) * (INDEX('Master Data Sheet'!$1:$1, , MATCH($F$1, 'Master Data Sheet'!$1:$1, 0)) = $F$1) * ('Master Data Sheet'!$G:$G=$B11) * ('Master Data Sheet'!$F:$F=$E11) * ('Master Data Sheet'!$A:$A=$F11), 0), MATCH($F$1, 'Master Data Sheet'!$1:$1, 0)), "")</f>
        <v>6.84</v>
      </c>
      <c r="N11" s="28" cm="1">
        <f t="array" ref="N11">IFERROR(INDEX('Master Data Sheet'!$1:$1048576, MATCH(1, ('Master Data Sheet'!$H:$H=N$2) * (INDEX('Master Data Sheet'!$1:$1, , MATCH($F$1, 'Master Data Sheet'!$1:$1, 0)) = $F$1) * ('Master Data Sheet'!$G:$G=$B11) * ('Master Data Sheet'!$F:$F=$E11) * ('Master Data Sheet'!$A:$A=$F11), 0), MATCH($F$1, 'Master Data Sheet'!$1:$1, 0)), "")</f>
        <v>6.88</v>
      </c>
      <c r="O11" s="28">
        <f t="shared" si="8"/>
        <v>6.8114285714285714</v>
      </c>
      <c r="P11" s="28">
        <f t="shared" si="4"/>
        <v>4.3369947901195201E-2</v>
      </c>
      <c r="Q11" s="28"/>
      <c r="R11" s="48">
        <f>(1-(O11/O5))*100</f>
        <v>10.020758633704464</v>
      </c>
      <c r="S11" s="27"/>
      <c r="T11" s="27"/>
      <c r="U11" s="27"/>
      <c r="V11" s="27"/>
    </row>
    <row r="12" spans="1:45" x14ac:dyDescent="0.35">
      <c r="A12" s="41">
        <f>IFERROR(INDEX('Date Key'!$B$2:$B$19, MATCH(F12,'Date Key'!$A$2:$A$19, 0)), "")</f>
        <v>45217</v>
      </c>
      <c r="B12" s="4">
        <f>INT((ROW(B10)-1)/9)+1</f>
        <v>2</v>
      </c>
      <c r="C12" s="26" t="str">
        <f>IFERROR(INDEX('Date Key'!$G$57:$G$62, MATCH(B12,'Date Key'!$A$57:$A$62, 0)), "")</f>
        <v>Medium HLR, Lower Outlet Height, No Plants</v>
      </c>
      <c r="D12" s="4" t="str">
        <f>IFERROR(INDEX('Date Key'!$G$2:$G$19, MATCH(F12, 'Date Key'!$A$2:$A$19, 0)), "")</f>
        <v>No</v>
      </c>
      <c r="E12" s="4" t="str">
        <f t="shared" si="1"/>
        <v>in</v>
      </c>
      <c r="F12" s="4">
        <f t="shared" si="2"/>
        <v>4</v>
      </c>
      <c r="G12" s="4">
        <f t="shared" si="3"/>
        <v>1</v>
      </c>
      <c r="H12" s="11" cm="1">
        <f t="array" ref="H12">IFERROR(INDEX('Master Data Sheet'!$1:$1048576, MATCH(1, ('Master Data Sheet'!$H:$H=H$2) * (INDEX('Master Data Sheet'!$1:$1, , MATCH($F$1, 'Master Data Sheet'!$1:$1, 0)) = $F$1) * ('Master Data Sheet'!$G:$G=$B12) * ('Master Data Sheet'!$F:$F=$E12) * ('Master Data Sheet'!$A:$A=$F12), 0), MATCH($F$1, 'Master Data Sheet'!$1:$1, 0)), "")</f>
        <v>7.18</v>
      </c>
      <c r="I12" s="11" cm="1">
        <f t="array" ref="I12">IFERROR(INDEX('Master Data Sheet'!$1:$1048576, MATCH(1, ('Master Data Sheet'!$H:$H=I$2) * (INDEX('Master Data Sheet'!$1:$1, , MATCH($F$1, 'Master Data Sheet'!$1:$1, 0)) = $F$1) * ('Master Data Sheet'!$G:$G=$B12) * ('Master Data Sheet'!$F:$F=$E12) * ('Master Data Sheet'!$A:$A=$F12), 0), MATCH($F$1, 'Master Data Sheet'!$1:$1, 0)), "")</f>
        <v>7.14</v>
      </c>
      <c r="J12" s="11" cm="1">
        <f t="array" ref="J12">IFERROR(INDEX('Master Data Sheet'!$1:$1048576, MATCH(1, ('Master Data Sheet'!$H:$H=J$2) * (INDEX('Master Data Sheet'!$1:$1, , MATCH($F$1, 'Master Data Sheet'!$1:$1, 0)) = $F$1) * ('Master Data Sheet'!$G:$G=$B12) * ('Master Data Sheet'!$F:$F=$E12) * ('Master Data Sheet'!$A:$A=$F12), 0), MATCH($F$1, 'Master Data Sheet'!$1:$1, 0)), "")</f>
        <v>7.93</v>
      </c>
      <c r="K12" s="11" cm="1">
        <f t="array" ref="K12">IFERROR(INDEX('Master Data Sheet'!$1:$1048576, MATCH(1, ('Master Data Sheet'!$H:$H=K$2) * (INDEX('Master Data Sheet'!$1:$1, , MATCH($F$1, 'Master Data Sheet'!$1:$1, 0)) = $F$1) * ('Master Data Sheet'!$G:$G=$B12) * ('Master Data Sheet'!$F:$F=$E12) * ('Master Data Sheet'!$A:$A=$F12), 0), MATCH($F$1, 'Master Data Sheet'!$1:$1, 0)), "")</f>
        <v>8</v>
      </c>
      <c r="L12" s="11" cm="1">
        <f t="array" ref="L12">IFERROR(INDEX('Master Data Sheet'!$1:$1048576, MATCH(1, ('Master Data Sheet'!$H:$H=L$2) * (INDEX('Master Data Sheet'!$1:$1, , MATCH($F$1, 'Master Data Sheet'!$1:$1, 0)) = $F$1) * ('Master Data Sheet'!$G:$G=$B12) * ('Master Data Sheet'!$F:$F=$E12) * ('Master Data Sheet'!$A:$A=$F12), 0), MATCH($F$1, 'Master Data Sheet'!$1:$1, 0)), "")</f>
        <v>7.95</v>
      </c>
      <c r="M12" s="11" cm="1">
        <f t="array" ref="M12">IFERROR(INDEX('Master Data Sheet'!$1:$1048576, MATCH(1, ('Master Data Sheet'!$H:$H=M$2) * (INDEX('Master Data Sheet'!$1:$1, , MATCH($F$1, 'Master Data Sheet'!$1:$1, 0)) = $F$1) * ('Master Data Sheet'!$G:$G=$B12) * ('Master Data Sheet'!$F:$F=$E12) * ('Master Data Sheet'!$A:$A=$F12), 0), MATCH($F$1, 'Master Data Sheet'!$1:$1, 0)), "")</f>
        <v>7.9</v>
      </c>
      <c r="N12" s="11" cm="1">
        <f t="array" ref="N12">IFERROR(INDEX('Master Data Sheet'!$1:$1048576, MATCH(1, ('Master Data Sheet'!$H:$H=N$2) * (INDEX('Master Data Sheet'!$1:$1, , MATCH($F$1, 'Master Data Sheet'!$1:$1, 0)) = $F$1) * ('Master Data Sheet'!$G:$G=$B12) * ('Master Data Sheet'!$F:$F=$E12) * ('Master Data Sheet'!$A:$A=$F12), 0), MATCH($F$1, 'Master Data Sheet'!$1:$1, 0)), "")</f>
        <v>7.93</v>
      </c>
      <c r="O12" s="11">
        <f t="shared" si="8"/>
        <v>7.7185714285714289</v>
      </c>
      <c r="P12" s="11">
        <f t="shared" si="4"/>
        <v>0.38294597405850761</v>
      </c>
      <c r="Q12" s="11">
        <f>AVERAGE(O12:O14)</f>
        <v>7.6766666666666667</v>
      </c>
      <c r="S12" s="11">
        <f>AVERAGE(O12:O14)</f>
        <v>7.6766666666666667</v>
      </c>
      <c r="T12" s="11">
        <f>AVERAGE(P12:P14)</f>
        <v>0.23617840263800541</v>
      </c>
      <c r="V12" s="47">
        <f>AVERAGE(U15, U18)</f>
        <v>6.3457601885739345</v>
      </c>
      <c r="X12" t="s">
        <v>343</v>
      </c>
    </row>
    <row r="13" spans="1:45" x14ac:dyDescent="0.35">
      <c r="A13" s="41">
        <f>IFERROR(INDEX('Date Key'!$B$2:$B$19, MATCH(F13,'Date Key'!$A$2:$A$19, 0)), "")</f>
        <v>45224</v>
      </c>
      <c r="B13" s="4">
        <f t="shared" ref="B13:B56" si="15">INT((ROW(B11)-1)/9)+1</f>
        <v>2</v>
      </c>
      <c r="C13" s="26" t="str">
        <f>IFERROR(INDEX('Date Key'!$G$57:$G$62, MATCH(B13,'Date Key'!$A$57:$A$62, 0)), "")</f>
        <v>Medium HLR, Lower Outlet Height, No Plants</v>
      </c>
      <c r="D13" s="4" t="str">
        <f>IFERROR(INDEX('Date Key'!$G$2:$G$19, MATCH(F13, 'Date Key'!$A$2:$A$19, 0)), "")</f>
        <v>No</v>
      </c>
      <c r="E13" s="4" t="str">
        <f t="shared" si="1"/>
        <v>in</v>
      </c>
      <c r="F13" s="4">
        <f t="shared" si="2"/>
        <v>5</v>
      </c>
      <c r="G13" s="4">
        <f t="shared" si="3"/>
        <v>2</v>
      </c>
      <c r="H13" s="11" cm="1">
        <f t="array" ref="H13">IFERROR(INDEX('Master Data Sheet'!$1:$1048576, MATCH(1, ('Master Data Sheet'!$H:$H=H$2) * (INDEX('Master Data Sheet'!$1:$1, , MATCH($F$1, 'Master Data Sheet'!$1:$1, 0)) = $F$1) * ('Master Data Sheet'!$G:$G=$B13) * ('Master Data Sheet'!$F:$F=$E13) * ('Master Data Sheet'!$A:$A=$F13), 0), MATCH($F$1, 'Master Data Sheet'!$1:$1, 0)), "")</f>
        <v>7.29</v>
      </c>
      <c r="I13" s="11" cm="1">
        <f t="array" ref="I13">IFERROR(INDEX('Master Data Sheet'!$1:$1048576, MATCH(1, ('Master Data Sheet'!$H:$H=I$2) * (INDEX('Master Data Sheet'!$1:$1, , MATCH($F$1, 'Master Data Sheet'!$1:$1, 0)) = $F$1) * ('Master Data Sheet'!$G:$G=$B13) * ('Master Data Sheet'!$F:$F=$E13) * ('Master Data Sheet'!$A:$A=$F13), 0), MATCH($F$1, 'Master Data Sheet'!$1:$1, 0)), "")</f>
        <v>8.07</v>
      </c>
      <c r="J13" s="11" cm="1">
        <f t="array" ref="J13">IFERROR(INDEX('Master Data Sheet'!$1:$1048576, MATCH(1, ('Master Data Sheet'!$H:$H=J$2) * (INDEX('Master Data Sheet'!$1:$1, , MATCH($F$1, 'Master Data Sheet'!$1:$1, 0)) = $F$1) * ('Master Data Sheet'!$G:$G=$B13) * ('Master Data Sheet'!$F:$F=$E13) * ('Master Data Sheet'!$A:$A=$F13), 0), MATCH($F$1, 'Master Data Sheet'!$1:$1, 0)), "")</f>
        <v>8.07</v>
      </c>
      <c r="K13" s="11" cm="1">
        <f t="array" ref="K13">IFERROR(INDEX('Master Data Sheet'!$1:$1048576, MATCH(1, ('Master Data Sheet'!$H:$H=K$2) * (INDEX('Master Data Sheet'!$1:$1, , MATCH($F$1, 'Master Data Sheet'!$1:$1, 0)) = $F$1) * ('Master Data Sheet'!$G:$G=$B13) * ('Master Data Sheet'!$F:$F=$E13) * ('Master Data Sheet'!$A:$A=$F13), 0), MATCH($F$1, 'Master Data Sheet'!$1:$1, 0)), "")</f>
        <v>8.0500000000000007</v>
      </c>
      <c r="L13" s="11" cm="1">
        <f t="array" ref="L13">IFERROR(INDEX('Master Data Sheet'!$1:$1048576, MATCH(1, ('Master Data Sheet'!$H:$H=L$2) * (INDEX('Master Data Sheet'!$1:$1, , MATCH($F$1, 'Master Data Sheet'!$1:$1, 0)) = $F$1) * ('Master Data Sheet'!$G:$G=$B13) * ('Master Data Sheet'!$F:$F=$E13) * ('Master Data Sheet'!$A:$A=$F13), 0), MATCH($F$1, 'Master Data Sheet'!$1:$1, 0)), "")</f>
        <v>8.0399999999999991</v>
      </c>
      <c r="M13" s="11" cm="1">
        <f t="array" ref="M13">IFERROR(INDEX('Master Data Sheet'!$1:$1048576, MATCH(1, ('Master Data Sheet'!$H:$H=M$2) * (INDEX('Master Data Sheet'!$1:$1, , MATCH($F$1, 'Master Data Sheet'!$1:$1, 0)) = $F$1) * ('Master Data Sheet'!$G:$G=$B13) * ('Master Data Sheet'!$F:$F=$E13) * ('Master Data Sheet'!$A:$A=$F13), 0), MATCH($F$1, 'Master Data Sheet'!$1:$1, 0)), "")</f>
        <v>8.01</v>
      </c>
      <c r="N13" s="11" cm="1">
        <f t="array" ref="N13">IFERROR(INDEX('Master Data Sheet'!$1:$1048576, MATCH(1, ('Master Data Sheet'!$H:$H=N$2) * (INDEX('Master Data Sheet'!$1:$1, , MATCH($F$1, 'Master Data Sheet'!$1:$1, 0)) = $F$1) * ('Master Data Sheet'!$G:$G=$B13) * ('Master Data Sheet'!$F:$F=$E13) * ('Master Data Sheet'!$A:$A=$F13), 0), MATCH($F$1, 'Master Data Sheet'!$1:$1, 0)), "")</f>
        <v>8.02</v>
      </c>
      <c r="O13" s="11">
        <f t="shared" si="8"/>
        <v>7.9357142857142851</v>
      </c>
      <c r="P13" s="11">
        <f t="shared" si="4"/>
        <v>0.28564880201960957</v>
      </c>
      <c r="Q13" s="11"/>
      <c r="X13" t="str">
        <f>IFERROR(INDEX('Date Key'!$G$57:$G$62, MATCH(B12,'Date Key'!$A$57:$A$62, 0)), "")</f>
        <v>Medium HLR, Lower Outlet Height, No Plants</v>
      </c>
      <c r="Y13" s="1">
        <f t="shared" ref="Y13:AE13" si="16">H12</f>
        <v>7.18</v>
      </c>
      <c r="Z13" s="1">
        <f t="shared" si="16"/>
        <v>7.14</v>
      </c>
      <c r="AA13" s="1">
        <f t="shared" si="16"/>
        <v>7.93</v>
      </c>
      <c r="AB13" s="1">
        <f t="shared" si="16"/>
        <v>8</v>
      </c>
      <c r="AC13" s="1">
        <f t="shared" si="16"/>
        <v>7.95</v>
      </c>
      <c r="AD13" s="1">
        <f t="shared" si="16"/>
        <v>7.9</v>
      </c>
      <c r="AE13" s="1">
        <f t="shared" si="16"/>
        <v>7.93</v>
      </c>
      <c r="AF13" s="1">
        <f t="shared" ref="AF13:AL13" si="17">H13</f>
        <v>7.29</v>
      </c>
      <c r="AG13" s="1">
        <f t="shared" si="17"/>
        <v>8.07</v>
      </c>
      <c r="AH13" s="1">
        <f t="shared" si="17"/>
        <v>8.07</v>
      </c>
      <c r="AI13" s="1">
        <f t="shared" si="17"/>
        <v>8.0500000000000007</v>
      </c>
      <c r="AJ13" s="1">
        <f t="shared" si="17"/>
        <v>8.0399999999999991</v>
      </c>
      <c r="AK13" s="1">
        <f t="shared" si="17"/>
        <v>8.01</v>
      </c>
      <c r="AL13" s="1">
        <f t="shared" si="17"/>
        <v>8.02</v>
      </c>
      <c r="AM13" s="1">
        <f t="shared" ref="AM13:AS13" si="18">H14</f>
        <v>7.41</v>
      </c>
      <c r="AN13" s="1">
        <f t="shared" si="18"/>
        <v>7.35</v>
      </c>
      <c r="AO13" s="1">
        <f t="shared" si="18"/>
        <v>7.33</v>
      </c>
      <c r="AP13" s="1">
        <f t="shared" si="18"/>
        <v>7.36</v>
      </c>
      <c r="AQ13" s="1">
        <f t="shared" si="18"/>
        <v>7.34</v>
      </c>
      <c r="AR13" s="1">
        <f t="shared" si="18"/>
        <v>7.41</v>
      </c>
      <c r="AS13" s="1">
        <f t="shared" si="18"/>
        <v>7.43</v>
      </c>
    </row>
    <row r="14" spans="1:45" x14ac:dyDescent="0.35">
      <c r="A14" s="41">
        <f>IFERROR(INDEX('Date Key'!$B$2:$B$19, MATCH(F14,'Date Key'!$A$2:$A$19, 0)), "")</f>
        <v>45230</v>
      </c>
      <c r="B14" s="4">
        <f t="shared" si="15"/>
        <v>2</v>
      </c>
      <c r="C14" s="26" t="str">
        <f>IFERROR(INDEX('Date Key'!$G$57:$G$62, MATCH(B14,'Date Key'!$A$57:$A$62, 0)), "")</f>
        <v>Medium HLR, Lower Outlet Height, No Plants</v>
      </c>
      <c r="D14" s="4" t="str">
        <f>IFERROR(INDEX('Date Key'!$G$2:$G$19, MATCH(F14, 'Date Key'!$A$2:$A$19, 0)), "")</f>
        <v>Yes</v>
      </c>
      <c r="E14" s="4" t="str">
        <f t="shared" si="1"/>
        <v>in</v>
      </c>
      <c r="F14" s="4">
        <f t="shared" si="2"/>
        <v>6</v>
      </c>
      <c r="G14" s="4">
        <f t="shared" si="3"/>
        <v>3</v>
      </c>
      <c r="H14" s="11" cm="1">
        <f t="array" ref="H14">IFERROR(INDEX('Master Data Sheet'!$1:$1048576, MATCH(1, ('Master Data Sheet'!$H:$H=H$2) * (INDEX('Master Data Sheet'!$1:$1, , MATCH($F$1, 'Master Data Sheet'!$1:$1, 0)) = $F$1) * ('Master Data Sheet'!$G:$G=$B14) * ('Master Data Sheet'!$F:$F=$E14) * ('Master Data Sheet'!$A:$A=$F14), 0), MATCH($F$1, 'Master Data Sheet'!$1:$1, 0)), "")</f>
        <v>7.41</v>
      </c>
      <c r="I14" s="11" cm="1">
        <f t="array" ref="I14">IFERROR(INDEX('Master Data Sheet'!$1:$1048576, MATCH(1, ('Master Data Sheet'!$H:$H=I$2) * (INDEX('Master Data Sheet'!$1:$1, , MATCH($F$1, 'Master Data Sheet'!$1:$1, 0)) = $F$1) * ('Master Data Sheet'!$G:$G=$B14) * ('Master Data Sheet'!$F:$F=$E14) * ('Master Data Sheet'!$A:$A=$F14), 0), MATCH($F$1, 'Master Data Sheet'!$1:$1, 0)), "")</f>
        <v>7.35</v>
      </c>
      <c r="J14" s="11" cm="1">
        <f t="array" ref="J14">IFERROR(INDEX('Master Data Sheet'!$1:$1048576, MATCH(1, ('Master Data Sheet'!$H:$H=J$2) * (INDEX('Master Data Sheet'!$1:$1, , MATCH($F$1, 'Master Data Sheet'!$1:$1, 0)) = $F$1) * ('Master Data Sheet'!$G:$G=$B14) * ('Master Data Sheet'!$F:$F=$E14) * ('Master Data Sheet'!$A:$A=$F14), 0), MATCH($F$1, 'Master Data Sheet'!$1:$1, 0)), "")</f>
        <v>7.33</v>
      </c>
      <c r="K14" s="11" cm="1">
        <f t="array" ref="K14">IFERROR(INDEX('Master Data Sheet'!$1:$1048576, MATCH(1, ('Master Data Sheet'!$H:$H=K$2) * (INDEX('Master Data Sheet'!$1:$1, , MATCH($F$1, 'Master Data Sheet'!$1:$1, 0)) = $F$1) * ('Master Data Sheet'!$G:$G=$B14) * ('Master Data Sheet'!$F:$F=$E14) * ('Master Data Sheet'!$A:$A=$F14), 0), MATCH($F$1, 'Master Data Sheet'!$1:$1, 0)), "")</f>
        <v>7.36</v>
      </c>
      <c r="L14" s="11" cm="1">
        <f t="array" ref="L14">IFERROR(INDEX('Master Data Sheet'!$1:$1048576, MATCH(1, ('Master Data Sheet'!$H:$H=L$2) * (INDEX('Master Data Sheet'!$1:$1, , MATCH($F$1, 'Master Data Sheet'!$1:$1, 0)) = $F$1) * ('Master Data Sheet'!$G:$G=$B14) * ('Master Data Sheet'!$F:$F=$E14) * ('Master Data Sheet'!$A:$A=$F14), 0), MATCH($F$1, 'Master Data Sheet'!$1:$1, 0)), "")</f>
        <v>7.34</v>
      </c>
      <c r="M14" s="11" cm="1">
        <f t="array" ref="M14">IFERROR(INDEX('Master Data Sheet'!$1:$1048576, MATCH(1, ('Master Data Sheet'!$H:$H=M$2) * (INDEX('Master Data Sheet'!$1:$1, , MATCH($F$1, 'Master Data Sheet'!$1:$1, 0)) = $F$1) * ('Master Data Sheet'!$G:$G=$B14) * ('Master Data Sheet'!$F:$F=$E14) * ('Master Data Sheet'!$A:$A=$F14), 0), MATCH($F$1, 'Master Data Sheet'!$1:$1, 0)), "")</f>
        <v>7.41</v>
      </c>
      <c r="N14" s="11" cm="1">
        <f t="array" ref="N14">IFERROR(INDEX('Master Data Sheet'!$1:$1048576, MATCH(1, ('Master Data Sheet'!$H:$H=N$2) * (INDEX('Master Data Sheet'!$1:$1, , MATCH($F$1, 'Master Data Sheet'!$1:$1, 0)) = $F$1) * ('Master Data Sheet'!$G:$G=$B14) * ('Master Data Sheet'!$F:$F=$E14) * ('Master Data Sheet'!$A:$A=$F14), 0), MATCH($F$1, 'Master Data Sheet'!$1:$1, 0)), "")</f>
        <v>7.43</v>
      </c>
      <c r="O14" s="11">
        <f t="shared" si="8"/>
        <v>7.3757142857142863</v>
      </c>
      <c r="P14" s="11">
        <f t="shared" si="4"/>
        <v>3.9940431835899015E-2</v>
      </c>
      <c r="Q14" s="11"/>
      <c r="Y14" s="1"/>
      <c r="Z14" s="1"/>
      <c r="AA14" s="1"/>
      <c r="AB14" s="1"/>
      <c r="AC14" s="1"/>
      <c r="AD14" s="1"/>
      <c r="AE14" s="1"/>
      <c r="AF14" s="1"/>
      <c r="AG14" s="1"/>
      <c r="AH14" s="1"/>
      <c r="AI14" s="1"/>
      <c r="AJ14" s="1"/>
      <c r="AK14" s="1"/>
      <c r="AL14" s="1"/>
      <c r="AM14" s="1"/>
      <c r="AN14" s="1"/>
      <c r="AO14" s="1"/>
      <c r="AP14" s="1"/>
      <c r="AQ14" s="1"/>
      <c r="AR14" s="1"/>
      <c r="AS14" s="1"/>
    </row>
    <row r="15" spans="1:45" x14ac:dyDescent="0.35">
      <c r="A15" s="41">
        <f>IFERROR(INDEX('Date Key'!$B$2:$B$19, MATCH(F15,'Date Key'!$A$2:$A$19, 0)), "")</f>
        <v>45217</v>
      </c>
      <c r="B15" s="4">
        <f t="shared" si="15"/>
        <v>2</v>
      </c>
      <c r="C15" s="26" t="str">
        <f>IFERROR(INDEX('Date Key'!$G$57:$G$62, MATCH(B15,'Date Key'!$A$57:$A$62, 0)), "")</f>
        <v>Medium HLR, Lower Outlet Height, No Plants</v>
      </c>
      <c r="D15" s="4" t="str">
        <f>IFERROR(INDEX('Date Key'!$G$2:$G$19, MATCH(F15, 'Date Key'!$A$2:$A$19, 0)), "")</f>
        <v>No</v>
      </c>
      <c r="E15" s="4" t="str">
        <f t="shared" si="1"/>
        <v>tank 1</v>
      </c>
      <c r="F15" s="4">
        <f t="shared" si="2"/>
        <v>4</v>
      </c>
      <c r="G15" s="4">
        <f t="shared" si="3"/>
        <v>1</v>
      </c>
      <c r="H15" s="11" cm="1">
        <f t="array" ref="H15">IFERROR(INDEX('Master Data Sheet'!$1:$1048576, MATCH(1, ('Master Data Sheet'!$H:$H=H$2) * (INDEX('Master Data Sheet'!$1:$1, , MATCH($F$1, 'Master Data Sheet'!$1:$1, 0)) = $F$1) * ('Master Data Sheet'!$G:$G=$B15) * ('Master Data Sheet'!$F:$F=$E15) * ('Master Data Sheet'!$A:$A=$F15), 0), MATCH($F$1, 'Master Data Sheet'!$1:$1, 0)), "")</f>
        <v>7.42</v>
      </c>
      <c r="I15" s="11" cm="1">
        <f t="array" ref="I15">IFERROR(INDEX('Master Data Sheet'!$1:$1048576, MATCH(1, ('Master Data Sheet'!$H:$H=I$2) * (INDEX('Master Data Sheet'!$1:$1, , MATCH($F$1, 'Master Data Sheet'!$1:$1, 0)) = $F$1) * ('Master Data Sheet'!$G:$G=$B15) * ('Master Data Sheet'!$F:$F=$E15) * ('Master Data Sheet'!$A:$A=$F15), 0), MATCH($F$1, 'Master Data Sheet'!$1:$1, 0)), "")</f>
        <v>7.09</v>
      </c>
      <c r="J15" s="11" cm="1">
        <f t="array" ref="J15">IFERROR(INDEX('Master Data Sheet'!$1:$1048576, MATCH(1, ('Master Data Sheet'!$H:$H=J$2) * (INDEX('Master Data Sheet'!$1:$1, , MATCH($F$1, 'Master Data Sheet'!$1:$1, 0)) = $F$1) * ('Master Data Sheet'!$G:$G=$B15) * ('Master Data Sheet'!$F:$F=$E15) * ('Master Data Sheet'!$A:$A=$F15), 0), MATCH($F$1, 'Master Data Sheet'!$1:$1, 0)), "")</f>
        <v>7.1</v>
      </c>
      <c r="K15" s="11" cm="1">
        <f t="array" ref="K15">IFERROR(INDEX('Master Data Sheet'!$1:$1048576, MATCH(1, ('Master Data Sheet'!$H:$H=K$2) * (INDEX('Master Data Sheet'!$1:$1, , MATCH($F$1, 'Master Data Sheet'!$1:$1, 0)) = $F$1) * ('Master Data Sheet'!$G:$G=$B15) * ('Master Data Sheet'!$F:$F=$E15) * ('Master Data Sheet'!$A:$A=$F15), 0), MATCH($F$1, 'Master Data Sheet'!$1:$1, 0)), "")</f>
        <v>7.05</v>
      </c>
      <c r="L15" s="11" cm="1">
        <f t="array" ref="L15">IFERROR(INDEX('Master Data Sheet'!$1:$1048576, MATCH(1, ('Master Data Sheet'!$H:$H=L$2) * (INDEX('Master Data Sheet'!$1:$1, , MATCH($F$1, 'Master Data Sheet'!$1:$1, 0)) = $F$1) * ('Master Data Sheet'!$G:$G=$B15) * ('Master Data Sheet'!$F:$F=$E15) * ('Master Data Sheet'!$A:$A=$F15), 0), MATCH($F$1, 'Master Data Sheet'!$1:$1, 0)), "")</f>
        <v>7.19</v>
      </c>
      <c r="M15" s="11" cm="1">
        <f t="array" ref="M15">IFERROR(INDEX('Master Data Sheet'!$1:$1048576, MATCH(1, ('Master Data Sheet'!$H:$H=M$2) * (INDEX('Master Data Sheet'!$1:$1, , MATCH($F$1, 'Master Data Sheet'!$1:$1, 0)) = $F$1) * ('Master Data Sheet'!$G:$G=$B15) * ('Master Data Sheet'!$F:$F=$E15) * ('Master Data Sheet'!$A:$A=$F15), 0), MATCH($F$1, 'Master Data Sheet'!$1:$1, 0)), "")</f>
        <v>7.1</v>
      </c>
      <c r="N15" s="11" cm="1">
        <f t="array" ref="N15">IFERROR(INDEX('Master Data Sheet'!$1:$1048576, MATCH(1, ('Master Data Sheet'!$H:$H=N$2) * (INDEX('Master Data Sheet'!$1:$1, , MATCH($F$1, 'Master Data Sheet'!$1:$1, 0)) = $F$1) * ('Master Data Sheet'!$G:$G=$B15) * ('Master Data Sheet'!$F:$F=$E15) * ('Master Data Sheet'!$A:$A=$F15), 0), MATCH($F$1, 'Master Data Sheet'!$1:$1, 0)), "")</f>
        <v>7.13</v>
      </c>
      <c r="O15" s="11">
        <f t="shared" si="8"/>
        <v>7.1542857142857148</v>
      </c>
      <c r="P15" s="11">
        <f t="shared" si="4"/>
        <v>0.12474736374731445</v>
      </c>
      <c r="Q15" s="11">
        <f>AVERAGE(O15:O17)</f>
        <v>7.1828571428571424</v>
      </c>
      <c r="R15" s="46">
        <f>(1-(O15/O12))*100</f>
        <v>7.3107532852119128</v>
      </c>
      <c r="S15" s="46">
        <f>AVERAGE(R15:R17)</f>
        <v>6.3567310097675174</v>
      </c>
      <c r="T15" s="46">
        <f>STDEV(R15:R17)</f>
        <v>3.124389350157176</v>
      </c>
      <c r="U15" s="47">
        <f>(1-(AVERAGE(H15:N17)/AVERAGE(H12:N14)))*100</f>
        <v>6.4326034365113971</v>
      </c>
      <c r="Y15" s="2"/>
      <c r="Z15" s="2"/>
      <c r="AA15" s="2"/>
      <c r="AB15" s="2"/>
      <c r="AC15" s="2"/>
      <c r="AD15" s="2"/>
      <c r="AE15" s="2"/>
      <c r="AF15" s="2"/>
      <c r="AG15" s="2"/>
    </row>
    <row r="16" spans="1:45" x14ac:dyDescent="0.35">
      <c r="A16" s="41">
        <f>IFERROR(INDEX('Date Key'!$B$2:$B$19, MATCH(F16,'Date Key'!$A$2:$A$19, 0)), "")</f>
        <v>45224</v>
      </c>
      <c r="B16" s="4">
        <f t="shared" si="15"/>
        <v>2</v>
      </c>
      <c r="C16" s="26" t="str">
        <f>IFERROR(INDEX('Date Key'!$G$57:$G$62, MATCH(B16,'Date Key'!$A$57:$A$62, 0)), "")</f>
        <v>Medium HLR, Lower Outlet Height, No Plants</v>
      </c>
      <c r="D16" s="4" t="str">
        <f>IFERROR(INDEX('Date Key'!$G$2:$G$19, MATCH(F16, 'Date Key'!$A$2:$A$19, 0)), "")</f>
        <v>No</v>
      </c>
      <c r="E16" s="4" t="str">
        <f t="shared" si="1"/>
        <v>tank 1</v>
      </c>
      <c r="F16" s="4">
        <f t="shared" si="2"/>
        <v>5</v>
      </c>
      <c r="G16" s="4">
        <f>MOD(ROW(G16)-ROW($G$3), 3) + 1</f>
        <v>2</v>
      </c>
      <c r="H16" s="11" cm="1">
        <f t="array" ref="H16">IFERROR(INDEX('Master Data Sheet'!$1:$1048576, MATCH(1, ('Master Data Sheet'!$H:$H=H$2) * (INDEX('Master Data Sheet'!$1:$1, , MATCH($F$1, 'Master Data Sheet'!$1:$1, 0)) = $F$1) * ('Master Data Sheet'!$G:$G=$B16) * ('Master Data Sheet'!$F:$F=$E16) * ('Master Data Sheet'!$A:$A=$F16), 0), MATCH($F$1, 'Master Data Sheet'!$1:$1, 0)), "")</f>
        <v>7.64</v>
      </c>
      <c r="I16" s="11" cm="1">
        <f t="array" ref="I16">IFERROR(INDEX('Master Data Sheet'!$1:$1048576, MATCH(1, ('Master Data Sheet'!$H:$H=I$2) * (INDEX('Master Data Sheet'!$1:$1, , MATCH($F$1, 'Master Data Sheet'!$1:$1, 0)) = $F$1) * ('Master Data Sheet'!$G:$G=$B16) * ('Master Data Sheet'!$F:$F=$E16) * ('Master Data Sheet'!$A:$A=$F16), 0), MATCH($F$1, 'Master Data Sheet'!$1:$1, 0)), "")</f>
        <v>7.2</v>
      </c>
      <c r="J16" s="11" cm="1">
        <f t="array" ref="J16">IFERROR(INDEX('Master Data Sheet'!$1:$1048576, MATCH(1, ('Master Data Sheet'!$H:$H=J$2) * (INDEX('Master Data Sheet'!$1:$1, , MATCH($F$1, 'Master Data Sheet'!$1:$1, 0)) = $F$1) * ('Master Data Sheet'!$G:$G=$B16) * ('Master Data Sheet'!$F:$F=$E16) * ('Master Data Sheet'!$A:$A=$F16), 0), MATCH($F$1, 'Master Data Sheet'!$1:$1, 0)), "")</f>
        <v>7.29</v>
      </c>
      <c r="K16" s="11" cm="1">
        <f t="array" ref="K16">IFERROR(INDEX('Master Data Sheet'!$1:$1048576, MATCH(1, ('Master Data Sheet'!$H:$H=K$2) * (INDEX('Master Data Sheet'!$1:$1, , MATCH($F$1, 'Master Data Sheet'!$1:$1, 0)) = $F$1) * ('Master Data Sheet'!$G:$G=$B16) * ('Master Data Sheet'!$F:$F=$E16) * ('Master Data Sheet'!$A:$A=$F16), 0), MATCH($F$1, 'Master Data Sheet'!$1:$1, 0)), "")</f>
        <v>7.11</v>
      </c>
      <c r="L16" s="11" cm="1">
        <f t="array" ref="L16">IFERROR(INDEX('Master Data Sheet'!$1:$1048576, MATCH(1, ('Master Data Sheet'!$H:$H=L$2) * (INDEX('Master Data Sheet'!$1:$1, , MATCH($F$1, 'Master Data Sheet'!$1:$1, 0)) = $F$1) * ('Master Data Sheet'!$G:$G=$B16) * ('Master Data Sheet'!$F:$F=$E16) * ('Master Data Sheet'!$A:$A=$F16), 0), MATCH($F$1, 'Master Data Sheet'!$1:$1, 0)), "")</f>
        <v>7.11</v>
      </c>
      <c r="M16" s="11" cm="1">
        <f t="array" ref="M16">IFERROR(INDEX('Master Data Sheet'!$1:$1048576, MATCH(1, ('Master Data Sheet'!$H:$H=M$2) * (INDEX('Master Data Sheet'!$1:$1, , MATCH($F$1, 'Master Data Sheet'!$1:$1, 0)) = $F$1) * ('Master Data Sheet'!$G:$G=$B16) * ('Master Data Sheet'!$F:$F=$E16) * ('Master Data Sheet'!$A:$A=$F16), 0), MATCH($F$1, 'Master Data Sheet'!$1:$1, 0)), "")</f>
        <v>7.15</v>
      </c>
      <c r="N16" s="11" cm="1">
        <f t="array" ref="N16">IFERROR(INDEX('Master Data Sheet'!$1:$1048576, MATCH(1, ('Master Data Sheet'!$H:$H=N$2) * (INDEX('Master Data Sheet'!$1:$1, , MATCH($F$1, 'Master Data Sheet'!$1:$1, 0)) = $F$1) * ('Master Data Sheet'!$G:$G=$B16) * ('Master Data Sheet'!$F:$F=$E16) * ('Master Data Sheet'!$A:$A=$F16), 0), MATCH($F$1, 'Master Data Sheet'!$1:$1, 0)), "")</f>
        <v>7.11</v>
      </c>
      <c r="O16" s="11">
        <f t="shared" si="8"/>
        <v>7.2299999999999995</v>
      </c>
      <c r="P16" s="11">
        <f t="shared" si="4"/>
        <v>0.19244046698481385</v>
      </c>
      <c r="Q16" s="11"/>
      <c r="R16" s="46">
        <f>(1-(O16/O13))*100</f>
        <v>8.8928892889288953</v>
      </c>
      <c r="X16" t="str">
        <f>IFERROR(INDEX('Date Key'!$G$57:$G$62, MATCH(B15,'Date Key'!$A$57:$A$62, 0)), "")</f>
        <v>Medium HLR, Lower Outlet Height, No Plants</v>
      </c>
      <c r="Y16" s="1">
        <f t="shared" ref="Y16:AE16" si="19">H15</f>
        <v>7.42</v>
      </c>
      <c r="Z16" s="1">
        <f t="shared" si="19"/>
        <v>7.09</v>
      </c>
      <c r="AA16" s="1">
        <f t="shared" si="19"/>
        <v>7.1</v>
      </c>
      <c r="AB16" s="1">
        <f t="shared" si="19"/>
        <v>7.05</v>
      </c>
      <c r="AC16" s="1">
        <f t="shared" si="19"/>
        <v>7.19</v>
      </c>
      <c r="AD16" s="1">
        <f t="shared" si="19"/>
        <v>7.1</v>
      </c>
      <c r="AE16" s="1">
        <f t="shared" si="19"/>
        <v>7.13</v>
      </c>
      <c r="AF16" s="1">
        <f t="shared" ref="AF16:AL16" si="20">H16</f>
        <v>7.64</v>
      </c>
      <c r="AG16" s="1">
        <f t="shared" si="20"/>
        <v>7.2</v>
      </c>
      <c r="AH16" s="1">
        <f t="shared" si="20"/>
        <v>7.29</v>
      </c>
      <c r="AI16" s="1">
        <f t="shared" si="20"/>
        <v>7.11</v>
      </c>
      <c r="AJ16" s="1">
        <f t="shared" si="20"/>
        <v>7.11</v>
      </c>
      <c r="AK16" s="1">
        <f t="shared" si="20"/>
        <v>7.15</v>
      </c>
      <c r="AL16" s="1">
        <f t="shared" si="20"/>
        <v>7.11</v>
      </c>
      <c r="AM16" s="1">
        <f t="shared" ref="AM16:AS16" si="21">H17</f>
        <v>7.2</v>
      </c>
      <c r="AN16" s="1">
        <f t="shared" si="21"/>
        <v>7.14</v>
      </c>
      <c r="AO16" s="1">
        <f t="shared" si="21"/>
        <v>7.14</v>
      </c>
      <c r="AP16" s="1">
        <f t="shared" si="21"/>
        <v>7.12</v>
      </c>
      <c r="AQ16" s="1">
        <f t="shared" si="21"/>
        <v>7.23</v>
      </c>
      <c r="AR16" s="1">
        <f t="shared" si="21"/>
        <v>7.15</v>
      </c>
      <c r="AS16" s="1">
        <f t="shared" si="21"/>
        <v>7.17</v>
      </c>
    </row>
    <row r="17" spans="1:45" x14ac:dyDescent="0.35">
      <c r="A17" s="41">
        <f>IFERROR(INDEX('Date Key'!$B$2:$B$19, MATCH(F17,'Date Key'!$A$2:$A$19, 0)), "")</f>
        <v>45230</v>
      </c>
      <c r="B17" s="4">
        <f t="shared" si="15"/>
        <v>2</v>
      </c>
      <c r="C17" s="26" t="str">
        <f>IFERROR(INDEX('Date Key'!$G$57:$G$62, MATCH(B17,'Date Key'!$A$57:$A$62, 0)), "")</f>
        <v>Medium HLR, Lower Outlet Height, No Plants</v>
      </c>
      <c r="D17" s="4" t="str">
        <f>IFERROR(INDEX('Date Key'!$G$2:$G$19, MATCH(F17, 'Date Key'!$A$2:$A$19, 0)), "")</f>
        <v>Yes</v>
      </c>
      <c r="E17" s="4" t="str">
        <f t="shared" si="1"/>
        <v>tank 1</v>
      </c>
      <c r="F17" s="4">
        <f t="shared" si="2"/>
        <v>6</v>
      </c>
      <c r="G17" s="4">
        <f t="shared" ref="G17:G56" si="22">MOD(ROW(G17)-ROW($G$3), 3) + 1</f>
        <v>3</v>
      </c>
      <c r="H17" s="11" cm="1">
        <f t="array" ref="H17">IFERROR(INDEX('Master Data Sheet'!$1:$1048576, MATCH(1, ('Master Data Sheet'!$H:$H=H$2) * (INDEX('Master Data Sheet'!$1:$1, , MATCH($F$1, 'Master Data Sheet'!$1:$1, 0)) = $F$1) * ('Master Data Sheet'!$G:$G=$B17) * ('Master Data Sheet'!$F:$F=$E17) * ('Master Data Sheet'!$A:$A=$F17), 0), MATCH($F$1, 'Master Data Sheet'!$1:$1, 0)), "")</f>
        <v>7.2</v>
      </c>
      <c r="I17" s="11" cm="1">
        <f t="array" ref="I17">IFERROR(INDEX('Master Data Sheet'!$1:$1048576, MATCH(1, ('Master Data Sheet'!$H:$H=I$2) * (INDEX('Master Data Sheet'!$1:$1, , MATCH($F$1, 'Master Data Sheet'!$1:$1, 0)) = $F$1) * ('Master Data Sheet'!$G:$G=$B17) * ('Master Data Sheet'!$F:$F=$E17) * ('Master Data Sheet'!$A:$A=$F17), 0), MATCH($F$1, 'Master Data Sheet'!$1:$1, 0)), "")</f>
        <v>7.14</v>
      </c>
      <c r="J17" s="11" cm="1">
        <f t="array" ref="J17">IFERROR(INDEX('Master Data Sheet'!$1:$1048576, MATCH(1, ('Master Data Sheet'!$H:$H=J$2) * (INDEX('Master Data Sheet'!$1:$1, , MATCH($F$1, 'Master Data Sheet'!$1:$1, 0)) = $F$1) * ('Master Data Sheet'!$G:$G=$B17) * ('Master Data Sheet'!$F:$F=$E17) * ('Master Data Sheet'!$A:$A=$F17), 0), MATCH($F$1, 'Master Data Sheet'!$1:$1, 0)), "")</f>
        <v>7.14</v>
      </c>
      <c r="K17" s="11" cm="1">
        <f t="array" ref="K17">IFERROR(INDEX('Master Data Sheet'!$1:$1048576, MATCH(1, ('Master Data Sheet'!$H:$H=K$2) * (INDEX('Master Data Sheet'!$1:$1, , MATCH($F$1, 'Master Data Sheet'!$1:$1, 0)) = $F$1) * ('Master Data Sheet'!$G:$G=$B17) * ('Master Data Sheet'!$F:$F=$E17) * ('Master Data Sheet'!$A:$A=$F17), 0), MATCH($F$1, 'Master Data Sheet'!$1:$1, 0)), "")</f>
        <v>7.12</v>
      </c>
      <c r="L17" s="11" cm="1">
        <f t="array" ref="L17">IFERROR(INDEX('Master Data Sheet'!$1:$1048576, MATCH(1, ('Master Data Sheet'!$H:$H=L$2) * (INDEX('Master Data Sheet'!$1:$1, , MATCH($F$1, 'Master Data Sheet'!$1:$1, 0)) = $F$1) * ('Master Data Sheet'!$G:$G=$B17) * ('Master Data Sheet'!$F:$F=$E17) * ('Master Data Sheet'!$A:$A=$F17), 0), MATCH($F$1, 'Master Data Sheet'!$1:$1, 0)), "")</f>
        <v>7.23</v>
      </c>
      <c r="M17" s="11" cm="1">
        <f t="array" ref="M17">IFERROR(INDEX('Master Data Sheet'!$1:$1048576, MATCH(1, ('Master Data Sheet'!$H:$H=M$2) * (INDEX('Master Data Sheet'!$1:$1, , MATCH($F$1, 'Master Data Sheet'!$1:$1, 0)) = $F$1) * ('Master Data Sheet'!$G:$G=$B17) * ('Master Data Sheet'!$F:$F=$E17) * ('Master Data Sheet'!$A:$A=$F17), 0), MATCH($F$1, 'Master Data Sheet'!$1:$1, 0)), "")</f>
        <v>7.15</v>
      </c>
      <c r="N17" s="11" cm="1">
        <f t="array" ref="N17">IFERROR(INDEX('Master Data Sheet'!$1:$1048576, MATCH(1, ('Master Data Sheet'!$H:$H=N$2) * (INDEX('Master Data Sheet'!$1:$1, , MATCH($F$1, 'Master Data Sheet'!$1:$1, 0)) = $F$1) * ('Master Data Sheet'!$G:$G=$B17) * ('Master Data Sheet'!$F:$F=$E17) * ('Master Data Sheet'!$A:$A=$F17), 0), MATCH($F$1, 'Master Data Sheet'!$1:$1, 0)), "")</f>
        <v>7.17</v>
      </c>
      <c r="O17" s="11">
        <f t="shared" si="8"/>
        <v>7.1642857142857137</v>
      </c>
      <c r="P17" s="11">
        <f t="shared" si="4"/>
        <v>3.8668308667927392E-2</v>
      </c>
      <c r="Q17" s="11"/>
      <c r="R17" s="46">
        <f>(1-(O17/O14))*100</f>
        <v>2.8665504551617427</v>
      </c>
      <c r="Y17" s="2"/>
      <c r="Z17" s="2"/>
      <c r="AA17" s="2"/>
      <c r="AB17" s="2"/>
      <c r="AC17" s="2"/>
      <c r="AD17" s="2"/>
      <c r="AE17" s="2"/>
      <c r="AF17" s="2"/>
      <c r="AG17" s="2"/>
    </row>
    <row r="18" spans="1:45" x14ac:dyDescent="0.35">
      <c r="A18" s="41">
        <f>IFERROR(INDEX('Date Key'!$B$2:$B$19, MATCH(F18,'Date Key'!$A$2:$A$19, 0)), "")</f>
        <v>45217</v>
      </c>
      <c r="B18" s="4">
        <f t="shared" si="15"/>
        <v>2</v>
      </c>
      <c r="C18" s="26" t="str">
        <f>IFERROR(INDEX('Date Key'!$G$57:$G$62, MATCH(B18,'Date Key'!$A$57:$A$62, 0)), "")</f>
        <v>Medium HLR, Lower Outlet Height, No Plants</v>
      </c>
      <c r="D18" s="4" t="str">
        <f>IFERROR(INDEX('Date Key'!$G$2:$G$19, MATCH(F18, 'Date Key'!$A$2:$A$19, 0)), "")</f>
        <v>No</v>
      </c>
      <c r="E18" s="4" t="str">
        <f t="shared" si="1"/>
        <v>tank 2</v>
      </c>
      <c r="F18" s="4">
        <f t="shared" si="2"/>
        <v>4</v>
      </c>
      <c r="G18" s="4">
        <f t="shared" si="22"/>
        <v>1</v>
      </c>
      <c r="H18" s="11" cm="1">
        <f t="array" ref="H18">IFERROR(INDEX('Master Data Sheet'!$1:$1048576, MATCH(1, ('Master Data Sheet'!$H:$H=H$2) * (INDEX('Master Data Sheet'!$1:$1, , MATCH($F$1, 'Master Data Sheet'!$1:$1, 0)) = $F$1) * ('Master Data Sheet'!$G:$G=$B18) * ('Master Data Sheet'!$F:$F=$E18) * ('Master Data Sheet'!$A:$A=$F18), 0), MATCH($F$1, 'Master Data Sheet'!$1:$1, 0)), "")</f>
        <v>7.17</v>
      </c>
      <c r="I18" s="11" cm="1">
        <f t="array" ref="I18">IFERROR(INDEX('Master Data Sheet'!$1:$1048576, MATCH(1, ('Master Data Sheet'!$H:$H=I$2) * (INDEX('Master Data Sheet'!$1:$1, , MATCH($F$1, 'Master Data Sheet'!$1:$1, 0)) = $F$1) * ('Master Data Sheet'!$G:$G=$B18) * ('Master Data Sheet'!$F:$F=$E18) * ('Master Data Sheet'!$A:$A=$F18), 0), MATCH($F$1, 'Master Data Sheet'!$1:$1, 0)), "")</f>
        <v>7.1</v>
      </c>
      <c r="J18" s="11" cm="1">
        <f t="array" ref="J18">IFERROR(INDEX('Master Data Sheet'!$1:$1048576, MATCH(1, ('Master Data Sheet'!$H:$H=J$2) * (INDEX('Master Data Sheet'!$1:$1, , MATCH($F$1, 'Master Data Sheet'!$1:$1, 0)) = $F$1) * ('Master Data Sheet'!$G:$G=$B18) * ('Master Data Sheet'!$F:$F=$E18) * ('Master Data Sheet'!$A:$A=$F18), 0), MATCH($F$1, 'Master Data Sheet'!$1:$1, 0)), "")</f>
        <v>7.11</v>
      </c>
      <c r="K18" s="11" cm="1">
        <f t="array" ref="K18">IFERROR(INDEX('Master Data Sheet'!$1:$1048576, MATCH(1, ('Master Data Sheet'!$H:$H=K$2) * (INDEX('Master Data Sheet'!$1:$1, , MATCH($F$1, 'Master Data Sheet'!$1:$1, 0)) = $F$1) * ('Master Data Sheet'!$G:$G=$B18) * ('Master Data Sheet'!$F:$F=$E18) * ('Master Data Sheet'!$A:$A=$F18), 0), MATCH($F$1, 'Master Data Sheet'!$1:$1, 0)), "")</f>
        <v>7.11</v>
      </c>
      <c r="L18" s="11" cm="1">
        <f t="array" ref="L18">IFERROR(INDEX('Master Data Sheet'!$1:$1048576, MATCH(1, ('Master Data Sheet'!$H:$H=L$2) * (INDEX('Master Data Sheet'!$1:$1, , MATCH($F$1, 'Master Data Sheet'!$1:$1, 0)) = $F$1) * ('Master Data Sheet'!$G:$G=$B18) * ('Master Data Sheet'!$F:$F=$E18) * ('Master Data Sheet'!$A:$A=$F18), 0), MATCH($F$1, 'Master Data Sheet'!$1:$1, 0)), "")</f>
        <v>7.23</v>
      </c>
      <c r="M18" s="11" cm="1">
        <f t="array" ref="M18">IFERROR(INDEX('Master Data Sheet'!$1:$1048576, MATCH(1, ('Master Data Sheet'!$H:$H=M$2) * (INDEX('Master Data Sheet'!$1:$1, , MATCH($F$1, 'Master Data Sheet'!$1:$1, 0)) = $F$1) * ('Master Data Sheet'!$G:$G=$B18) * ('Master Data Sheet'!$F:$F=$E18) * ('Master Data Sheet'!$A:$A=$F18), 0), MATCH($F$1, 'Master Data Sheet'!$1:$1, 0)), "")</f>
        <v>7.37</v>
      </c>
      <c r="N18" s="11" cm="1">
        <f t="array" ref="N18">IFERROR(INDEX('Master Data Sheet'!$1:$1048576, MATCH(1, ('Master Data Sheet'!$H:$H=N$2) * (INDEX('Master Data Sheet'!$1:$1, , MATCH($F$1, 'Master Data Sheet'!$1:$1, 0)) = $F$1) * ('Master Data Sheet'!$G:$G=$B18) * ('Master Data Sheet'!$F:$F=$E18) * ('Master Data Sheet'!$A:$A=$F18), 0), MATCH($F$1, 'Master Data Sheet'!$1:$1, 0)), "")</f>
        <v>7.27</v>
      </c>
      <c r="O18" s="11">
        <f t="shared" si="8"/>
        <v>7.194285714285714</v>
      </c>
      <c r="P18" s="11">
        <f t="shared" si="4"/>
        <v>0.10130106002359875</v>
      </c>
      <c r="Q18" s="11">
        <f>AVERAGE(N18:N20)</f>
        <v>7.0566666666666675</v>
      </c>
      <c r="R18" s="46">
        <f>(1-(O18/O12))*100</f>
        <v>6.7925226725893069</v>
      </c>
      <c r="S18" s="46">
        <f>AVERAGE(R18:R20)</f>
        <v>6.1520958461087742</v>
      </c>
      <c r="T18" s="46">
        <f>STDEV(R18:R20)</f>
        <v>4.3565811318836785</v>
      </c>
      <c r="U18" s="47">
        <f>(1-(AVERAGE(H18:N20)/AVERAGE(H12:N14)))*100</f>
        <v>6.258916940636472</v>
      </c>
      <c r="V18" s="47"/>
      <c r="Y18" s="2"/>
      <c r="Z18" s="2"/>
      <c r="AA18" s="2"/>
      <c r="AB18" s="2"/>
      <c r="AC18" s="2"/>
      <c r="AD18" s="2"/>
      <c r="AE18" s="2"/>
      <c r="AF18" s="2"/>
      <c r="AG18" s="2"/>
    </row>
    <row r="19" spans="1:45" x14ac:dyDescent="0.35">
      <c r="A19" s="41">
        <f>IFERROR(INDEX('Date Key'!$B$2:$B$19, MATCH(F19,'Date Key'!$A$2:$A$19, 0)), "")</f>
        <v>45224</v>
      </c>
      <c r="B19" s="4">
        <f t="shared" si="15"/>
        <v>2</v>
      </c>
      <c r="C19" s="26" t="str">
        <f>IFERROR(INDEX('Date Key'!$G$57:$G$62, MATCH(B19,'Date Key'!$A$57:$A$62, 0)), "")</f>
        <v>Medium HLR, Lower Outlet Height, No Plants</v>
      </c>
      <c r="D19" s="4" t="str">
        <f>IFERROR(INDEX('Date Key'!$G$2:$G$19, MATCH(F19, 'Date Key'!$A$2:$A$19, 0)), "")</f>
        <v>No</v>
      </c>
      <c r="E19" s="4" t="str">
        <f t="shared" si="1"/>
        <v>tank 2</v>
      </c>
      <c r="F19" s="4">
        <f t="shared" si="2"/>
        <v>5</v>
      </c>
      <c r="G19" s="4">
        <f t="shared" si="22"/>
        <v>2</v>
      </c>
      <c r="H19" s="11" cm="1">
        <f t="array" ref="H19">IFERROR(INDEX('Master Data Sheet'!$1:$1048576, MATCH(1, ('Master Data Sheet'!$H:$H=H$2) * (INDEX('Master Data Sheet'!$1:$1, , MATCH($F$1, 'Master Data Sheet'!$1:$1, 0)) = $F$1) * ('Master Data Sheet'!$G:$G=$B19) * ('Master Data Sheet'!$F:$F=$E19) * ('Master Data Sheet'!$A:$A=$F19), 0), MATCH($F$1, 'Master Data Sheet'!$1:$1, 0)), "")</f>
        <v>7.26</v>
      </c>
      <c r="I19" s="11" cm="1">
        <f t="array" ref="I19">IFERROR(INDEX('Master Data Sheet'!$1:$1048576, MATCH(1, ('Master Data Sheet'!$H:$H=I$2) * (INDEX('Master Data Sheet'!$1:$1, , MATCH($F$1, 'Master Data Sheet'!$1:$1, 0)) = $F$1) * ('Master Data Sheet'!$G:$G=$B19) * ('Master Data Sheet'!$F:$F=$E19) * ('Master Data Sheet'!$A:$A=$F19), 0), MATCH($F$1, 'Master Data Sheet'!$1:$1, 0)), "")</f>
        <v>6.99</v>
      </c>
      <c r="J19" s="11" cm="1">
        <f t="array" ref="J19">IFERROR(INDEX('Master Data Sheet'!$1:$1048576, MATCH(1, ('Master Data Sheet'!$H:$H=J$2) * (INDEX('Master Data Sheet'!$1:$1, , MATCH($F$1, 'Master Data Sheet'!$1:$1, 0)) = $F$1) * ('Master Data Sheet'!$G:$G=$B19) * ('Master Data Sheet'!$F:$F=$E19) * ('Master Data Sheet'!$A:$A=$F19), 0), MATCH($F$1, 'Master Data Sheet'!$1:$1, 0)), "")</f>
        <v>7.15</v>
      </c>
      <c r="K19" s="11" cm="1">
        <f t="array" ref="K19">IFERROR(INDEX('Master Data Sheet'!$1:$1048576, MATCH(1, ('Master Data Sheet'!$H:$H=K$2) * (INDEX('Master Data Sheet'!$1:$1, , MATCH($F$1, 'Master Data Sheet'!$1:$1, 0)) = $F$1) * ('Master Data Sheet'!$G:$G=$B19) * ('Master Data Sheet'!$F:$F=$E19) * ('Master Data Sheet'!$A:$A=$F19), 0), MATCH($F$1, 'Master Data Sheet'!$1:$1, 0)), "")</f>
        <v>7.16</v>
      </c>
      <c r="L19" s="11" cm="1">
        <f t="array" ref="L19">IFERROR(INDEX('Master Data Sheet'!$1:$1048576, MATCH(1, ('Master Data Sheet'!$H:$H=L$2) * (INDEX('Master Data Sheet'!$1:$1, , MATCH($F$1, 'Master Data Sheet'!$1:$1, 0)) = $F$1) * ('Master Data Sheet'!$G:$G=$B19) * ('Master Data Sheet'!$F:$F=$E19) * ('Master Data Sheet'!$A:$A=$F19), 0), MATCH($F$1, 'Master Data Sheet'!$1:$1, 0)), "")</f>
        <v>7.22</v>
      </c>
      <c r="M19" s="11" cm="1">
        <f t="array" ref="M19">IFERROR(INDEX('Master Data Sheet'!$1:$1048576, MATCH(1, ('Master Data Sheet'!$H:$H=M$2) * (INDEX('Master Data Sheet'!$1:$1, , MATCH($F$1, 'Master Data Sheet'!$1:$1, 0)) = $F$1) * ('Master Data Sheet'!$G:$G=$B19) * ('Master Data Sheet'!$F:$F=$E19) * ('Master Data Sheet'!$A:$A=$F19), 0), MATCH($F$1, 'Master Data Sheet'!$1:$1, 0)), "")</f>
        <v>7.33</v>
      </c>
      <c r="N19" s="11" cm="1">
        <f t="array" ref="N19">IFERROR(INDEX('Master Data Sheet'!$1:$1048576, MATCH(1, ('Master Data Sheet'!$H:$H=N$2) * (INDEX('Master Data Sheet'!$1:$1, , MATCH($F$1, 'Master Data Sheet'!$1:$1, 0)) = $F$1) * ('Master Data Sheet'!$G:$G=$B19) * ('Master Data Sheet'!$F:$F=$E19) * ('Master Data Sheet'!$A:$A=$F19), 0), MATCH($F$1, 'Master Data Sheet'!$1:$1, 0)), "")</f>
        <v>6.8</v>
      </c>
      <c r="O19" s="11">
        <f t="shared" si="8"/>
        <v>7.13</v>
      </c>
      <c r="P19" s="11">
        <f t="shared" si="4"/>
        <v>0.18018509002319438</v>
      </c>
      <c r="Q19" s="11"/>
      <c r="R19" s="46">
        <f>(1-(O19/O13))*100</f>
        <v>10.153015301530143</v>
      </c>
      <c r="X19" t="str">
        <f>IFERROR(INDEX('Date Key'!$G$57:$G$62, MATCH(B18,'Date Key'!$A$57:$A$62, 0)), "")</f>
        <v>Medium HLR, Lower Outlet Height, No Plants</v>
      </c>
      <c r="Y19" s="1">
        <f t="shared" ref="Y19:AE19" si="23">H18</f>
        <v>7.17</v>
      </c>
      <c r="Z19" s="1">
        <f t="shared" si="23"/>
        <v>7.1</v>
      </c>
      <c r="AA19" s="1">
        <f t="shared" si="23"/>
        <v>7.11</v>
      </c>
      <c r="AB19" s="1">
        <f t="shared" si="23"/>
        <v>7.11</v>
      </c>
      <c r="AC19" s="1">
        <f t="shared" si="23"/>
        <v>7.23</v>
      </c>
      <c r="AD19" s="1">
        <f t="shared" si="23"/>
        <v>7.37</v>
      </c>
      <c r="AE19" s="1">
        <f t="shared" si="23"/>
        <v>7.27</v>
      </c>
      <c r="AF19" s="1">
        <f t="shared" ref="AF19:AL19" si="24">H19</f>
        <v>7.26</v>
      </c>
      <c r="AG19" s="1">
        <f t="shared" si="24"/>
        <v>6.99</v>
      </c>
      <c r="AH19" s="1">
        <f t="shared" si="24"/>
        <v>7.15</v>
      </c>
      <c r="AI19" s="1">
        <f t="shared" si="24"/>
        <v>7.16</v>
      </c>
      <c r="AJ19" s="1">
        <f t="shared" si="24"/>
        <v>7.22</v>
      </c>
      <c r="AK19" s="1">
        <f t="shared" si="24"/>
        <v>7.33</v>
      </c>
      <c r="AL19" s="1">
        <f t="shared" si="24"/>
        <v>6.8</v>
      </c>
      <c r="AM19" s="1">
        <f t="shared" ref="AM19:AS19" si="25">H20</f>
        <v>7.27</v>
      </c>
      <c r="AN19" s="1">
        <f t="shared" si="25"/>
        <v>7.2</v>
      </c>
      <c r="AO19" s="1">
        <f t="shared" si="25"/>
        <v>7.48</v>
      </c>
      <c r="AP19" s="1">
        <f t="shared" si="25"/>
        <v>7.19</v>
      </c>
      <c r="AQ19" s="1">
        <f t="shared" si="25"/>
        <v>7.41</v>
      </c>
      <c r="AR19" s="1">
        <f t="shared" si="25"/>
        <v>7.2</v>
      </c>
      <c r="AS19" s="1">
        <f t="shared" si="25"/>
        <v>7.1</v>
      </c>
    </row>
    <row r="20" spans="1:45" x14ac:dyDescent="0.35">
      <c r="A20" s="42">
        <f>IFERROR(INDEX('Date Key'!$B$2:$B$19, MATCH(F20,'Date Key'!$A$2:$A$19, 0)), "")</f>
        <v>45230</v>
      </c>
      <c r="B20" s="27">
        <f t="shared" si="15"/>
        <v>2</v>
      </c>
      <c r="C20" s="51" t="str">
        <f>IFERROR(INDEX('Date Key'!$G$57:$G$62, MATCH(B20,'Date Key'!$A$57:$A$62, 0)), "")</f>
        <v>Medium HLR, Lower Outlet Height, No Plants</v>
      </c>
      <c r="D20" s="27" t="str">
        <f>IFERROR(INDEX('Date Key'!$G$2:$G$19, MATCH(F20, 'Date Key'!$A$2:$A$19, 0)), "")</f>
        <v>Yes</v>
      </c>
      <c r="E20" s="27" t="str">
        <f t="shared" si="1"/>
        <v>tank 2</v>
      </c>
      <c r="F20" s="27">
        <f t="shared" si="2"/>
        <v>6</v>
      </c>
      <c r="G20" s="27">
        <f t="shared" si="22"/>
        <v>3</v>
      </c>
      <c r="H20" s="28" cm="1">
        <f t="array" ref="H20">IFERROR(INDEX('Master Data Sheet'!$1:$1048576, MATCH(1, ('Master Data Sheet'!$H:$H=H$2) * (INDEX('Master Data Sheet'!$1:$1, , MATCH($F$1, 'Master Data Sheet'!$1:$1, 0)) = $F$1) * ('Master Data Sheet'!$G:$G=$B20) * ('Master Data Sheet'!$F:$F=$E20) * ('Master Data Sheet'!$A:$A=$F20), 0), MATCH($F$1, 'Master Data Sheet'!$1:$1, 0)), "")</f>
        <v>7.27</v>
      </c>
      <c r="I20" s="28" cm="1">
        <f t="array" ref="I20">IFERROR(INDEX('Master Data Sheet'!$1:$1048576, MATCH(1, ('Master Data Sheet'!$H:$H=I$2) * (INDEX('Master Data Sheet'!$1:$1, , MATCH($F$1, 'Master Data Sheet'!$1:$1, 0)) = $F$1) * ('Master Data Sheet'!$G:$G=$B20) * ('Master Data Sheet'!$F:$F=$E20) * ('Master Data Sheet'!$A:$A=$F20), 0), MATCH($F$1, 'Master Data Sheet'!$1:$1, 0)), "")</f>
        <v>7.2</v>
      </c>
      <c r="J20" s="28" cm="1">
        <f t="array" ref="J20">IFERROR(INDEX('Master Data Sheet'!$1:$1048576, MATCH(1, ('Master Data Sheet'!$H:$H=J$2) * (INDEX('Master Data Sheet'!$1:$1, , MATCH($F$1, 'Master Data Sheet'!$1:$1, 0)) = $F$1) * ('Master Data Sheet'!$G:$G=$B20) * ('Master Data Sheet'!$F:$F=$E20) * ('Master Data Sheet'!$A:$A=$F20), 0), MATCH($F$1, 'Master Data Sheet'!$1:$1, 0)), "")</f>
        <v>7.48</v>
      </c>
      <c r="K20" s="28" cm="1">
        <f t="array" ref="K20">IFERROR(INDEX('Master Data Sheet'!$1:$1048576, MATCH(1, ('Master Data Sheet'!$H:$H=K$2) * (INDEX('Master Data Sheet'!$1:$1, , MATCH($F$1, 'Master Data Sheet'!$1:$1, 0)) = $F$1) * ('Master Data Sheet'!$G:$G=$B20) * ('Master Data Sheet'!$F:$F=$E20) * ('Master Data Sheet'!$A:$A=$F20), 0), MATCH($F$1, 'Master Data Sheet'!$1:$1, 0)), "")</f>
        <v>7.19</v>
      </c>
      <c r="L20" s="28" cm="1">
        <f t="array" ref="L20">IFERROR(INDEX('Master Data Sheet'!$1:$1048576, MATCH(1, ('Master Data Sheet'!$H:$H=L$2) * (INDEX('Master Data Sheet'!$1:$1, , MATCH($F$1, 'Master Data Sheet'!$1:$1, 0)) = $F$1) * ('Master Data Sheet'!$G:$G=$B20) * ('Master Data Sheet'!$F:$F=$E20) * ('Master Data Sheet'!$A:$A=$F20), 0), MATCH($F$1, 'Master Data Sheet'!$1:$1, 0)), "")</f>
        <v>7.41</v>
      </c>
      <c r="M20" s="28" cm="1">
        <f t="array" ref="M20">IFERROR(INDEX('Master Data Sheet'!$1:$1048576, MATCH(1, ('Master Data Sheet'!$H:$H=M$2) * (INDEX('Master Data Sheet'!$1:$1, , MATCH($F$1, 'Master Data Sheet'!$1:$1, 0)) = $F$1) * ('Master Data Sheet'!$G:$G=$B20) * ('Master Data Sheet'!$F:$F=$E20) * ('Master Data Sheet'!$A:$A=$F20), 0), MATCH($F$1, 'Master Data Sheet'!$1:$1, 0)), "")</f>
        <v>7.2</v>
      </c>
      <c r="N20" s="28" cm="1">
        <f t="array" ref="N20">IFERROR(INDEX('Master Data Sheet'!$1:$1048576, MATCH(1, ('Master Data Sheet'!$H:$H=N$2) * (INDEX('Master Data Sheet'!$1:$1, , MATCH($F$1, 'Master Data Sheet'!$1:$1, 0)) = $F$1) * ('Master Data Sheet'!$G:$G=$B20) * ('Master Data Sheet'!$F:$F=$E20) * ('Master Data Sheet'!$A:$A=$F20), 0), MATCH($F$1, 'Master Data Sheet'!$1:$1, 0)), "")</f>
        <v>7.1</v>
      </c>
      <c r="O20" s="28">
        <f t="shared" si="8"/>
        <v>7.2642857142857142</v>
      </c>
      <c r="P20" s="28">
        <f t="shared" si="4"/>
        <v>0.13451854182691</v>
      </c>
      <c r="Q20" s="28"/>
      <c r="R20" s="48">
        <f>(1-(O20/O14))*100</f>
        <v>1.5107495642068702</v>
      </c>
      <c r="S20" s="27"/>
      <c r="T20" s="27"/>
      <c r="U20" s="27"/>
      <c r="V20" s="27"/>
    </row>
    <row r="21" spans="1:45" x14ac:dyDescent="0.35">
      <c r="A21" s="41">
        <f>IFERROR(INDEX('Date Key'!$B$2:$B$19, MATCH(F21,'Date Key'!$A$2:$A$19, 0)), "")</f>
        <v>45233</v>
      </c>
      <c r="B21" s="4">
        <f t="shared" si="15"/>
        <v>3</v>
      </c>
      <c r="C21" s="26" t="str">
        <f>IFERROR(INDEX('Date Key'!$G$57:$G$62, MATCH(B21,'Date Key'!$A$57:$A$62, 0)), "")</f>
        <v>High HLR, Lower Outlet Height, No Plants</v>
      </c>
      <c r="D21" s="4" t="str">
        <f>IFERROR(INDEX('Date Key'!$G$2:$G$19, MATCH(F21, 'Date Key'!$A$2:$A$19, 0)), "")</f>
        <v>No</v>
      </c>
      <c r="E21" s="4" t="str">
        <f t="shared" si="1"/>
        <v>in</v>
      </c>
      <c r="F21" s="4">
        <f t="shared" si="2"/>
        <v>7</v>
      </c>
      <c r="G21" s="4">
        <f t="shared" si="22"/>
        <v>1</v>
      </c>
      <c r="H21" s="11" cm="1">
        <f t="array" ref="H21">IFERROR(INDEX('Master Data Sheet'!$1:$1048576, MATCH(1, ('Master Data Sheet'!$H:$H=H$2) * (INDEX('Master Data Sheet'!$1:$1, , MATCH($F$1, 'Master Data Sheet'!$1:$1, 0)) = $F$1) * ('Master Data Sheet'!$G:$G=$B21) * ('Master Data Sheet'!$F:$F=$E21) * ('Master Data Sheet'!$A:$A=$F21), 0), MATCH($F$1, 'Master Data Sheet'!$1:$1, 0)), "")</f>
        <v>8.1999999999999993</v>
      </c>
      <c r="I21" s="11" cm="1">
        <f t="array" ref="I21">IFERROR(INDEX('Master Data Sheet'!$1:$1048576, MATCH(1, ('Master Data Sheet'!$H:$H=I$2) * (INDEX('Master Data Sheet'!$1:$1, , MATCH($F$1, 'Master Data Sheet'!$1:$1, 0)) = $F$1) * ('Master Data Sheet'!$G:$G=$B21) * ('Master Data Sheet'!$F:$F=$E21) * ('Master Data Sheet'!$A:$A=$F21), 0), MATCH($F$1, 'Master Data Sheet'!$1:$1, 0)), "")</f>
        <v>8.1999999999999993</v>
      </c>
      <c r="J21" s="11" cm="1">
        <f t="array" ref="J21">IFERROR(INDEX('Master Data Sheet'!$1:$1048576, MATCH(1, ('Master Data Sheet'!$H:$H=J$2) * (INDEX('Master Data Sheet'!$1:$1, , MATCH($F$1, 'Master Data Sheet'!$1:$1, 0)) = $F$1) * ('Master Data Sheet'!$G:$G=$B21) * ('Master Data Sheet'!$F:$F=$E21) * ('Master Data Sheet'!$A:$A=$F21), 0), MATCH($F$1, 'Master Data Sheet'!$1:$1, 0)), "")</f>
        <v>8.17</v>
      </c>
      <c r="K21" s="11" cm="1">
        <f t="array" ref="K21">IFERROR(INDEX('Master Data Sheet'!$1:$1048576, MATCH(1, ('Master Data Sheet'!$H:$H=K$2) * (INDEX('Master Data Sheet'!$1:$1, , MATCH($F$1, 'Master Data Sheet'!$1:$1, 0)) = $F$1) * ('Master Data Sheet'!$G:$G=$B21) * ('Master Data Sheet'!$F:$F=$E21) * ('Master Data Sheet'!$A:$A=$F21), 0), MATCH($F$1, 'Master Data Sheet'!$1:$1, 0)), "")</f>
        <v>8.08</v>
      </c>
      <c r="L21" s="11" cm="1">
        <f t="array" ref="L21">IFERROR(INDEX('Master Data Sheet'!$1:$1048576, MATCH(1, ('Master Data Sheet'!$H:$H=L$2) * (INDEX('Master Data Sheet'!$1:$1, , MATCH($F$1, 'Master Data Sheet'!$1:$1, 0)) = $F$1) * ('Master Data Sheet'!$G:$G=$B21) * ('Master Data Sheet'!$F:$F=$E21) * ('Master Data Sheet'!$A:$A=$F21), 0), MATCH($F$1, 'Master Data Sheet'!$1:$1, 0)), "")</f>
        <v>8.18</v>
      </c>
      <c r="M21" s="11" cm="1">
        <f t="array" ref="M21">IFERROR(INDEX('Master Data Sheet'!$1:$1048576, MATCH(1, ('Master Data Sheet'!$H:$H=M$2) * (INDEX('Master Data Sheet'!$1:$1, , MATCH($F$1, 'Master Data Sheet'!$1:$1, 0)) = $F$1) * ('Master Data Sheet'!$G:$G=$B21) * ('Master Data Sheet'!$F:$F=$E21) * ('Master Data Sheet'!$A:$A=$F21), 0), MATCH($F$1, 'Master Data Sheet'!$1:$1, 0)), "")</f>
        <v>8.17</v>
      </c>
      <c r="N21" s="11" cm="1">
        <f t="array" ref="N21">IFERROR(INDEX('Master Data Sheet'!$1:$1048576, MATCH(1, ('Master Data Sheet'!$H:$H=N$2) * (INDEX('Master Data Sheet'!$1:$1, , MATCH($F$1, 'Master Data Sheet'!$1:$1, 0)) = $F$1) * ('Master Data Sheet'!$G:$G=$B21) * ('Master Data Sheet'!$F:$F=$E21) * ('Master Data Sheet'!$A:$A=$F21), 0), MATCH($F$1, 'Master Data Sheet'!$1:$1, 0)), "")</f>
        <v>8.1</v>
      </c>
      <c r="O21" s="11">
        <f t="shared" si="8"/>
        <v>8.1571428571428566</v>
      </c>
      <c r="P21" s="11">
        <f t="shared" si="4"/>
        <v>4.7858919654294035E-2</v>
      </c>
      <c r="Q21" s="11">
        <f>AVERAGE(O21:O23)</f>
        <v>7.9214285714285708</v>
      </c>
      <c r="S21" s="11">
        <f>AVERAGE(O21:O23)</f>
        <v>7.9214285714285708</v>
      </c>
      <c r="T21" s="11">
        <f>AVERAGE(P21:P23)</f>
        <v>5.4546933905135507E-2</v>
      </c>
      <c r="V21" s="47">
        <f>AVERAGE(U24, U27)</f>
        <v>4.6889089269612327</v>
      </c>
      <c r="X21" t="s">
        <v>343</v>
      </c>
    </row>
    <row r="22" spans="1:45" x14ac:dyDescent="0.35">
      <c r="A22" s="41">
        <f>IFERROR(INDEX('Date Key'!$B$2:$B$19, MATCH(F22,'Date Key'!$A$2:$A$19, 0)), "")</f>
        <v>45238</v>
      </c>
      <c r="B22" s="4">
        <f t="shared" si="15"/>
        <v>3</v>
      </c>
      <c r="C22" s="26" t="str">
        <f>IFERROR(INDEX('Date Key'!$G$57:$G$62, MATCH(B22,'Date Key'!$A$57:$A$62, 0)), "")</f>
        <v>High HLR, Lower Outlet Height, No Plants</v>
      </c>
      <c r="D22" s="4" t="str">
        <f>IFERROR(INDEX('Date Key'!$G$2:$G$19, MATCH(F22, 'Date Key'!$A$2:$A$19, 0)), "")</f>
        <v>No</v>
      </c>
      <c r="E22" s="4" t="str">
        <f t="shared" si="1"/>
        <v>in</v>
      </c>
      <c r="F22" s="4">
        <f t="shared" si="2"/>
        <v>8</v>
      </c>
      <c r="G22" s="4">
        <f t="shared" si="22"/>
        <v>2</v>
      </c>
      <c r="H22" s="11" cm="1">
        <f t="array" ref="H22">IFERROR(INDEX('Master Data Sheet'!$1:$1048576, MATCH(1, ('Master Data Sheet'!$H:$H=H$2) * (INDEX('Master Data Sheet'!$1:$1, , MATCH($F$1, 'Master Data Sheet'!$1:$1, 0)) = $F$1) * ('Master Data Sheet'!$G:$G=$B22) * ('Master Data Sheet'!$F:$F=$E22) * ('Master Data Sheet'!$A:$A=$F22), 0), MATCH($F$1, 'Master Data Sheet'!$1:$1, 0)), "")</f>
        <v>8.18</v>
      </c>
      <c r="I22" s="11" cm="1">
        <f t="array" ref="I22">IFERROR(INDEX('Master Data Sheet'!$1:$1048576, MATCH(1, ('Master Data Sheet'!$H:$H=I$2) * (INDEX('Master Data Sheet'!$1:$1, , MATCH($F$1, 'Master Data Sheet'!$1:$1, 0)) = $F$1) * ('Master Data Sheet'!$G:$G=$B22) * ('Master Data Sheet'!$F:$F=$E22) * ('Master Data Sheet'!$A:$A=$F22), 0), MATCH($F$1, 'Master Data Sheet'!$1:$1, 0)), "")</f>
        <v>8.2100000000000009</v>
      </c>
      <c r="J22" s="11" cm="1">
        <f t="array" ref="J22">IFERROR(INDEX('Master Data Sheet'!$1:$1048576, MATCH(1, ('Master Data Sheet'!$H:$H=J$2) * (INDEX('Master Data Sheet'!$1:$1, , MATCH($F$1, 'Master Data Sheet'!$1:$1, 0)) = $F$1) * ('Master Data Sheet'!$G:$G=$B22) * ('Master Data Sheet'!$F:$F=$E22) * ('Master Data Sheet'!$A:$A=$F22), 0), MATCH($F$1, 'Master Data Sheet'!$1:$1, 0)), "")</f>
        <v>8.23</v>
      </c>
      <c r="K22" s="11" cm="1">
        <f t="array" ref="K22">IFERROR(INDEX('Master Data Sheet'!$1:$1048576, MATCH(1, ('Master Data Sheet'!$H:$H=K$2) * (INDEX('Master Data Sheet'!$1:$1, , MATCH($F$1, 'Master Data Sheet'!$1:$1, 0)) = $F$1) * ('Master Data Sheet'!$G:$G=$B22) * ('Master Data Sheet'!$F:$F=$E22) * ('Master Data Sheet'!$A:$A=$F22), 0), MATCH($F$1, 'Master Data Sheet'!$1:$1, 0)), "")</f>
        <v>8.17</v>
      </c>
      <c r="L22" s="11" cm="1">
        <f t="array" ref="L22">IFERROR(INDEX('Master Data Sheet'!$1:$1048576, MATCH(1, ('Master Data Sheet'!$H:$H=L$2) * (INDEX('Master Data Sheet'!$1:$1, , MATCH($F$1, 'Master Data Sheet'!$1:$1, 0)) = $F$1) * ('Master Data Sheet'!$G:$G=$B22) * ('Master Data Sheet'!$F:$F=$E22) * ('Master Data Sheet'!$A:$A=$F22), 0), MATCH($F$1, 'Master Data Sheet'!$1:$1, 0)), "")</f>
        <v>8.15</v>
      </c>
      <c r="M22" s="11" cm="1">
        <f t="array" ref="M22">IFERROR(INDEX('Master Data Sheet'!$1:$1048576, MATCH(1, ('Master Data Sheet'!$H:$H=M$2) * (INDEX('Master Data Sheet'!$1:$1, , MATCH($F$1, 'Master Data Sheet'!$1:$1, 0)) = $F$1) * ('Master Data Sheet'!$G:$G=$B22) * ('Master Data Sheet'!$F:$F=$E22) * ('Master Data Sheet'!$A:$A=$F22), 0), MATCH($F$1, 'Master Data Sheet'!$1:$1, 0)), "")</f>
        <v>8.15</v>
      </c>
      <c r="N22" s="11" cm="1">
        <f t="array" ref="N22">IFERROR(INDEX('Master Data Sheet'!$1:$1048576, MATCH(1, ('Master Data Sheet'!$H:$H=N$2) * (INDEX('Master Data Sheet'!$1:$1, , MATCH($F$1, 'Master Data Sheet'!$1:$1, 0)) = $F$1) * ('Master Data Sheet'!$G:$G=$B22) * ('Master Data Sheet'!$F:$F=$E22) * ('Master Data Sheet'!$A:$A=$F22), 0), MATCH($F$1, 'Master Data Sheet'!$1:$1, 0)), "")</f>
        <v>8.1</v>
      </c>
      <c r="O22" s="11">
        <f t="shared" si="8"/>
        <v>8.17</v>
      </c>
      <c r="P22" s="11">
        <f t="shared" si="4"/>
        <v>4.2817441928884023E-2</v>
      </c>
      <c r="Q22" s="11"/>
      <c r="X22" t="str">
        <f>IFERROR(INDEX('Date Key'!$G$57:$G$62, MATCH(B21,'Date Key'!$A$57:$A$62, 0)), "")</f>
        <v>High HLR, Lower Outlet Height, No Plants</v>
      </c>
      <c r="Y22" s="1">
        <f t="shared" ref="Y22:AE22" si="26">H21</f>
        <v>8.1999999999999993</v>
      </c>
      <c r="Z22" s="1">
        <f t="shared" si="26"/>
        <v>8.1999999999999993</v>
      </c>
      <c r="AA22" s="1">
        <f t="shared" si="26"/>
        <v>8.17</v>
      </c>
      <c r="AB22" s="1">
        <f t="shared" si="26"/>
        <v>8.08</v>
      </c>
      <c r="AC22" s="1">
        <f t="shared" si="26"/>
        <v>8.18</v>
      </c>
      <c r="AD22" s="1">
        <f t="shared" si="26"/>
        <v>8.17</v>
      </c>
      <c r="AE22" s="1">
        <f t="shared" si="26"/>
        <v>8.1</v>
      </c>
      <c r="AF22" s="1">
        <f t="shared" ref="AF22:AL22" si="27">H22</f>
        <v>8.18</v>
      </c>
      <c r="AG22" s="1">
        <f t="shared" si="27"/>
        <v>8.2100000000000009</v>
      </c>
      <c r="AH22" s="1">
        <f t="shared" si="27"/>
        <v>8.23</v>
      </c>
      <c r="AI22" s="1">
        <f t="shared" si="27"/>
        <v>8.17</v>
      </c>
      <c r="AJ22" s="1">
        <f t="shared" si="27"/>
        <v>8.15</v>
      </c>
      <c r="AK22" s="1">
        <f t="shared" si="27"/>
        <v>8.15</v>
      </c>
      <c r="AL22" s="1">
        <f t="shared" si="27"/>
        <v>8.1</v>
      </c>
      <c r="AM22" s="1">
        <f t="shared" ref="AM22:AS22" si="28">H23</f>
        <v>7.43</v>
      </c>
      <c r="AN22" s="1">
        <f t="shared" si="28"/>
        <v>7.35</v>
      </c>
      <c r="AO22" s="1">
        <f t="shared" si="28"/>
        <v>7.42</v>
      </c>
      <c r="AP22" s="1">
        <f t="shared" si="28"/>
        <v>7.37</v>
      </c>
      <c r="AQ22" s="1">
        <f t="shared" si="28"/>
        <v>7.44</v>
      </c>
      <c r="AR22" s="1">
        <f t="shared" si="28"/>
        <v>7.57</v>
      </c>
      <c r="AS22" s="1">
        <f t="shared" si="28"/>
        <v>7.48</v>
      </c>
    </row>
    <row r="23" spans="1:45" x14ac:dyDescent="0.35">
      <c r="A23" s="41">
        <f>IFERROR(INDEX('Date Key'!$B$2:$B$19, MATCH(F23,'Date Key'!$A$2:$A$19, 0)), "")</f>
        <v>45246</v>
      </c>
      <c r="B23" s="4">
        <f t="shared" si="15"/>
        <v>3</v>
      </c>
      <c r="C23" s="26" t="str">
        <f>IFERROR(INDEX('Date Key'!$G$57:$G$62, MATCH(B23,'Date Key'!$A$57:$A$62, 0)), "")</f>
        <v>High HLR, Lower Outlet Height, No Plants</v>
      </c>
      <c r="D23" s="4" t="str">
        <f>IFERROR(INDEX('Date Key'!$G$2:$G$19, MATCH(F23, 'Date Key'!$A$2:$A$19, 0)), "")</f>
        <v>Yes</v>
      </c>
      <c r="E23" s="4" t="str">
        <f t="shared" si="1"/>
        <v>in</v>
      </c>
      <c r="F23" s="4">
        <f t="shared" si="2"/>
        <v>9</v>
      </c>
      <c r="G23" s="4">
        <f t="shared" si="22"/>
        <v>3</v>
      </c>
      <c r="H23" s="11" cm="1">
        <f t="array" ref="H23">IFERROR(INDEX('Master Data Sheet'!$1:$1048576, MATCH(1, ('Master Data Sheet'!$H:$H=H$2) * (INDEX('Master Data Sheet'!$1:$1, , MATCH($F$1, 'Master Data Sheet'!$1:$1, 0)) = $F$1) * ('Master Data Sheet'!$G:$G=$B23) * ('Master Data Sheet'!$F:$F=$E23) * ('Master Data Sheet'!$A:$A=$F23), 0), MATCH($F$1, 'Master Data Sheet'!$1:$1, 0)), "")</f>
        <v>7.43</v>
      </c>
      <c r="I23" s="11" cm="1">
        <f t="array" ref="I23">IFERROR(INDEX('Master Data Sheet'!$1:$1048576, MATCH(1, ('Master Data Sheet'!$H:$H=I$2) * (INDEX('Master Data Sheet'!$1:$1, , MATCH($F$1, 'Master Data Sheet'!$1:$1, 0)) = $F$1) * ('Master Data Sheet'!$G:$G=$B23) * ('Master Data Sheet'!$F:$F=$E23) * ('Master Data Sheet'!$A:$A=$F23), 0), MATCH($F$1, 'Master Data Sheet'!$1:$1, 0)), "")</f>
        <v>7.35</v>
      </c>
      <c r="J23" s="11" cm="1">
        <f t="array" ref="J23">IFERROR(INDEX('Master Data Sheet'!$1:$1048576, MATCH(1, ('Master Data Sheet'!$H:$H=J$2) * (INDEX('Master Data Sheet'!$1:$1, , MATCH($F$1, 'Master Data Sheet'!$1:$1, 0)) = $F$1) * ('Master Data Sheet'!$G:$G=$B23) * ('Master Data Sheet'!$F:$F=$E23) * ('Master Data Sheet'!$A:$A=$F23), 0), MATCH($F$1, 'Master Data Sheet'!$1:$1, 0)), "")</f>
        <v>7.42</v>
      </c>
      <c r="K23" s="11" cm="1">
        <f t="array" ref="K23">IFERROR(INDEX('Master Data Sheet'!$1:$1048576, MATCH(1, ('Master Data Sheet'!$H:$H=K$2) * (INDEX('Master Data Sheet'!$1:$1, , MATCH($F$1, 'Master Data Sheet'!$1:$1, 0)) = $F$1) * ('Master Data Sheet'!$G:$G=$B23) * ('Master Data Sheet'!$F:$F=$E23) * ('Master Data Sheet'!$A:$A=$F23), 0), MATCH($F$1, 'Master Data Sheet'!$1:$1, 0)), "")</f>
        <v>7.37</v>
      </c>
      <c r="L23" s="11" cm="1">
        <f t="array" ref="L23">IFERROR(INDEX('Master Data Sheet'!$1:$1048576, MATCH(1, ('Master Data Sheet'!$H:$H=L$2) * (INDEX('Master Data Sheet'!$1:$1, , MATCH($F$1, 'Master Data Sheet'!$1:$1, 0)) = $F$1) * ('Master Data Sheet'!$G:$G=$B23) * ('Master Data Sheet'!$F:$F=$E23) * ('Master Data Sheet'!$A:$A=$F23), 0), MATCH($F$1, 'Master Data Sheet'!$1:$1, 0)), "")</f>
        <v>7.44</v>
      </c>
      <c r="M23" s="11" cm="1">
        <f t="array" ref="M23">IFERROR(INDEX('Master Data Sheet'!$1:$1048576, MATCH(1, ('Master Data Sheet'!$H:$H=M$2) * (INDEX('Master Data Sheet'!$1:$1, , MATCH($F$1, 'Master Data Sheet'!$1:$1, 0)) = $F$1) * ('Master Data Sheet'!$G:$G=$B23) * ('Master Data Sheet'!$F:$F=$E23) * ('Master Data Sheet'!$A:$A=$F23), 0), MATCH($F$1, 'Master Data Sheet'!$1:$1, 0)), "")</f>
        <v>7.57</v>
      </c>
      <c r="N23" s="11" cm="1">
        <f t="array" ref="N23">IFERROR(INDEX('Master Data Sheet'!$1:$1048576, MATCH(1, ('Master Data Sheet'!$H:$H=N$2) * (INDEX('Master Data Sheet'!$1:$1, , MATCH($F$1, 'Master Data Sheet'!$1:$1, 0)) = $F$1) * ('Master Data Sheet'!$G:$G=$B23) * ('Master Data Sheet'!$F:$F=$E23) * ('Master Data Sheet'!$A:$A=$F23), 0), MATCH($F$1, 'Master Data Sheet'!$1:$1, 0)), "")</f>
        <v>7.48</v>
      </c>
      <c r="O23" s="11">
        <f t="shared" si="8"/>
        <v>7.4371428571428577</v>
      </c>
      <c r="P23" s="11">
        <f t="shared" si="4"/>
        <v>7.296444013222847E-2</v>
      </c>
      <c r="Q23" s="11"/>
      <c r="Y23" s="1"/>
      <c r="Z23" s="1"/>
      <c r="AA23" s="1"/>
      <c r="AB23" s="1"/>
      <c r="AC23" s="1"/>
      <c r="AD23" s="1"/>
      <c r="AE23" s="1"/>
      <c r="AF23" s="1"/>
      <c r="AG23" s="1"/>
      <c r="AH23" s="1"/>
      <c r="AI23" s="1"/>
      <c r="AJ23" s="1"/>
      <c r="AK23" s="1"/>
      <c r="AL23" s="1"/>
      <c r="AM23" s="1"/>
      <c r="AN23" s="1"/>
      <c r="AO23" s="1"/>
      <c r="AP23" s="1"/>
      <c r="AQ23" s="1"/>
      <c r="AR23" s="1"/>
      <c r="AS23" s="1"/>
    </row>
    <row r="24" spans="1:45" x14ac:dyDescent="0.35">
      <c r="A24" s="41">
        <f>IFERROR(INDEX('Date Key'!$B$2:$B$19, MATCH(F24,'Date Key'!$A$2:$A$19, 0)), "")</f>
        <v>45233</v>
      </c>
      <c r="B24" s="4">
        <f t="shared" si="15"/>
        <v>3</v>
      </c>
      <c r="C24" s="26" t="str">
        <f>IFERROR(INDEX('Date Key'!$G$57:$G$62, MATCH(B24,'Date Key'!$A$57:$A$62, 0)), "")</f>
        <v>High HLR, Lower Outlet Height, No Plants</v>
      </c>
      <c r="D24" s="4" t="str">
        <f>IFERROR(INDEX('Date Key'!$G$2:$G$19, MATCH(F24, 'Date Key'!$A$2:$A$19, 0)), "")</f>
        <v>No</v>
      </c>
      <c r="E24" s="4" t="str">
        <f t="shared" si="1"/>
        <v>tank 1</v>
      </c>
      <c r="F24" s="4">
        <f t="shared" si="2"/>
        <v>7</v>
      </c>
      <c r="G24" s="4">
        <f t="shared" si="22"/>
        <v>1</v>
      </c>
      <c r="H24" s="11" cm="1">
        <f t="array" ref="H24">IFERROR(INDEX('Master Data Sheet'!$1:$1048576, MATCH(1, ('Master Data Sheet'!$H:$H=H$2) * (INDEX('Master Data Sheet'!$1:$1, , MATCH($F$1, 'Master Data Sheet'!$1:$1, 0)) = $F$1) * ('Master Data Sheet'!$G:$G=$B24) * ('Master Data Sheet'!$F:$F=$E24) * ('Master Data Sheet'!$A:$A=$F24), 0), MATCH($F$1, 'Master Data Sheet'!$1:$1, 0)), "")</f>
        <v>7.62</v>
      </c>
      <c r="I24" s="11" cm="1">
        <f t="array" ref="I24">IFERROR(INDEX('Master Data Sheet'!$1:$1048576, MATCH(1, ('Master Data Sheet'!$H:$H=I$2) * (INDEX('Master Data Sheet'!$1:$1, , MATCH($F$1, 'Master Data Sheet'!$1:$1, 0)) = $F$1) * ('Master Data Sheet'!$G:$G=$B24) * ('Master Data Sheet'!$F:$F=$E24) * ('Master Data Sheet'!$A:$A=$F24), 0), MATCH($F$1, 'Master Data Sheet'!$1:$1, 0)), "")</f>
        <v>7.48</v>
      </c>
      <c r="J24" s="11" cm="1">
        <f t="array" ref="J24">IFERROR(INDEX('Master Data Sheet'!$1:$1048576, MATCH(1, ('Master Data Sheet'!$H:$H=J$2) * (INDEX('Master Data Sheet'!$1:$1, , MATCH($F$1, 'Master Data Sheet'!$1:$1, 0)) = $F$1) * ('Master Data Sheet'!$G:$G=$B24) * ('Master Data Sheet'!$F:$F=$E24) * ('Master Data Sheet'!$A:$A=$F24), 0), MATCH($F$1, 'Master Data Sheet'!$1:$1, 0)), "")</f>
        <v>7.45</v>
      </c>
      <c r="K24" s="11" cm="1">
        <f t="array" ref="K24">IFERROR(INDEX('Master Data Sheet'!$1:$1048576, MATCH(1, ('Master Data Sheet'!$H:$H=K$2) * (INDEX('Master Data Sheet'!$1:$1, , MATCH($F$1, 'Master Data Sheet'!$1:$1, 0)) = $F$1) * ('Master Data Sheet'!$G:$G=$B24) * ('Master Data Sheet'!$F:$F=$E24) * ('Master Data Sheet'!$A:$A=$F24), 0), MATCH($F$1, 'Master Data Sheet'!$1:$1, 0)), "")</f>
        <v>7.53</v>
      </c>
      <c r="L24" s="11" cm="1">
        <f t="array" ref="L24">IFERROR(INDEX('Master Data Sheet'!$1:$1048576, MATCH(1, ('Master Data Sheet'!$H:$H=L$2) * (INDEX('Master Data Sheet'!$1:$1, , MATCH($F$1, 'Master Data Sheet'!$1:$1, 0)) = $F$1) * ('Master Data Sheet'!$G:$G=$B24) * ('Master Data Sheet'!$F:$F=$E24) * ('Master Data Sheet'!$A:$A=$F24), 0), MATCH($F$1, 'Master Data Sheet'!$1:$1, 0)), "")</f>
        <v>7.56</v>
      </c>
      <c r="M24" s="11" cm="1">
        <f t="array" ref="M24">IFERROR(INDEX('Master Data Sheet'!$1:$1048576, MATCH(1, ('Master Data Sheet'!$H:$H=M$2) * (INDEX('Master Data Sheet'!$1:$1, , MATCH($F$1, 'Master Data Sheet'!$1:$1, 0)) = $F$1) * ('Master Data Sheet'!$G:$G=$B24) * ('Master Data Sheet'!$F:$F=$E24) * ('Master Data Sheet'!$A:$A=$F24), 0), MATCH($F$1, 'Master Data Sheet'!$1:$1, 0)), "")</f>
        <v>7.74</v>
      </c>
      <c r="N24" s="11" cm="1">
        <f t="array" ref="N24">IFERROR(INDEX('Master Data Sheet'!$1:$1048576, MATCH(1, ('Master Data Sheet'!$H:$H=N$2) * (INDEX('Master Data Sheet'!$1:$1, , MATCH($F$1, 'Master Data Sheet'!$1:$1, 0)) = $F$1) * ('Master Data Sheet'!$G:$G=$B24) * ('Master Data Sheet'!$F:$F=$E24) * ('Master Data Sheet'!$A:$A=$F24), 0), MATCH($F$1, 'Master Data Sheet'!$1:$1, 0)), "")</f>
        <v>7.82</v>
      </c>
      <c r="O24" s="11">
        <f t="shared" si="8"/>
        <v>7.6000000000000005</v>
      </c>
      <c r="P24" s="11">
        <f t="shared" si="4"/>
        <v>0.13650396819628849</v>
      </c>
      <c r="Q24" s="11">
        <f>AVERAGE(O24:O26)</f>
        <v>7.54</v>
      </c>
      <c r="R24" s="46">
        <f>(1-(O24/O21))*100</f>
        <v>6.8301225919439439</v>
      </c>
      <c r="S24" s="46">
        <f>AVERAGE(R24:R26)</f>
        <v>4.6854411283495887</v>
      </c>
      <c r="T24" s="46">
        <f>STDEV(R24:R26)</f>
        <v>3.675173914021399</v>
      </c>
      <c r="U24" s="47">
        <f>(1-(AVERAGE(H24:N26)/AVERAGE(H21:N23)))*100</f>
        <v>4.8151487826870953</v>
      </c>
      <c r="V24" s="47"/>
      <c r="Y24" s="2"/>
      <c r="Z24" s="2"/>
      <c r="AA24" s="2"/>
      <c r="AB24" s="2"/>
      <c r="AC24" s="2"/>
      <c r="AD24" s="2"/>
      <c r="AE24" s="2"/>
      <c r="AF24" s="2"/>
      <c r="AG24" s="2"/>
    </row>
    <row r="25" spans="1:45" x14ac:dyDescent="0.35">
      <c r="A25" s="41">
        <f>IFERROR(INDEX('Date Key'!$B$2:$B$19, MATCH(F25,'Date Key'!$A$2:$A$19, 0)), "")</f>
        <v>45238</v>
      </c>
      <c r="B25" s="4">
        <f t="shared" si="15"/>
        <v>3</v>
      </c>
      <c r="C25" s="26" t="str">
        <f>IFERROR(INDEX('Date Key'!$G$57:$G$62, MATCH(B25,'Date Key'!$A$57:$A$62, 0)), "")</f>
        <v>High HLR, Lower Outlet Height, No Plants</v>
      </c>
      <c r="D25" s="4" t="str">
        <f>IFERROR(INDEX('Date Key'!$G$2:$G$19, MATCH(F25, 'Date Key'!$A$2:$A$19, 0)), "")</f>
        <v>No</v>
      </c>
      <c r="E25" s="4" t="str">
        <f t="shared" si="1"/>
        <v>tank 1</v>
      </c>
      <c r="F25" s="4">
        <f t="shared" si="2"/>
        <v>8</v>
      </c>
      <c r="G25" s="4">
        <f t="shared" si="22"/>
        <v>2</v>
      </c>
      <c r="H25" s="11" cm="1">
        <f t="array" ref="H25">IFERROR(INDEX('Master Data Sheet'!$1:$1048576, MATCH(1, ('Master Data Sheet'!$H:$H=H$2) * (INDEX('Master Data Sheet'!$1:$1, , MATCH($F$1, 'Master Data Sheet'!$1:$1, 0)) = $F$1) * ('Master Data Sheet'!$G:$G=$B25) * ('Master Data Sheet'!$F:$F=$E25) * ('Master Data Sheet'!$A:$A=$F25), 0), MATCH($F$1, 'Master Data Sheet'!$1:$1, 0)), "")</f>
        <v>7.42</v>
      </c>
      <c r="I25" s="11" cm="1">
        <f t="array" ref="I25">IFERROR(INDEX('Master Data Sheet'!$1:$1048576, MATCH(1, ('Master Data Sheet'!$H:$H=I$2) * (INDEX('Master Data Sheet'!$1:$1, , MATCH($F$1, 'Master Data Sheet'!$1:$1, 0)) = $F$1) * ('Master Data Sheet'!$G:$G=$B25) * ('Master Data Sheet'!$F:$F=$E25) * ('Master Data Sheet'!$A:$A=$F25), 0), MATCH($F$1, 'Master Data Sheet'!$1:$1, 0)), "")</f>
        <v>7.47</v>
      </c>
      <c r="J25" s="11" cm="1">
        <f t="array" ref="J25">IFERROR(INDEX('Master Data Sheet'!$1:$1048576, MATCH(1, ('Master Data Sheet'!$H:$H=J$2) * (INDEX('Master Data Sheet'!$1:$1, , MATCH($F$1, 'Master Data Sheet'!$1:$1, 0)) = $F$1) * ('Master Data Sheet'!$G:$G=$B25) * ('Master Data Sheet'!$F:$F=$E25) * ('Master Data Sheet'!$A:$A=$F25), 0), MATCH($F$1, 'Master Data Sheet'!$1:$1, 0)), "")</f>
        <v>7.68</v>
      </c>
      <c r="K25" s="11" cm="1">
        <f t="array" ref="K25">IFERROR(INDEX('Master Data Sheet'!$1:$1048576, MATCH(1, ('Master Data Sheet'!$H:$H=K$2) * (INDEX('Master Data Sheet'!$1:$1, , MATCH($F$1, 'Master Data Sheet'!$1:$1, 0)) = $F$1) * ('Master Data Sheet'!$G:$G=$B25) * ('Master Data Sheet'!$F:$F=$E25) * ('Master Data Sheet'!$A:$A=$F25), 0), MATCH($F$1, 'Master Data Sheet'!$1:$1, 0)), "")</f>
        <v>7.56</v>
      </c>
      <c r="L25" s="11" cm="1">
        <f t="array" ref="L25">IFERROR(INDEX('Master Data Sheet'!$1:$1048576, MATCH(1, ('Master Data Sheet'!$H:$H=L$2) * (INDEX('Master Data Sheet'!$1:$1, , MATCH($F$1, 'Master Data Sheet'!$1:$1, 0)) = $F$1) * ('Master Data Sheet'!$G:$G=$B25) * ('Master Data Sheet'!$F:$F=$E25) * ('Master Data Sheet'!$A:$A=$F25), 0), MATCH($F$1, 'Master Data Sheet'!$1:$1, 0)), "")</f>
        <v>7.66</v>
      </c>
      <c r="M25" s="11" cm="1">
        <f t="array" ref="M25">IFERROR(INDEX('Master Data Sheet'!$1:$1048576, MATCH(1, ('Master Data Sheet'!$H:$H=M$2) * (INDEX('Master Data Sheet'!$1:$1, , MATCH($F$1, 'Master Data Sheet'!$1:$1, 0)) = $F$1) * ('Master Data Sheet'!$G:$G=$B25) * ('Master Data Sheet'!$F:$F=$E25) * ('Master Data Sheet'!$A:$A=$F25), 0), MATCH($F$1, 'Master Data Sheet'!$1:$1, 0)), "")</f>
        <v>7.66</v>
      </c>
      <c r="N25" s="11" cm="1">
        <f t="array" ref="N25">IFERROR(INDEX('Master Data Sheet'!$1:$1048576, MATCH(1, ('Master Data Sheet'!$H:$H=N$2) * (INDEX('Master Data Sheet'!$1:$1, , MATCH($F$1, 'Master Data Sheet'!$1:$1, 0)) = $F$1) * ('Master Data Sheet'!$G:$G=$B25) * ('Master Data Sheet'!$F:$F=$E25) * ('Master Data Sheet'!$A:$A=$F25), 0), MATCH($F$1, 'Master Data Sheet'!$1:$1, 0)), "")</f>
        <v>7.86</v>
      </c>
      <c r="O25" s="11">
        <f t="shared" si="8"/>
        <v>7.6157142857142857</v>
      </c>
      <c r="P25" s="11">
        <f t="shared" si="4"/>
        <v>0.14740614447359879</v>
      </c>
      <c r="Q25" s="11"/>
      <c r="R25" s="46">
        <f>(1-(O25/O22))*100</f>
        <v>6.7844028676341983</v>
      </c>
      <c r="X25" t="str">
        <f>IFERROR(INDEX('Date Key'!$G$57:$G$62, MATCH(B24,'Date Key'!$A$57:$A$62, 0)), "")</f>
        <v>High HLR, Lower Outlet Height, No Plants</v>
      </c>
      <c r="Y25" s="1">
        <f t="shared" ref="Y25:AE25" si="29">H24</f>
        <v>7.62</v>
      </c>
      <c r="Z25" s="1">
        <f t="shared" si="29"/>
        <v>7.48</v>
      </c>
      <c r="AA25" s="1">
        <f t="shared" si="29"/>
        <v>7.45</v>
      </c>
      <c r="AB25" s="1">
        <f t="shared" si="29"/>
        <v>7.53</v>
      </c>
      <c r="AC25" s="1">
        <f t="shared" si="29"/>
        <v>7.56</v>
      </c>
      <c r="AD25" s="1">
        <f t="shared" si="29"/>
        <v>7.74</v>
      </c>
      <c r="AE25" s="1">
        <f t="shared" si="29"/>
        <v>7.82</v>
      </c>
      <c r="AF25" s="1">
        <f t="shared" ref="AF25:AL25" si="30">H25</f>
        <v>7.42</v>
      </c>
      <c r="AG25" s="1">
        <f t="shared" si="30"/>
        <v>7.47</v>
      </c>
      <c r="AH25" s="1">
        <f t="shared" si="30"/>
        <v>7.68</v>
      </c>
      <c r="AI25" s="1">
        <f t="shared" si="30"/>
        <v>7.56</v>
      </c>
      <c r="AJ25" s="1">
        <f t="shared" si="30"/>
        <v>7.66</v>
      </c>
      <c r="AK25" s="1">
        <f t="shared" si="30"/>
        <v>7.66</v>
      </c>
      <c r="AL25" s="1">
        <f t="shared" si="30"/>
        <v>7.86</v>
      </c>
      <c r="AM25" s="1">
        <f t="shared" ref="AM25:AS25" si="31">H26</f>
        <v>7.52</v>
      </c>
      <c r="AN25" s="1">
        <f t="shared" si="31"/>
        <v>7.34</v>
      </c>
      <c r="AO25" s="1">
        <f t="shared" si="31"/>
        <v>7.35</v>
      </c>
      <c r="AP25" s="1">
        <f t="shared" si="31"/>
        <v>7.33</v>
      </c>
      <c r="AQ25" s="1">
        <f t="shared" si="31"/>
        <v>7.39</v>
      </c>
      <c r="AR25" s="1">
        <f t="shared" si="31"/>
        <v>7.4</v>
      </c>
      <c r="AS25" s="1">
        <f t="shared" si="31"/>
        <v>7.5</v>
      </c>
    </row>
    <row r="26" spans="1:45" x14ac:dyDescent="0.35">
      <c r="A26" s="41">
        <f>IFERROR(INDEX('Date Key'!$B$2:$B$19, MATCH(F26,'Date Key'!$A$2:$A$19, 0)), "")</f>
        <v>45246</v>
      </c>
      <c r="B26" s="4">
        <f t="shared" si="15"/>
        <v>3</v>
      </c>
      <c r="C26" s="26" t="str">
        <f>IFERROR(INDEX('Date Key'!$G$57:$G$62, MATCH(B26,'Date Key'!$A$57:$A$62, 0)), "")</f>
        <v>High HLR, Lower Outlet Height, No Plants</v>
      </c>
      <c r="D26" s="4" t="str">
        <f>IFERROR(INDEX('Date Key'!$G$2:$G$19, MATCH(F26, 'Date Key'!$A$2:$A$19, 0)), "")</f>
        <v>Yes</v>
      </c>
      <c r="E26" s="4" t="str">
        <f t="shared" si="1"/>
        <v>tank 1</v>
      </c>
      <c r="F26" s="4">
        <f t="shared" si="2"/>
        <v>9</v>
      </c>
      <c r="G26" s="4">
        <f t="shared" si="22"/>
        <v>3</v>
      </c>
      <c r="H26" s="11" cm="1">
        <f t="array" ref="H26">IFERROR(INDEX('Master Data Sheet'!$1:$1048576, MATCH(1, ('Master Data Sheet'!$H:$H=H$2) * (INDEX('Master Data Sheet'!$1:$1, , MATCH($F$1, 'Master Data Sheet'!$1:$1, 0)) = $F$1) * ('Master Data Sheet'!$G:$G=$B26) * ('Master Data Sheet'!$F:$F=$E26) * ('Master Data Sheet'!$A:$A=$F26), 0), MATCH($F$1, 'Master Data Sheet'!$1:$1, 0)), "")</f>
        <v>7.52</v>
      </c>
      <c r="I26" s="11" cm="1">
        <f t="array" ref="I26">IFERROR(INDEX('Master Data Sheet'!$1:$1048576, MATCH(1, ('Master Data Sheet'!$H:$H=I$2) * (INDEX('Master Data Sheet'!$1:$1, , MATCH($F$1, 'Master Data Sheet'!$1:$1, 0)) = $F$1) * ('Master Data Sheet'!$G:$G=$B26) * ('Master Data Sheet'!$F:$F=$E26) * ('Master Data Sheet'!$A:$A=$F26), 0), MATCH($F$1, 'Master Data Sheet'!$1:$1, 0)), "")</f>
        <v>7.34</v>
      </c>
      <c r="J26" s="11" cm="1">
        <f t="array" ref="J26">IFERROR(INDEX('Master Data Sheet'!$1:$1048576, MATCH(1, ('Master Data Sheet'!$H:$H=J$2) * (INDEX('Master Data Sheet'!$1:$1, , MATCH($F$1, 'Master Data Sheet'!$1:$1, 0)) = $F$1) * ('Master Data Sheet'!$G:$G=$B26) * ('Master Data Sheet'!$F:$F=$E26) * ('Master Data Sheet'!$A:$A=$F26), 0), MATCH($F$1, 'Master Data Sheet'!$1:$1, 0)), "")</f>
        <v>7.35</v>
      </c>
      <c r="K26" s="11" cm="1">
        <f t="array" ref="K26">IFERROR(INDEX('Master Data Sheet'!$1:$1048576, MATCH(1, ('Master Data Sheet'!$H:$H=K$2) * (INDEX('Master Data Sheet'!$1:$1, , MATCH($F$1, 'Master Data Sheet'!$1:$1, 0)) = $F$1) * ('Master Data Sheet'!$G:$G=$B26) * ('Master Data Sheet'!$F:$F=$E26) * ('Master Data Sheet'!$A:$A=$F26), 0), MATCH($F$1, 'Master Data Sheet'!$1:$1, 0)), "")</f>
        <v>7.33</v>
      </c>
      <c r="L26" s="11" cm="1">
        <f t="array" ref="L26">IFERROR(INDEX('Master Data Sheet'!$1:$1048576, MATCH(1, ('Master Data Sheet'!$H:$H=L$2) * (INDEX('Master Data Sheet'!$1:$1, , MATCH($F$1, 'Master Data Sheet'!$1:$1, 0)) = $F$1) * ('Master Data Sheet'!$G:$G=$B26) * ('Master Data Sheet'!$F:$F=$E26) * ('Master Data Sheet'!$A:$A=$F26), 0), MATCH($F$1, 'Master Data Sheet'!$1:$1, 0)), "")</f>
        <v>7.39</v>
      </c>
      <c r="M26" s="11" cm="1">
        <f t="array" ref="M26">IFERROR(INDEX('Master Data Sheet'!$1:$1048576, MATCH(1, ('Master Data Sheet'!$H:$H=M$2) * (INDEX('Master Data Sheet'!$1:$1, , MATCH($F$1, 'Master Data Sheet'!$1:$1, 0)) = $F$1) * ('Master Data Sheet'!$G:$G=$B26) * ('Master Data Sheet'!$F:$F=$E26) * ('Master Data Sheet'!$A:$A=$F26), 0), MATCH($F$1, 'Master Data Sheet'!$1:$1, 0)), "")</f>
        <v>7.4</v>
      </c>
      <c r="N26" s="11" cm="1">
        <f t="array" ref="N26">IFERROR(INDEX('Master Data Sheet'!$1:$1048576, MATCH(1, ('Master Data Sheet'!$H:$H=N$2) * (INDEX('Master Data Sheet'!$1:$1, , MATCH($F$1, 'Master Data Sheet'!$1:$1, 0)) = $F$1) * ('Master Data Sheet'!$G:$G=$B26) * ('Master Data Sheet'!$F:$F=$E26) * ('Master Data Sheet'!$A:$A=$F26), 0), MATCH($F$1, 'Master Data Sheet'!$1:$1, 0)), "")</f>
        <v>7.5</v>
      </c>
      <c r="O26" s="11">
        <f t="shared" si="8"/>
        <v>7.4042857142857139</v>
      </c>
      <c r="P26" s="11">
        <f t="shared" si="4"/>
        <v>7.6780453861891751E-2</v>
      </c>
      <c r="Q26" s="11"/>
      <c r="R26" s="46">
        <f>(1-(O26/O23))*100</f>
        <v>0.44179792547062169</v>
      </c>
      <c r="Y26" s="2"/>
      <c r="Z26" s="2"/>
      <c r="AA26" s="2"/>
      <c r="AB26" s="2"/>
      <c r="AC26" s="2"/>
      <c r="AD26" s="2"/>
      <c r="AE26" s="2"/>
      <c r="AF26" s="2"/>
      <c r="AG26" s="2"/>
    </row>
    <row r="27" spans="1:45" x14ac:dyDescent="0.35">
      <c r="A27" s="41">
        <f>IFERROR(INDEX('Date Key'!$B$2:$B$19, MATCH(F27,'Date Key'!$A$2:$A$19, 0)), "")</f>
        <v>45233</v>
      </c>
      <c r="B27" s="4">
        <f t="shared" si="15"/>
        <v>3</v>
      </c>
      <c r="C27" s="26" t="str">
        <f>IFERROR(INDEX('Date Key'!$G$57:$G$62, MATCH(B27,'Date Key'!$A$57:$A$62, 0)), "")</f>
        <v>High HLR, Lower Outlet Height, No Plants</v>
      </c>
      <c r="D27" s="4" t="str">
        <f>IFERROR(INDEX('Date Key'!$G$2:$G$19, MATCH(F27, 'Date Key'!$A$2:$A$19, 0)), "")</f>
        <v>No</v>
      </c>
      <c r="E27" s="4" t="str">
        <f t="shared" si="1"/>
        <v>tank 2</v>
      </c>
      <c r="F27" s="4">
        <f t="shared" si="2"/>
        <v>7</v>
      </c>
      <c r="G27" s="4">
        <f t="shared" si="22"/>
        <v>1</v>
      </c>
      <c r="H27" s="11" cm="1">
        <f t="array" ref="H27">IFERROR(INDEX('Master Data Sheet'!$1:$1048576, MATCH(1, ('Master Data Sheet'!$H:$H=H$2) * (INDEX('Master Data Sheet'!$1:$1, , MATCH($F$1, 'Master Data Sheet'!$1:$1, 0)) = $F$1) * ('Master Data Sheet'!$G:$G=$B27) * ('Master Data Sheet'!$F:$F=$E27) * ('Master Data Sheet'!$A:$A=$F27), 0), MATCH($F$1, 'Master Data Sheet'!$1:$1, 0)), "")</f>
        <v>7.49</v>
      </c>
      <c r="I27" s="11" cm="1">
        <f t="array" ref="I27">IFERROR(INDEX('Master Data Sheet'!$1:$1048576, MATCH(1, ('Master Data Sheet'!$H:$H=I$2) * (INDEX('Master Data Sheet'!$1:$1, , MATCH($F$1, 'Master Data Sheet'!$1:$1, 0)) = $F$1) * ('Master Data Sheet'!$G:$G=$B27) * ('Master Data Sheet'!$F:$F=$E27) * ('Master Data Sheet'!$A:$A=$F27), 0), MATCH($F$1, 'Master Data Sheet'!$1:$1, 0)), "")</f>
        <v>7.61</v>
      </c>
      <c r="J27" s="11" cm="1">
        <f t="array" ref="J27">IFERROR(INDEX('Master Data Sheet'!$1:$1048576, MATCH(1, ('Master Data Sheet'!$H:$H=J$2) * (INDEX('Master Data Sheet'!$1:$1, , MATCH($F$1, 'Master Data Sheet'!$1:$1, 0)) = $F$1) * ('Master Data Sheet'!$G:$G=$B27) * ('Master Data Sheet'!$F:$F=$E27) * ('Master Data Sheet'!$A:$A=$F27), 0), MATCH($F$1, 'Master Data Sheet'!$1:$1, 0)), "")</f>
        <v>7.47</v>
      </c>
      <c r="K27" s="11" cm="1">
        <f t="array" ref="K27">IFERROR(INDEX('Master Data Sheet'!$1:$1048576, MATCH(1, ('Master Data Sheet'!$H:$H=K$2) * (INDEX('Master Data Sheet'!$1:$1, , MATCH($F$1, 'Master Data Sheet'!$1:$1, 0)) = $F$1) * ('Master Data Sheet'!$G:$G=$B27) * ('Master Data Sheet'!$F:$F=$E27) * ('Master Data Sheet'!$A:$A=$F27), 0), MATCH($F$1, 'Master Data Sheet'!$1:$1, 0)), "")</f>
        <v>7.55</v>
      </c>
      <c r="L27" s="11" cm="1">
        <f t="array" ref="L27">IFERROR(INDEX('Master Data Sheet'!$1:$1048576, MATCH(1, ('Master Data Sheet'!$H:$H=L$2) * (INDEX('Master Data Sheet'!$1:$1, , MATCH($F$1, 'Master Data Sheet'!$1:$1, 0)) = $F$1) * ('Master Data Sheet'!$G:$G=$B27) * ('Master Data Sheet'!$F:$F=$E27) * ('Master Data Sheet'!$A:$A=$F27), 0), MATCH($F$1, 'Master Data Sheet'!$1:$1, 0)), "")</f>
        <v>7.62</v>
      </c>
      <c r="M27" s="11" cm="1">
        <f t="array" ref="M27">IFERROR(INDEX('Master Data Sheet'!$1:$1048576, MATCH(1, ('Master Data Sheet'!$H:$H=M$2) * (INDEX('Master Data Sheet'!$1:$1, , MATCH($F$1, 'Master Data Sheet'!$1:$1, 0)) = $F$1) * ('Master Data Sheet'!$G:$G=$B27) * ('Master Data Sheet'!$F:$F=$E27) * ('Master Data Sheet'!$A:$A=$F27), 0), MATCH($F$1, 'Master Data Sheet'!$1:$1, 0)), "")</f>
        <v>7.78</v>
      </c>
      <c r="N27" s="11" cm="1">
        <f t="array" ref="N27">IFERROR(INDEX('Master Data Sheet'!$1:$1048576, MATCH(1, ('Master Data Sheet'!$H:$H=N$2) * (INDEX('Master Data Sheet'!$1:$1, , MATCH($F$1, 'Master Data Sheet'!$1:$1, 0)) = $F$1) * ('Master Data Sheet'!$G:$G=$B27) * ('Master Data Sheet'!$F:$F=$E27) * ('Master Data Sheet'!$A:$A=$F27), 0), MATCH($F$1, 'Master Data Sheet'!$1:$1, 0)), "")</f>
        <v>7.8</v>
      </c>
      <c r="O27" s="11">
        <f t="shared" si="8"/>
        <v>7.6171428571428574</v>
      </c>
      <c r="P27" s="11">
        <f t="shared" si="4"/>
        <v>0.13060299712159315</v>
      </c>
      <c r="Q27" s="11">
        <f>AVERAGE(N27:N29)</f>
        <v>7.62</v>
      </c>
      <c r="R27" s="46">
        <f>(1-(O27/O21))*100</f>
        <v>6.6199649737302853</v>
      </c>
      <c r="S27" s="46">
        <f>AVERAGE(R27:R29)</f>
        <v>4.4560401244209675</v>
      </c>
      <c r="T27" s="46">
        <f>STDEV(R27:R29)</f>
        <v>3.0557522751324684</v>
      </c>
      <c r="U27" s="47">
        <f>(1-(AVERAGE(H27:N29)/AVERAGE(H21:N23)))*100</f>
        <v>4.5626690712353701</v>
      </c>
      <c r="V27" s="47"/>
      <c r="Y27" s="2"/>
      <c r="Z27" s="2"/>
      <c r="AA27" s="2"/>
      <c r="AB27" s="2"/>
      <c r="AC27" s="2"/>
      <c r="AD27" s="2"/>
      <c r="AE27" s="2"/>
      <c r="AF27" s="2"/>
      <c r="AG27" s="2"/>
    </row>
    <row r="28" spans="1:45" x14ac:dyDescent="0.35">
      <c r="A28" s="41">
        <f>IFERROR(INDEX('Date Key'!$B$2:$B$19, MATCH(F28,'Date Key'!$A$2:$A$19, 0)), "")</f>
        <v>45238</v>
      </c>
      <c r="B28" s="4">
        <f t="shared" si="15"/>
        <v>3</v>
      </c>
      <c r="C28" s="26" t="str">
        <f>IFERROR(INDEX('Date Key'!$G$57:$G$62, MATCH(B28,'Date Key'!$A$57:$A$62, 0)), "")</f>
        <v>High HLR, Lower Outlet Height, No Plants</v>
      </c>
      <c r="D28" s="4" t="str">
        <f>IFERROR(INDEX('Date Key'!$G$2:$G$19, MATCH(F28, 'Date Key'!$A$2:$A$19, 0)), "")</f>
        <v>No</v>
      </c>
      <c r="E28" s="4" t="str">
        <f t="shared" si="1"/>
        <v>tank 2</v>
      </c>
      <c r="F28" s="4">
        <f t="shared" si="2"/>
        <v>8</v>
      </c>
      <c r="G28" s="4">
        <f t="shared" si="22"/>
        <v>2</v>
      </c>
      <c r="H28" s="11" cm="1">
        <f t="array" ref="H28">IFERROR(INDEX('Master Data Sheet'!$1:$1048576, MATCH(1, ('Master Data Sheet'!$H:$H=H$2) * (INDEX('Master Data Sheet'!$1:$1, , MATCH($F$1, 'Master Data Sheet'!$1:$1, 0)) = $F$1) * ('Master Data Sheet'!$G:$G=$B28) * ('Master Data Sheet'!$F:$F=$E28) * ('Master Data Sheet'!$A:$A=$F28), 0), MATCH($F$1, 'Master Data Sheet'!$1:$1, 0)), "")</f>
        <v>7.66</v>
      </c>
      <c r="I28" s="11" cm="1">
        <f t="array" ref="I28">IFERROR(INDEX('Master Data Sheet'!$1:$1048576, MATCH(1, ('Master Data Sheet'!$H:$H=I$2) * (INDEX('Master Data Sheet'!$1:$1, , MATCH($F$1, 'Master Data Sheet'!$1:$1, 0)) = $F$1) * ('Master Data Sheet'!$G:$G=$B28) * ('Master Data Sheet'!$F:$F=$E28) * ('Master Data Sheet'!$A:$A=$F28), 0), MATCH($F$1, 'Master Data Sheet'!$1:$1, 0)), "")</f>
        <v>7.5</v>
      </c>
      <c r="J28" s="11" cm="1">
        <f t="array" ref="J28">IFERROR(INDEX('Master Data Sheet'!$1:$1048576, MATCH(1, ('Master Data Sheet'!$H:$H=J$2) * (INDEX('Master Data Sheet'!$1:$1, , MATCH($F$1, 'Master Data Sheet'!$1:$1, 0)) = $F$1) * ('Master Data Sheet'!$G:$G=$B28) * ('Master Data Sheet'!$F:$F=$E28) * ('Master Data Sheet'!$A:$A=$F28), 0), MATCH($F$1, 'Master Data Sheet'!$1:$1, 0)), "")</f>
        <v>7.6</v>
      </c>
      <c r="K28" s="11" cm="1">
        <f t="array" ref="K28">IFERROR(INDEX('Master Data Sheet'!$1:$1048576, MATCH(1, ('Master Data Sheet'!$H:$H=K$2) * (INDEX('Master Data Sheet'!$1:$1, , MATCH($F$1, 'Master Data Sheet'!$1:$1, 0)) = $F$1) * ('Master Data Sheet'!$G:$G=$B28) * ('Master Data Sheet'!$F:$F=$E28) * ('Master Data Sheet'!$A:$A=$F28), 0), MATCH($F$1, 'Master Data Sheet'!$1:$1, 0)), "")</f>
        <v>7.67</v>
      </c>
      <c r="L28" s="11" cm="1">
        <f t="array" ref="L28">IFERROR(INDEX('Master Data Sheet'!$1:$1048576, MATCH(1, ('Master Data Sheet'!$H:$H=L$2) * (INDEX('Master Data Sheet'!$1:$1, , MATCH($F$1, 'Master Data Sheet'!$1:$1, 0)) = $F$1) * ('Master Data Sheet'!$G:$G=$B28) * ('Master Data Sheet'!$F:$F=$E28) * ('Master Data Sheet'!$A:$A=$F28), 0), MATCH($F$1, 'Master Data Sheet'!$1:$1, 0)), "")</f>
        <v>7.68</v>
      </c>
      <c r="M28" s="11" cm="1">
        <f t="array" ref="M28">IFERROR(INDEX('Master Data Sheet'!$1:$1048576, MATCH(1, ('Master Data Sheet'!$H:$H=M$2) * (INDEX('Master Data Sheet'!$1:$1, , MATCH($F$1, 'Master Data Sheet'!$1:$1, 0)) = $F$1) * ('Master Data Sheet'!$G:$G=$B28) * ('Master Data Sheet'!$F:$F=$E28) * ('Master Data Sheet'!$A:$A=$F28), 0), MATCH($F$1, 'Master Data Sheet'!$1:$1, 0)), "")</f>
        <v>8.1</v>
      </c>
      <c r="N28" s="11" cm="1">
        <f t="array" ref="N28">IFERROR(INDEX('Master Data Sheet'!$1:$1048576, MATCH(1, ('Master Data Sheet'!$H:$H=N$2) * (INDEX('Master Data Sheet'!$1:$1, , MATCH($F$1, 'Master Data Sheet'!$1:$1, 0)) = $F$1) * ('Master Data Sheet'!$G:$G=$B28) * ('Master Data Sheet'!$F:$F=$E28) * ('Master Data Sheet'!$A:$A=$F28), 0), MATCH($F$1, 'Master Data Sheet'!$1:$1, 0)), "")</f>
        <v>7.67</v>
      </c>
      <c r="O28" s="11">
        <f t="shared" si="8"/>
        <v>7.6971428571428575</v>
      </c>
      <c r="P28" s="11">
        <f t="shared" si="4"/>
        <v>0.18874270720695274</v>
      </c>
      <c r="Q28" s="11"/>
      <c r="R28" s="46">
        <f>(1-(O28/O22))*100</f>
        <v>5.787725126770404</v>
      </c>
      <c r="X28" t="str">
        <f>IFERROR(INDEX('Date Key'!$G$57:$G$62, MATCH(B27,'Date Key'!$A$57:$A$62, 0)), "")</f>
        <v>High HLR, Lower Outlet Height, No Plants</v>
      </c>
      <c r="Y28" s="1">
        <f t="shared" ref="Y28:AE28" si="32">H27</f>
        <v>7.49</v>
      </c>
      <c r="Z28" s="1">
        <f t="shared" si="32"/>
        <v>7.61</v>
      </c>
      <c r="AA28" s="1">
        <f t="shared" si="32"/>
        <v>7.47</v>
      </c>
      <c r="AB28" s="1">
        <f t="shared" si="32"/>
        <v>7.55</v>
      </c>
      <c r="AC28" s="1">
        <f t="shared" si="32"/>
        <v>7.62</v>
      </c>
      <c r="AD28" s="1">
        <f t="shared" si="32"/>
        <v>7.78</v>
      </c>
      <c r="AE28" s="1">
        <f t="shared" si="32"/>
        <v>7.8</v>
      </c>
      <c r="AF28" s="1">
        <f t="shared" ref="AF28:AL28" si="33">H28</f>
        <v>7.66</v>
      </c>
      <c r="AG28" s="1">
        <f t="shared" si="33"/>
        <v>7.5</v>
      </c>
      <c r="AH28" s="1">
        <f t="shared" si="33"/>
        <v>7.6</v>
      </c>
      <c r="AI28" s="1">
        <f t="shared" si="33"/>
        <v>7.67</v>
      </c>
      <c r="AJ28" s="1">
        <f t="shared" si="33"/>
        <v>7.68</v>
      </c>
      <c r="AK28" s="1">
        <f t="shared" si="33"/>
        <v>8.1</v>
      </c>
      <c r="AL28" s="1">
        <f t="shared" si="33"/>
        <v>7.67</v>
      </c>
      <c r="AM28" s="1">
        <f t="shared" ref="AM28:AS28" si="34">H29</f>
        <v>7.27</v>
      </c>
      <c r="AN28" s="1">
        <f t="shared" si="34"/>
        <v>7.33</v>
      </c>
      <c r="AO28" s="1">
        <f t="shared" si="34"/>
        <v>7.31</v>
      </c>
      <c r="AP28" s="1">
        <f t="shared" si="34"/>
        <v>7.38</v>
      </c>
      <c r="AQ28" s="1">
        <f t="shared" si="34"/>
        <v>7.34</v>
      </c>
      <c r="AR28" s="1">
        <f t="shared" si="34"/>
        <v>7.54</v>
      </c>
      <c r="AS28" s="1">
        <f t="shared" si="34"/>
        <v>7.39</v>
      </c>
    </row>
    <row r="29" spans="1:45" x14ac:dyDescent="0.35">
      <c r="A29" s="42">
        <f>IFERROR(INDEX('Date Key'!$B$2:$B$19, MATCH(F29,'Date Key'!$A$2:$A$19, 0)), "")</f>
        <v>45246</v>
      </c>
      <c r="B29" s="27">
        <f t="shared" si="15"/>
        <v>3</v>
      </c>
      <c r="C29" s="51" t="str">
        <f>IFERROR(INDEX('Date Key'!$G$57:$G$62, MATCH(B29,'Date Key'!$A$57:$A$62, 0)), "")</f>
        <v>High HLR, Lower Outlet Height, No Plants</v>
      </c>
      <c r="D29" s="27" t="str">
        <f>IFERROR(INDEX('Date Key'!$G$2:$G$19, MATCH(F29, 'Date Key'!$A$2:$A$19, 0)), "")</f>
        <v>Yes</v>
      </c>
      <c r="E29" s="27" t="str">
        <f t="shared" si="1"/>
        <v>tank 2</v>
      </c>
      <c r="F29" s="27">
        <f t="shared" si="2"/>
        <v>9</v>
      </c>
      <c r="G29" s="27">
        <f t="shared" si="22"/>
        <v>3</v>
      </c>
      <c r="H29" s="28" cm="1">
        <f t="array" ref="H29">IFERROR(INDEX('Master Data Sheet'!$1:$1048576, MATCH(1, ('Master Data Sheet'!$H:$H=H$2) * (INDEX('Master Data Sheet'!$1:$1, , MATCH($F$1, 'Master Data Sheet'!$1:$1, 0)) = $F$1) * ('Master Data Sheet'!$G:$G=$B29) * ('Master Data Sheet'!$F:$F=$E29) * ('Master Data Sheet'!$A:$A=$F29), 0), MATCH($F$1, 'Master Data Sheet'!$1:$1, 0)), "")</f>
        <v>7.27</v>
      </c>
      <c r="I29" s="28" cm="1">
        <f t="array" ref="I29">IFERROR(INDEX('Master Data Sheet'!$1:$1048576, MATCH(1, ('Master Data Sheet'!$H:$H=I$2) * (INDEX('Master Data Sheet'!$1:$1, , MATCH($F$1, 'Master Data Sheet'!$1:$1, 0)) = $F$1) * ('Master Data Sheet'!$G:$G=$B29) * ('Master Data Sheet'!$F:$F=$E29) * ('Master Data Sheet'!$A:$A=$F29), 0), MATCH($F$1, 'Master Data Sheet'!$1:$1, 0)), "")</f>
        <v>7.33</v>
      </c>
      <c r="J29" s="28" cm="1">
        <f t="array" ref="J29">IFERROR(INDEX('Master Data Sheet'!$1:$1048576, MATCH(1, ('Master Data Sheet'!$H:$H=J$2) * (INDEX('Master Data Sheet'!$1:$1, , MATCH($F$1, 'Master Data Sheet'!$1:$1, 0)) = $F$1) * ('Master Data Sheet'!$G:$G=$B29) * ('Master Data Sheet'!$F:$F=$E29) * ('Master Data Sheet'!$A:$A=$F29), 0), MATCH($F$1, 'Master Data Sheet'!$1:$1, 0)), "")</f>
        <v>7.31</v>
      </c>
      <c r="K29" s="28" cm="1">
        <f t="array" ref="K29">IFERROR(INDEX('Master Data Sheet'!$1:$1048576, MATCH(1, ('Master Data Sheet'!$H:$H=K$2) * (INDEX('Master Data Sheet'!$1:$1, , MATCH($F$1, 'Master Data Sheet'!$1:$1, 0)) = $F$1) * ('Master Data Sheet'!$G:$G=$B29) * ('Master Data Sheet'!$F:$F=$E29) * ('Master Data Sheet'!$A:$A=$F29), 0), MATCH($F$1, 'Master Data Sheet'!$1:$1, 0)), "")</f>
        <v>7.38</v>
      </c>
      <c r="L29" s="28" cm="1">
        <f t="array" ref="L29">IFERROR(INDEX('Master Data Sheet'!$1:$1048576, MATCH(1, ('Master Data Sheet'!$H:$H=L$2) * (INDEX('Master Data Sheet'!$1:$1, , MATCH($F$1, 'Master Data Sheet'!$1:$1, 0)) = $F$1) * ('Master Data Sheet'!$G:$G=$B29) * ('Master Data Sheet'!$F:$F=$E29) * ('Master Data Sheet'!$A:$A=$F29), 0), MATCH($F$1, 'Master Data Sheet'!$1:$1, 0)), "")</f>
        <v>7.34</v>
      </c>
      <c r="M29" s="28" cm="1">
        <f t="array" ref="M29">IFERROR(INDEX('Master Data Sheet'!$1:$1048576, MATCH(1, ('Master Data Sheet'!$H:$H=M$2) * (INDEX('Master Data Sheet'!$1:$1, , MATCH($F$1, 'Master Data Sheet'!$1:$1, 0)) = $F$1) * ('Master Data Sheet'!$G:$G=$B29) * ('Master Data Sheet'!$F:$F=$E29) * ('Master Data Sheet'!$A:$A=$F29), 0), MATCH($F$1, 'Master Data Sheet'!$1:$1, 0)), "")</f>
        <v>7.54</v>
      </c>
      <c r="N29" s="28" cm="1">
        <f t="array" ref="N29">IFERROR(INDEX('Master Data Sheet'!$1:$1048576, MATCH(1, ('Master Data Sheet'!$H:$H=N$2) * (INDEX('Master Data Sheet'!$1:$1, , MATCH($F$1, 'Master Data Sheet'!$1:$1, 0)) = $F$1) * ('Master Data Sheet'!$G:$G=$B29) * ('Master Data Sheet'!$F:$F=$E29) * ('Master Data Sheet'!$A:$A=$F29), 0), MATCH($F$1, 'Master Data Sheet'!$1:$1, 0)), "")</f>
        <v>7.39</v>
      </c>
      <c r="O29" s="28">
        <f t="shared" si="8"/>
        <v>7.3657142857142848</v>
      </c>
      <c r="P29" s="28">
        <f t="shared" si="4"/>
        <v>8.6959213208864669E-2</v>
      </c>
      <c r="Q29" s="28"/>
      <c r="R29" s="48">
        <f>(1-(O29/O23))*100</f>
        <v>0.96043027276221382</v>
      </c>
      <c r="S29" s="27"/>
      <c r="T29" s="27"/>
      <c r="U29" s="27"/>
      <c r="V29" s="27"/>
    </row>
    <row r="30" spans="1:45" x14ac:dyDescent="0.35">
      <c r="A30" s="41">
        <f>IFERROR(INDEX('Date Key'!$B$2:$B$19, MATCH(F30,'Date Key'!$A$2:$A$19, 0)), "")</f>
        <v>45250</v>
      </c>
      <c r="B30" s="4">
        <f t="shared" si="15"/>
        <v>4</v>
      </c>
      <c r="C30" s="26" t="str">
        <f>IFERROR(INDEX('Date Key'!$G$57:$G$62, MATCH(B30,'Date Key'!$A$57:$A$62, 0)), "")</f>
        <v>High HLR, Upper Outlet Height, No Plants</v>
      </c>
      <c r="D30" s="4" t="str">
        <f>IFERROR(INDEX('Date Key'!$G$2:$G$19, MATCH(F30, 'Date Key'!$A$2:$A$19, 0)), "")</f>
        <v>Yes</v>
      </c>
      <c r="E30" s="4" t="str">
        <f t="shared" si="1"/>
        <v>in</v>
      </c>
      <c r="F30" s="4">
        <f t="shared" si="2"/>
        <v>10</v>
      </c>
      <c r="G30" s="4">
        <f t="shared" si="22"/>
        <v>1</v>
      </c>
      <c r="H30" s="11" cm="1">
        <f t="array" ref="H30">IFERROR(INDEX('Master Data Sheet'!$1:$1048576, MATCH(1, ('Master Data Sheet'!$H:$H=H$2) * (INDEX('Master Data Sheet'!$1:$1, , MATCH($F$1, 'Master Data Sheet'!$1:$1, 0)) = $F$1) * ('Master Data Sheet'!$G:$G=$B30) * ('Master Data Sheet'!$F:$F=$E30) * ('Master Data Sheet'!$A:$A=$F30), 0), MATCH($F$1, 'Master Data Sheet'!$1:$1, 0)), "")</f>
        <v>7.59</v>
      </c>
      <c r="I30" s="11" cm="1">
        <f t="array" ref="I30">IFERROR(INDEX('Master Data Sheet'!$1:$1048576, MATCH(1, ('Master Data Sheet'!$H:$H=I$2) * (INDEX('Master Data Sheet'!$1:$1, , MATCH($F$1, 'Master Data Sheet'!$1:$1, 0)) = $F$1) * ('Master Data Sheet'!$G:$G=$B30) * ('Master Data Sheet'!$F:$F=$E30) * ('Master Data Sheet'!$A:$A=$F30), 0), MATCH($F$1, 'Master Data Sheet'!$1:$1, 0)), "")</f>
        <v>7.61</v>
      </c>
      <c r="J30" s="11" cm="1">
        <f t="array" ref="J30">IFERROR(INDEX('Master Data Sheet'!$1:$1048576, MATCH(1, ('Master Data Sheet'!$H:$H=J$2) * (INDEX('Master Data Sheet'!$1:$1, , MATCH($F$1, 'Master Data Sheet'!$1:$1, 0)) = $F$1) * ('Master Data Sheet'!$G:$G=$B30) * ('Master Data Sheet'!$F:$F=$E30) * ('Master Data Sheet'!$A:$A=$F30), 0), MATCH($F$1, 'Master Data Sheet'!$1:$1, 0)), "")</f>
        <v>7.6</v>
      </c>
      <c r="K30" s="11" cm="1">
        <f t="array" ref="K30">IFERROR(INDEX('Master Data Sheet'!$1:$1048576, MATCH(1, ('Master Data Sheet'!$H:$H=K$2) * (INDEX('Master Data Sheet'!$1:$1, , MATCH($F$1, 'Master Data Sheet'!$1:$1, 0)) = $F$1) * ('Master Data Sheet'!$G:$G=$B30) * ('Master Data Sheet'!$F:$F=$E30) * ('Master Data Sheet'!$A:$A=$F30), 0), MATCH($F$1, 'Master Data Sheet'!$1:$1, 0)), "")</f>
        <v>7.6</v>
      </c>
      <c r="L30" s="11" cm="1">
        <f t="array" ref="L30">IFERROR(INDEX('Master Data Sheet'!$1:$1048576, MATCH(1, ('Master Data Sheet'!$H:$H=L$2) * (INDEX('Master Data Sheet'!$1:$1, , MATCH($F$1, 'Master Data Sheet'!$1:$1, 0)) = $F$1) * ('Master Data Sheet'!$G:$G=$B30) * ('Master Data Sheet'!$F:$F=$E30) * ('Master Data Sheet'!$A:$A=$F30), 0), MATCH($F$1, 'Master Data Sheet'!$1:$1, 0)), "")</f>
        <v>7.58</v>
      </c>
      <c r="M30" s="11" cm="1">
        <f t="array" ref="M30">IFERROR(INDEX('Master Data Sheet'!$1:$1048576, MATCH(1, ('Master Data Sheet'!$H:$H=M$2) * (INDEX('Master Data Sheet'!$1:$1, , MATCH($F$1, 'Master Data Sheet'!$1:$1, 0)) = $F$1) * ('Master Data Sheet'!$G:$G=$B30) * ('Master Data Sheet'!$F:$F=$E30) * ('Master Data Sheet'!$A:$A=$F30), 0), MATCH($F$1, 'Master Data Sheet'!$1:$1, 0)), "")</f>
        <v>7.56</v>
      </c>
      <c r="N30" s="11" cm="1">
        <f t="array" ref="N30">IFERROR(INDEX('Master Data Sheet'!$1:$1048576, MATCH(1, ('Master Data Sheet'!$H:$H=N$2) * (INDEX('Master Data Sheet'!$1:$1, , MATCH($F$1, 'Master Data Sheet'!$1:$1, 0)) = $F$1) * ('Master Data Sheet'!$G:$G=$B30) * ('Master Data Sheet'!$F:$F=$E30) * ('Master Data Sheet'!$A:$A=$F30), 0), MATCH($F$1, 'Master Data Sheet'!$1:$1, 0)), "")</f>
        <v>7.55</v>
      </c>
      <c r="O30" s="11">
        <f t="shared" si="8"/>
        <v>7.5842857142857136</v>
      </c>
      <c r="P30" s="11">
        <f t="shared" si="4"/>
        <v>2.2253945610567556E-2</v>
      </c>
      <c r="Q30" s="11">
        <f>AVERAGE(O30:O32)</f>
        <v>7.8842857142857143</v>
      </c>
      <c r="S30" s="11">
        <f>AVERAGE(O30:O32)</f>
        <v>7.8842857142857143</v>
      </c>
      <c r="T30" s="11">
        <f>AVERAGE(P30:P32)</f>
        <v>4.8204160258221641E-2</v>
      </c>
      <c r="V30" s="47">
        <f>AVERAGE(U33, U36)</f>
        <v>7.8516639487829885</v>
      </c>
      <c r="X30" t="s">
        <v>343</v>
      </c>
    </row>
    <row r="31" spans="1:45" x14ac:dyDescent="0.35">
      <c r="A31" s="41">
        <f>IFERROR(INDEX('Date Key'!$B$2:$B$19, MATCH(F31,'Date Key'!$A$2:$A$19, 0)), "")</f>
        <v>45259</v>
      </c>
      <c r="B31" s="4">
        <f t="shared" si="15"/>
        <v>4</v>
      </c>
      <c r="C31" s="26" t="str">
        <f>IFERROR(INDEX('Date Key'!$G$57:$G$62, MATCH(B31,'Date Key'!$A$57:$A$62, 0)), "")</f>
        <v>High HLR, Upper Outlet Height, No Plants</v>
      </c>
      <c r="D31" s="4" t="str">
        <f>IFERROR(INDEX('Date Key'!$G$2:$G$19, MATCH(F31, 'Date Key'!$A$2:$A$19, 0)), "")</f>
        <v>No</v>
      </c>
      <c r="E31" s="4" t="str">
        <f t="shared" si="1"/>
        <v>in</v>
      </c>
      <c r="F31" s="4">
        <f t="shared" si="2"/>
        <v>11</v>
      </c>
      <c r="G31" s="4">
        <f t="shared" si="22"/>
        <v>2</v>
      </c>
      <c r="H31" s="11" cm="1">
        <f t="array" ref="H31">IFERROR(INDEX('Master Data Sheet'!$1:$1048576, MATCH(1, ('Master Data Sheet'!$H:$H=H$2) * (INDEX('Master Data Sheet'!$1:$1, , MATCH($F$1, 'Master Data Sheet'!$1:$1, 0)) = $F$1) * ('Master Data Sheet'!$G:$G=$B31) * ('Master Data Sheet'!$F:$F=$E31) * ('Master Data Sheet'!$A:$A=$F31), 0), MATCH($F$1, 'Master Data Sheet'!$1:$1, 0)), "")</f>
        <v>8.0399999999999991</v>
      </c>
      <c r="I31" s="11" cm="1">
        <f t="array" ref="I31">IFERROR(INDEX('Master Data Sheet'!$1:$1048576, MATCH(1, ('Master Data Sheet'!$H:$H=I$2) * (INDEX('Master Data Sheet'!$1:$1, , MATCH($F$1, 'Master Data Sheet'!$1:$1, 0)) = $F$1) * ('Master Data Sheet'!$G:$G=$B31) * ('Master Data Sheet'!$F:$F=$E31) * ('Master Data Sheet'!$A:$A=$F31), 0), MATCH($F$1, 'Master Data Sheet'!$1:$1, 0)), "")</f>
        <v>8.08</v>
      </c>
      <c r="J31" s="11" cm="1">
        <f t="array" ref="J31">IFERROR(INDEX('Master Data Sheet'!$1:$1048576, MATCH(1, ('Master Data Sheet'!$H:$H=J$2) * (INDEX('Master Data Sheet'!$1:$1, , MATCH($F$1, 'Master Data Sheet'!$1:$1, 0)) = $F$1) * ('Master Data Sheet'!$G:$G=$B31) * ('Master Data Sheet'!$F:$F=$E31) * ('Master Data Sheet'!$A:$A=$F31), 0), MATCH($F$1, 'Master Data Sheet'!$1:$1, 0)), "")</f>
        <v>8.14</v>
      </c>
      <c r="K31" s="11" cm="1">
        <f t="array" ref="K31">IFERROR(INDEX('Master Data Sheet'!$1:$1048576, MATCH(1, ('Master Data Sheet'!$H:$H=K$2) * (INDEX('Master Data Sheet'!$1:$1, , MATCH($F$1, 'Master Data Sheet'!$1:$1, 0)) = $F$1) * ('Master Data Sheet'!$G:$G=$B31) * ('Master Data Sheet'!$F:$F=$E31) * ('Master Data Sheet'!$A:$A=$F31), 0), MATCH($F$1, 'Master Data Sheet'!$1:$1, 0)), "")</f>
        <v>8.1300000000000008</v>
      </c>
      <c r="L31" s="11" cm="1">
        <f t="array" ref="L31">IFERROR(INDEX('Master Data Sheet'!$1:$1048576, MATCH(1, ('Master Data Sheet'!$H:$H=L$2) * (INDEX('Master Data Sheet'!$1:$1, , MATCH($F$1, 'Master Data Sheet'!$1:$1, 0)) = $F$1) * ('Master Data Sheet'!$G:$G=$B31) * ('Master Data Sheet'!$F:$F=$E31) * ('Master Data Sheet'!$A:$A=$F31), 0), MATCH($F$1, 'Master Data Sheet'!$1:$1, 0)), "")</f>
        <v>8.1</v>
      </c>
      <c r="M31" s="11" cm="1">
        <f t="array" ref="M31">IFERROR(INDEX('Master Data Sheet'!$1:$1048576, MATCH(1, ('Master Data Sheet'!$H:$H=M$2) * (INDEX('Master Data Sheet'!$1:$1, , MATCH($F$1, 'Master Data Sheet'!$1:$1, 0)) = $F$1) * ('Master Data Sheet'!$G:$G=$B31) * ('Master Data Sheet'!$F:$F=$E31) * ('Master Data Sheet'!$A:$A=$F31), 0), MATCH($F$1, 'Master Data Sheet'!$1:$1, 0)), "")</f>
        <v>8.09</v>
      </c>
      <c r="N31" s="11" cm="1">
        <f t="array" ref="N31">IFERROR(INDEX('Master Data Sheet'!$1:$1048576, MATCH(1, ('Master Data Sheet'!$H:$H=N$2) * (INDEX('Master Data Sheet'!$1:$1, , MATCH($F$1, 'Master Data Sheet'!$1:$1, 0)) = $F$1) * ('Master Data Sheet'!$G:$G=$B31) * ('Master Data Sheet'!$F:$F=$E31) * ('Master Data Sheet'!$A:$A=$F31), 0), MATCH($F$1, 'Master Data Sheet'!$1:$1, 0)), "")</f>
        <v>8.1</v>
      </c>
      <c r="O31" s="11">
        <f t="shared" si="8"/>
        <v>8.0971428571428579</v>
      </c>
      <c r="P31" s="11">
        <f t="shared" si="4"/>
        <v>3.3022358947782979E-2</v>
      </c>
      <c r="Q31" s="11"/>
      <c r="X31" t="str">
        <f>IFERROR(INDEX('Date Key'!$G$57:$G$62, MATCH(B30,'Date Key'!$A$57:$A$62, 0)), "")</f>
        <v>High HLR, Upper Outlet Height, No Plants</v>
      </c>
      <c r="Y31" s="1">
        <f t="shared" ref="Y31:AE31" si="35">H30</f>
        <v>7.59</v>
      </c>
      <c r="Z31" s="1">
        <f t="shared" si="35"/>
        <v>7.61</v>
      </c>
      <c r="AA31" s="1">
        <f t="shared" si="35"/>
        <v>7.6</v>
      </c>
      <c r="AB31" s="1">
        <f t="shared" si="35"/>
        <v>7.6</v>
      </c>
      <c r="AC31" s="1">
        <f t="shared" si="35"/>
        <v>7.58</v>
      </c>
      <c r="AD31" s="1">
        <f t="shared" si="35"/>
        <v>7.56</v>
      </c>
      <c r="AE31" s="1">
        <f t="shared" si="35"/>
        <v>7.55</v>
      </c>
      <c r="AF31" s="1">
        <f t="shared" ref="AF31:AL31" si="36">H31</f>
        <v>8.0399999999999991</v>
      </c>
      <c r="AG31" s="1">
        <f t="shared" si="36"/>
        <v>8.08</v>
      </c>
      <c r="AH31" s="1">
        <f t="shared" si="36"/>
        <v>8.14</v>
      </c>
      <c r="AI31" s="1">
        <f t="shared" si="36"/>
        <v>8.1300000000000008</v>
      </c>
      <c r="AJ31" s="1">
        <f t="shared" si="36"/>
        <v>8.1</v>
      </c>
      <c r="AK31" s="1">
        <f t="shared" si="36"/>
        <v>8.09</v>
      </c>
      <c r="AL31" s="1">
        <f t="shared" si="36"/>
        <v>8.1</v>
      </c>
      <c r="AM31" s="1">
        <f t="shared" ref="AM31:AS31" si="37">H32</f>
        <v>8.0299999999999994</v>
      </c>
      <c r="AN31" s="1">
        <f t="shared" si="37"/>
        <v>8.0399999999999991</v>
      </c>
      <c r="AO31" s="1">
        <f t="shared" si="37"/>
        <v>8.0500000000000007</v>
      </c>
      <c r="AP31" s="1">
        <f t="shared" si="37"/>
        <v>7.8</v>
      </c>
      <c r="AQ31" s="1">
        <f t="shared" si="37"/>
        <v>8.01</v>
      </c>
      <c r="AR31" s="1">
        <f t="shared" si="37"/>
        <v>7.94</v>
      </c>
      <c r="AS31" s="1">
        <f t="shared" si="37"/>
        <v>7.93</v>
      </c>
    </row>
    <row r="32" spans="1:45" x14ac:dyDescent="0.35">
      <c r="A32" s="41">
        <f>IFERROR(INDEX('Date Key'!$B$2:$B$19, MATCH(F32,'Date Key'!$A$2:$A$19, 0)), "")</f>
        <v>45266</v>
      </c>
      <c r="B32" s="4">
        <f t="shared" si="15"/>
        <v>4</v>
      </c>
      <c r="C32" s="26" t="str">
        <f>IFERROR(INDEX('Date Key'!$G$57:$G$62, MATCH(B32,'Date Key'!$A$57:$A$62, 0)), "")</f>
        <v>High HLR, Upper Outlet Height, No Plants</v>
      </c>
      <c r="D32" s="4" t="str">
        <f>IFERROR(INDEX('Date Key'!$G$2:$G$19, MATCH(F32, 'Date Key'!$A$2:$A$19, 0)), "")</f>
        <v>No</v>
      </c>
      <c r="E32" s="4" t="str">
        <f t="shared" si="1"/>
        <v>in</v>
      </c>
      <c r="F32" s="4">
        <f t="shared" si="2"/>
        <v>12</v>
      </c>
      <c r="G32" s="4">
        <f t="shared" si="22"/>
        <v>3</v>
      </c>
      <c r="H32" s="11" cm="1">
        <f t="array" ref="H32">IFERROR(INDEX('Master Data Sheet'!$1:$1048576, MATCH(1, ('Master Data Sheet'!$H:$H=H$2) * (INDEX('Master Data Sheet'!$1:$1, , MATCH($F$1, 'Master Data Sheet'!$1:$1, 0)) = $F$1) * ('Master Data Sheet'!$G:$G=$B32) * ('Master Data Sheet'!$F:$F=$E32) * ('Master Data Sheet'!$A:$A=$F32), 0), MATCH($F$1, 'Master Data Sheet'!$1:$1, 0)), "")</f>
        <v>8.0299999999999994</v>
      </c>
      <c r="I32" s="11" cm="1">
        <f t="array" ref="I32">IFERROR(INDEX('Master Data Sheet'!$1:$1048576, MATCH(1, ('Master Data Sheet'!$H:$H=I$2) * (INDEX('Master Data Sheet'!$1:$1, , MATCH($F$1, 'Master Data Sheet'!$1:$1, 0)) = $F$1) * ('Master Data Sheet'!$G:$G=$B32) * ('Master Data Sheet'!$F:$F=$E32) * ('Master Data Sheet'!$A:$A=$F32), 0), MATCH($F$1, 'Master Data Sheet'!$1:$1, 0)), "")</f>
        <v>8.0399999999999991</v>
      </c>
      <c r="J32" s="11" cm="1">
        <f t="array" ref="J32">IFERROR(INDEX('Master Data Sheet'!$1:$1048576, MATCH(1, ('Master Data Sheet'!$H:$H=J$2) * (INDEX('Master Data Sheet'!$1:$1, , MATCH($F$1, 'Master Data Sheet'!$1:$1, 0)) = $F$1) * ('Master Data Sheet'!$G:$G=$B32) * ('Master Data Sheet'!$F:$F=$E32) * ('Master Data Sheet'!$A:$A=$F32), 0), MATCH($F$1, 'Master Data Sheet'!$1:$1, 0)), "")</f>
        <v>8.0500000000000007</v>
      </c>
      <c r="K32" s="11" cm="1">
        <f t="array" ref="K32">IFERROR(INDEX('Master Data Sheet'!$1:$1048576, MATCH(1, ('Master Data Sheet'!$H:$H=K$2) * (INDEX('Master Data Sheet'!$1:$1, , MATCH($F$1, 'Master Data Sheet'!$1:$1, 0)) = $F$1) * ('Master Data Sheet'!$G:$G=$B32) * ('Master Data Sheet'!$F:$F=$E32) * ('Master Data Sheet'!$A:$A=$F32), 0), MATCH($F$1, 'Master Data Sheet'!$1:$1, 0)), "")</f>
        <v>7.8</v>
      </c>
      <c r="L32" s="11" cm="1">
        <f t="array" ref="L32">IFERROR(INDEX('Master Data Sheet'!$1:$1048576, MATCH(1, ('Master Data Sheet'!$H:$H=L$2) * (INDEX('Master Data Sheet'!$1:$1, , MATCH($F$1, 'Master Data Sheet'!$1:$1, 0)) = $F$1) * ('Master Data Sheet'!$G:$G=$B32) * ('Master Data Sheet'!$F:$F=$E32) * ('Master Data Sheet'!$A:$A=$F32), 0), MATCH($F$1, 'Master Data Sheet'!$1:$1, 0)), "")</f>
        <v>8.01</v>
      </c>
      <c r="M32" s="11" cm="1">
        <f t="array" ref="M32">IFERROR(INDEX('Master Data Sheet'!$1:$1048576, MATCH(1, ('Master Data Sheet'!$H:$H=M$2) * (INDEX('Master Data Sheet'!$1:$1, , MATCH($F$1, 'Master Data Sheet'!$1:$1, 0)) = $F$1) * ('Master Data Sheet'!$G:$G=$B32) * ('Master Data Sheet'!$F:$F=$E32) * ('Master Data Sheet'!$A:$A=$F32), 0), MATCH($F$1, 'Master Data Sheet'!$1:$1, 0)), "")</f>
        <v>7.94</v>
      </c>
      <c r="N32" s="11" cm="1">
        <f t="array" ref="N32">IFERROR(INDEX('Master Data Sheet'!$1:$1048576, MATCH(1, ('Master Data Sheet'!$H:$H=N$2) * (INDEX('Master Data Sheet'!$1:$1, , MATCH($F$1, 'Master Data Sheet'!$1:$1, 0)) = $F$1) * ('Master Data Sheet'!$G:$G=$B32) * ('Master Data Sheet'!$F:$F=$E32) * ('Master Data Sheet'!$A:$A=$F32), 0), MATCH($F$1, 'Master Data Sheet'!$1:$1, 0)), "")</f>
        <v>7.93</v>
      </c>
      <c r="O32" s="11">
        <f t="shared" si="8"/>
        <v>7.9714285714285706</v>
      </c>
      <c r="P32" s="11">
        <f t="shared" si="4"/>
        <v>8.9336176216314386E-2</v>
      </c>
      <c r="Q32" s="11"/>
      <c r="Y32" s="1"/>
      <c r="Z32" s="1"/>
      <c r="AA32" s="1"/>
      <c r="AB32" s="1"/>
      <c r="AC32" s="1"/>
      <c r="AD32" s="1"/>
      <c r="AE32" s="1"/>
      <c r="AF32" s="1"/>
      <c r="AG32" s="1"/>
      <c r="AH32" s="1"/>
      <c r="AI32" s="1"/>
      <c r="AJ32" s="1"/>
      <c r="AK32" s="1"/>
      <c r="AL32" s="1"/>
      <c r="AM32" s="1"/>
      <c r="AN32" s="1"/>
      <c r="AO32" s="1"/>
      <c r="AP32" s="1"/>
      <c r="AQ32" s="1"/>
      <c r="AR32" s="1"/>
      <c r="AS32" s="1"/>
    </row>
    <row r="33" spans="1:45" x14ac:dyDescent="0.35">
      <c r="A33" s="41">
        <f>IFERROR(INDEX('Date Key'!$B$2:$B$19, MATCH(F33,'Date Key'!$A$2:$A$19, 0)), "")</f>
        <v>45250</v>
      </c>
      <c r="B33" s="4">
        <f t="shared" si="15"/>
        <v>4</v>
      </c>
      <c r="C33" s="26" t="str">
        <f>IFERROR(INDEX('Date Key'!$G$57:$G$62, MATCH(B33,'Date Key'!$A$57:$A$62, 0)), "")</f>
        <v>High HLR, Upper Outlet Height, No Plants</v>
      </c>
      <c r="D33" s="4" t="str">
        <f>IFERROR(INDEX('Date Key'!$G$2:$G$19, MATCH(F33, 'Date Key'!$A$2:$A$19, 0)), "")</f>
        <v>Yes</v>
      </c>
      <c r="E33" s="4" t="str">
        <f t="shared" si="1"/>
        <v>tank 1</v>
      </c>
      <c r="F33" s="4">
        <f t="shared" si="2"/>
        <v>10</v>
      </c>
      <c r="G33" s="4">
        <f t="shared" si="22"/>
        <v>1</v>
      </c>
      <c r="H33" s="11" cm="1">
        <f t="array" ref="H33">IFERROR(INDEX('Master Data Sheet'!$1:$1048576, MATCH(1, ('Master Data Sheet'!$H:$H=H$2) * (INDEX('Master Data Sheet'!$1:$1, , MATCH($F$1, 'Master Data Sheet'!$1:$1, 0)) = $F$1) * ('Master Data Sheet'!$G:$G=$B33) * ('Master Data Sheet'!$F:$F=$E33) * ('Master Data Sheet'!$A:$A=$F33), 0), MATCH($F$1, 'Master Data Sheet'!$1:$1, 0)), "")</f>
        <v>7.2</v>
      </c>
      <c r="I33" s="11" cm="1">
        <f t="array" ref="I33">IFERROR(INDEX('Master Data Sheet'!$1:$1048576, MATCH(1, ('Master Data Sheet'!$H:$H=I$2) * (INDEX('Master Data Sheet'!$1:$1, , MATCH($F$1, 'Master Data Sheet'!$1:$1, 0)) = $F$1) * ('Master Data Sheet'!$G:$G=$B33) * ('Master Data Sheet'!$F:$F=$E33) * ('Master Data Sheet'!$A:$A=$F33), 0), MATCH($F$1, 'Master Data Sheet'!$1:$1, 0)), "")</f>
        <v>7.27</v>
      </c>
      <c r="J33" s="11" cm="1">
        <f t="array" ref="J33">IFERROR(INDEX('Master Data Sheet'!$1:$1048576, MATCH(1, ('Master Data Sheet'!$H:$H=J$2) * (INDEX('Master Data Sheet'!$1:$1, , MATCH($F$1, 'Master Data Sheet'!$1:$1, 0)) = $F$1) * ('Master Data Sheet'!$G:$G=$B33) * ('Master Data Sheet'!$F:$F=$E33) * ('Master Data Sheet'!$A:$A=$F33), 0), MATCH($F$1, 'Master Data Sheet'!$1:$1, 0)), "")</f>
        <v>7.34</v>
      </c>
      <c r="K33" s="11" cm="1">
        <f t="array" ref="K33">IFERROR(INDEX('Master Data Sheet'!$1:$1048576, MATCH(1, ('Master Data Sheet'!$H:$H=K$2) * (INDEX('Master Data Sheet'!$1:$1, , MATCH($F$1, 'Master Data Sheet'!$1:$1, 0)) = $F$1) * ('Master Data Sheet'!$G:$G=$B33) * ('Master Data Sheet'!$F:$F=$E33) * ('Master Data Sheet'!$A:$A=$F33), 0), MATCH($F$1, 'Master Data Sheet'!$1:$1, 0)), "")</f>
        <v>7.3</v>
      </c>
      <c r="L33" s="11" cm="1">
        <f t="array" ref="L33">IFERROR(INDEX('Master Data Sheet'!$1:$1048576, MATCH(1, ('Master Data Sheet'!$H:$H=L$2) * (INDEX('Master Data Sheet'!$1:$1, , MATCH($F$1, 'Master Data Sheet'!$1:$1, 0)) = $F$1) * ('Master Data Sheet'!$G:$G=$B33) * ('Master Data Sheet'!$F:$F=$E33) * ('Master Data Sheet'!$A:$A=$F33), 0), MATCH($F$1, 'Master Data Sheet'!$1:$1, 0)), "")</f>
        <v>7.37</v>
      </c>
      <c r="M33" s="11" cm="1">
        <f t="array" ref="M33">IFERROR(INDEX('Master Data Sheet'!$1:$1048576, MATCH(1, ('Master Data Sheet'!$H:$H=M$2) * (INDEX('Master Data Sheet'!$1:$1, , MATCH($F$1, 'Master Data Sheet'!$1:$1, 0)) = $F$1) * ('Master Data Sheet'!$G:$G=$B33) * ('Master Data Sheet'!$F:$F=$E33) * ('Master Data Sheet'!$A:$A=$F33), 0), MATCH($F$1, 'Master Data Sheet'!$1:$1, 0)), "")</f>
        <v>7.3</v>
      </c>
      <c r="N33" s="11" cm="1">
        <f t="array" ref="N33">IFERROR(INDEX('Master Data Sheet'!$1:$1048576, MATCH(1, ('Master Data Sheet'!$H:$H=N$2) * (INDEX('Master Data Sheet'!$1:$1, , MATCH($F$1, 'Master Data Sheet'!$1:$1, 0)) = $F$1) * ('Master Data Sheet'!$G:$G=$B33) * ('Master Data Sheet'!$F:$F=$E33) * ('Master Data Sheet'!$A:$A=$F33), 0), MATCH($F$1, 'Master Data Sheet'!$1:$1, 0)), "")</f>
        <v>7.43</v>
      </c>
      <c r="O33" s="11">
        <f t="shared" si="8"/>
        <v>7.3157142857142849</v>
      </c>
      <c r="P33" s="11">
        <f t="shared" si="4"/>
        <v>7.3678839761300671E-2</v>
      </c>
      <c r="Q33" s="11">
        <f>AVERAGE(O33:O35)</f>
        <v>7.2557142857142862</v>
      </c>
      <c r="R33" s="46">
        <f>(1-(O33/O30))*100</f>
        <v>3.5411565266528555</v>
      </c>
      <c r="S33" s="46">
        <f>AVERAGE(R33:R35)</f>
        <v>7.8920848012287381</v>
      </c>
      <c r="T33" s="46">
        <f>STDEV(R33:R35)</f>
        <v>3.7950474585953984</v>
      </c>
      <c r="U33" s="47">
        <f>(1-(AVERAGE(H33:N35)/AVERAGE(H30:N32)))*100</f>
        <v>7.972458778764258</v>
      </c>
      <c r="V33" s="47"/>
      <c r="Y33" s="2"/>
      <c r="Z33" s="2"/>
      <c r="AA33" s="2"/>
      <c r="AB33" s="2"/>
      <c r="AC33" s="2"/>
      <c r="AD33" s="2"/>
      <c r="AE33" s="2"/>
      <c r="AF33" s="2"/>
      <c r="AG33" s="2"/>
    </row>
    <row r="34" spans="1:45" x14ac:dyDescent="0.35">
      <c r="A34" s="41">
        <f>IFERROR(INDEX('Date Key'!$B$2:$B$19, MATCH(F34,'Date Key'!$A$2:$A$19, 0)), "")</f>
        <v>45259</v>
      </c>
      <c r="B34" s="4">
        <f t="shared" si="15"/>
        <v>4</v>
      </c>
      <c r="C34" s="26" t="str">
        <f>IFERROR(INDEX('Date Key'!$G$57:$G$62, MATCH(B34,'Date Key'!$A$57:$A$62, 0)), "")</f>
        <v>High HLR, Upper Outlet Height, No Plants</v>
      </c>
      <c r="D34" s="4" t="str">
        <f>IFERROR(INDEX('Date Key'!$G$2:$G$19, MATCH(F34, 'Date Key'!$A$2:$A$19, 0)), "")</f>
        <v>No</v>
      </c>
      <c r="E34" s="4" t="str">
        <f t="shared" si="1"/>
        <v>tank 1</v>
      </c>
      <c r="F34" s="4">
        <f t="shared" si="2"/>
        <v>11</v>
      </c>
      <c r="G34" s="4">
        <f t="shared" si="22"/>
        <v>2</v>
      </c>
      <c r="H34" s="11" cm="1">
        <f t="array" ref="H34">IFERROR(INDEX('Master Data Sheet'!$1:$1048576, MATCH(1, ('Master Data Sheet'!$H:$H=H$2) * (INDEX('Master Data Sheet'!$1:$1, , MATCH($F$1, 'Master Data Sheet'!$1:$1, 0)) = $F$1) * ('Master Data Sheet'!$G:$G=$B34) * ('Master Data Sheet'!$F:$F=$E34) * ('Master Data Sheet'!$A:$A=$F34), 0), MATCH($F$1, 'Master Data Sheet'!$1:$1, 0)), "")</f>
        <v>7.22</v>
      </c>
      <c r="I34" s="11" cm="1">
        <f t="array" ref="I34">IFERROR(INDEX('Master Data Sheet'!$1:$1048576, MATCH(1, ('Master Data Sheet'!$H:$H=I$2) * (INDEX('Master Data Sheet'!$1:$1, , MATCH($F$1, 'Master Data Sheet'!$1:$1, 0)) = $F$1) * ('Master Data Sheet'!$G:$G=$B34) * ('Master Data Sheet'!$F:$F=$E34) * ('Master Data Sheet'!$A:$A=$F34), 0), MATCH($F$1, 'Master Data Sheet'!$1:$1, 0)), "")</f>
        <v>7.16</v>
      </c>
      <c r="J34" s="11" cm="1">
        <f t="array" ref="J34">IFERROR(INDEX('Master Data Sheet'!$1:$1048576, MATCH(1, ('Master Data Sheet'!$H:$H=J$2) * (INDEX('Master Data Sheet'!$1:$1, , MATCH($F$1, 'Master Data Sheet'!$1:$1, 0)) = $F$1) * ('Master Data Sheet'!$G:$G=$B34) * ('Master Data Sheet'!$F:$F=$E34) * ('Master Data Sheet'!$A:$A=$F34), 0), MATCH($F$1, 'Master Data Sheet'!$1:$1, 0)), "")</f>
        <v>7.16</v>
      </c>
      <c r="K34" s="11" cm="1">
        <f t="array" ref="K34">IFERROR(INDEX('Master Data Sheet'!$1:$1048576, MATCH(1, ('Master Data Sheet'!$H:$H=K$2) * (INDEX('Master Data Sheet'!$1:$1, , MATCH($F$1, 'Master Data Sheet'!$1:$1, 0)) = $F$1) * ('Master Data Sheet'!$G:$G=$B34) * ('Master Data Sheet'!$F:$F=$E34) * ('Master Data Sheet'!$A:$A=$F34), 0), MATCH($F$1, 'Master Data Sheet'!$1:$1, 0)), "")</f>
        <v>7.3</v>
      </c>
      <c r="L34" s="11" cm="1">
        <f t="array" ref="L34">IFERROR(INDEX('Master Data Sheet'!$1:$1048576, MATCH(1, ('Master Data Sheet'!$H:$H=L$2) * (INDEX('Master Data Sheet'!$1:$1, , MATCH($F$1, 'Master Data Sheet'!$1:$1, 0)) = $F$1) * ('Master Data Sheet'!$G:$G=$B34) * ('Master Data Sheet'!$F:$F=$E34) * ('Master Data Sheet'!$A:$A=$F34), 0), MATCH($F$1, 'Master Data Sheet'!$1:$1, 0)), "")</f>
        <v>7.33</v>
      </c>
      <c r="M34" s="11" cm="1">
        <f t="array" ref="M34">IFERROR(INDEX('Master Data Sheet'!$1:$1048576, MATCH(1, ('Master Data Sheet'!$H:$H=M$2) * (INDEX('Master Data Sheet'!$1:$1, , MATCH($F$1, 'Master Data Sheet'!$1:$1, 0)) = $F$1) * ('Master Data Sheet'!$G:$G=$B34) * ('Master Data Sheet'!$F:$F=$E34) * ('Master Data Sheet'!$A:$A=$F34), 0), MATCH($F$1, 'Master Data Sheet'!$1:$1, 0)), "")</f>
        <v>7.48</v>
      </c>
      <c r="N34" s="11" cm="1">
        <f t="array" ref="N34">IFERROR(INDEX('Master Data Sheet'!$1:$1048576, MATCH(1, ('Master Data Sheet'!$H:$H=N$2) * (INDEX('Master Data Sheet'!$1:$1, , MATCH($F$1, 'Master Data Sheet'!$1:$1, 0)) = $F$1) * ('Master Data Sheet'!$G:$G=$B34) * ('Master Data Sheet'!$F:$F=$E34) * ('Master Data Sheet'!$A:$A=$F34), 0), MATCH($F$1, 'Master Data Sheet'!$1:$1, 0)), "")</f>
        <v>7.58</v>
      </c>
      <c r="O34" s="11">
        <f t="shared" si="8"/>
        <v>7.3185714285714294</v>
      </c>
      <c r="P34" s="11">
        <f t="shared" si="4"/>
        <v>0.16066824737416457</v>
      </c>
      <c r="Q34" s="11"/>
      <c r="R34" s="46">
        <f>(1-(O34/O31))*100</f>
        <v>9.615384615384615</v>
      </c>
      <c r="X34" t="str">
        <f>IFERROR(INDEX('Date Key'!$G$57:$G$62, MATCH(B33,'Date Key'!$A$57:$A$62, 0)), "")</f>
        <v>High HLR, Upper Outlet Height, No Plants</v>
      </c>
      <c r="Y34" s="1">
        <f t="shared" ref="Y34:AE34" si="38">H33</f>
        <v>7.2</v>
      </c>
      <c r="Z34" s="1">
        <f t="shared" si="38"/>
        <v>7.27</v>
      </c>
      <c r="AA34" s="1">
        <f t="shared" si="38"/>
        <v>7.34</v>
      </c>
      <c r="AB34" s="1">
        <f t="shared" si="38"/>
        <v>7.3</v>
      </c>
      <c r="AC34" s="1">
        <f t="shared" si="38"/>
        <v>7.37</v>
      </c>
      <c r="AD34" s="1">
        <f t="shared" si="38"/>
        <v>7.3</v>
      </c>
      <c r="AE34" s="1">
        <f t="shared" si="38"/>
        <v>7.43</v>
      </c>
      <c r="AF34" s="1">
        <f t="shared" ref="AF34:AL34" si="39">H34</f>
        <v>7.22</v>
      </c>
      <c r="AG34" s="1">
        <f t="shared" si="39"/>
        <v>7.16</v>
      </c>
      <c r="AH34" s="1">
        <f t="shared" si="39"/>
        <v>7.16</v>
      </c>
      <c r="AI34" s="1">
        <f t="shared" si="39"/>
        <v>7.3</v>
      </c>
      <c r="AJ34" s="1">
        <f t="shared" si="39"/>
        <v>7.33</v>
      </c>
      <c r="AK34" s="1">
        <f t="shared" si="39"/>
        <v>7.48</v>
      </c>
      <c r="AL34" s="1">
        <f t="shared" si="39"/>
        <v>7.58</v>
      </c>
      <c r="AM34" s="1">
        <f t="shared" ref="AM34:AS34" si="40">H35</f>
        <v>7.04</v>
      </c>
      <c r="AN34" s="1">
        <f t="shared" si="40"/>
        <v>7.04</v>
      </c>
      <c r="AO34" s="1">
        <f t="shared" si="40"/>
        <v>7.08</v>
      </c>
      <c r="AP34" s="1">
        <f t="shared" si="40"/>
        <v>7.08</v>
      </c>
      <c r="AQ34" s="1">
        <f t="shared" si="40"/>
        <v>7.19</v>
      </c>
      <c r="AR34" s="1">
        <f t="shared" si="40"/>
        <v>7.25</v>
      </c>
      <c r="AS34" s="1">
        <f t="shared" si="40"/>
        <v>7.25</v>
      </c>
    </row>
    <row r="35" spans="1:45" x14ac:dyDescent="0.35">
      <c r="A35" s="41">
        <f>IFERROR(INDEX('Date Key'!$B$2:$B$19, MATCH(F35,'Date Key'!$A$2:$A$19, 0)), "")</f>
        <v>45266</v>
      </c>
      <c r="B35" s="4">
        <f t="shared" si="15"/>
        <v>4</v>
      </c>
      <c r="C35" s="26" t="str">
        <f>IFERROR(INDEX('Date Key'!$G$57:$G$62, MATCH(B35,'Date Key'!$A$57:$A$62, 0)), "")</f>
        <v>High HLR, Upper Outlet Height, No Plants</v>
      </c>
      <c r="D35" s="4" t="str">
        <f>IFERROR(INDEX('Date Key'!$G$2:$G$19, MATCH(F35, 'Date Key'!$A$2:$A$19, 0)), "")</f>
        <v>No</v>
      </c>
      <c r="E35" s="4" t="str">
        <f t="shared" si="1"/>
        <v>tank 1</v>
      </c>
      <c r="F35" s="4">
        <f t="shared" si="2"/>
        <v>12</v>
      </c>
      <c r="G35" s="4">
        <f t="shared" si="22"/>
        <v>3</v>
      </c>
      <c r="H35" s="11" cm="1">
        <f t="array" ref="H35">IFERROR(INDEX('Master Data Sheet'!$1:$1048576, MATCH(1, ('Master Data Sheet'!$H:$H=H$2) * (INDEX('Master Data Sheet'!$1:$1, , MATCH($F$1, 'Master Data Sheet'!$1:$1, 0)) = $F$1) * ('Master Data Sheet'!$G:$G=$B35) * ('Master Data Sheet'!$F:$F=$E35) * ('Master Data Sheet'!$A:$A=$F35), 0), MATCH($F$1, 'Master Data Sheet'!$1:$1, 0)), "")</f>
        <v>7.04</v>
      </c>
      <c r="I35" s="11" cm="1">
        <f t="array" ref="I35">IFERROR(INDEX('Master Data Sheet'!$1:$1048576, MATCH(1, ('Master Data Sheet'!$H:$H=I$2) * (INDEX('Master Data Sheet'!$1:$1, , MATCH($F$1, 'Master Data Sheet'!$1:$1, 0)) = $F$1) * ('Master Data Sheet'!$G:$G=$B35) * ('Master Data Sheet'!$F:$F=$E35) * ('Master Data Sheet'!$A:$A=$F35), 0), MATCH($F$1, 'Master Data Sheet'!$1:$1, 0)), "")</f>
        <v>7.04</v>
      </c>
      <c r="J35" s="11" cm="1">
        <f t="array" ref="J35">IFERROR(INDEX('Master Data Sheet'!$1:$1048576, MATCH(1, ('Master Data Sheet'!$H:$H=J$2) * (INDEX('Master Data Sheet'!$1:$1, , MATCH($F$1, 'Master Data Sheet'!$1:$1, 0)) = $F$1) * ('Master Data Sheet'!$G:$G=$B35) * ('Master Data Sheet'!$F:$F=$E35) * ('Master Data Sheet'!$A:$A=$F35), 0), MATCH($F$1, 'Master Data Sheet'!$1:$1, 0)), "")</f>
        <v>7.08</v>
      </c>
      <c r="K35" s="11" cm="1">
        <f t="array" ref="K35">IFERROR(INDEX('Master Data Sheet'!$1:$1048576, MATCH(1, ('Master Data Sheet'!$H:$H=K$2) * (INDEX('Master Data Sheet'!$1:$1, , MATCH($F$1, 'Master Data Sheet'!$1:$1, 0)) = $F$1) * ('Master Data Sheet'!$G:$G=$B35) * ('Master Data Sheet'!$F:$F=$E35) * ('Master Data Sheet'!$A:$A=$F35), 0), MATCH($F$1, 'Master Data Sheet'!$1:$1, 0)), "")</f>
        <v>7.08</v>
      </c>
      <c r="L35" s="11" cm="1">
        <f t="array" ref="L35">IFERROR(INDEX('Master Data Sheet'!$1:$1048576, MATCH(1, ('Master Data Sheet'!$H:$H=L$2) * (INDEX('Master Data Sheet'!$1:$1, , MATCH($F$1, 'Master Data Sheet'!$1:$1, 0)) = $F$1) * ('Master Data Sheet'!$G:$G=$B35) * ('Master Data Sheet'!$F:$F=$E35) * ('Master Data Sheet'!$A:$A=$F35), 0), MATCH($F$1, 'Master Data Sheet'!$1:$1, 0)), "")</f>
        <v>7.19</v>
      </c>
      <c r="M35" s="11" cm="1">
        <f t="array" ref="M35">IFERROR(INDEX('Master Data Sheet'!$1:$1048576, MATCH(1, ('Master Data Sheet'!$H:$H=M$2) * (INDEX('Master Data Sheet'!$1:$1, , MATCH($F$1, 'Master Data Sheet'!$1:$1, 0)) = $F$1) * ('Master Data Sheet'!$G:$G=$B35) * ('Master Data Sheet'!$F:$F=$E35) * ('Master Data Sheet'!$A:$A=$F35), 0), MATCH($F$1, 'Master Data Sheet'!$1:$1, 0)), "")</f>
        <v>7.25</v>
      </c>
      <c r="N35" s="11" cm="1">
        <f t="array" ref="N35">IFERROR(INDEX('Master Data Sheet'!$1:$1048576, MATCH(1, ('Master Data Sheet'!$H:$H=N$2) * (INDEX('Master Data Sheet'!$1:$1, , MATCH($F$1, 'Master Data Sheet'!$1:$1, 0)) = $F$1) * ('Master Data Sheet'!$G:$G=$B35) * ('Master Data Sheet'!$F:$F=$E35) * ('Master Data Sheet'!$A:$A=$F35), 0), MATCH($F$1, 'Master Data Sheet'!$1:$1, 0)), "")</f>
        <v>7.25</v>
      </c>
      <c r="O35" s="11">
        <f t="shared" si="8"/>
        <v>7.1328571428571426</v>
      </c>
      <c r="P35" s="11">
        <f t="shared" si="4"/>
        <v>9.4465917260192447E-2</v>
      </c>
      <c r="Q35" s="11"/>
      <c r="R35" s="46">
        <f>(1-(O35/O32))*100</f>
        <v>10.519713261648745</v>
      </c>
      <c r="Y35" s="2"/>
      <c r="Z35" s="2"/>
      <c r="AA35" s="2"/>
      <c r="AB35" s="2"/>
      <c r="AC35" s="2"/>
      <c r="AD35" s="2"/>
      <c r="AE35" s="2"/>
      <c r="AF35" s="2"/>
      <c r="AG35" s="2"/>
    </row>
    <row r="36" spans="1:45" x14ac:dyDescent="0.35">
      <c r="A36" s="41">
        <f>IFERROR(INDEX('Date Key'!$B$2:$B$19, MATCH(F36,'Date Key'!$A$2:$A$19, 0)), "")</f>
        <v>45250</v>
      </c>
      <c r="B36" s="4">
        <f t="shared" si="15"/>
        <v>4</v>
      </c>
      <c r="C36" s="26" t="str">
        <f>IFERROR(INDEX('Date Key'!$G$57:$G$62, MATCH(B36,'Date Key'!$A$57:$A$62, 0)), "")</f>
        <v>High HLR, Upper Outlet Height, No Plants</v>
      </c>
      <c r="D36" s="4" t="str">
        <f>IFERROR(INDEX('Date Key'!$G$2:$G$19, MATCH(F36, 'Date Key'!$A$2:$A$19, 0)), "")</f>
        <v>Yes</v>
      </c>
      <c r="E36" s="4" t="str">
        <f t="shared" si="1"/>
        <v>tank 2</v>
      </c>
      <c r="F36" s="4">
        <f t="shared" si="2"/>
        <v>10</v>
      </c>
      <c r="G36" s="4">
        <f t="shared" si="22"/>
        <v>1</v>
      </c>
      <c r="H36" s="11" cm="1">
        <f t="array" ref="H36">IFERROR(INDEX('Master Data Sheet'!$1:$1048576, MATCH(1, ('Master Data Sheet'!$H:$H=H$2) * (INDEX('Master Data Sheet'!$1:$1, , MATCH($F$1, 'Master Data Sheet'!$1:$1, 0)) = $F$1) * ('Master Data Sheet'!$G:$G=$B36) * ('Master Data Sheet'!$F:$F=$E36) * ('Master Data Sheet'!$A:$A=$F36), 0), MATCH($F$1, 'Master Data Sheet'!$1:$1, 0)), "")</f>
        <v>7.32</v>
      </c>
      <c r="I36" s="11" cm="1">
        <f t="array" ref="I36">IFERROR(INDEX('Master Data Sheet'!$1:$1048576, MATCH(1, ('Master Data Sheet'!$H:$H=I$2) * (INDEX('Master Data Sheet'!$1:$1, , MATCH($F$1, 'Master Data Sheet'!$1:$1, 0)) = $F$1) * ('Master Data Sheet'!$G:$G=$B36) * ('Master Data Sheet'!$F:$F=$E36) * ('Master Data Sheet'!$A:$A=$F36), 0), MATCH($F$1, 'Master Data Sheet'!$1:$1, 0)), "")</f>
        <v>7.26</v>
      </c>
      <c r="J36" s="11" cm="1">
        <f t="array" ref="J36">IFERROR(INDEX('Master Data Sheet'!$1:$1048576, MATCH(1, ('Master Data Sheet'!$H:$H=J$2) * (INDEX('Master Data Sheet'!$1:$1, , MATCH($F$1, 'Master Data Sheet'!$1:$1, 0)) = $F$1) * ('Master Data Sheet'!$G:$G=$B36) * ('Master Data Sheet'!$F:$F=$E36) * ('Master Data Sheet'!$A:$A=$F36), 0), MATCH($F$1, 'Master Data Sheet'!$1:$1, 0)), "")</f>
        <v>7.31</v>
      </c>
      <c r="K36" s="11" cm="1">
        <f t="array" ref="K36">IFERROR(INDEX('Master Data Sheet'!$1:$1048576, MATCH(1, ('Master Data Sheet'!$H:$H=K$2) * (INDEX('Master Data Sheet'!$1:$1, , MATCH($F$1, 'Master Data Sheet'!$1:$1, 0)) = $F$1) * ('Master Data Sheet'!$G:$G=$B36) * ('Master Data Sheet'!$F:$F=$E36) * ('Master Data Sheet'!$A:$A=$F36), 0), MATCH($F$1, 'Master Data Sheet'!$1:$1, 0)), "")</f>
        <v>7.24</v>
      </c>
      <c r="L36" s="11" cm="1">
        <f t="array" ref="L36">IFERROR(INDEX('Master Data Sheet'!$1:$1048576, MATCH(1, ('Master Data Sheet'!$H:$H=L$2) * (INDEX('Master Data Sheet'!$1:$1, , MATCH($F$1, 'Master Data Sheet'!$1:$1, 0)) = $F$1) * ('Master Data Sheet'!$G:$G=$B36) * ('Master Data Sheet'!$F:$F=$E36) * ('Master Data Sheet'!$A:$A=$F36), 0), MATCH($F$1, 'Master Data Sheet'!$1:$1, 0)), "")</f>
        <v>7.27</v>
      </c>
      <c r="M36" s="11" cm="1">
        <f t="array" ref="M36">IFERROR(INDEX('Master Data Sheet'!$1:$1048576, MATCH(1, ('Master Data Sheet'!$H:$H=M$2) * (INDEX('Master Data Sheet'!$1:$1, , MATCH($F$1, 'Master Data Sheet'!$1:$1, 0)) = $F$1) * ('Master Data Sheet'!$G:$G=$B36) * ('Master Data Sheet'!$F:$F=$E36) * ('Master Data Sheet'!$A:$A=$F36), 0), MATCH($F$1, 'Master Data Sheet'!$1:$1, 0)), "")</f>
        <v>7.27</v>
      </c>
      <c r="N36" s="11" cm="1">
        <f t="array" ref="N36">IFERROR(INDEX('Master Data Sheet'!$1:$1048576, MATCH(1, ('Master Data Sheet'!$H:$H=N$2) * (INDEX('Master Data Sheet'!$1:$1, , MATCH($F$1, 'Master Data Sheet'!$1:$1, 0)) = $F$1) * ('Master Data Sheet'!$G:$G=$B36) * ('Master Data Sheet'!$F:$F=$E36) * ('Master Data Sheet'!$A:$A=$F36), 0), MATCH($F$1, 'Master Data Sheet'!$1:$1, 0)), "")</f>
        <v>7.4</v>
      </c>
      <c r="O36" s="11">
        <f t="shared" si="8"/>
        <v>7.2957142857142854</v>
      </c>
      <c r="P36" s="11">
        <f t="shared" si="4"/>
        <v>5.3807416730764113E-2</v>
      </c>
      <c r="Q36" s="11">
        <f>AVERAGE(N36:N38)</f>
        <v>7.4233333333333329</v>
      </c>
      <c r="R36" s="46">
        <f>(1-(O36/O30))*100</f>
        <v>3.8048596722546568</v>
      </c>
      <c r="S36" s="46">
        <f>AVERAGE(R36:R38)</f>
        <v>7.6603730915586183</v>
      </c>
      <c r="T36" s="46">
        <f>STDEV(R36:R38)</f>
        <v>3.3819297261162782</v>
      </c>
      <c r="U36" s="47">
        <f>(1-(AVERAGE(H36:N38)/AVERAGE(H30:N32)))*100</f>
        <v>7.7308691188017198</v>
      </c>
      <c r="V36" s="47"/>
      <c r="Y36" s="2"/>
      <c r="Z36" s="2"/>
      <c r="AA36" s="2"/>
      <c r="AB36" s="2"/>
      <c r="AC36" s="2"/>
      <c r="AD36" s="2"/>
      <c r="AE36" s="2"/>
      <c r="AF36" s="2"/>
      <c r="AG36" s="2"/>
    </row>
    <row r="37" spans="1:45" x14ac:dyDescent="0.35">
      <c r="A37" s="41">
        <f>IFERROR(INDEX('Date Key'!$B$2:$B$19, MATCH(F37,'Date Key'!$A$2:$A$19, 0)), "")</f>
        <v>45259</v>
      </c>
      <c r="B37" s="4">
        <f t="shared" si="15"/>
        <v>4</v>
      </c>
      <c r="C37" s="26" t="str">
        <f>IFERROR(INDEX('Date Key'!$G$57:$G$62, MATCH(B37,'Date Key'!$A$57:$A$62, 0)), "")</f>
        <v>High HLR, Upper Outlet Height, No Plants</v>
      </c>
      <c r="D37" s="4" t="str">
        <f>IFERROR(INDEX('Date Key'!$G$2:$G$19, MATCH(F37, 'Date Key'!$A$2:$A$19, 0)), "")</f>
        <v>No</v>
      </c>
      <c r="E37" s="4" t="str">
        <f t="shared" si="1"/>
        <v>tank 2</v>
      </c>
      <c r="F37" s="4">
        <f t="shared" si="2"/>
        <v>11</v>
      </c>
      <c r="G37" s="4">
        <f t="shared" si="22"/>
        <v>2</v>
      </c>
      <c r="H37" s="11" cm="1">
        <f t="array" ref="H37">IFERROR(INDEX('Master Data Sheet'!$1:$1048576, MATCH(1, ('Master Data Sheet'!$H:$H=H$2) * (INDEX('Master Data Sheet'!$1:$1, , MATCH($F$1, 'Master Data Sheet'!$1:$1, 0)) = $F$1) * ('Master Data Sheet'!$G:$G=$B37) * ('Master Data Sheet'!$F:$F=$E37) * ('Master Data Sheet'!$A:$A=$F37), 0), MATCH($F$1, 'Master Data Sheet'!$1:$1, 0)), "")</f>
        <v>7.34</v>
      </c>
      <c r="I37" s="11" cm="1">
        <f t="array" ref="I37">IFERROR(INDEX('Master Data Sheet'!$1:$1048576, MATCH(1, ('Master Data Sheet'!$H:$H=I$2) * (INDEX('Master Data Sheet'!$1:$1, , MATCH($F$1, 'Master Data Sheet'!$1:$1, 0)) = $F$1) * ('Master Data Sheet'!$G:$G=$B37) * ('Master Data Sheet'!$F:$F=$E37) * ('Master Data Sheet'!$A:$A=$F37), 0), MATCH($F$1, 'Master Data Sheet'!$1:$1, 0)), "")</f>
        <v>7.24</v>
      </c>
      <c r="J37" s="11" cm="1">
        <f t="array" ref="J37">IFERROR(INDEX('Master Data Sheet'!$1:$1048576, MATCH(1, ('Master Data Sheet'!$H:$H=J$2) * (INDEX('Master Data Sheet'!$1:$1, , MATCH($F$1, 'Master Data Sheet'!$1:$1, 0)) = $F$1) * ('Master Data Sheet'!$G:$G=$B37) * ('Master Data Sheet'!$F:$F=$E37) * ('Master Data Sheet'!$A:$A=$F37), 0), MATCH($F$1, 'Master Data Sheet'!$1:$1, 0)), "")</f>
        <v>7.25</v>
      </c>
      <c r="K37" s="11" cm="1">
        <f t="array" ref="K37">IFERROR(INDEX('Master Data Sheet'!$1:$1048576, MATCH(1, ('Master Data Sheet'!$H:$H=K$2) * (INDEX('Master Data Sheet'!$1:$1, , MATCH($F$1, 'Master Data Sheet'!$1:$1, 0)) = $F$1) * ('Master Data Sheet'!$G:$G=$B37) * ('Master Data Sheet'!$F:$F=$E37) * ('Master Data Sheet'!$A:$A=$F37), 0), MATCH($F$1, 'Master Data Sheet'!$1:$1, 0)), "")</f>
        <v>7.35</v>
      </c>
      <c r="L37" s="11" cm="1">
        <f t="array" ref="L37">IFERROR(INDEX('Master Data Sheet'!$1:$1048576, MATCH(1, ('Master Data Sheet'!$H:$H=L$2) * (INDEX('Master Data Sheet'!$1:$1, , MATCH($F$1, 'Master Data Sheet'!$1:$1, 0)) = $F$1) * ('Master Data Sheet'!$G:$G=$B37) * ('Master Data Sheet'!$F:$F=$E37) * ('Master Data Sheet'!$A:$A=$F37), 0), MATCH($F$1, 'Master Data Sheet'!$1:$1, 0)), "")</f>
        <v>7.39</v>
      </c>
      <c r="M37" s="11" cm="1">
        <f t="array" ref="M37">IFERROR(INDEX('Master Data Sheet'!$1:$1048576, MATCH(1, ('Master Data Sheet'!$H:$H=M$2) * (INDEX('Master Data Sheet'!$1:$1, , MATCH($F$1, 'Master Data Sheet'!$1:$1, 0)) = $F$1) * ('Master Data Sheet'!$G:$G=$B37) * ('Master Data Sheet'!$F:$F=$E37) * ('Master Data Sheet'!$A:$A=$F37), 0), MATCH($F$1, 'Master Data Sheet'!$1:$1, 0)), "")</f>
        <v>7.46</v>
      </c>
      <c r="N37" s="11" cm="1">
        <f t="array" ref="N37">IFERROR(INDEX('Master Data Sheet'!$1:$1048576, MATCH(1, ('Master Data Sheet'!$H:$H=N$2) * (INDEX('Master Data Sheet'!$1:$1, , MATCH($F$1, 'Master Data Sheet'!$1:$1, 0)) = $F$1) * ('Master Data Sheet'!$G:$G=$B37) * ('Master Data Sheet'!$F:$F=$E37) * ('Master Data Sheet'!$A:$A=$F37), 0), MATCH($F$1, 'Master Data Sheet'!$1:$1, 0)), "")</f>
        <v>7.52</v>
      </c>
      <c r="O37" s="11">
        <f t="shared" si="8"/>
        <v>7.3642857142857139</v>
      </c>
      <c r="P37" s="11">
        <f t="shared" si="4"/>
        <v>0.10277112805600963</v>
      </c>
      <c r="Q37" s="11"/>
      <c r="R37" s="46">
        <f>(1-(O37/O31))*100</f>
        <v>9.0508115737473638</v>
      </c>
      <c r="X37" t="str">
        <f>IFERROR(INDEX('Date Key'!$G$57:$G$62, MATCH(B36,'Date Key'!$A$57:$A$62, 0)), "")</f>
        <v>High HLR, Upper Outlet Height, No Plants</v>
      </c>
      <c r="Y37" s="1">
        <f t="shared" ref="Y37:AE37" si="41">H36</f>
        <v>7.32</v>
      </c>
      <c r="Z37" s="1">
        <f t="shared" si="41"/>
        <v>7.26</v>
      </c>
      <c r="AA37" s="1">
        <f t="shared" si="41"/>
        <v>7.31</v>
      </c>
      <c r="AB37" s="1">
        <f t="shared" si="41"/>
        <v>7.24</v>
      </c>
      <c r="AC37" s="1">
        <f t="shared" si="41"/>
        <v>7.27</v>
      </c>
      <c r="AD37" s="1">
        <f t="shared" si="41"/>
        <v>7.27</v>
      </c>
      <c r="AE37" s="1">
        <f t="shared" si="41"/>
        <v>7.4</v>
      </c>
      <c r="AF37" s="1">
        <f t="shared" ref="AF37:AL37" si="42">H37</f>
        <v>7.34</v>
      </c>
      <c r="AG37" s="1">
        <f t="shared" si="42"/>
        <v>7.24</v>
      </c>
      <c r="AH37" s="1">
        <f t="shared" si="42"/>
        <v>7.25</v>
      </c>
      <c r="AI37" s="1">
        <f t="shared" si="42"/>
        <v>7.35</v>
      </c>
      <c r="AJ37" s="1">
        <f t="shared" si="42"/>
        <v>7.39</v>
      </c>
      <c r="AK37" s="1">
        <f t="shared" si="42"/>
        <v>7.46</v>
      </c>
      <c r="AL37" s="1">
        <f t="shared" si="42"/>
        <v>7.52</v>
      </c>
      <c r="AM37" s="1">
        <f t="shared" ref="AM37:AS37" si="43">H38</f>
        <v>7.1</v>
      </c>
      <c r="AN37" s="1">
        <f t="shared" si="43"/>
        <v>7.02</v>
      </c>
      <c r="AO37" s="1">
        <f t="shared" si="43"/>
        <v>7.01</v>
      </c>
      <c r="AP37" s="1">
        <f t="shared" si="43"/>
        <v>7.12</v>
      </c>
      <c r="AQ37" s="1">
        <f t="shared" si="43"/>
        <v>7.25</v>
      </c>
      <c r="AR37" s="1">
        <f t="shared" si="43"/>
        <v>7.3</v>
      </c>
      <c r="AS37" s="1">
        <f t="shared" si="43"/>
        <v>7.35</v>
      </c>
    </row>
    <row r="38" spans="1:45" x14ac:dyDescent="0.35">
      <c r="A38" s="42">
        <f>IFERROR(INDEX('Date Key'!$B$2:$B$19, MATCH(F38,'Date Key'!$A$2:$A$19, 0)), "")</f>
        <v>45266</v>
      </c>
      <c r="B38" s="27">
        <f t="shared" si="15"/>
        <v>4</v>
      </c>
      <c r="C38" s="51" t="str">
        <f>IFERROR(INDEX('Date Key'!$G$57:$G$62, MATCH(B38,'Date Key'!$A$57:$A$62, 0)), "")</f>
        <v>High HLR, Upper Outlet Height, No Plants</v>
      </c>
      <c r="D38" s="27" t="str">
        <f>IFERROR(INDEX('Date Key'!$G$2:$G$19, MATCH(F38, 'Date Key'!$A$2:$A$19, 0)), "")</f>
        <v>No</v>
      </c>
      <c r="E38" s="27" t="str">
        <f t="shared" si="1"/>
        <v>tank 2</v>
      </c>
      <c r="F38" s="27">
        <f t="shared" si="2"/>
        <v>12</v>
      </c>
      <c r="G38" s="27">
        <f t="shared" si="22"/>
        <v>3</v>
      </c>
      <c r="H38" s="28" cm="1">
        <f t="array" ref="H38">IFERROR(INDEX('Master Data Sheet'!$1:$1048576, MATCH(1, ('Master Data Sheet'!$H:$H=H$2) * (INDEX('Master Data Sheet'!$1:$1, , MATCH($F$1, 'Master Data Sheet'!$1:$1, 0)) = $F$1) * ('Master Data Sheet'!$G:$G=$B38) * ('Master Data Sheet'!$F:$F=$E38) * ('Master Data Sheet'!$A:$A=$F38), 0), MATCH($F$1, 'Master Data Sheet'!$1:$1, 0)), "")</f>
        <v>7.1</v>
      </c>
      <c r="I38" s="28" cm="1">
        <f t="array" ref="I38">IFERROR(INDEX('Master Data Sheet'!$1:$1048576, MATCH(1, ('Master Data Sheet'!$H:$H=I$2) * (INDEX('Master Data Sheet'!$1:$1, , MATCH($F$1, 'Master Data Sheet'!$1:$1, 0)) = $F$1) * ('Master Data Sheet'!$G:$G=$B38) * ('Master Data Sheet'!$F:$F=$E38) * ('Master Data Sheet'!$A:$A=$F38), 0), MATCH($F$1, 'Master Data Sheet'!$1:$1, 0)), "")</f>
        <v>7.02</v>
      </c>
      <c r="J38" s="28" cm="1">
        <f t="array" ref="J38">IFERROR(INDEX('Master Data Sheet'!$1:$1048576, MATCH(1, ('Master Data Sheet'!$H:$H=J$2) * (INDEX('Master Data Sheet'!$1:$1, , MATCH($F$1, 'Master Data Sheet'!$1:$1, 0)) = $F$1) * ('Master Data Sheet'!$G:$G=$B38) * ('Master Data Sheet'!$F:$F=$E38) * ('Master Data Sheet'!$A:$A=$F38), 0), MATCH($F$1, 'Master Data Sheet'!$1:$1, 0)), "")</f>
        <v>7.01</v>
      </c>
      <c r="K38" s="28" cm="1">
        <f t="array" ref="K38">IFERROR(INDEX('Master Data Sheet'!$1:$1048576, MATCH(1, ('Master Data Sheet'!$H:$H=K$2) * (INDEX('Master Data Sheet'!$1:$1, , MATCH($F$1, 'Master Data Sheet'!$1:$1, 0)) = $F$1) * ('Master Data Sheet'!$G:$G=$B38) * ('Master Data Sheet'!$F:$F=$E38) * ('Master Data Sheet'!$A:$A=$F38), 0), MATCH($F$1, 'Master Data Sheet'!$1:$1, 0)), "")</f>
        <v>7.12</v>
      </c>
      <c r="L38" s="28" cm="1">
        <f t="array" ref="L38">IFERROR(INDEX('Master Data Sheet'!$1:$1048576, MATCH(1, ('Master Data Sheet'!$H:$H=L$2) * (INDEX('Master Data Sheet'!$1:$1, , MATCH($F$1, 'Master Data Sheet'!$1:$1, 0)) = $F$1) * ('Master Data Sheet'!$G:$G=$B38) * ('Master Data Sheet'!$F:$F=$E38) * ('Master Data Sheet'!$A:$A=$F38), 0), MATCH($F$1, 'Master Data Sheet'!$1:$1, 0)), "")</f>
        <v>7.25</v>
      </c>
      <c r="M38" s="28" cm="1">
        <f t="array" ref="M38">IFERROR(INDEX('Master Data Sheet'!$1:$1048576, MATCH(1, ('Master Data Sheet'!$H:$H=M$2) * (INDEX('Master Data Sheet'!$1:$1, , MATCH($F$1, 'Master Data Sheet'!$1:$1, 0)) = $F$1) * ('Master Data Sheet'!$G:$G=$B38) * ('Master Data Sheet'!$F:$F=$E38) * ('Master Data Sheet'!$A:$A=$F38), 0), MATCH($F$1, 'Master Data Sheet'!$1:$1, 0)), "")</f>
        <v>7.3</v>
      </c>
      <c r="N38" s="28" cm="1">
        <f t="array" ref="N38">IFERROR(INDEX('Master Data Sheet'!$1:$1048576, MATCH(1, ('Master Data Sheet'!$H:$H=N$2) * (INDEX('Master Data Sheet'!$1:$1, , MATCH($F$1, 'Master Data Sheet'!$1:$1, 0)) = $F$1) * ('Master Data Sheet'!$G:$G=$B38) * ('Master Data Sheet'!$F:$F=$E38) * ('Master Data Sheet'!$A:$A=$F38), 0), MATCH($F$1, 'Master Data Sheet'!$1:$1, 0)), "")</f>
        <v>7.35</v>
      </c>
      <c r="O38" s="28">
        <f t="shared" si="8"/>
        <v>7.1642857142857137</v>
      </c>
      <c r="P38" s="28">
        <f t="shared" si="4"/>
        <v>0.13599719885070466</v>
      </c>
      <c r="Q38" s="28"/>
      <c r="R38" s="48">
        <f>(1-(O38/O32))*100</f>
        <v>10.125448028673834</v>
      </c>
      <c r="S38" s="27"/>
      <c r="T38" s="27"/>
      <c r="U38" s="27"/>
      <c r="V38" s="27"/>
    </row>
    <row r="39" spans="1:45" x14ac:dyDescent="0.35">
      <c r="A39" s="41">
        <f>IFERROR(INDEX('Date Key'!$B$2:$B$19, MATCH(F39,'Date Key'!$A$2:$A$19, 0)), "")</f>
        <v>45313</v>
      </c>
      <c r="B39" s="4">
        <f t="shared" si="15"/>
        <v>5</v>
      </c>
      <c r="C39" s="26" t="str">
        <f>IFERROR(INDEX('Date Key'!$G$57:$G$62, MATCH(B39,'Date Key'!$A$57:$A$62, 0)), "")</f>
        <v>High HLR, Lower Outlet Height, Yes Plants</v>
      </c>
      <c r="D39" s="4" t="str">
        <f>IFERROR(INDEX('Date Key'!$G$2:$G$19, MATCH(F39, 'Date Key'!$A$2:$A$19, 0)), "")</f>
        <v>Yes</v>
      </c>
      <c r="E39" s="4" t="str">
        <f t="shared" si="1"/>
        <v>in</v>
      </c>
      <c r="F39" s="4">
        <f t="shared" si="2"/>
        <v>13</v>
      </c>
      <c r="G39" s="4">
        <f t="shared" si="22"/>
        <v>1</v>
      </c>
      <c r="H39" s="11" cm="1">
        <f t="array" ref="H39">IFERROR(INDEX('Master Data Sheet'!$1:$1048576, MATCH(1, ('Master Data Sheet'!$H:$H=H$2) * (INDEX('Master Data Sheet'!$1:$1, , MATCH($F$1, 'Master Data Sheet'!$1:$1, 0)) = $F$1) * ('Master Data Sheet'!$G:$G=$B39) * ('Master Data Sheet'!$F:$F=$E39) * ('Master Data Sheet'!$A:$A=$F39), 0), MATCH($F$1, 'Master Data Sheet'!$1:$1, 0)), "")</f>
        <v>7.23</v>
      </c>
      <c r="I39" s="11" cm="1">
        <f t="array" ref="I39">IFERROR(INDEX('Master Data Sheet'!$1:$1048576, MATCH(1, ('Master Data Sheet'!$H:$H=I$2) * (INDEX('Master Data Sheet'!$1:$1, , MATCH($F$1, 'Master Data Sheet'!$1:$1, 0)) = $F$1) * ('Master Data Sheet'!$G:$G=$B39) * ('Master Data Sheet'!$F:$F=$E39) * ('Master Data Sheet'!$A:$A=$F39), 0), MATCH($F$1, 'Master Data Sheet'!$1:$1, 0)), "")</f>
        <v>7.18</v>
      </c>
      <c r="J39" s="11" cm="1">
        <f t="array" ref="J39">IFERROR(INDEX('Master Data Sheet'!$1:$1048576, MATCH(1, ('Master Data Sheet'!$H:$H=J$2) * (INDEX('Master Data Sheet'!$1:$1, , MATCH($F$1, 'Master Data Sheet'!$1:$1, 0)) = $F$1) * ('Master Data Sheet'!$G:$G=$B39) * ('Master Data Sheet'!$F:$F=$E39) * ('Master Data Sheet'!$A:$A=$F39), 0), MATCH($F$1, 'Master Data Sheet'!$1:$1, 0)), "")</f>
        <v>7.2</v>
      </c>
      <c r="K39" s="11" cm="1">
        <f t="array" ref="K39">IFERROR(INDEX('Master Data Sheet'!$1:$1048576, MATCH(1, ('Master Data Sheet'!$H:$H=K$2) * (INDEX('Master Data Sheet'!$1:$1, , MATCH($F$1, 'Master Data Sheet'!$1:$1, 0)) = $F$1) * ('Master Data Sheet'!$G:$G=$B39) * ('Master Data Sheet'!$F:$F=$E39) * ('Master Data Sheet'!$A:$A=$F39), 0), MATCH($F$1, 'Master Data Sheet'!$1:$1, 0)), "")</f>
        <v>7.26</v>
      </c>
      <c r="L39" s="11" cm="1">
        <f t="array" ref="L39">IFERROR(INDEX('Master Data Sheet'!$1:$1048576, MATCH(1, ('Master Data Sheet'!$H:$H=L$2) * (INDEX('Master Data Sheet'!$1:$1, , MATCH($F$1, 'Master Data Sheet'!$1:$1, 0)) = $F$1) * ('Master Data Sheet'!$G:$G=$B39) * ('Master Data Sheet'!$F:$F=$E39) * ('Master Data Sheet'!$A:$A=$F39), 0), MATCH($F$1, 'Master Data Sheet'!$1:$1, 0)), "")</f>
        <v>7.33</v>
      </c>
      <c r="M39" s="11" cm="1">
        <f t="array" ref="M39">IFERROR(INDEX('Master Data Sheet'!$1:$1048576, MATCH(1, ('Master Data Sheet'!$H:$H=M$2) * (INDEX('Master Data Sheet'!$1:$1, , MATCH($F$1, 'Master Data Sheet'!$1:$1, 0)) = $F$1) * ('Master Data Sheet'!$G:$G=$B39) * ('Master Data Sheet'!$F:$F=$E39) * ('Master Data Sheet'!$A:$A=$F39), 0), MATCH($F$1, 'Master Data Sheet'!$1:$1, 0)), "")</f>
        <v>7.27</v>
      </c>
      <c r="N39" s="11" cm="1">
        <f t="array" ref="N39">IFERROR(INDEX('Master Data Sheet'!$1:$1048576, MATCH(1, ('Master Data Sheet'!$H:$H=N$2) * (INDEX('Master Data Sheet'!$1:$1, , MATCH($F$1, 'Master Data Sheet'!$1:$1, 0)) = $F$1) * ('Master Data Sheet'!$G:$G=$B39) * ('Master Data Sheet'!$F:$F=$E39) * ('Master Data Sheet'!$A:$A=$F39), 0), MATCH($F$1, 'Master Data Sheet'!$1:$1, 0)), "")</f>
        <v>7.15</v>
      </c>
      <c r="O39" s="11">
        <f t="shared" si="8"/>
        <v>7.2314285714285713</v>
      </c>
      <c r="P39" s="11">
        <f t="shared" si="4"/>
        <v>6.0944940022004311E-2</v>
      </c>
      <c r="Q39" s="11">
        <f>AVERAGE(O39:O41)</f>
        <v>7.6195238095238098</v>
      </c>
      <c r="S39" s="11">
        <f>AVERAGE(O39:O41)</f>
        <v>7.6195238095238098</v>
      </c>
      <c r="T39" s="11">
        <f>AVERAGE(P39:P41)</f>
        <v>0.1468213459693842</v>
      </c>
      <c r="V39" s="47">
        <f>AVERAGE(U42, U45)</f>
        <v>4.8496968939440999</v>
      </c>
      <c r="X39" t="s">
        <v>343</v>
      </c>
    </row>
    <row r="40" spans="1:45" x14ac:dyDescent="0.35">
      <c r="A40" s="41">
        <f>IFERROR(INDEX('Date Key'!$B$2:$B$19, MATCH(F40,'Date Key'!$A$2:$A$19, 0)), "")</f>
        <v>45322</v>
      </c>
      <c r="B40" s="4">
        <f t="shared" si="15"/>
        <v>5</v>
      </c>
      <c r="C40" s="26" t="str">
        <f>IFERROR(INDEX('Date Key'!$G$57:$G$62, MATCH(B40,'Date Key'!$A$57:$A$62, 0)), "")</f>
        <v>High HLR, Lower Outlet Height, Yes Plants</v>
      </c>
      <c r="D40" s="4" t="str">
        <f>IFERROR(INDEX('Date Key'!$G$2:$G$19, MATCH(F40, 'Date Key'!$A$2:$A$19, 0)), "")</f>
        <v>No</v>
      </c>
      <c r="E40" s="4" t="str">
        <f t="shared" si="1"/>
        <v>in</v>
      </c>
      <c r="F40" s="4">
        <f t="shared" si="2"/>
        <v>14</v>
      </c>
      <c r="G40" s="4">
        <f t="shared" si="22"/>
        <v>2</v>
      </c>
      <c r="H40" s="11" cm="1">
        <f t="array" ref="H40">IFERROR(INDEX('Master Data Sheet'!$1:$1048576, MATCH(1, ('Master Data Sheet'!$H:$H=H$2) * (INDEX('Master Data Sheet'!$1:$1, , MATCH($F$1, 'Master Data Sheet'!$1:$1, 0)) = $F$1) * ('Master Data Sheet'!$G:$G=$B40) * ('Master Data Sheet'!$F:$F=$E40) * ('Master Data Sheet'!$A:$A=$F40), 0), MATCH($F$1, 'Master Data Sheet'!$1:$1, 0)), "")</f>
        <v>8.0299999999999994</v>
      </c>
      <c r="I40" s="11" cm="1">
        <f t="array" ref="I40">IFERROR(INDEX('Master Data Sheet'!$1:$1048576, MATCH(1, ('Master Data Sheet'!$H:$H=I$2) * (INDEX('Master Data Sheet'!$1:$1, , MATCH($F$1, 'Master Data Sheet'!$1:$1, 0)) = $F$1) * ('Master Data Sheet'!$G:$G=$B40) * ('Master Data Sheet'!$F:$F=$E40) * ('Master Data Sheet'!$A:$A=$F40), 0), MATCH($F$1, 'Master Data Sheet'!$1:$1, 0)), "")</f>
        <v>7.93</v>
      </c>
      <c r="J40" s="11" cm="1">
        <f t="array" ref="J40">IFERROR(INDEX('Master Data Sheet'!$1:$1048576, MATCH(1, ('Master Data Sheet'!$H:$H=J$2) * (INDEX('Master Data Sheet'!$1:$1, , MATCH($F$1, 'Master Data Sheet'!$1:$1, 0)) = $F$1) * ('Master Data Sheet'!$G:$G=$B40) * ('Master Data Sheet'!$F:$F=$E40) * ('Master Data Sheet'!$A:$A=$F40), 0), MATCH($F$1, 'Master Data Sheet'!$1:$1, 0)), "")</f>
        <v>7.84</v>
      </c>
      <c r="K40" s="11" cm="1">
        <f t="array" ref="K40">IFERROR(INDEX('Master Data Sheet'!$1:$1048576, MATCH(1, ('Master Data Sheet'!$H:$H=K$2) * (INDEX('Master Data Sheet'!$1:$1, , MATCH($F$1, 'Master Data Sheet'!$1:$1, 0)) = $F$1) * ('Master Data Sheet'!$G:$G=$B40) * ('Master Data Sheet'!$F:$F=$E40) * ('Master Data Sheet'!$A:$A=$F40), 0), MATCH($F$1, 'Master Data Sheet'!$1:$1, 0)), "")</f>
        <v>7.73</v>
      </c>
      <c r="L40" s="11" cm="1">
        <f t="array" ref="L40">IFERROR(INDEX('Master Data Sheet'!$1:$1048576, MATCH(1, ('Master Data Sheet'!$H:$H=L$2) * (INDEX('Master Data Sheet'!$1:$1, , MATCH($F$1, 'Master Data Sheet'!$1:$1, 0)) = $F$1) * ('Master Data Sheet'!$G:$G=$B40) * ('Master Data Sheet'!$F:$F=$E40) * ('Master Data Sheet'!$A:$A=$F40), 0), MATCH($F$1, 'Master Data Sheet'!$1:$1, 0)), "")</f>
        <v>7.83</v>
      </c>
      <c r="M40" s="11" cm="1">
        <f t="array" ref="M40">IFERROR(INDEX('Master Data Sheet'!$1:$1048576, MATCH(1, ('Master Data Sheet'!$H:$H=M$2) * (INDEX('Master Data Sheet'!$1:$1, , MATCH($F$1, 'Master Data Sheet'!$1:$1, 0)) = $F$1) * ('Master Data Sheet'!$G:$G=$B40) * ('Master Data Sheet'!$F:$F=$E40) * ('Master Data Sheet'!$A:$A=$F40), 0), MATCH($F$1, 'Master Data Sheet'!$1:$1, 0)), "")</f>
        <v>7.8</v>
      </c>
      <c r="N40" s="11" cm="1">
        <f t="array" ref="N40">IFERROR(INDEX('Master Data Sheet'!$1:$1048576, MATCH(1, ('Master Data Sheet'!$H:$H=N$2) * (INDEX('Master Data Sheet'!$1:$1, , MATCH($F$1, 'Master Data Sheet'!$1:$1, 0)) = $F$1) * ('Master Data Sheet'!$G:$G=$B40) * ('Master Data Sheet'!$F:$F=$E40) * ('Master Data Sheet'!$A:$A=$F40), 0), MATCH($F$1, 'Master Data Sheet'!$1:$1, 0)), "")</f>
        <v>7.89</v>
      </c>
      <c r="O40" s="11">
        <f t="shared" si="8"/>
        <v>7.8642857142857139</v>
      </c>
      <c r="P40" s="11">
        <f t="shared" si="4"/>
        <v>9.6929036388679932E-2</v>
      </c>
      <c r="Q40" s="11"/>
      <c r="X40" t="str">
        <f>IFERROR(INDEX('Date Key'!$G$57:$G$62, MATCH(B39,'Date Key'!$A$57:$A$62, 0)), "")</f>
        <v>High HLR, Lower Outlet Height, Yes Plants</v>
      </c>
      <c r="Y40" s="1">
        <f t="shared" ref="Y40:AE40" si="44">H39</f>
        <v>7.23</v>
      </c>
      <c r="Z40" s="1">
        <f t="shared" si="44"/>
        <v>7.18</v>
      </c>
      <c r="AA40" s="1">
        <f t="shared" si="44"/>
        <v>7.2</v>
      </c>
      <c r="AB40" s="1">
        <f t="shared" si="44"/>
        <v>7.26</v>
      </c>
      <c r="AC40" s="1">
        <f t="shared" si="44"/>
        <v>7.33</v>
      </c>
      <c r="AD40" s="1">
        <f t="shared" si="44"/>
        <v>7.27</v>
      </c>
      <c r="AE40" s="1">
        <f t="shared" si="44"/>
        <v>7.15</v>
      </c>
      <c r="AF40" s="1">
        <f t="shared" ref="AF40:AL40" si="45">H40</f>
        <v>8.0299999999999994</v>
      </c>
      <c r="AG40" s="1">
        <f t="shared" si="45"/>
        <v>7.93</v>
      </c>
      <c r="AH40" s="1">
        <f t="shared" si="45"/>
        <v>7.84</v>
      </c>
      <c r="AI40" s="1">
        <f t="shared" si="45"/>
        <v>7.73</v>
      </c>
      <c r="AJ40" s="1">
        <f t="shared" si="45"/>
        <v>7.83</v>
      </c>
      <c r="AK40" s="1">
        <f t="shared" si="45"/>
        <v>7.8</v>
      </c>
      <c r="AL40" s="1">
        <f t="shared" si="45"/>
        <v>7.89</v>
      </c>
      <c r="AM40" s="1">
        <f t="shared" ref="AM40:AS40" si="46">H41</f>
        <v>7.34</v>
      </c>
      <c r="AN40" s="1">
        <f t="shared" si="46"/>
        <v>7.39</v>
      </c>
      <c r="AO40" s="1">
        <f t="shared" si="46"/>
        <v>7.77</v>
      </c>
      <c r="AP40" s="1">
        <f t="shared" si="46"/>
        <v>7.98</v>
      </c>
      <c r="AQ40" s="1">
        <f t="shared" si="46"/>
        <v>8.01</v>
      </c>
      <c r="AR40" s="1">
        <f t="shared" si="46"/>
        <v>7.94</v>
      </c>
      <c r="AS40" s="1">
        <f t="shared" si="46"/>
        <v>7.91</v>
      </c>
    </row>
    <row r="41" spans="1:45" x14ac:dyDescent="0.35">
      <c r="A41" s="41">
        <f>IFERROR(INDEX('Date Key'!$B$2:$B$19, MATCH(F41,'Date Key'!$A$2:$A$19, 0)), "")</f>
        <v>45330</v>
      </c>
      <c r="B41" s="4">
        <f t="shared" si="15"/>
        <v>5</v>
      </c>
      <c r="C41" s="26" t="str">
        <f>IFERROR(INDEX('Date Key'!$G$57:$G$62, MATCH(B41,'Date Key'!$A$57:$A$62, 0)), "")</f>
        <v>High HLR, Lower Outlet Height, Yes Plants</v>
      </c>
      <c r="D41" s="4" t="str">
        <f>IFERROR(INDEX('Date Key'!$G$2:$G$19, MATCH(F41, 'Date Key'!$A$2:$A$19, 0)), "")</f>
        <v>No</v>
      </c>
      <c r="E41" s="4" t="str">
        <f t="shared" si="1"/>
        <v>in</v>
      </c>
      <c r="F41" s="4">
        <f t="shared" si="2"/>
        <v>15</v>
      </c>
      <c r="G41" s="4">
        <f t="shared" si="22"/>
        <v>3</v>
      </c>
      <c r="H41" s="11" cm="1">
        <f t="array" ref="H41">IFERROR(INDEX('Master Data Sheet'!$1:$1048576, MATCH(1, ('Master Data Sheet'!$H:$H=H$2) * (INDEX('Master Data Sheet'!$1:$1, , MATCH($F$1, 'Master Data Sheet'!$1:$1, 0)) = $F$1) * ('Master Data Sheet'!$G:$G=$B41) * ('Master Data Sheet'!$F:$F=$E41) * ('Master Data Sheet'!$A:$A=$F41), 0), MATCH($F$1, 'Master Data Sheet'!$1:$1, 0)), "")</f>
        <v>7.34</v>
      </c>
      <c r="I41" s="11" cm="1">
        <f t="array" ref="I41">IFERROR(INDEX('Master Data Sheet'!$1:$1048576, MATCH(1, ('Master Data Sheet'!$H:$H=I$2) * (INDEX('Master Data Sheet'!$1:$1, , MATCH($F$1, 'Master Data Sheet'!$1:$1, 0)) = $F$1) * ('Master Data Sheet'!$G:$G=$B41) * ('Master Data Sheet'!$F:$F=$E41) * ('Master Data Sheet'!$A:$A=$F41), 0), MATCH($F$1, 'Master Data Sheet'!$1:$1, 0)), "")</f>
        <v>7.39</v>
      </c>
      <c r="J41" s="11" cm="1">
        <f t="array" ref="J41">IFERROR(INDEX('Master Data Sheet'!$1:$1048576, MATCH(1, ('Master Data Sheet'!$H:$H=J$2) * (INDEX('Master Data Sheet'!$1:$1, , MATCH($F$1, 'Master Data Sheet'!$1:$1, 0)) = $F$1) * ('Master Data Sheet'!$G:$G=$B41) * ('Master Data Sheet'!$F:$F=$E41) * ('Master Data Sheet'!$A:$A=$F41), 0), MATCH($F$1, 'Master Data Sheet'!$1:$1, 0)), "")</f>
        <v>7.77</v>
      </c>
      <c r="K41" s="11" cm="1">
        <f t="array" ref="K41">IFERROR(INDEX('Master Data Sheet'!$1:$1048576, MATCH(1, ('Master Data Sheet'!$H:$H=K$2) * (INDEX('Master Data Sheet'!$1:$1, , MATCH($F$1, 'Master Data Sheet'!$1:$1, 0)) = $F$1) * ('Master Data Sheet'!$G:$G=$B41) * ('Master Data Sheet'!$F:$F=$E41) * ('Master Data Sheet'!$A:$A=$F41), 0), MATCH($F$1, 'Master Data Sheet'!$1:$1, 0)), "")</f>
        <v>7.98</v>
      </c>
      <c r="L41" s="11" cm="1">
        <f t="array" ref="L41">IFERROR(INDEX('Master Data Sheet'!$1:$1048576, MATCH(1, ('Master Data Sheet'!$H:$H=L$2) * (INDEX('Master Data Sheet'!$1:$1, , MATCH($F$1, 'Master Data Sheet'!$1:$1, 0)) = $F$1) * ('Master Data Sheet'!$G:$G=$B41) * ('Master Data Sheet'!$F:$F=$E41) * ('Master Data Sheet'!$A:$A=$F41), 0), MATCH($F$1, 'Master Data Sheet'!$1:$1, 0)), "")</f>
        <v>8.01</v>
      </c>
      <c r="M41" s="11" cm="1">
        <f t="array" ref="M41">IFERROR(INDEX('Master Data Sheet'!$1:$1048576, MATCH(1, ('Master Data Sheet'!$H:$H=M$2) * (INDEX('Master Data Sheet'!$1:$1, , MATCH($F$1, 'Master Data Sheet'!$1:$1, 0)) = $F$1) * ('Master Data Sheet'!$G:$G=$B41) * ('Master Data Sheet'!$F:$F=$E41) * ('Master Data Sheet'!$A:$A=$F41), 0), MATCH($F$1, 'Master Data Sheet'!$1:$1, 0)), "")</f>
        <v>7.94</v>
      </c>
      <c r="N41" s="11" cm="1">
        <f t="array" ref="N41">IFERROR(INDEX('Master Data Sheet'!$1:$1048576, MATCH(1, ('Master Data Sheet'!$H:$H=N$2) * (INDEX('Master Data Sheet'!$1:$1, , MATCH($F$1, 'Master Data Sheet'!$1:$1, 0)) = $F$1) * ('Master Data Sheet'!$G:$G=$B41) * ('Master Data Sheet'!$F:$F=$E41) * ('Master Data Sheet'!$A:$A=$F41), 0), MATCH($F$1, 'Master Data Sheet'!$1:$1, 0)), "")</f>
        <v>7.91</v>
      </c>
      <c r="O41" s="11">
        <f t="shared" si="8"/>
        <v>7.7628571428571433</v>
      </c>
      <c r="P41" s="11">
        <f t="shared" si="4"/>
        <v>0.2825900614974684</v>
      </c>
      <c r="Q41" s="11"/>
      <c r="Y41" s="1"/>
      <c r="Z41" s="1"/>
      <c r="AA41" s="1"/>
      <c r="AB41" s="1"/>
      <c r="AC41" s="1"/>
      <c r="AD41" s="1"/>
      <c r="AE41" s="1"/>
      <c r="AF41" s="1"/>
      <c r="AG41" s="1"/>
      <c r="AH41" s="1"/>
      <c r="AI41" s="1"/>
      <c r="AJ41" s="1"/>
      <c r="AK41" s="1"/>
      <c r="AL41" s="1"/>
      <c r="AM41" s="1"/>
      <c r="AN41" s="1"/>
      <c r="AO41" s="1"/>
      <c r="AP41" s="1"/>
      <c r="AQ41" s="1"/>
      <c r="AR41" s="1"/>
      <c r="AS41" s="1"/>
    </row>
    <row r="42" spans="1:45" x14ac:dyDescent="0.35">
      <c r="A42" s="41">
        <f>IFERROR(INDEX('Date Key'!$B$2:$B$19, MATCH(F42,'Date Key'!$A$2:$A$19, 0)), "")</f>
        <v>45313</v>
      </c>
      <c r="B42" s="4">
        <f t="shared" si="15"/>
        <v>5</v>
      </c>
      <c r="C42" s="26" t="str">
        <f>IFERROR(INDEX('Date Key'!$G$57:$G$62, MATCH(B42,'Date Key'!$A$57:$A$62, 0)), "")</f>
        <v>High HLR, Lower Outlet Height, Yes Plants</v>
      </c>
      <c r="D42" s="4" t="str">
        <f>IFERROR(INDEX('Date Key'!$G$2:$G$19, MATCH(F42, 'Date Key'!$A$2:$A$19, 0)), "")</f>
        <v>Yes</v>
      </c>
      <c r="E42" s="4" t="str">
        <f t="shared" si="1"/>
        <v>tank 1</v>
      </c>
      <c r="F42" s="4">
        <f t="shared" si="2"/>
        <v>13</v>
      </c>
      <c r="G42" s="4">
        <f t="shared" si="22"/>
        <v>1</v>
      </c>
      <c r="H42" s="11" cm="1">
        <f t="array" ref="H42">IFERROR(INDEX('Master Data Sheet'!$1:$1048576, MATCH(1, ('Master Data Sheet'!$H:$H=H$2) * (INDEX('Master Data Sheet'!$1:$1, , MATCH($F$1, 'Master Data Sheet'!$1:$1, 0)) = $F$1) * ('Master Data Sheet'!$G:$G=$B42) * ('Master Data Sheet'!$F:$F=$E42) * ('Master Data Sheet'!$A:$A=$F42), 0), MATCH($F$1, 'Master Data Sheet'!$1:$1, 0)), "")</f>
        <v>7.19</v>
      </c>
      <c r="I42" s="11" cm="1">
        <f t="array" ref="I42">IFERROR(INDEX('Master Data Sheet'!$1:$1048576, MATCH(1, ('Master Data Sheet'!$H:$H=I$2) * (INDEX('Master Data Sheet'!$1:$1, , MATCH($F$1, 'Master Data Sheet'!$1:$1, 0)) = $F$1) * ('Master Data Sheet'!$G:$G=$B42) * ('Master Data Sheet'!$F:$F=$E42) * ('Master Data Sheet'!$A:$A=$F42), 0), MATCH($F$1, 'Master Data Sheet'!$1:$1, 0)), "")</f>
        <v>7.11</v>
      </c>
      <c r="J42" s="11" cm="1">
        <f t="array" ref="J42">IFERROR(INDEX('Master Data Sheet'!$1:$1048576, MATCH(1, ('Master Data Sheet'!$H:$H=J$2) * (INDEX('Master Data Sheet'!$1:$1, , MATCH($F$1, 'Master Data Sheet'!$1:$1, 0)) = $F$1) * ('Master Data Sheet'!$G:$G=$B42) * ('Master Data Sheet'!$F:$F=$E42) * ('Master Data Sheet'!$A:$A=$F42), 0), MATCH($F$1, 'Master Data Sheet'!$1:$1, 0)), "")</f>
        <v>7.04</v>
      </c>
      <c r="K42" s="11" cm="1">
        <f t="array" ref="K42">IFERROR(INDEX('Master Data Sheet'!$1:$1048576, MATCH(1, ('Master Data Sheet'!$H:$H=K$2) * (INDEX('Master Data Sheet'!$1:$1, , MATCH($F$1, 'Master Data Sheet'!$1:$1, 0)) = $F$1) * ('Master Data Sheet'!$G:$G=$B42) * ('Master Data Sheet'!$F:$F=$E42) * ('Master Data Sheet'!$A:$A=$F42), 0), MATCH($F$1, 'Master Data Sheet'!$1:$1, 0)), "")</f>
        <v>7.17</v>
      </c>
      <c r="L42" s="11" cm="1">
        <f t="array" ref="L42">IFERROR(INDEX('Master Data Sheet'!$1:$1048576, MATCH(1, ('Master Data Sheet'!$H:$H=L$2) * (INDEX('Master Data Sheet'!$1:$1, , MATCH($F$1, 'Master Data Sheet'!$1:$1, 0)) = $F$1) * ('Master Data Sheet'!$G:$G=$B42) * ('Master Data Sheet'!$F:$F=$E42) * ('Master Data Sheet'!$A:$A=$F42), 0), MATCH($F$1, 'Master Data Sheet'!$1:$1, 0)), "")</f>
        <v>7.39</v>
      </c>
      <c r="M42" s="11" cm="1">
        <f t="array" ref="M42">IFERROR(INDEX('Master Data Sheet'!$1:$1048576, MATCH(1, ('Master Data Sheet'!$H:$H=M$2) * (INDEX('Master Data Sheet'!$1:$1, , MATCH($F$1, 'Master Data Sheet'!$1:$1, 0)) = $F$1) * ('Master Data Sheet'!$G:$G=$B42) * ('Master Data Sheet'!$F:$F=$E42) * ('Master Data Sheet'!$A:$A=$F42), 0), MATCH($F$1, 'Master Data Sheet'!$1:$1, 0)), "")</f>
        <v>7.31</v>
      </c>
      <c r="N42" s="11" cm="1">
        <f t="array" ref="N42">IFERROR(INDEX('Master Data Sheet'!$1:$1048576, MATCH(1, ('Master Data Sheet'!$H:$H=N$2) * (INDEX('Master Data Sheet'!$1:$1, , MATCH($F$1, 'Master Data Sheet'!$1:$1, 0)) = $F$1) * ('Master Data Sheet'!$G:$G=$B42) * ('Master Data Sheet'!$F:$F=$E42) * ('Master Data Sheet'!$A:$A=$F42), 0), MATCH($F$1, 'Master Data Sheet'!$1:$1, 0)), "")</f>
        <v>7.45</v>
      </c>
      <c r="O42" s="11">
        <f t="shared" si="8"/>
        <v>7.2371428571428575</v>
      </c>
      <c r="P42" s="11">
        <f t="shared" si="4"/>
        <v>0.1504121322360982</v>
      </c>
      <c r="Q42" s="11">
        <f>AVERAGE(O42:O44)</f>
        <v>7.1700000000000008</v>
      </c>
      <c r="R42" s="46">
        <f>(1-(O42/O39))*100</f>
        <v>-7.9020150138298106E-2</v>
      </c>
      <c r="S42" s="46">
        <f>AVERAGE(R42:R44)</f>
        <v>5.7511593758112838</v>
      </c>
      <c r="T42" s="46">
        <f>STDEV(R42:R44)</f>
        <v>5.0490837719144039</v>
      </c>
      <c r="U42" s="47">
        <f>(1-(AVERAGE(H42:N44)/AVERAGE(H39:N41)))*100</f>
        <v>5.8996312730454132</v>
      </c>
      <c r="V42" s="47"/>
      <c r="Y42" s="2"/>
      <c r="Z42" s="2"/>
      <c r="AA42" s="2"/>
      <c r="AB42" s="2"/>
      <c r="AC42" s="2"/>
      <c r="AD42" s="2"/>
      <c r="AE42" s="2"/>
      <c r="AF42" s="2"/>
      <c r="AG42" s="2"/>
    </row>
    <row r="43" spans="1:45" x14ac:dyDescent="0.35">
      <c r="A43" s="41">
        <f>IFERROR(INDEX('Date Key'!$B$2:$B$19, MATCH(F43,'Date Key'!$A$2:$A$19, 0)), "")</f>
        <v>45322</v>
      </c>
      <c r="B43" s="4">
        <f t="shared" si="15"/>
        <v>5</v>
      </c>
      <c r="C43" s="26" t="str">
        <f>IFERROR(INDEX('Date Key'!$G$57:$G$62, MATCH(B43,'Date Key'!$A$57:$A$62, 0)), "")</f>
        <v>High HLR, Lower Outlet Height, Yes Plants</v>
      </c>
      <c r="D43" s="4" t="str">
        <f>IFERROR(INDEX('Date Key'!$G$2:$G$19, MATCH(F43, 'Date Key'!$A$2:$A$19, 0)), "")</f>
        <v>No</v>
      </c>
      <c r="E43" s="4" t="str">
        <f t="shared" si="1"/>
        <v>tank 1</v>
      </c>
      <c r="F43" s="4">
        <f t="shared" si="2"/>
        <v>14</v>
      </c>
      <c r="G43" s="4">
        <f t="shared" si="22"/>
        <v>2</v>
      </c>
      <c r="H43" s="11" cm="1">
        <f t="array" ref="H43">IFERROR(INDEX('Master Data Sheet'!$1:$1048576, MATCH(1, ('Master Data Sheet'!$H:$H=H$2) * (INDEX('Master Data Sheet'!$1:$1, , MATCH($F$1, 'Master Data Sheet'!$1:$1, 0)) = $F$1) * ('Master Data Sheet'!$G:$G=$B43) * ('Master Data Sheet'!$F:$F=$E43) * ('Master Data Sheet'!$A:$A=$F43), 0), MATCH($F$1, 'Master Data Sheet'!$1:$1, 0)), "")</f>
        <v>6.99</v>
      </c>
      <c r="I43" s="11" cm="1">
        <f t="array" ref="I43">IFERROR(INDEX('Master Data Sheet'!$1:$1048576, MATCH(1, ('Master Data Sheet'!$H:$H=I$2) * (INDEX('Master Data Sheet'!$1:$1, , MATCH($F$1, 'Master Data Sheet'!$1:$1, 0)) = $F$1) * ('Master Data Sheet'!$G:$G=$B43) * ('Master Data Sheet'!$F:$F=$E43) * ('Master Data Sheet'!$A:$A=$F43), 0), MATCH($F$1, 'Master Data Sheet'!$1:$1, 0)), "")</f>
        <v>7.02</v>
      </c>
      <c r="J43" s="11" cm="1">
        <f t="array" ref="J43">IFERROR(INDEX('Master Data Sheet'!$1:$1048576, MATCH(1, ('Master Data Sheet'!$H:$H=J$2) * (INDEX('Master Data Sheet'!$1:$1, , MATCH($F$1, 'Master Data Sheet'!$1:$1, 0)) = $F$1) * ('Master Data Sheet'!$G:$G=$B43) * ('Master Data Sheet'!$F:$F=$E43) * ('Master Data Sheet'!$A:$A=$F43), 0), MATCH($F$1, 'Master Data Sheet'!$1:$1, 0)), "")</f>
        <v>7.15</v>
      </c>
      <c r="K43" s="11" cm="1">
        <f t="array" ref="K43">IFERROR(INDEX('Master Data Sheet'!$1:$1048576, MATCH(1, ('Master Data Sheet'!$H:$H=K$2) * (INDEX('Master Data Sheet'!$1:$1, , MATCH($F$1, 'Master Data Sheet'!$1:$1, 0)) = $F$1) * ('Master Data Sheet'!$G:$G=$B43) * ('Master Data Sheet'!$F:$F=$E43) * ('Master Data Sheet'!$A:$A=$F43), 0), MATCH($F$1, 'Master Data Sheet'!$1:$1, 0)), "")</f>
        <v>7.19</v>
      </c>
      <c r="L43" s="11" cm="1">
        <f t="array" ref="L43">IFERROR(INDEX('Master Data Sheet'!$1:$1048576, MATCH(1, ('Master Data Sheet'!$H:$H=L$2) * (INDEX('Master Data Sheet'!$1:$1, , MATCH($F$1, 'Master Data Sheet'!$1:$1, 0)) = $F$1) * ('Master Data Sheet'!$G:$G=$B43) * ('Master Data Sheet'!$F:$F=$E43) * ('Master Data Sheet'!$A:$A=$F43), 0), MATCH($F$1, 'Master Data Sheet'!$1:$1, 0)), "")</f>
        <v>7.29</v>
      </c>
      <c r="M43" s="11" cm="1">
        <f t="array" ref="M43">IFERROR(INDEX('Master Data Sheet'!$1:$1048576, MATCH(1, ('Master Data Sheet'!$H:$H=M$2) * (INDEX('Master Data Sheet'!$1:$1, , MATCH($F$1, 'Master Data Sheet'!$1:$1, 0)) = $F$1) * ('Master Data Sheet'!$G:$G=$B43) * ('Master Data Sheet'!$F:$F=$E43) * ('Master Data Sheet'!$A:$A=$F43), 0), MATCH($F$1, 'Master Data Sheet'!$1:$1, 0)), "")</f>
        <v>7.24</v>
      </c>
      <c r="N43" s="11" cm="1">
        <f t="array" ref="N43">IFERROR(INDEX('Master Data Sheet'!$1:$1048576, MATCH(1, ('Master Data Sheet'!$H:$H=N$2) * (INDEX('Master Data Sheet'!$1:$1, , MATCH($F$1, 'Master Data Sheet'!$1:$1, 0)) = $F$1) * ('Master Data Sheet'!$G:$G=$B43) * ('Master Data Sheet'!$F:$F=$E43) * ('Master Data Sheet'!$A:$A=$F43), 0), MATCH($F$1, 'Master Data Sheet'!$1:$1, 0)), "")</f>
        <v>7.4</v>
      </c>
      <c r="O43" s="11">
        <f t="shared" si="8"/>
        <v>7.1828571428571433</v>
      </c>
      <c r="P43" s="11">
        <f t="shared" si="4"/>
        <v>0.14534032311719128</v>
      </c>
      <c r="Q43" s="11"/>
      <c r="R43" s="46">
        <f>(1-(O43/O40))*100</f>
        <v>8.6648501362397763</v>
      </c>
      <c r="X43" t="str">
        <f>IFERROR(INDEX('Date Key'!$G$57:$G$62, MATCH(B42,'Date Key'!$A$57:$A$62, 0)), "")</f>
        <v>High HLR, Lower Outlet Height, Yes Plants</v>
      </c>
      <c r="Y43" s="1">
        <f t="shared" ref="Y43:AE43" si="47">H42</f>
        <v>7.19</v>
      </c>
      <c r="Z43" s="1">
        <f t="shared" si="47"/>
        <v>7.11</v>
      </c>
      <c r="AA43" s="1">
        <f t="shared" si="47"/>
        <v>7.04</v>
      </c>
      <c r="AB43" s="1">
        <f t="shared" si="47"/>
        <v>7.17</v>
      </c>
      <c r="AC43" s="1">
        <f t="shared" si="47"/>
        <v>7.39</v>
      </c>
      <c r="AD43" s="1">
        <f t="shared" si="47"/>
        <v>7.31</v>
      </c>
      <c r="AE43" s="1">
        <f t="shared" si="47"/>
        <v>7.45</v>
      </c>
      <c r="AF43" s="1">
        <f t="shared" ref="AF43:AL43" si="48">H43</f>
        <v>6.99</v>
      </c>
      <c r="AG43" s="1">
        <f t="shared" si="48"/>
        <v>7.02</v>
      </c>
      <c r="AH43" s="1">
        <f t="shared" si="48"/>
        <v>7.15</v>
      </c>
      <c r="AI43" s="1">
        <f t="shared" si="48"/>
        <v>7.19</v>
      </c>
      <c r="AJ43" s="1">
        <f t="shared" si="48"/>
        <v>7.29</v>
      </c>
      <c r="AK43" s="1">
        <f t="shared" si="48"/>
        <v>7.24</v>
      </c>
      <c r="AL43" s="1">
        <f t="shared" si="48"/>
        <v>7.4</v>
      </c>
      <c r="AM43" s="1">
        <f t="shared" ref="AM43:AS43" si="49">H44</f>
        <v>6.88</v>
      </c>
      <c r="AN43" s="1">
        <f t="shared" si="49"/>
        <v>6.87</v>
      </c>
      <c r="AO43" s="1">
        <f t="shared" si="49"/>
        <v>7.04</v>
      </c>
      <c r="AP43" s="1">
        <f t="shared" si="49"/>
        <v>7.08</v>
      </c>
      <c r="AQ43" s="1">
        <f t="shared" si="49"/>
        <v>7.19</v>
      </c>
      <c r="AR43" s="1">
        <f t="shared" si="49"/>
        <v>7.23</v>
      </c>
      <c r="AS43" s="1">
        <f t="shared" si="49"/>
        <v>7.34</v>
      </c>
    </row>
    <row r="44" spans="1:45" x14ac:dyDescent="0.35">
      <c r="A44" s="41">
        <f>IFERROR(INDEX('Date Key'!$B$2:$B$19, MATCH(F44,'Date Key'!$A$2:$A$19, 0)), "")</f>
        <v>45330</v>
      </c>
      <c r="B44" s="4">
        <f t="shared" si="15"/>
        <v>5</v>
      </c>
      <c r="C44" s="26" t="str">
        <f>IFERROR(INDEX('Date Key'!$G$57:$G$62, MATCH(B44,'Date Key'!$A$57:$A$62, 0)), "")</f>
        <v>High HLR, Lower Outlet Height, Yes Plants</v>
      </c>
      <c r="D44" s="4" t="str">
        <f>IFERROR(INDEX('Date Key'!$G$2:$G$19, MATCH(F44, 'Date Key'!$A$2:$A$19, 0)), "")</f>
        <v>No</v>
      </c>
      <c r="E44" s="4" t="str">
        <f t="shared" si="1"/>
        <v>tank 1</v>
      </c>
      <c r="F44" s="4">
        <f t="shared" si="2"/>
        <v>15</v>
      </c>
      <c r="G44" s="4">
        <f t="shared" si="22"/>
        <v>3</v>
      </c>
      <c r="H44" s="11" cm="1">
        <f t="array" ref="H44">IFERROR(INDEX('Master Data Sheet'!$1:$1048576, MATCH(1, ('Master Data Sheet'!$H:$H=H$2) * (INDEX('Master Data Sheet'!$1:$1, , MATCH($F$1, 'Master Data Sheet'!$1:$1, 0)) = $F$1) * ('Master Data Sheet'!$G:$G=$B44) * ('Master Data Sheet'!$F:$F=$E44) * ('Master Data Sheet'!$A:$A=$F44), 0), MATCH($F$1, 'Master Data Sheet'!$1:$1, 0)), "")</f>
        <v>6.88</v>
      </c>
      <c r="I44" s="11" cm="1">
        <f t="array" ref="I44">IFERROR(INDEX('Master Data Sheet'!$1:$1048576, MATCH(1, ('Master Data Sheet'!$H:$H=I$2) * (INDEX('Master Data Sheet'!$1:$1, , MATCH($F$1, 'Master Data Sheet'!$1:$1, 0)) = $F$1) * ('Master Data Sheet'!$G:$G=$B44) * ('Master Data Sheet'!$F:$F=$E44) * ('Master Data Sheet'!$A:$A=$F44), 0), MATCH($F$1, 'Master Data Sheet'!$1:$1, 0)), "")</f>
        <v>6.87</v>
      </c>
      <c r="J44" s="11" cm="1">
        <f t="array" ref="J44">IFERROR(INDEX('Master Data Sheet'!$1:$1048576, MATCH(1, ('Master Data Sheet'!$H:$H=J$2) * (INDEX('Master Data Sheet'!$1:$1, , MATCH($F$1, 'Master Data Sheet'!$1:$1, 0)) = $F$1) * ('Master Data Sheet'!$G:$G=$B44) * ('Master Data Sheet'!$F:$F=$E44) * ('Master Data Sheet'!$A:$A=$F44), 0), MATCH($F$1, 'Master Data Sheet'!$1:$1, 0)), "")</f>
        <v>7.04</v>
      </c>
      <c r="K44" s="11" cm="1">
        <f t="array" ref="K44">IFERROR(INDEX('Master Data Sheet'!$1:$1048576, MATCH(1, ('Master Data Sheet'!$H:$H=K$2) * (INDEX('Master Data Sheet'!$1:$1, , MATCH($F$1, 'Master Data Sheet'!$1:$1, 0)) = $F$1) * ('Master Data Sheet'!$G:$G=$B44) * ('Master Data Sheet'!$F:$F=$E44) * ('Master Data Sheet'!$A:$A=$F44), 0), MATCH($F$1, 'Master Data Sheet'!$1:$1, 0)), "")</f>
        <v>7.08</v>
      </c>
      <c r="L44" s="11" cm="1">
        <f t="array" ref="L44">IFERROR(INDEX('Master Data Sheet'!$1:$1048576, MATCH(1, ('Master Data Sheet'!$H:$H=L$2) * (INDEX('Master Data Sheet'!$1:$1, , MATCH($F$1, 'Master Data Sheet'!$1:$1, 0)) = $F$1) * ('Master Data Sheet'!$G:$G=$B44) * ('Master Data Sheet'!$F:$F=$E44) * ('Master Data Sheet'!$A:$A=$F44), 0), MATCH($F$1, 'Master Data Sheet'!$1:$1, 0)), "")</f>
        <v>7.19</v>
      </c>
      <c r="M44" s="11" cm="1">
        <f t="array" ref="M44">IFERROR(INDEX('Master Data Sheet'!$1:$1048576, MATCH(1, ('Master Data Sheet'!$H:$H=M$2) * (INDEX('Master Data Sheet'!$1:$1, , MATCH($F$1, 'Master Data Sheet'!$1:$1, 0)) = $F$1) * ('Master Data Sheet'!$G:$G=$B44) * ('Master Data Sheet'!$F:$F=$E44) * ('Master Data Sheet'!$A:$A=$F44), 0), MATCH($F$1, 'Master Data Sheet'!$1:$1, 0)), "")</f>
        <v>7.23</v>
      </c>
      <c r="N44" s="11" cm="1">
        <f t="array" ref="N44">IFERROR(INDEX('Master Data Sheet'!$1:$1048576, MATCH(1, ('Master Data Sheet'!$H:$H=N$2) * (INDEX('Master Data Sheet'!$1:$1, , MATCH($F$1, 'Master Data Sheet'!$1:$1, 0)) = $F$1) * ('Master Data Sheet'!$G:$G=$B44) * ('Master Data Sheet'!$F:$F=$E44) * ('Master Data Sheet'!$A:$A=$F44), 0), MATCH($F$1, 'Master Data Sheet'!$1:$1, 0)), "")</f>
        <v>7.34</v>
      </c>
      <c r="O44" s="11">
        <f t="shared" si="8"/>
        <v>7.089999999999999</v>
      </c>
      <c r="P44" s="11">
        <f t="shared" si="4"/>
        <v>0.17663521732655699</v>
      </c>
      <c r="Q44" s="11"/>
      <c r="R44" s="46">
        <f>(1-(O44/O41))*100</f>
        <v>8.6676481413323732</v>
      </c>
      <c r="Y44" s="2"/>
      <c r="Z44" s="2"/>
      <c r="AA44" s="2"/>
      <c r="AB44" s="2"/>
      <c r="AC44" s="2"/>
      <c r="AD44" s="2"/>
      <c r="AE44" s="2"/>
      <c r="AF44" s="2"/>
      <c r="AG44" s="2"/>
    </row>
    <row r="45" spans="1:45" x14ac:dyDescent="0.35">
      <c r="A45" s="41">
        <f>IFERROR(INDEX('Date Key'!$B$2:$B$19, MATCH(F45,'Date Key'!$A$2:$A$19, 0)), "")</f>
        <v>45313</v>
      </c>
      <c r="B45" s="4">
        <f t="shared" si="15"/>
        <v>5</v>
      </c>
      <c r="C45" s="26" t="str">
        <f>IFERROR(INDEX('Date Key'!$G$57:$G$62, MATCH(B45,'Date Key'!$A$57:$A$62, 0)), "")</f>
        <v>High HLR, Lower Outlet Height, Yes Plants</v>
      </c>
      <c r="D45" s="4" t="str">
        <f>IFERROR(INDEX('Date Key'!$G$2:$G$19, MATCH(F45, 'Date Key'!$A$2:$A$19, 0)), "")</f>
        <v>Yes</v>
      </c>
      <c r="E45" s="4" t="str">
        <f t="shared" si="1"/>
        <v>tank 2</v>
      </c>
      <c r="F45" s="4">
        <f t="shared" si="2"/>
        <v>13</v>
      </c>
      <c r="G45" s="4">
        <f t="shared" si="22"/>
        <v>1</v>
      </c>
      <c r="H45" s="11" cm="1">
        <f t="array" ref="H45">IFERROR(INDEX('Master Data Sheet'!$1:$1048576, MATCH(1, ('Master Data Sheet'!$H:$H=H$2) * (INDEX('Master Data Sheet'!$1:$1, , MATCH($F$1, 'Master Data Sheet'!$1:$1, 0)) = $F$1) * ('Master Data Sheet'!$G:$G=$B45) * ('Master Data Sheet'!$F:$F=$E45) * ('Master Data Sheet'!$A:$A=$F45), 0), MATCH($F$1, 'Master Data Sheet'!$1:$1, 0)), "")</f>
        <v>7.38</v>
      </c>
      <c r="I45" s="11" cm="1">
        <f t="array" ref="I45">IFERROR(INDEX('Master Data Sheet'!$1:$1048576, MATCH(1, ('Master Data Sheet'!$H:$H=I$2) * (INDEX('Master Data Sheet'!$1:$1, , MATCH($F$1, 'Master Data Sheet'!$1:$1, 0)) = $F$1) * ('Master Data Sheet'!$G:$G=$B45) * ('Master Data Sheet'!$F:$F=$E45) * ('Master Data Sheet'!$A:$A=$F45), 0), MATCH($F$1, 'Master Data Sheet'!$1:$1, 0)), "")</f>
        <v>7.38</v>
      </c>
      <c r="J45" s="11" cm="1">
        <f t="array" ref="J45">IFERROR(INDEX('Master Data Sheet'!$1:$1048576, MATCH(1, ('Master Data Sheet'!$H:$H=J$2) * (INDEX('Master Data Sheet'!$1:$1, , MATCH($F$1, 'Master Data Sheet'!$1:$1, 0)) = $F$1) * ('Master Data Sheet'!$G:$G=$B45) * ('Master Data Sheet'!$F:$F=$E45) * ('Master Data Sheet'!$A:$A=$F45), 0), MATCH($F$1, 'Master Data Sheet'!$1:$1, 0)), "")</f>
        <v>7.45</v>
      </c>
      <c r="K45" s="11" cm="1">
        <f t="array" ref="K45">IFERROR(INDEX('Master Data Sheet'!$1:$1048576, MATCH(1, ('Master Data Sheet'!$H:$H=K$2) * (INDEX('Master Data Sheet'!$1:$1, , MATCH($F$1, 'Master Data Sheet'!$1:$1, 0)) = $F$1) * ('Master Data Sheet'!$G:$G=$B45) * ('Master Data Sheet'!$F:$F=$E45) * ('Master Data Sheet'!$A:$A=$F45), 0), MATCH($F$1, 'Master Data Sheet'!$1:$1, 0)), "")</f>
        <v>7.32</v>
      </c>
      <c r="L45" s="11" cm="1">
        <f t="array" ref="L45">IFERROR(INDEX('Master Data Sheet'!$1:$1048576, MATCH(1, ('Master Data Sheet'!$H:$H=L$2) * (INDEX('Master Data Sheet'!$1:$1, , MATCH($F$1, 'Master Data Sheet'!$1:$1, 0)) = $F$1) * ('Master Data Sheet'!$G:$G=$B45) * ('Master Data Sheet'!$F:$F=$E45) * ('Master Data Sheet'!$A:$A=$F45), 0), MATCH($F$1, 'Master Data Sheet'!$1:$1, 0)), "")</f>
        <v>7.44</v>
      </c>
      <c r="M45" s="11" cm="1">
        <f t="array" ref="M45">IFERROR(INDEX('Master Data Sheet'!$1:$1048576, MATCH(1, ('Master Data Sheet'!$H:$H=M$2) * (INDEX('Master Data Sheet'!$1:$1, , MATCH($F$1, 'Master Data Sheet'!$1:$1, 0)) = $F$1) * ('Master Data Sheet'!$G:$G=$B45) * ('Master Data Sheet'!$F:$F=$E45) * ('Master Data Sheet'!$A:$A=$F45), 0), MATCH($F$1, 'Master Data Sheet'!$1:$1, 0)), "")</f>
        <v>7.43</v>
      </c>
      <c r="N45" s="11" cm="1">
        <f t="array" ref="N45">IFERROR(INDEX('Master Data Sheet'!$1:$1048576, MATCH(1, ('Master Data Sheet'!$H:$H=N$2) * (INDEX('Master Data Sheet'!$1:$1, , MATCH($F$1, 'Master Data Sheet'!$1:$1, 0)) = $F$1) * ('Master Data Sheet'!$G:$G=$B45) * ('Master Data Sheet'!$F:$F=$E45) * ('Master Data Sheet'!$A:$A=$F45), 0), MATCH($F$1, 'Master Data Sheet'!$1:$1, 0)), "")</f>
        <v>7.28</v>
      </c>
      <c r="O45" s="11">
        <f t="shared" si="8"/>
        <v>7.3828571428571426</v>
      </c>
      <c r="P45" s="11">
        <f t="shared" si="4"/>
        <v>6.3956830678796012E-2</v>
      </c>
      <c r="Q45" s="11">
        <f>AVERAGE(N45:N47)</f>
        <v>7.4066666666666663</v>
      </c>
      <c r="R45" s="46">
        <f>(1-(O45/O39))*100</f>
        <v>-2.0940339786645668</v>
      </c>
      <c r="S45" s="46">
        <f>AVERAGE(R45:R47)</f>
        <v>3.6578474524108118</v>
      </c>
      <c r="T45" s="46">
        <f>STDEV(R45:R47)</f>
        <v>5.0865891415293074</v>
      </c>
      <c r="U45" s="47">
        <f>(1-(AVERAGE(H45:N47)/AVERAGE(H39:N41)))*100</f>
        <v>3.799762514842786</v>
      </c>
      <c r="V45" s="47"/>
      <c r="Y45" s="2"/>
      <c r="Z45" s="2"/>
      <c r="AA45" s="2"/>
      <c r="AB45" s="2"/>
      <c r="AC45" s="2"/>
      <c r="AD45" s="2"/>
      <c r="AE45" s="2"/>
      <c r="AF45" s="2"/>
      <c r="AG45" s="2"/>
    </row>
    <row r="46" spans="1:45" x14ac:dyDescent="0.35">
      <c r="A46" s="41">
        <f>IFERROR(INDEX('Date Key'!$B$2:$B$19, MATCH(F46,'Date Key'!$A$2:$A$19, 0)), "")</f>
        <v>45322</v>
      </c>
      <c r="B46" s="4">
        <f t="shared" si="15"/>
        <v>5</v>
      </c>
      <c r="C46" s="26" t="str">
        <f>IFERROR(INDEX('Date Key'!$G$57:$G$62, MATCH(B46,'Date Key'!$A$57:$A$62, 0)), "")</f>
        <v>High HLR, Lower Outlet Height, Yes Plants</v>
      </c>
      <c r="D46" s="4" t="str">
        <f>IFERROR(INDEX('Date Key'!$G$2:$G$19, MATCH(F46, 'Date Key'!$A$2:$A$19, 0)), "")</f>
        <v>No</v>
      </c>
      <c r="E46" s="4" t="str">
        <f t="shared" si="1"/>
        <v>tank 2</v>
      </c>
      <c r="F46" s="4">
        <f t="shared" si="2"/>
        <v>14</v>
      </c>
      <c r="G46" s="4">
        <f t="shared" si="22"/>
        <v>2</v>
      </c>
      <c r="H46" s="11" cm="1">
        <f t="array" ref="H46">IFERROR(INDEX('Master Data Sheet'!$1:$1048576, MATCH(1, ('Master Data Sheet'!$H:$H=H$2) * (INDEX('Master Data Sheet'!$1:$1, , MATCH($F$1, 'Master Data Sheet'!$1:$1, 0)) = $F$1) * ('Master Data Sheet'!$G:$G=$B46) * ('Master Data Sheet'!$F:$F=$E46) * ('Master Data Sheet'!$A:$A=$F46), 0), MATCH($F$1, 'Master Data Sheet'!$1:$1, 0)), "")</f>
        <v>7.15</v>
      </c>
      <c r="I46" s="11" cm="1">
        <f t="array" ref="I46">IFERROR(INDEX('Master Data Sheet'!$1:$1048576, MATCH(1, ('Master Data Sheet'!$H:$H=I$2) * (INDEX('Master Data Sheet'!$1:$1, , MATCH($F$1, 'Master Data Sheet'!$1:$1, 0)) = $F$1) * ('Master Data Sheet'!$G:$G=$B46) * ('Master Data Sheet'!$F:$F=$E46) * ('Master Data Sheet'!$A:$A=$F46), 0), MATCH($F$1, 'Master Data Sheet'!$1:$1, 0)), "")</f>
        <v>7.32</v>
      </c>
      <c r="J46" s="11" cm="1">
        <f t="array" ref="J46">IFERROR(INDEX('Master Data Sheet'!$1:$1048576, MATCH(1, ('Master Data Sheet'!$H:$H=J$2) * (INDEX('Master Data Sheet'!$1:$1, , MATCH($F$1, 'Master Data Sheet'!$1:$1, 0)) = $F$1) * ('Master Data Sheet'!$G:$G=$B46) * ('Master Data Sheet'!$F:$F=$E46) * ('Master Data Sheet'!$A:$A=$F46), 0), MATCH($F$1, 'Master Data Sheet'!$1:$1, 0)), "")</f>
        <v>7.4</v>
      </c>
      <c r="K46" s="11" cm="1">
        <f t="array" ref="K46">IFERROR(INDEX('Master Data Sheet'!$1:$1048576, MATCH(1, ('Master Data Sheet'!$H:$H=K$2) * (INDEX('Master Data Sheet'!$1:$1, , MATCH($F$1, 'Master Data Sheet'!$1:$1, 0)) = $F$1) * ('Master Data Sheet'!$G:$G=$B46) * ('Master Data Sheet'!$F:$F=$E46) * ('Master Data Sheet'!$A:$A=$F46), 0), MATCH($F$1, 'Master Data Sheet'!$1:$1, 0)), "")</f>
        <v>7.45</v>
      </c>
      <c r="L46" s="11" cm="1">
        <f t="array" ref="L46">IFERROR(INDEX('Master Data Sheet'!$1:$1048576, MATCH(1, ('Master Data Sheet'!$H:$H=L$2) * (INDEX('Master Data Sheet'!$1:$1, , MATCH($F$1, 'Master Data Sheet'!$1:$1, 0)) = $F$1) * ('Master Data Sheet'!$G:$G=$B46) * ('Master Data Sheet'!$F:$F=$E46) * ('Master Data Sheet'!$A:$A=$F46), 0), MATCH($F$1, 'Master Data Sheet'!$1:$1, 0)), "")</f>
        <v>7.54</v>
      </c>
      <c r="M46" s="11" cm="1">
        <f t="array" ref="M46">IFERROR(INDEX('Master Data Sheet'!$1:$1048576, MATCH(1, ('Master Data Sheet'!$H:$H=M$2) * (INDEX('Master Data Sheet'!$1:$1, , MATCH($F$1, 'Master Data Sheet'!$1:$1, 0)) = $F$1) * ('Master Data Sheet'!$G:$G=$B46) * ('Master Data Sheet'!$F:$F=$E46) * ('Master Data Sheet'!$A:$A=$F46), 0), MATCH($F$1, 'Master Data Sheet'!$1:$1, 0)), "")</f>
        <v>7.58</v>
      </c>
      <c r="N46" s="11" cm="1">
        <f t="array" ref="N46">IFERROR(INDEX('Master Data Sheet'!$1:$1048576, MATCH(1, ('Master Data Sheet'!$H:$H=N$2) * (INDEX('Master Data Sheet'!$1:$1, , MATCH($F$1, 'Master Data Sheet'!$1:$1, 0)) = $F$1) * ('Master Data Sheet'!$G:$G=$B46) * ('Master Data Sheet'!$F:$F=$E46) * ('Master Data Sheet'!$A:$A=$F46), 0), MATCH($F$1, 'Master Data Sheet'!$1:$1, 0)), "")</f>
        <v>7.58</v>
      </c>
      <c r="O46" s="11">
        <f t="shared" si="8"/>
        <v>7.4314285714285706</v>
      </c>
      <c r="P46" s="11">
        <f t="shared" si="4"/>
        <v>0.15752550813847793</v>
      </c>
      <c r="Q46" s="11"/>
      <c r="R46" s="46">
        <f>(1-(O46/O40))*100</f>
        <v>5.504087193460494</v>
      </c>
      <c r="X46" t="str">
        <f>IFERROR(INDEX('Date Key'!$G$57:$G$62, MATCH(B45,'Date Key'!$A$57:$A$62, 0)), "")</f>
        <v>High HLR, Lower Outlet Height, Yes Plants</v>
      </c>
      <c r="Y46" s="1">
        <f t="shared" ref="Y46:AE46" si="50">H45</f>
        <v>7.38</v>
      </c>
      <c r="Z46" s="1">
        <f t="shared" si="50"/>
        <v>7.38</v>
      </c>
      <c r="AA46" s="1">
        <f t="shared" si="50"/>
        <v>7.45</v>
      </c>
      <c r="AB46" s="1">
        <f t="shared" si="50"/>
        <v>7.32</v>
      </c>
      <c r="AC46" s="1">
        <f t="shared" si="50"/>
        <v>7.44</v>
      </c>
      <c r="AD46" s="1">
        <f t="shared" si="50"/>
        <v>7.43</v>
      </c>
      <c r="AE46" s="1">
        <f t="shared" si="50"/>
        <v>7.28</v>
      </c>
      <c r="AF46" s="1">
        <f t="shared" ref="AF46:AL46" si="51">H46</f>
        <v>7.15</v>
      </c>
      <c r="AG46" s="1">
        <f t="shared" si="51"/>
        <v>7.32</v>
      </c>
      <c r="AH46" s="1">
        <f t="shared" si="51"/>
        <v>7.4</v>
      </c>
      <c r="AI46" s="1">
        <f t="shared" si="51"/>
        <v>7.45</v>
      </c>
      <c r="AJ46" s="1">
        <f t="shared" si="51"/>
        <v>7.54</v>
      </c>
      <c r="AK46" s="1">
        <f t="shared" si="51"/>
        <v>7.58</v>
      </c>
      <c r="AL46" s="1">
        <f t="shared" si="51"/>
        <v>7.58</v>
      </c>
      <c r="AM46" s="1">
        <f t="shared" ref="AM46:AS46" si="52">H47</f>
        <v>6.84</v>
      </c>
      <c r="AN46" s="1">
        <f t="shared" si="52"/>
        <v>7.03</v>
      </c>
      <c r="AO46" s="1">
        <f t="shared" si="52"/>
        <v>7.16</v>
      </c>
      <c r="AP46" s="1">
        <f t="shared" si="52"/>
        <v>7.24</v>
      </c>
      <c r="AQ46" s="1">
        <f t="shared" si="52"/>
        <v>7.28</v>
      </c>
      <c r="AR46" s="1">
        <f t="shared" si="52"/>
        <v>7.32</v>
      </c>
      <c r="AS46" s="1">
        <f t="shared" si="52"/>
        <v>7.36</v>
      </c>
    </row>
    <row r="47" spans="1:45" x14ac:dyDescent="0.35">
      <c r="A47" s="42">
        <f>IFERROR(INDEX('Date Key'!$B$2:$B$19, MATCH(F47,'Date Key'!$A$2:$A$19, 0)), "")</f>
        <v>45330</v>
      </c>
      <c r="B47" s="27">
        <f t="shared" si="15"/>
        <v>5</v>
      </c>
      <c r="C47" s="51" t="str">
        <f>IFERROR(INDEX('Date Key'!$G$57:$G$62, MATCH(B47,'Date Key'!$A$57:$A$62, 0)), "")</f>
        <v>High HLR, Lower Outlet Height, Yes Plants</v>
      </c>
      <c r="D47" s="27" t="str">
        <f>IFERROR(INDEX('Date Key'!$G$2:$G$19, MATCH(F47, 'Date Key'!$A$2:$A$19, 0)), "")</f>
        <v>No</v>
      </c>
      <c r="E47" s="27" t="str">
        <f t="shared" si="1"/>
        <v>tank 2</v>
      </c>
      <c r="F47" s="27">
        <f t="shared" si="2"/>
        <v>15</v>
      </c>
      <c r="G47" s="27">
        <f t="shared" si="22"/>
        <v>3</v>
      </c>
      <c r="H47" s="28" cm="1">
        <f t="array" ref="H47">IFERROR(INDEX('Master Data Sheet'!$1:$1048576, MATCH(1, ('Master Data Sheet'!$H:$H=H$2) * (INDEX('Master Data Sheet'!$1:$1, , MATCH($F$1, 'Master Data Sheet'!$1:$1, 0)) = $F$1) * ('Master Data Sheet'!$G:$G=$B47) * ('Master Data Sheet'!$F:$F=$E47) * ('Master Data Sheet'!$A:$A=$F47), 0), MATCH($F$1, 'Master Data Sheet'!$1:$1, 0)), "")</f>
        <v>6.84</v>
      </c>
      <c r="I47" s="28" cm="1">
        <f t="array" ref="I47">IFERROR(INDEX('Master Data Sheet'!$1:$1048576, MATCH(1, ('Master Data Sheet'!$H:$H=I$2) * (INDEX('Master Data Sheet'!$1:$1, , MATCH($F$1, 'Master Data Sheet'!$1:$1, 0)) = $F$1) * ('Master Data Sheet'!$G:$G=$B47) * ('Master Data Sheet'!$F:$F=$E47) * ('Master Data Sheet'!$A:$A=$F47), 0), MATCH($F$1, 'Master Data Sheet'!$1:$1, 0)), "")</f>
        <v>7.03</v>
      </c>
      <c r="J47" s="28" cm="1">
        <f t="array" ref="J47">IFERROR(INDEX('Master Data Sheet'!$1:$1048576, MATCH(1, ('Master Data Sheet'!$H:$H=J$2) * (INDEX('Master Data Sheet'!$1:$1, , MATCH($F$1, 'Master Data Sheet'!$1:$1, 0)) = $F$1) * ('Master Data Sheet'!$G:$G=$B47) * ('Master Data Sheet'!$F:$F=$E47) * ('Master Data Sheet'!$A:$A=$F47), 0), MATCH($F$1, 'Master Data Sheet'!$1:$1, 0)), "")</f>
        <v>7.16</v>
      </c>
      <c r="K47" s="28" cm="1">
        <f t="array" ref="K47">IFERROR(INDEX('Master Data Sheet'!$1:$1048576, MATCH(1, ('Master Data Sheet'!$H:$H=K$2) * (INDEX('Master Data Sheet'!$1:$1, , MATCH($F$1, 'Master Data Sheet'!$1:$1, 0)) = $F$1) * ('Master Data Sheet'!$G:$G=$B47) * ('Master Data Sheet'!$F:$F=$E47) * ('Master Data Sheet'!$A:$A=$F47), 0), MATCH($F$1, 'Master Data Sheet'!$1:$1, 0)), "")</f>
        <v>7.24</v>
      </c>
      <c r="L47" s="28" cm="1">
        <f t="array" ref="L47">IFERROR(INDEX('Master Data Sheet'!$1:$1048576, MATCH(1, ('Master Data Sheet'!$H:$H=L$2) * (INDEX('Master Data Sheet'!$1:$1, , MATCH($F$1, 'Master Data Sheet'!$1:$1, 0)) = $F$1) * ('Master Data Sheet'!$G:$G=$B47) * ('Master Data Sheet'!$F:$F=$E47) * ('Master Data Sheet'!$A:$A=$F47), 0), MATCH($F$1, 'Master Data Sheet'!$1:$1, 0)), "")</f>
        <v>7.28</v>
      </c>
      <c r="M47" s="28" cm="1">
        <f t="array" ref="M47">IFERROR(INDEX('Master Data Sheet'!$1:$1048576, MATCH(1, ('Master Data Sheet'!$H:$H=M$2) * (INDEX('Master Data Sheet'!$1:$1, , MATCH($F$1, 'Master Data Sheet'!$1:$1, 0)) = $F$1) * ('Master Data Sheet'!$G:$G=$B47) * ('Master Data Sheet'!$F:$F=$E47) * ('Master Data Sheet'!$A:$A=$F47), 0), MATCH($F$1, 'Master Data Sheet'!$1:$1, 0)), "")</f>
        <v>7.32</v>
      </c>
      <c r="N47" s="28" cm="1">
        <f t="array" ref="N47">IFERROR(INDEX('Master Data Sheet'!$1:$1048576, MATCH(1, ('Master Data Sheet'!$H:$H=N$2) * (INDEX('Master Data Sheet'!$1:$1, , MATCH($F$1, 'Master Data Sheet'!$1:$1, 0)) = $F$1) * ('Master Data Sheet'!$G:$G=$B47) * ('Master Data Sheet'!$F:$F=$E47) * ('Master Data Sheet'!$A:$A=$F47), 0), MATCH($F$1, 'Master Data Sheet'!$1:$1, 0)), "")</f>
        <v>7.36</v>
      </c>
      <c r="O47" s="28">
        <f t="shared" si="8"/>
        <v>7.1757142857142862</v>
      </c>
      <c r="P47" s="28">
        <f t="shared" si="4"/>
        <v>0.18437797616645582</v>
      </c>
      <c r="Q47" s="28"/>
      <c r="R47" s="48">
        <f>(1-(O47/O41))*100</f>
        <v>7.5634891424365076</v>
      </c>
      <c r="S47" s="27"/>
      <c r="T47" s="27"/>
      <c r="U47" s="27"/>
      <c r="V47" s="27"/>
    </row>
    <row r="48" spans="1:45" x14ac:dyDescent="0.35">
      <c r="A48" s="41">
        <f>IFERROR(INDEX('Date Key'!$B$2:$B$19, MATCH(F48,'Date Key'!$A$2:$A$19, 0)), "")</f>
        <v>45371</v>
      </c>
      <c r="B48" s="4">
        <f t="shared" si="15"/>
        <v>6</v>
      </c>
      <c r="C48" s="26" t="str">
        <f>IFERROR(INDEX('Date Key'!$G$57:$G$62, MATCH(B48,'Date Key'!$A$57:$A$62, 0)), "")</f>
        <v>Medium HLR, Upper Outlet Height, Yes Plants</v>
      </c>
      <c r="D48" s="4" t="str">
        <f>IFERROR(INDEX('Date Key'!$G$2:$G$19, MATCH(F48, 'Date Key'!$A$2:$A$19, 0)), "")</f>
        <v>No</v>
      </c>
      <c r="E48" s="4" t="str">
        <f t="shared" si="1"/>
        <v>in</v>
      </c>
      <c r="F48" s="4">
        <f t="shared" si="2"/>
        <v>16</v>
      </c>
      <c r="G48" s="4">
        <f t="shared" si="22"/>
        <v>1</v>
      </c>
      <c r="H48" s="11" cm="1">
        <f t="array" ref="H48">IFERROR(INDEX('Master Data Sheet'!$1:$1048576, MATCH(1, ('Master Data Sheet'!$H:$H=H$2) * (INDEX('Master Data Sheet'!$1:$1, , MATCH($F$1, 'Master Data Sheet'!$1:$1, 0)) = $F$1) * ('Master Data Sheet'!$G:$G=$B48) * ('Master Data Sheet'!$F:$F=$E48) * ('Master Data Sheet'!$A:$A=$F48), 0), MATCH($F$1, 'Master Data Sheet'!$1:$1, 0)), "")</f>
        <v>8.35</v>
      </c>
      <c r="I48" s="11" cm="1">
        <f t="array" ref="I48">IFERROR(INDEX('Master Data Sheet'!$1:$1048576, MATCH(1, ('Master Data Sheet'!$H:$H=I$2) * (INDEX('Master Data Sheet'!$1:$1, , MATCH($F$1, 'Master Data Sheet'!$1:$1, 0)) = $F$1) * ('Master Data Sheet'!$G:$G=$B48) * ('Master Data Sheet'!$F:$F=$E48) * ('Master Data Sheet'!$A:$A=$F48), 0), MATCH($F$1, 'Master Data Sheet'!$1:$1, 0)), "")</f>
        <v>8.2799999999999994</v>
      </c>
      <c r="J48" s="11" cm="1">
        <f t="array" ref="J48">IFERROR(INDEX('Master Data Sheet'!$1:$1048576, MATCH(1, ('Master Data Sheet'!$H:$H=J$2) * (INDEX('Master Data Sheet'!$1:$1, , MATCH($F$1, 'Master Data Sheet'!$1:$1, 0)) = $F$1) * ('Master Data Sheet'!$G:$G=$B48) * ('Master Data Sheet'!$F:$F=$E48) * ('Master Data Sheet'!$A:$A=$F48), 0), MATCH($F$1, 'Master Data Sheet'!$1:$1, 0)), "")</f>
        <v>8.39</v>
      </c>
      <c r="K48" s="11" cm="1">
        <f t="array" ref="K48">IFERROR(INDEX('Master Data Sheet'!$1:$1048576, MATCH(1, ('Master Data Sheet'!$H:$H=K$2) * (INDEX('Master Data Sheet'!$1:$1, , MATCH($F$1, 'Master Data Sheet'!$1:$1, 0)) = $F$1) * ('Master Data Sheet'!$G:$G=$B48) * ('Master Data Sheet'!$F:$F=$E48) * ('Master Data Sheet'!$A:$A=$F48), 0), MATCH($F$1, 'Master Data Sheet'!$1:$1, 0)), "")</f>
        <v>8.15</v>
      </c>
      <c r="L48" s="11" cm="1">
        <f t="array" ref="L48">IFERROR(INDEX('Master Data Sheet'!$1:$1048576, MATCH(1, ('Master Data Sheet'!$H:$H=L$2) * (INDEX('Master Data Sheet'!$1:$1, , MATCH($F$1, 'Master Data Sheet'!$1:$1, 0)) = $F$1) * ('Master Data Sheet'!$G:$G=$B48) * ('Master Data Sheet'!$F:$F=$E48) * ('Master Data Sheet'!$A:$A=$F48), 0), MATCH($F$1, 'Master Data Sheet'!$1:$1, 0)), "")</f>
        <v>8.1199999999999992</v>
      </c>
      <c r="M48" s="11" cm="1">
        <f t="array" ref="M48">IFERROR(INDEX('Master Data Sheet'!$1:$1048576, MATCH(1, ('Master Data Sheet'!$H:$H=M$2) * (INDEX('Master Data Sheet'!$1:$1, , MATCH($F$1, 'Master Data Sheet'!$1:$1, 0)) = $F$1) * ('Master Data Sheet'!$G:$G=$B48) * ('Master Data Sheet'!$F:$F=$E48) * ('Master Data Sheet'!$A:$A=$F48), 0), MATCH($F$1, 'Master Data Sheet'!$1:$1, 0)), "")</f>
        <v>8.07</v>
      </c>
      <c r="N48" s="11" cm="1">
        <f t="array" ref="N48">IFERROR(INDEX('Master Data Sheet'!$1:$1048576, MATCH(1, ('Master Data Sheet'!$H:$H=N$2) * (INDEX('Master Data Sheet'!$1:$1, , MATCH($F$1, 'Master Data Sheet'!$1:$1, 0)) = $F$1) * ('Master Data Sheet'!$G:$G=$B48) * ('Master Data Sheet'!$F:$F=$E48) * ('Master Data Sheet'!$A:$A=$F48), 0), MATCH($F$1, 'Master Data Sheet'!$1:$1, 0)), "")</f>
        <v>8.0299999999999994</v>
      </c>
      <c r="O48" s="11">
        <f t="shared" si="8"/>
        <v>8.1985714285714284</v>
      </c>
      <c r="P48" s="11">
        <f t="shared" si="4"/>
        <v>0.14123604018669983</v>
      </c>
      <c r="Q48" s="11">
        <f>AVERAGE(O48:O50)</f>
        <v>8.043333333333333</v>
      </c>
      <c r="S48" s="11">
        <f>AVERAGE(O48:O50)</f>
        <v>8.043333333333333</v>
      </c>
      <c r="T48" s="11">
        <f>AVERAGE(P48:P50)</f>
        <v>0.16742694993684124</v>
      </c>
      <c r="V48" s="47">
        <f>AVERAGE(U51, U54)</f>
        <v>11.85394588834291</v>
      </c>
      <c r="X48" t="s">
        <v>343</v>
      </c>
    </row>
    <row r="49" spans="1:46" x14ac:dyDescent="0.35">
      <c r="A49" s="41">
        <f>IFERROR(INDEX('Date Key'!$B$2:$B$19, MATCH(F49,'Date Key'!$A$2:$A$19, 0)), "")</f>
        <v>45392</v>
      </c>
      <c r="B49" s="4">
        <f t="shared" si="15"/>
        <v>6</v>
      </c>
      <c r="C49" s="26" t="str">
        <f>IFERROR(INDEX('Date Key'!$G$57:$G$62, MATCH(B49,'Date Key'!$A$57:$A$62, 0)), "")</f>
        <v>Medium HLR, Upper Outlet Height, Yes Plants</v>
      </c>
      <c r="D49" s="4" t="str">
        <f>IFERROR(INDEX('Date Key'!$G$2:$G$19, MATCH(F49, 'Date Key'!$A$2:$A$19, 0)), "")</f>
        <v>No</v>
      </c>
      <c r="E49" s="4" t="str">
        <f t="shared" si="1"/>
        <v>in</v>
      </c>
      <c r="F49" s="4">
        <f t="shared" si="2"/>
        <v>17</v>
      </c>
      <c r="G49" s="4">
        <f t="shared" si="22"/>
        <v>2</v>
      </c>
      <c r="H49" s="11" cm="1">
        <f t="array" ref="H49">IFERROR(INDEX('Master Data Sheet'!$1:$1048576, MATCH(1, ('Master Data Sheet'!$H:$H=H$2) * (INDEX('Master Data Sheet'!$1:$1, , MATCH($F$1, 'Master Data Sheet'!$1:$1, 0)) = $F$1) * ('Master Data Sheet'!$G:$G=$B49) * ('Master Data Sheet'!$F:$F=$E49) * ('Master Data Sheet'!$A:$A=$F49), 0), MATCH($F$1, 'Master Data Sheet'!$1:$1, 0)), "")</f>
        <v>8.4</v>
      </c>
      <c r="I49" s="11" cm="1">
        <f t="array" ref="I49">IFERROR(INDEX('Master Data Sheet'!$1:$1048576, MATCH(1, ('Master Data Sheet'!$H:$H=I$2) * (INDEX('Master Data Sheet'!$1:$1, , MATCH($F$1, 'Master Data Sheet'!$1:$1, 0)) = $F$1) * ('Master Data Sheet'!$G:$G=$B49) * ('Master Data Sheet'!$F:$F=$E49) * ('Master Data Sheet'!$A:$A=$F49), 0), MATCH($F$1, 'Master Data Sheet'!$1:$1, 0)), "")</f>
        <v>8.48</v>
      </c>
      <c r="J49" s="11" cm="1">
        <f t="array" ref="J49">IFERROR(INDEX('Master Data Sheet'!$1:$1048576, MATCH(1, ('Master Data Sheet'!$H:$H=J$2) * (INDEX('Master Data Sheet'!$1:$1, , MATCH($F$1, 'Master Data Sheet'!$1:$1, 0)) = $F$1) * ('Master Data Sheet'!$G:$G=$B49) * ('Master Data Sheet'!$F:$F=$E49) * ('Master Data Sheet'!$A:$A=$F49), 0), MATCH($F$1, 'Master Data Sheet'!$1:$1, 0)), "")</f>
        <v>8.2799999999999994</v>
      </c>
      <c r="K49" s="11" cm="1">
        <f t="array" ref="K49">IFERROR(INDEX('Master Data Sheet'!$1:$1048576, MATCH(1, ('Master Data Sheet'!$H:$H=K$2) * (INDEX('Master Data Sheet'!$1:$1, , MATCH($F$1, 'Master Data Sheet'!$1:$1, 0)) = $F$1) * ('Master Data Sheet'!$G:$G=$B49) * ('Master Data Sheet'!$F:$F=$E49) * ('Master Data Sheet'!$A:$A=$F49), 0), MATCH($F$1, 'Master Data Sheet'!$1:$1, 0)), "")</f>
        <v>8.09</v>
      </c>
      <c r="L49" s="11" cm="1">
        <f t="array" ref="L49">IFERROR(INDEX('Master Data Sheet'!$1:$1048576, MATCH(1, ('Master Data Sheet'!$H:$H=L$2) * (INDEX('Master Data Sheet'!$1:$1, , MATCH($F$1, 'Master Data Sheet'!$1:$1, 0)) = $F$1) * ('Master Data Sheet'!$G:$G=$B49) * ('Master Data Sheet'!$F:$F=$E49) * ('Master Data Sheet'!$A:$A=$F49), 0), MATCH($F$1, 'Master Data Sheet'!$1:$1, 0)), "")</f>
        <v>7.91</v>
      </c>
      <c r="M49" s="11" cm="1">
        <f t="array" ref="M49">IFERROR(INDEX('Master Data Sheet'!$1:$1048576, MATCH(1, ('Master Data Sheet'!$H:$H=M$2) * (INDEX('Master Data Sheet'!$1:$1, , MATCH($F$1, 'Master Data Sheet'!$1:$1, 0)) = $F$1) * ('Master Data Sheet'!$G:$G=$B49) * ('Master Data Sheet'!$F:$F=$E49) * ('Master Data Sheet'!$A:$A=$F49), 0), MATCH($F$1, 'Master Data Sheet'!$1:$1, 0)), "")</f>
        <v>7.96</v>
      </c>
      <c r="N49" s="11" cm="1">
        <f t="array" ref="N49">IFERROR(INDEX('Master Data Sheet'!$1:$1048576, MATCH(1, ('Master Data Sheet'!$H:$H=N$2) * (INDEX('Master Data Sheet'!$1:$1, , MATCH($F$1, 'Master Data Sheet'!$1:$1, 0)) = $F$1) * ('Master Data Sheet'!$G:$G=$B49) * ('Master Data Sheet'!$F:$F=$E49) * ('Master Data Sheet'!$A:$A=$F49), 0), MATCH($F$1, 'Master Data Sheet'!$1:$1, 0)), "")</f>
        <v>7.86</v>
      </c>
      <c r="O49" s="11">
        <f t="shared" si="8"/>
        <v>8.1399999999999988</v>
      </c>
      <c r="P49" s="11">
        <f t="shared" si="4"/>
        <v>0.24799193535274494</v>
      </c>
      <c r="Q49" s="11"/>
      <c r="X49" t="str">
        <f>IFERROR(INDEX('Date Key'!$G$57:$G$62, MATCH(B48,'Date Key'!$A$57:$A$62, 0)), "")</f>
        <v>Medium HLR, Upper Outlet Height, Yes Plants</v>
      </c>
      <c r="Y49" s="1">
        <f t="shared" ref="Y49:AE49" si="53">H48</f>
        <v>8.35</v>
      </c>
      <c r="Z49" s="1">
        <f t="shared" si="53"/>
        <v>8.2799999999999994</v>
      </c>
      <c r="AA49" s="1">
        <f t="shared" si="53"/>
        <v>8.39</v>
      </c>
      <c r="AB49" s="1">
        <f t="shared" si="53"/>
        <v>8.15</v>
      </c>
      <c r="AC49" s="1">
        <f t="shared" si="53"/>
        <v>8.1199999999999992</v>
      </c>
      <c r="AD49" s="1">
        <f t="shared" si="53"/>
        <v>8.07</v>
      </c>
      <c r="AE49" s="1">
        <f t="shared" si="53"/>
        <v>8.0299999999999994</v>
      </c>
      <c r="AF49" s="1">
        <f t="shared" ref="AF49:AL49" si="54">H49</f>
        <v>8.4</v>
      </c>
      <c r="AG49" s="1">
        <f t="shared" si="54"/>
        <v>8.48</v>
      </c>
      <c r="AH49" s="1">
        <f t="shared" si="54"/>
        <v>8.2799999999999994</v>
      </c>
      <c r="AI49" s="1">
        <f t="shared" si="54"/>
        <v>8.09</v>
      </c>
      <c r="AJ49" s="1">
        <f t="shared" si="54"/>
        <v>7.91</v>
      </c>
      <c r="AK49" s="1">
        <f t="shared" si="54"/>
        <v>7.96</v>
      </c>
      <c r="AL49" s="1">
        <f t="shared" si="54"/>
        <v>7.86</v>
      </c>
      <c r="AM49" s="1">
        <f t="shared" ref="AM49:AS49" si="55">H50</f>
        <v>7.61</v>
      </c>
      <c r="AN49" s="1">
        <f t="shared" si="55"/>
        <v>7.78</v>
      </c>
      <c r="AO49" s="1">
        <f t="shared" si="55"/>
        <v>7.75</v>
      </c>
      <c r="AP49" s="1">
        <f t="shared" si="55"/>
        <v>7.8</v>
      </c>
      <c r="AQ49" s="1">
        <f t="shared" si="55"/>
        <v>7.74</v>
      </c>
      <c r="AR49" s="1">
        <f t="shared" si="55"/>
        <v>7.91</v>
      </c>
      <c r="AS49" s="1">
        <f t="shared" si="55"/>
        <v>7.95</v>
      </c>
    </row>
    <row r="50" spans="1:46" x14ac:dyDescent="0.35">
      <c r="A50" s="41">
        <f>IFERROR(INDEX('Date Key'!$B$2:$B$19, MATCH(F50,'Date Key'!$A$2:$A$19, 0)), "")</f>
        <v>45400</v>
      </c>
      <c r="B50" s="4">
        <f t="shared" si="15"/>
        <v>6</v>
      </c>
      <c r="C50" s="26" t="str">
        <f>IFERROR(INDEX('Date Key'!$G$57:$G$62, MATCH(B50,'Date Key'!$A$57:$A$62, 0)), "")</f>
        <v>Medium HLR, Upper Outlet Height, Yes Plants</v>
      </c>
      <c r="D50" s="4" t="str">
        <f>IFERROR(INDEX('Date Key'!$G$2:$G$19, MATCH(F50, 'Date Key'!$A$2:$A$19, 0)), "")</f>
        <v>Yes</v>
      </c>
      <c r="E50" s="4" t="str">
        <f t="shared" si="1"/>
        <v>in</v>
      </c>
      <c r="F50" s="4">
        <f t="shared" si="2"/>
        <v>18</v>
      </c>
      <c r="G50" s="4">
        <f t="shared" si="22"/>
        <v>3</v>
      </c>
      <c r="H50" s="11" cm="1">
        <f t="array" ref="H50">IFERROR(INDEX('Master Data Sheet'!$1:$1048576, MATCH(1, ('Master Data Sheet'!$H:$H=H$2) * (INDEX('Master Data Sheet'!$1:$1, , MATCH($F$1, 'Master Data Sheet'!$1:$1, 0)) = $F$1) * ('Master Data Sheet'!$G:$G=$B50) * ('Master Data Sheet'!$F:$F=$E50) * ('Master Data Sheet'!$A:$A=$F50), 0), MATCH($F$1, 'Master Data Sheet'!$1:$1, 0)), "")</f>
        <v>7.61</v>
      </c>
      <c r="I50" s="11" cm="1">
        <f t="array" ref="I50">IFERROR(INDEX('Master Data Sheet'!$1:$1048576, MATCH(1, ('Master Data Sheet'!$H:$H=I$2) * (INDEX('Master Data Sheet'!$1:$1, , MATCH($F$1, 'Master Data Sheet'!$1:$1, 0)) = $F$1) * ('Master Data Sheet'!$G:$G=$B50) * ('Master Data Sheet'!$F:$F=$E50) * ('Master Data Sheet'!$A:$A=$F50), 0), MATCH($F$1, 'Master Data Sheet'!$1:$1, 0)), "")</f>
        <v>7.78</v>
      </c>
      <c r="J50" s="11" cm="1">
        <f t="array" ref="J50">IFERROR(INDEX('Master Data Sheet'!$1:$1048576, MATCH(1, ('Master Data Sheet'!$H:$H=J$2) * (INDEX('Master Data Sheet'!$1:$1, , MATCH($F$1, 'Master Data Sheet'!$1:$1, 0)) = $F$1) * ('Master Data Sheet'!$G:$G=$B50) * ('Master Data Sheet'!$F:$F=$E50) * ('Master Data Sheet'!$A:$A=$F50), 0), MATCH($F$1, 'Master Data Sheet'!$1:$1, 0)), "")</f>
        <v>7.75</v>
      </c>
      <c r="K50" s="11" cm="1">
        <f t="array" ref="K50">IFERROR(INDEX('Master Data Sheet'!$1:$1048576, MATCH(1, ('Master Data Sheet'!$H:$H=K$2) * (INDEX('Master Data Sheet'!$1:$1, , MATCH($F$1, 'Master Data Sheet'!$1:$1, 0)) = $F$1) * ('Master Data Sheet'!$G:$G=$B50) * ('Master Data Sheet'!$F:$F=$E50) * ('Master Data Sheet'!$A:$A=$F50), 0), MATCH($F$1, 'Master Data Sheet'!$1:$1, 0)), "")</f>
        <v>7.8</v>
      </c>
      <c r="L50" s="11" cm="1">
        <f t="array" ref="L50">IFERROR(INDEX('Master Data Sheet'!$1:$1048576, MATCH(1, ('Master Data Sheet'!$H:$H=L$2) * (INDEX('Master Data Sheet'!$1:$1, , MATCH($F$1, 'Master Data Sheet'!$1:$1, 0)) = $F$1) * ('Master Data Sheet'!$G:$G=$B50) * ('Master Data Sheet'!$F:$F=$E50) * ('Master Data Sheet'!$A:$A=$F50), 0), MATCH($F$1, 'Master Data Sheet'!$1:$1, 0)), "")</f>
        <v>7.74</v>
      </c>
      <c r="M50" s="11" cm="1">
        <f t="array" ref="M50">IFERROR(INDEX('Master Data Sheet'!$1:$1048576, MATCH(1, ('Master Data Sheet'!$H:$H=M$2) * (INDEX('Master Data Sheet'!$1:$1, , MATCH($F$1, 'Master Data Sheet'!$1:$1, 0)) = $F$1) * ('Master Data Sheet'!$G:$G=$B50) * ('Master Data Sheet'!$F:$F=$E50) * ('Master Data Sheet'!$A:$A=$F50), 0), MATCH($F$1, 'Master Data Sheet'!$1:$1, 0)), "")</f>
        <v>7.91</v>
      </c>
      <c r="N50" s="11" cm="1">
        <f t="array" ref="N50">IFERROR(INDEX('Master Data Sheet'!$1:$1048576, MATCH(1, ('Master Data Sheet'!$H:$H=N$2) * (INDEX('Master Data Sheet'!$1:$1, , MATCH($F$1, 'Master Data Sheet'!$1:$1, 0)) = $F$1) * ('Master Data Sheet'!$G:$G=$B50) * ('Master Data Sheet'!$F:$F=$E50) * ('Master Data Sheet'!$A:$A=$F50), 0), MATCH($F$1, 'Master Data Sheet'!$1:$1, 0)), "")</f>
        <v>7.95</v>
      </c>
      <c r="O50" s="11">
        <f t="shared" si="8"/>
        <v>7.7914285714285727</v>
      </c>
      <c r="P50" s="11">
        <f t="shared" si="4"/>
        <v>0.11305287427107889</v>
      </c>
      <c r="Q50" s="11"/>
      <c r="Y50" s="1"/>
      <c r="Z50" s="1"/>
      <c r="AA50" s="1"/>
      <c r="AB50" s="1"/>
      <c r="AC50" s="1"/>
      <c r="AD50" s="1"/>
      <c r="AE50" s="1"/>
      <c r="AF50" s="1"/>
      <c r="AG50" s="1"/>
      <c r="AH50" s="1"/>
      <c r="AI50" s="1"/>
      <c r="AJ50" s="1"/>
      <c r="AK50" s="1"/>
      <c r="AL50" s="1"/>
      <c r="AM50" s="1"/>
      <c r="AN50" s="1"/>
      <c r="AO50" s="1"/>
      <c r="AP50" s="1"/>
      <c r="AQ50" s="1"/>
      <c r="AR50" s="1"/>
      <c r="AS50" s="1"/>
    </row>
    <row r="51" spans="1:46" x14ac:dyDescent="0.35">
      <c r="A51" s="41">
        <f>IFERROR(INDEX('Date Key'!$B$2:$B$19, MATCH(F51,'Date Key'!$A$2:$A$19, 0)), "")</f>
        <v>45371</v>
      </c>
      <c r="B51" s="4">
        <f t="shared" si="15"/>
        <v>6</v>
      </c>
      <c r="C51" s="26" t="str">
        <f>IFERROR(INDEX('Date Key'!$G$57:$G$62, MATCH(B51,'Date Key'!$A$57:$A$62, 0)), "")</f>
        <v>Medium HLR, Upper Outlet Height, Yes Plants</v>
      </c>
      <c r="D51" s="4" t="str">
        <f>IFERROR(INDEX('Date Key'!$G$2:$G$19, MATCH(F51, 'Date Key'!$A$2:$A$19, 0)), "")</f>
        <v>No</v>
      </c>
      <c r="E51" s="4" t="str">
        <f t="shared" si="1"/>
        <v>tank 1</v>
      </c>
      <c r="F51" s="4">
        <f t="shared" si="2"/>
        <v>16</v>
      </c>
      <c r="G51" s="4">
        <f t="shared" si="22"/>
        <v>1</v>
      </c>
      <c r="H51" s="11" cm="1">
        <f t="array" ref="H51">IFERROR(INDEX('Master Data Sheet'!$1:$1048576, MATCH(1, ('Master Data Sheet'!$H:$H=H$2) * (INDEX('Master Data Sheet'!$1:$1, , MATCH($F$1, 'Master Data Sheet'!$1:$1, 0)) = $F$1) * ('Master Data Sheet'!$G:$G=$B51) * ('Master Data Sheet'!$F:$F=$E51) * ('Master Data Sheet'!$A:$A=$F51), 0), MATCH($F$1, 'Master Data Sheet'!$1:$1, 0)), "")</f>
        <v>7.29</v>
      </c>
      <c r="I51" s="11" cm="1">
        <f t="array" ref="I51">IFERROR(INDEX('Master Data Sheet'!$1:$1048576, MATCH(1, ('Master Data Sheet'!$H:$H=I$2) * (INDEX('Master Data Sheet'!$1:$1, , MATCH($F$1, 'Master Data Sheet'!$1:$1, 0)) = $F$1) * ('Master Data Sheet'!$G:$G=$B51) * ('Master Data Sheet'!$F:$F=$E51) * ('Master Data Sheet'!$A:$A=$F51), 0), MATCH($F$1, 'Master Data Sheet'!$1:$1, 0)), "")</f>
        <v>7.08</v>
      </c>
      <c r="J51" s="11" cm="1">
        <f t="array" ref="J51">IFERROR(INDEX('Master Data Sheet'!$1:$1048576, MATCH(1, ('Master Data Sheet'!$H:$H=J$2) * (INDEX('Master Data Sheet'!$1:$1, , MATCH($F$1, 'Master Data Sheet'!$1:$1, 0)) = $F$1) * ('Master Data Sheet'!$G:$G=$B51) * ('Master Data Sheet'!$F:$F=$E51) * ('Master Data Sheet'!$A:$A=$F51), 0), MATCH($F$1, 'Master Data Sheet'!$1:$1, 0)), "")</f>
        <v>7.14</v>
      </c>
      <c r="K51" s="11" cm="1">
        <f t="array" ref="K51">IFERROR(INDEX('Master Data Sheet'!$1:$1048576, MATCH(1, ('Master Data Sheet'!$H:$H=K$2) * (INDEX('Master Data Sheet'!$1:$1, , MATCH($F$1, 'Master Data Sheet'!$1:$1, 0)) = $F$1) * ('Master Data Sheet'!$G:$G=$B51) * ('Master Data Sheet'!$F:$F=$E51) * ('Master Data Sheet'!$A:$A=$F51), 0), MATCH($F$1, 'Master Data Sheet'!$1:$1, 0)), "")</f>
        <v>7.05</v>
      </c>
      <c r="L51" s="11" cm="1">
        <f t="array" ref="L51">IFERROR(INDEX('Master Data Sheet'!$1:$1048576, MATCH(1, ('Master Data Sheet'!$H:$H=L$2) * (INDEX('Master Data Sheet'!$1:$1, , MATCH($F$1, 'Master Data Sheet'!$1:$1, 0)) = $F$1) * ('Master Data Sheet'!$G:$G=$B51) * ('Master Data Sheet'!$F:$F=$E51) * ('Master Data Sheet'!$A:$A=$F51), 0), MATCH($F$1, 'Master Data Sheet'!$1:$1, 0)), "")</f>
        <v>7.11</v>
      </c>
      <c r="M51" s="11" cm="1">
        <f t="array" ref="M51">IFERROR(INDEX('Master Data Sheet'!$1:$1048576, MATCH(1, ('Master Data Sheet'!$H:$H=M$2) * (INDEX('Master Data Sheet'!$1:$1, , MATCH($F$1, 'Master Data Sheet'!$1:$1, 0)) = $F$1) * ('Master Data Sheet'!$G:$G=$B51) * ('Master Data Sheet'!$F:$F=$E51) * ('Master Data Sheet'!$A:$A=$F51), 0), MATCH($F$1, 'Master Data Sheet'!$1:$1, 0)), "")</f>
        <v>7.01</v>
      </c>
      <c r="N51" s="11" cm="1">
        <f t="array" ref="N51">IFERROR(INDEX('Master Data Sheet'!$1:$1048576, MATCH(1, ('Master Data Sheet'!$H:$H=N$2) * (INDEX('Master Data Sheet'!$1:$1, , MATCH($F$1, 'Master Data Sheet'!$1:$1, 0)) = $F$1) * ('Master Data Sheet'!$G:$G=$B51) * ('Master Data Sheet'!$F:$F=$E51) * ('Master Data Sheet'!$A:$A=$F51), 0), MATCH($F$1, 'Master Data Sheet'!$1:$1, 0)), "")</f>
        <v>7.03</v>
      </c>
      <c r="O51" s="11">
        <f t="shared" si="8"/>
        <v>7.1014285714285714</v>
      </c>
      <c r="P51" s="11">
        <f t="shared" si="4"/>
        <v>9.4591855080757611E-2</v>
      </c>
      <c r="Q51" s="11">
        <f>AVERAGE(O51:O53)</f>
        <v>7.0576190476190481</v>
      </c>
      <c r="R51" s="46">
        <f>(1-(O51/O48))*100</f>
        <v>13.382122320961843</v>
      </c>
      <c r="S51" s="46">
        <f>AVERAGE(R51:R53)</f>
        <v>12.194402302728349</v>
      </c>
      <c r="T51" s="46">
        <f>STDEV(R51:R53)</f>
        <v>3.5567043557952549</v>
      </c>
      <c r="U51" s="47">
        <f>(1-(AVERAGE(H51:N53)/AVERAGE(H48:N50)))*100</f>
        <v>12.255047066485103</v>
      </c>
      <c r="V51" s="47"/>
      <c r="Y51" s="2"/>
      <c r="Z51" s="2"/>
      <c r="AA51" s="2"/>
      <c r="AB51" s="2"/>
      <c r="AC51" s="2"/>
      <c r="AD51" s="2"/>
      <c r="AE51" s="2"/>
      <c r="AF51" s="2"/>
      <c r="AG51" s="2"/>
    </row>
    <row r="52" spans="1:46" x14ac:dyDescent="0.35">
      <c r="A52" s="41">
        <f>IFERROR(INDEX('Date Key'!$B$2:$B$19, MATCH(F52,'Date Key'!$A$2:$A$19, 0)), "")</f>
        <v>45392</v>
      </c>
      <c r="B52" s="4">
        <f t="shared" si="15"/>
        <v>6</v>
      </c>
      <c r="C52" s="26" t="str">
        <f>IFERROR(INDEX('Date Key'!$G$57:$G$62, MATCH(B52,'Date Key'!$A$57:$A$62, 0)), "")</f>
        <v>Medium HLR, Upper Outlet Height, Yes Plants</v>
      </c>
      <c r="D52" s="4" t="str">
        <f>IFERROR(INDEX('Date Key'!$G$2:$G$19, MATCH(F52, 'Date Key'!$A$2:$A$19, 0)), "")</f>
        <v>No</v>
      </c>
      <c r="E52" s="4" t="str">
        <f t="shared" si="1"/>
        <v>tank 1</v>
      </c>
      <c r="F52" s="4">
        <f t="shared" si="2"/>
        <v>17</v>
      </c>
      <c r="G52" s="4">
        <f t="shared" si="22"/>
        <v>2</v>
      </c>
      <c r="H52" s="11" cm="1">
        <f t="array" ref="H52">IFERROR(INDEX('Master Data Sheet'!$1:$1048576, MATCH(1, ('Master Data Sheet'!$H:$H=H$2) * (INDEX('Master Data Sheet'!$1:$1, , MATCH($F$1, 'Master Data Sheet'!$1:$1, 0)) = $F$1) * ('Master Data Sheet'!$G:$G=$B52) * ('Master Data Sheet'!$F:$F=$E52) * ('Master Data Sheet'!$A:$A=$F52), 0), MATCH($F$1, 'Master Data Sheet'!$1:$1, 0)), "")</f>
        <v>6.96</v>
      </c>
      <c r="I52" s="11" cm="1">
        <f t="array" ref="I52">IFERROR(INDEX('Master Data Sheet'!$1:$1048576, MATCH(1, ('Master Data Sheet'!$H:$H=I$2) * (INDEX('Master Data Sheet'!$1:$1, , MATCH($F$1, 'Master Data Sheet'!$1:$1, 0)) = $F$1) * ('Master Data Sheet'!$G:$G=$B52) * ('Master Data Sheet'!$F:$F=$E52) * ('Master Data Sheet'!$A:$A=$F52), 0), MATCH($F$1, 'Master Data Sheet'!$1:$1, 0)), "")</f>
        <v>6.94</v>
      </c>
      <c r="J52" s="11" cm="1">
        <f t="array" ref="J52">IFERROR(INDEX('Master Data Sheet'!$1:$1048576, MATCH(1, ('Master Data Sheet'!$H:$H=J$2) * (INDEX('Master Data Sheet'!$1:$1, , MATCH($F$1, 'Master Data Sheet'!$1:$1, 0)) = $F$1) * ('Master Data Sheet'!$G:$G=$B52) * ('Master Data Sheet'!$F:$F=$E52) * ('Master Data Sheet'!$A:$A=$F52), 0), MATCH($F$1, 'Master Data Sheet'!$1:$1, 0)), "")</f>
        <v>6.9</v>
      </c>
      <c r="K52" s="11" cm="1">
        <f t="array" ref="K52">IFERROR(INDEX('Master Data Sheet'!$1:$1048576, MATCH(1, ('Master Data Sheet'!$H:$H=K$2) * (INDEX('Master Data Sheet'!$1:$1, , MATCH($F$1, 'Master Data Sheet'!$1:$1, 0)) = $F$1) * ('Master Data Sheet'!$G:$G=$B52) * ('Master Data Sheet'!$F:$F=$E52) * ('Master Data Sheet'!$A:$A=$F52), 0), MATCH($F$1, 'Master Data Sheet'!$1:$1, 0)), "")</f>
        <v>6.93</v>
      </c>
      <c r="L52" s="11" cm="1">
        <f t="array" ref="L52">IFERROR(INDEX('Master Data Sheet'!$1:$1048576, MATCH(1, ('Master Data Sheet'!$H:$H=L$2) * (INDEX('Master Data Sheet'!$1:$1, , MATCH($F$1, 'Master Data Sheet'!$1:$1, 0)) = $F$1) * ('Master Data Sheet'!$G:$G=$B52) * ('Master Data Sheet'!$F:$F=$E52) * ('Master Data Sheet'!$A:$A=$F52), 0), MATCH($F$1, 'Master Data Sheet'!$1:$1, 0)), "")</f>
        <v>6.87</v>
      </c>
      <c r="M52" s="11" cm="1">
        <f t="array" ref="M52">IFERROR(INDEX('Master Data Sheet'!$1:$1048576, MATCH(1, ('Master Data Sheet'!$H:$H=M$2) * (INDEX('Master Data Sheet'!$1:$1, , MATCH($F$1, 'Master Data Sheet'!$1:$1, 0)) = $F$1) * ('Master Data Sheet'!$G:$G=$B52) * ('Master Data Sheet'!$F:$F=$E52) * ('Master Data Sheet'!$A:$A=$F52), 0), MATCH($F$1, 'Master Data Sheet'!$1:$1, 0)), "")</f>
        <v>6.96</v>
      </c>
      <c r="N52" s="11" cm="1">
        <f t="array" ref="N52">IFERROR(INDEX('Master Data Sheet'!$1:$1048576, MATCH(1, ('Master Data Sheet'!$H:$H=N$2) * (INDEX('Master Data Sheet'!$1:$1, , MATCH($F$1, 'Master Data Sheet'!$1:$1, 0)) = $F$1) * ('Master Data Sheet'!$G:$G=$B52) * ('Master Data Sheet'!$F:$F=$E52) * ('Master Data Sheet'!$A:$A=$F52), 0), MATCH($F$1, 'Master Data Sheet'!$1:$1, 0)), "")</f>
        <v>6.87</v>
      </c>
      <c r="O52" s="11">
        <f t="shared" si="8"/>
        <v>6.9185714285714282</v>
      </c>
      <c r="P52" s="11">
        <f t="shared" si="4"/>
        <v>3.891382420536061E-2</v>
      </c>
      <c r="Q52" s="11"/>
      <c r="R52" s="46">
        <f>(1-(O52/O49))*100</f>
        <v>15.005265005265001</v>
      </c>
      <c r="X52" t="str">
        <f>IFERROR(INDEX('Date Key'!$G$57:$G$62, MATCH(B51,'Date Key'!$A$57:$A$62, 0)), "")</f>
        <v>Medium HLR, Upper Outlet Height, Yes Plants</v>
      </c>
      <c r="Y52" s="1">
        <f t="shared" ref="Y52:AE52" si="56">H51</f>
        <v>7.29</v>
      </c>
      <c r="Z52" s="1">
        <f t="shared" si="56"/>
        <v>7.08</v>
      </c>
      <c r="AA52" s="1">
        <f t="shared" si="56"/>
        <v>7.14</v>
      </c>
      <c r="AB52" s="1">
        <f t="shared" si="56"/>
        <v>7.05</v>
      </c>
      <c r="AC52" s="1">
        <f t="shared" si="56"/>
        <v>7.11</v>
      </c>
      <c r="AD52" s="1">
        <f t="shared" si="56"/>
        <v>7.01</v>
      </c>
      <c r="AE52" s="1">
        <f t="shared" si="56"/>
        <v>7.03</v>
      </c>
      <c r="AF52" s="1">
        <f t="shared" ref="AF52:AL52" si="57">H52</f>
        <v>6.96</v>
      </c>
      <c r="AG52" s="1">
        <f t="shared" si="57"/>
        <v>6.94</v>
      </c>
      <c r="AH52" s="1">
        <f t="shared" si="57"/>
        <v>6.9</v>
      </c>
      <c r="AI52" s="1">
        <f t="shared" si="57"/>
        <v>6.93</v>
      </c>
      <c r="AJ52" s="1">
        <f t="shared" si="57"/>
        <v>6.87</v>
      </c>
      <c r="AK52" s="1">
        <f t="shared" si="57"/>
        <v>6.96</v>
      </c>
      <c r="AL52" s="1">
        <f t="shared" si="57"/>
        <v>6.87</v>
      </c>
      <c r="AM52" s="1">
        <f t="shared" ref="AM52:AS52" si="58">H53</f>
        <v>7.18</v>
      </c>
      <c r="AN52" s="1">
        <f t="shared" si="58"/>
        <v>7.09</v>
      </c>
      <c r="AO52" s="1">
        <f t="shared" si="58"/>
        <v>6.98</v>
      </c>
      <c r="AP52" s="1">
        <f t="shared" si="58"/>
        <v>7.07</v>
      </c>
      <c r="AQ52" s="1">
        <f t="shared" si="58"/>
        <v>7.1300000000000008</v>
      </c>
      <c r="AR52" s="1">
        <f t="shared" si="58"/>
        <v>7.19</v>
      </c>
      <c r="AS52" s="1">
        <f t="shared" si="58"/>
        <v>7.43</v>
      </c>
    </row>
    <row r="53" spans="1:46" x14ac:dyDescent="0.35">
      <c r="A53" s="41">
        <f>IFERROR(INDEX('Date Key'!$B$2:$B$19, MATCH(F53,'Date Key'!$A$2:$A$19, 0)), "")</f>
        <v>45400</v>
      </c>
      <c r="B53" s="4">
        <f t="shared" si="15"/>
        <v>6</v>
      </c>
      <c r="C53" s="26" t="str">
        <f>IFERROR(INDEX('Date Key'!$G$57:$G$62, MATCH(B53,'Date Key'!$A$57:$A$62, 0)), "")</f>
        <v>Medium HLR, Upper Outlet Height, Yes Plants</v>
      </c>
      <c r="D53" s="4" t="str">
        <f>IFERROR(INDEX('Date Key'!$G$2:$G$19, MATCH(F53, 'Date Key'!$A$2:$A$19, 0)), "")</f>
        <v>Yes</v>
      </c>
      <c r="E53" s="4" t="str">
        <f t="shared" si="1"/>
        <v>tank 1</v>
      </c>
      <c r="F53" s="4">
        <f t="shared" si="2"/>
        <v>18</v>
      </c>
      <c r="G53" s="4">
        <f t="shared" si="22"/>
        <v>3</v>
      </c>
      <c r="H53" s="11" cm="1">
        <f t="array" ref="H53">IFERROR(INDEX('Master Data Sheet'!$1:$1048576, MATCH(1, ('Master Data Sheet'!$H:$H=H$2) * (INDEX('Master Data Sheet'!$1:$1, , MATCH($F$1, 'Master Data Sheet'!$1:$1, 0)) = $F$1) * ('Master Data Sheet'!$G:$G=$B53) * ('Master Data Sheet'!$F:$F=$E53) * ('Master Data Sheet'!$A:$A=$F53), 0), MATCH($F$1, 'Master Data Sheet'!$1:$1, 0)), "")</f>
        <v>7.18</v>
      </c>
      <c r="I53" s="11" cm="1">
        <f t="array" ref="I53">IFERROR(INDEX('Master Data Sheet'!$1:$1048576, MATCH(1, ('Master Data Sheet'!$H:$H=I$2) * (INDEX('Master Data Sheet'!$1:$1, , MATCH($F$1, 'Master Data Sheet'!$1:$1, 0)) = $F$1) * ('Master Data Sheet'!$G:$G=$B53) * ('Master Data Sheet'!$F:$F=$E53) * ('Master Data Sheet'!$A:$A=$F53), 0), MATCH($F$1, 'Master Data Sheet'!$1:$1, 0)), "")</f>
        <v>7.09</v>
      </c>
      <c r="J53" s="11" cm="1">
        <f t="array" ref="J53">IFERROR(INDEX('Master Data Sheet'!$1:$1048576, MATCH(1, ('Master Data Sheet'!$H:$H=J$2) * (INDEX('Master Data Sheet'!$1:$1, , MATCH($F$1, 'Master Data Sheet'!$1:$1, 0)) = $F$1) * ('Master Data Sheet'!$G:$G=$B53) * ('Master Data Sheet'!$F:$F=$E53) * ('Master Data Sheet'!$A:$A=$F53), 0), MATCH($F$1, 'Master Data Sheet'!$1:$1, 0)), "")</f>
        <v>6.98</v>
      </c>
      <c r="K53" s="11" cm="1">
        <f t="array" ref="K53">IFERROR(INDEX('Master Data Sheet'!$1:$1048576, MATCH(1, ('Master Data Sheet'!$H:$H=K$2) * (INDEX('Master Data Sheet'!$1:$1, , MATCH($F$1, 'Master Data Sheet'!$1:$1, 0)) = $F$1) * ('Master Data Sheet'!$G:$G=$B53) * ('Master Data Sheet'!$F:$F=$E53) * ('Master Data Sheet'!$A:$A=$F53), 0), MATCH($F$1, 'Master Data Sheet'!$1:$1, 0)), "")</f>
        <v>7.07</v>
      </c>
      <c r="L53" s="11" cm="1">
        <f t="array" ref="L53">IFERROR(INDEX('Master Data Sheet'!$1:$1048576, MATCH(1, ('Master Data Sheet'!$H:$H=L$2) * (INDEX('Master Data Sheet'!$1:$1, , MATCH($F$1, 'Master Data Sheet'!$1:$1, 0)) = $F$1) * ('Master Data Sheet'!$G:$G=$B53) * ('Master Data Sheet'!$F:$F=$E53) * ('Master Data Sheet'!$A:$A=$F53), 0), MATCH($F$1, 'Master Data Sheet'!$1:$1, 0)), "")</f>
        <v>7.1300000000000008</v>
      </c>
      <c r="M53" s="11" cm="1">
        <f t="array" ref="M53">IFERROR(INDEX('Master Data Sheet'!$1:$1048576, MATCH(1, ('Master Data Sheet'!$H:$H=M$2) * (INDEX('Master Data Sheet'!$1:$1, , MATCH($F$1, 'Master Data Sheet'!$1:$1, 0)) = $F$1) * ('Master Data Sheet'!$G:$G=$B53) * ('Master Data Sheet'!$F:$F=$E53) * ('Master Data Sheet'!$A:$A=$F53), 0), MATCH($F$1, 'Master Data Sheet'!$1:$1, 0)), "")</f>
        <v>7.19</v>
      </c>
      <c r="N53" s="11" cm="1">
        <f t="array" ref="N53">IFERROR(INDEX('Master Data Sheet'!$1:$1048576, MATCH(1, ('Master Data Sheet'!$H:$H=N$2) * (INDEX('Master Data Sheet'!$1:$1, , MATCH($F$1, 'Master Data Sheet'!$1:$1, 0)) = $F$1) * ('Master Data Sheet'!$G:$G=$B53) * ('Master Data Sheet'!$F:$F=$E53) * ('Master Data Sheet'!$A:$A=$F53), 0), MATCH($F$1, 'Master Data Sheet'!$1:$1, 0)), "")</f>
        <v>7.43</v>
      </c>
      <c r="O53" s="11">
        <f t="shared" si="8"/>
        <v>7.152857142857143</v>
      </c>
      <c r="P53" s="11">
        <f t="shared" si="4"/>
        <v>0.1415055105775371</v>
      </c>
      <c r="Q53" s="11"/>
      <c r="R53" s="46">
        <f>(1-(O53/O50))*100</f>
        <v>8.195819581958208</v>
      </c>
      <c r="Y53" s="2"/>
      <c r="Z53" s="2"/>
      <c r="AA53" s="2"/>
      <c r="AB53" s="2"/>
      <c r="AC53" s="2"/>
      <c r="AD53" s="2"/>
      <c r="AE53" s="2"/>
      <c r="AF53" s="2"/>
      <c r="AG53" s="2"/>
    </row>
    <row r="54" spans="1:46" x14ac:dyDescent="0.35">
      <c r="A54" s="41">
        <f>IFERROR(INDEX('Date Key'!$B$2:$B$19, MATCH(F54,'Date Key'!$A$2:$A$19, 0)), "")</f>
        <v>45371</v>
      </c>
      <c r="B54" s="4">
        <f t="shared" si="15"/>
        <v>6</v>
      </c>
      <c r="C54" s="26" t="str">
        <f>IFERROR(INDEX('Date Key'!$G$57:$G$62, MATCH(B54,'Date Key'!$A$57:$A$62, 0)), "")</f>
        <v>Medium HLR, Upper Outlet Height, Yes Plants</v>
      </c>
      <c r="D54" s="4" t="str">
        <f>IFERROR(INDEX('Date Key'!$G$2:$G$19, MATCH(F54, 'Date Key'!$A$2:$A$19, 0)), "")</f>
        <v>No</v>
      </c>
      <c r="E54" s="4" t="str">
        <f t="shared" si="1"/>
        <v>tank 2</v>
      </c>
      <c r="F54" s="4">
        <f t="shared" si="2"/>
        <v>16</v>
      </c>
      <c r="G54" s="4">
        <f t="shared" si="22"/>
        <v>1</v>
      </c>
      <c r="H54" s="11" cm="1">
        <f t="array" ref="H54">IFERROR(INDEX('Master Data Sheet'!$1:$1048576, MATCH(1, ('Master Data Sheet'!$H:$H=H$2) * (INDEX('Master Data Sheet'!$1:$1, , MATCH($F$1, 'Master Data Sheet'!$1:$1, 0)) = $F$1) * ('Master Data Sheet'!$G:$G=$B54) * ('Master Data Sheet'!$F:$F=$E54) * ('Master Data Sheet'!$A:$A=$F54), 0), MATCH($F$1, 'Master Data Sheet'!$1:$1, 0)), "")</f>
        <v>7.11</v>
      </c>
      <c r="I54" s="11" cm="1">
        <f t="array" ref="I54">IFERROR(INDEX('Master Data Sheet'!$1:$1048576, MATCH(1, ('Master Data Sheet'!$H:$H=I$2) * (INDEX('Master Data Sheet'!$1:$1, , MATCH($F$1, 'Master Data Sheet'!$1:$1, 0)) = $F$1) * ('Master Data Sheet'!$G:$G=$B54) * ('Master Data Sheet'!$F:$F=$E54) * ('Master Data Sheet'!$A:$A=$F54), 0), MATCH($F$1, 'Master Data Sheet'!$1:$1, 0)), "")</f>
        <v>6.99</v>
      </c>
      <c r="J54" s="11" cm="1">
        <f t="array" ref="J54">IFERROR(INDEX('Master Data Sheet'!$1:$1048576, MATCH(1, ('Master Data Sheet'!$H:$H=J$2) * (INDEX('Master Data Sheet'!$1:$1, , MATCH($F$1, 'Master Data Sheet'!$1:$1, 0)) = $F$1) * ('Master Data Sheet'!$G:$G=$B54) * ('Master Data Sheet'!$F:$F=$E54) * ('Master Data Sheet'!$A:$A=$F54), 0), MATCH($F$1, 'Master Data Sheet'!$1:$1, 0)), "")</f>
        <v>6.97</v>
      </c>
      <c r="K54" s="11" cm="1">
        <f t="array" ref="K54">IFERROR(INDEX('Master Data Sheet'!$1:$1048576, MATCH(1, ('Master Data Sheet'!$H:$H=K$2) * (INDEX('Master Data Sheet'!$1:$1, , MATCH($F$1, 'Master Data Sheet'!$1:$1, 0)) = $F$1) * ('Master Data Sheet'!$G:$G=$B54) * ('Master Data Sheet'!$F:$F=$E54) * ('Master Data Sheet'!$A:$A=$F54), 0), MATCH($F$1, 'Master Data Sheet'!$1:$1, 0)), "")</f>
        <v>6.99</v>
      </c>
      <c r="L54" s="11" cm="1">
        <f t="array" ref="L54">IFERROR(INDEX('Master Data Sheet'!$1:$1048576, MATCH(1, ('Master Data Sheet'!$H:$H=L$2) * (INDEX('Master Data Sheet'!$1:$1, , MATCH($F$1, 'Master Data Sheet'!$1:$1, 0)) = $F$1) * ('Master Data Sheet'!$G:$G=$B54) * ('Master Data Sheet'!$F:$F=$E54) * ('Master Data Sheet'!$A:$A=$F54), 0), MATCH($F$1, 'Master Data Sheet'!$1:$1, 0)), "")</f>
        <v>7.11</v>
      </c>
      <c r="M54" s="11" cm="1">
        <f t="array" ref="M54">IFERROR(INDEX('Master Data Sheet'!$1:$1048576, MATCH(1, ('Master Data Sheet'!$H:$H=M$2) * (INDEX('Master Data Sheet'!$1:$1, , MATCH($F$1, 'Master Data Sheet'!$1:$1, 0)) = $F$1) * ('Master Data Sheet'!$G:$G=$B54) * ('Master Data Sheet'!$F:$F=$E54) * ('Master Data Sheet'!$A:$A=$F54), 0), MATCH($F$1, 'Master Data Sheet'!$1:$1, 0)), "")</f>
        <v>7.07</v>
      </c>
      <c r="N54" s="11" cm="1">
        <f t="array" ref="N54">IFERROR(INDEX('Master Data Sheet'!$1:$1048576, MATCH(1, ('Master Data Sheet'!$H:$H=N$2) * (INDEX('Master Data Sheet'!$1:$1, , MATCH($F$1, 'Master Data Sheet'!$1:$1, 0)) = $F$1) * ('Master Data Sheet'!$G:$G=$B54) * ('Master Data Sheet'!$F:$F=$E54) * ('Master Data Sheet'!$A:$A=$F54), 0), MATCH($F$1, 'Master Data Sheet'!$1:$1, 0)), "")</f>
        <v>6.99</v>
      </c>
      <c r="O54" s="11">
        <f t="shared" si="8"/>
        <v>7.0328571428571438</v>
      </c>
      <c r="P54" s="11">
        <f t="shared" si="4"/>
        <v>6.1566843271977222E-2</v>
      </c>
      <c r="Q54" s="11">
        <f>AVERAGE(N54:N56)</f>
        <v>7.1333333333333329</v>
      </c>
      <c r="R54" s="46">
        <f>(1-(O54/O48))*100</f>
        <v>14.218504966021939</v>
      </c>
      <c r="S54" s="46">
        <f>AVERAGE(R54:R56)</f>
        <v>11.363472718255608</v>
      </c>
      <c r="T54" s="46">
        <f>STDEV(R54:R56)</f>
        <v>4.9424710706803072</v>
      </c>
      <c r="U54" s="47">
        <f>(1-(AVERAGE(H54:N56)/AVERAGE(H48:N50)))*100</f>
        <v>11.452844710200715</v>
      </c>
      <c r="Y54" s="2"/>
      <c r="Z54" s="2"/>
      <c r="AA54" s="2"/>
      <c r="AB54" s="2"/>
      <c r="AC54" s="2"/>
      <c r="AD54" s="2"/>
      <c r="AE54" s="2"/>
      <c r="AF54" s="2"/>
      <c r="AG54" s="2"/>
    </row>
    <row r="55" spans="1:46" x14ac:dyDescent="0.35">
      <c r="A55" s="41">
        <f>IFERROR(INDEX('Date Key'!$B$2:$B$19, MATCH(F55,'Date Key'!$A$2:$A$19, 0)), "")</f>
        <v>45392</v>
      </c>
      <c r="B55" s="4">
        <f t="shared" si="15"/>
        <v>6</v>
      </c>
      <c r="C55" s="26" t="str">
        <f>IFERROR(INDEX('Date Key'!$G$57:$G$62, MATCH(B55,'Date Key'!$A$57:$A$62, 0)), "")</f>
        <v>Medium HLR, Upper Outlet Height, Yes Plants</v>
      </c>
      <c r="D55" s="4" t="str">
        <f>IFERROR(INDEX('Date Key'!$G$2:$G$19, MATCH(F55, 'Date Key'!$A$2:$A$19, 0)), "")</f>
        <v>No</v>
      </c>
      <c r="E55" s="4" t="str">
        <f t="shared" si="1"/>
        <v>tank 2</v>
      </c>
      <c r="F55" s="4">
        <f t="shared" si="2"/>
        <v>17</v>
      </c>
      <c r="G55" s="4">
        <f t="shared" si="22"/>
        <v>2</v>
      </c>
      <c r="H55" s="11" cm="1">
        <f t="array" ref="H55">IFERROR(INDEX('Master Data Sheet'!$1:$1048576, MATCH(1, ('Master Data Sheet'!$H:$H=H$2) * (INDEX('Master Data Sheet'!$1:$1, , MATCH($F$1, 'Master Data Sheet'!$1:$1, 0)) = $F$1) * ('Master Data Sheet'!$G:$G=$B55) * ('Master Data Sheet'!$F:$F=$E55) * ('Master Data Sheet'!$A:$A=$F55), 0), MATCH($F$1, 'Master Data Sheet'!$1:$1, 0)), "")</f>
        <v>6.94</v>
      </c>
      <c r="I55" s="11" cm="1">
        <f t="array" ref="I55">IFERROR(INDEX('Master Data Sheet'!$1:$1048576, MATCH(1, ('Master Data Sheet'!$H:$H=I$2) * (INDEX('Master Data Sheet'!$1:$1, , MATCH($F$1, 'Master Data Sheet'!$1:$1, 0)) = $F$1) * ('Master Data Sheet'!$G:$G=$B55) * ('Master Data Sheet'!$F:$F=$E55) * ('Master Data Sheet'!$A:$A=$F55), 0), MATCH($F$1, 'Master Data Sheet'!$1:$1, 0)), "")</f>
        <v>6.98</v>
      </c>
      <c r="J55" s="11" cm="1">
        <f t="array" ref="J55">IFERROR(INDEX('Master Data Sheet'!$1:$1048576, MATCH(1, ('Master Data Sheet'!$H:$H=J$2) * (INDEX('Master Data Sheet'!$1:$1, , MATCH($F$1, 'Master Data Sheet'!$1:$1, 0)) = $F$1) * ('Master Data Sheet'!$G:$G=$B55) * ('Master Data Sheet'!$F:$F=$E55) * ('Master Data Sheet'!$A:$A=$F55), 0), MATCH($F$1, 'Master Data Sheet'!$1:$1, 0)), "")</f>
        <v>7.01</v>
      </c>
      <c r="K55" s="11" cm="1">
        <f t="array" ref="K55">IFERROR(INDEX('Master Data Sheet'!$1:$1048576, MATCH(1, ('Master Data Sheet'!$H:$H=K$2) * (INDEX('Master Data Sheet'!$1:$1, , MATCH($F$1, 'Master Data Sheet'!$1:$1, 0)) = $F$1) * ('Master Data Sheet'!$G:$G=$B55) * ('Master Data Sheet'!$F:$F=$E55) * ('Master Data Sheet'!$A:$A=$F55), 0), MATCH($F$1, 'Master Data Sheet'!$1:$1, 0)), "")</f>
        <v>6.97</v>
      </c>
      <c r="L55" s="11" cm="1">
        <f t="array" ref="L55">IFERROR(INDEX('Master Data Sheet'!$1:$1048576, MATCH(1, ('Master Data Sheet'!$H:$H=L$2) * (INDEX('Master Data Sheet'!$1:$1, , MATCH($F$1, 'Master Data Sheet'!$1:$1, 0)) = $F$1) * ('Master Data Sheet'!$G:$G=$B55) * ('Master Data Sheet'!$F:$F=$E55) * ('Master Data Sheet'!$A:$A=$F55), 0), MATCH($F$1, 'Master Data Sheet'!$1:$1, 0)), "")</f>
        <v>7.03</v>
      </c>
      <c r="M55" s="11" cm="1">
        <f t="array" ref="M55">IFERROR(INDEX('Master Data Sheet'!$1:$1048576, MATCH(1, ('Master Data Sheet'!$H:$H=M$2) * (INDEX('Master Data Sheet'!$1:$1, , MATCH($F$1, 'Master Data Sheet'!$1:$1, 0)) = $F$1) * ('Master Data Sheet'!$G:$G=$B55) * ('Master Data Sheet'!$F:$F=$E55) * ('Master Data Sheet'!$A:$A=$F55), 0), MATCH($F$1, 'Master Data Sheet'!$1:$1, 0)), "")</f>
        <v>6.99</v>
      </c>
      <c r="N55" s="11" cm="1">
        <f t="array" ref="N55">IFERROR(INDEX('Master Data Sheet'!$1:$1048576, MATCH(1, ('Master Data Sheet'!$H:$H=N$2) * (INDEX('Master Data Sheet'!$1:$1, , MATCH($F$1, 'Master Data Sheet'!$1:$1, 0)) = $F$1) * ('Master Data Sheet'!$G:$G=$B55) * ('Master Data Sheet'!$F:$F=$E55) * ('Master Data Sheet'!$A:$A=$F55), 0), MATCH($F$1, 'Master Data Sheet'!$1:$1, 0)), "")</f>
        <v>6.96</v>
      </c>
      <c r="O55" s="11">
        <f t="shared" si="8"/>
        <v>6.9828571428571431</v>
      </c>
      <c r="P55" s="11">
        <f t="shared" si="4"/>
        <v>3.0394235042348439E-2</v>
      </c>
      <c r="Q55" s="11"/>
      <c r="R55" s="46">
        <f>(1-(O55/O49))*100</f>
        <v>14.215514215514203</v>
      </c>
      <c r="X55" t="str">
        <f>IFERROR(INDEX('Date Key'!$G$57:$G$62, MATCH(B54,'Date Key'!$A$57:$A$62, 0)), "")</f>
        <v>Medium HLR, Upper Outlet Height, Yes Plants</v>
      </c>
      <c r="Y55" s="1">
        <f t="shared" ref="Y55:AE55" si="59">H54</f>
        <v>7.11</v>
      </c>
      <c r="Z55" s="1">
        <f t="shared" si="59"/>
        <v>6.99</v>
      </c>
      <c r="AA55" s="1">
        <f t="shared" si="59"/>
        <v>6.97</v>
      </c>
      <c r="AB55" s="1">
        <f t="shared" si="59"/>
        <v>6.99</v>
      </c>
      <c r="AC55" s="1">
        <f t="shared" si="59"/>
        <v>7.11</v>
      </c>
      <c r="AD55" s="1">
        <f t="shared" si="59"/>
        <v>7.07</v>
      </c>
      <c r="AE55" s="1">
        <f t="shared" si="59"/>
        <v>6.99</v>
      </c>
      <c r="AF55" s="1">
        <f t="shared" ref="AF55:AL55" si="60">H55</f>
        <v>6.94</v>
      </c>
      <c r="AG55" s="1">
        <f t="shared" si="60"/>
        <v>6.98</v>
      </c>
      <c r="AH55" s="1">
        <f t="shared" si="60"/>
        <v>7.01</v>
      </c>
      <c r="AI55" s="1">
        <f t="shared" si="60"/>
        <v>6.97</v>
      </c>
      <c r="AJ55" s="1">
        <f t="shared" si="60"/>
        <v>7.03</v>
      </c>
      <c r="AK55" s="1">
        <f t="shared" si="60"/>
        <v>6.99</v>
      </c>
      <c r="AL55" s="1">
        <f t="shared" si="60"/>
        <v>6.96</v>
      </c>
      <c r="AM55" s="1">
        <f t="shared" ref="AM55:AS55" si="61">H56</f>
        <v>7.47</v>
      </c>
      <c r="AN55" s="1">
        <f t="shared" si="61"/>
        <v>7.3949999999999996</v>
      </c>
      <c r="AO55" s="1">
        <f t="shared" si="61"/>
        <v>7.32</v>
      </c>
      <c r="AP55" s="1">
        <f t="shared" si="61"/>
        <v>7.22</v>
      </c>
      <c r="AQ55" s="1">
        <f t="shared" si="61"/>
        <v>7.12</v>
      </c>
      <c r="AR55" s="1">
        <f t="shared" si="61"/>
        <v>7.48</v>
      </c>
      <c r="AS55" s="1">
        <f t="shared" si="61"/>
        <v>7.45</v>
      </c>
    </row>
    <row r="56" spans="1:46" x14ac:dyDescent="0.35">
      <c r="A56" s="42">
        <f>IFERROR(INDEX('Date Key'!$B$2:$B$19, MATCH(F56,'Date Key'!$A$2:$A$19, 0)), "")</f>
        <v>45400</v>
      </c>
      <c r="B56" s="27">
        <f t="shared" si="15"/>
        <v>6</v>
      </c>
      <c r="C56" s="51" t="str">
        <f>IFERROR(INDEX('Date Key'!$G$57:$G$62, MATCH(B56,'Date Key'!$A$57:$A$62, 0)), "")</f>
        <v>Medium HLR, Upper Outlet Height, Yes Plants</v>
      </c>
      <c r="D56" s="27" t="str">
        <f>IFERROR(INDEX('Date Key'!$G$2:$G$19, MATCH(F56, 'Date Key'!$A$2:$A$19, 0)), "")</f>
        <v>Yes</v>
      </c>
      <c r="E56" s="27" t="str">
        <f t="shared" si="1"/>
        <v>tank 2</v>
      </c>
      <c r="F56" s="27">
        <f t="shared" si="2"/>
        <v>18</v>
      </c>
      <c r="G56" s="27">
        <f t="shared" si="22"/>
        <v>3</v>
      </c>
      <c r="H56" s="28" cm="1">
        <f t="array" ref="H56">IFERROR(INDEX('Master Data Sheet'!$1:$1048576, MATCH(1, ('Master Data Sheet'!$H:$H=H$2) * (INDEX('Master Data Sheet'!$1:$1, , MATCH($F$1, 'Master Data Sheet'!$1:$1, 0)) = $F$1) * ('Master Data Sheet'!$G:$G=$B56) * ('Master Data Sheet'!$F:$F=$E56) * ('Master Data Sheet'!$A:$A=$F56), 0), MATCH($F$1, 'Master Data Sheet'!$1:$1, 0)), "")</f>
        <v>7.47</v>
      </c>
      <c r="I56" s="28" cm="1">
        <f t="array" ref="I56">IFERROR(INDEX('Master Data Sheet'!$1:$1048576, MATCH(1, ('Master Data Sheet'!$H:$H=I$2) * (INDEX('Master Data Sheet'!$1:$1, , MATCH($F$1, 'Master Data Sheet'!$1:$1, 0)) = $F$1) * ('Master Data Sheet'!$G:$G=$B56) * ('Master Data Sheet'!$F:$F=$E56) * ('Master Data Sheet'!$A:$A=$F56), 0), MATCH($F$1, 'Master Data Sheet'!$1:$1, 0)), "")</f>
        <v>7.3949999999999996</v>
      </c>
      <c r="J56" s="28" cm="1">
        <f t="array" ref="J56">IFERROR(INDEX('Master Data Sheet'!$1:$1048576, MATCH(1, ('Master Data Sheet'!$H:$H=J$2) * (INDEX('Master Data Sheet'!$1:$1, , MATCH($F$1, 'Master Data Sheet'!$1:$1, 0)) = $F$1) * ('Master Data Sheet'!$G:$G=$B56) * ('Master Data Sheet'!$F:$F=$E56) * ('Master Data Sheet'!$A:$A=$F56), 0), MATCH($F$1, 'Master Data Sheet'!$1:$1, 0)), "")</f>
        <v>7.32</v>
      </c>
      <c r="K56" s="28" cm="1">
        <f t="array" ref="K56">IFERROR(INDEX('Master Data Sheet'!$1:$1048576, MATCH(1, ('Master Data Sheet'!$H:$H=K$2) * (INDEX('Master Data Sheet'!$1:$1, , MATCH($F$1, 'Master Data Sheet'!$1:$1, 0)) = $F$1) * ('Master Data Sheet'!$G:$G=$B56) * ('Master Data Sheet'!$F:$F=$E56) * ('Master Data Sheet'!$A:$A=$F56), 0), MATCH($F$1, 'Master Data Sheet'!$1:$1, 0)), "")</f>
        <v>7.22</v>
      </c>
      <c r="L56" s="28" cm="1">
        <f t="array" ref="L56">IFERROR(INDEX('Master Data Sheet'!$1:$1048576, MATCH(1, ('Master Data Sheet'!$H:$H=L$2) * (INDEX('Master Data Sheet'!$1:$1, , MATCH($F$1, 'Master Data Sheet'!$1:$1, 0)) = $F$1) * ('Master Data Sheet'!$G:$G=$B56) * ('Master Data Sheet'!$F:$F=$E56) * ('Master Data Sheet'!$A:$A=$F56), 0), MATCH($F$1, 'Master Data Sheet'!$1:$1, 0)), "")</f>
        <v>7.12</v>
      </c>
      <c r="M56" s="28" cm="1">
        <f t="array" ref="M56">IFERROR(INDEX('Master Data Sheet'!$1:$1048576, MATCH(1, ('Master Data Sheet'!$H:$H=M$2) * (INDEX('Master Data Sheet'!$1:$1, , MATCH($F$1, 'Master Data Sheet'!$1:$1, 0)) = $F$1) * ('Master Data Sheet'!$G:$G=$B56) * ('Master Data Sheet'!$F:$F=$E56) * ('Master Data Sheet'!$A:$A=$F56), 0), MATCH($F$1, 'Master Data Sheet'!$1:$1, 0)), "")</f>
        <v>7.48</v>
      </c>
      <c r="N56" s="28" cm="1">
        <f t="array" ref="N56">IFERROR(INDEX('Master Data Sheet'!$1:$1048576, MATCH(1, ('Master Data Sheet'!$H:$H=N$2) * (INDEX('Master Data Sheet'!$1:$1, , MATCH($F$1, 'Master Data Sheet'!$1:$1, 0)) = $F$1) * ('Master Data Sheet'!$G:$G=$B56) * ('Master Data Sheet'!$F:$F=$E56) * ('Master Data Sheet'!$A:$A=$F56), 0), MATCH($F$1, 'Master Data Sheet'!$1:$1, 0)), "")</f>
        <v>7.45</v>
      </c>
      <c r="O56" s="28">
        <f t="shared" si="8"/>
        <v>7.3507142857142851</v>
      </c>
      <c r="P56" s="28">
        <f t="shared" si="4"/>
        <v>0.13785344184521267</v>
      </c>
      <c r="Q56" s="28"/>
      <c r="R56" s="48">
        <f>(1-(O56/O50))*100</f>
        <v>5.6563989732306812</v>
      </c>
      <c r="S56" s="27"/>
      <c r="T56" s="27"/>
      <c r="U56" s="27"/>
      <c r="V56" s="27"/>
    </row>
    <row r="58" spans="1:46" x14ac:dyDescent="0.35">
      <c r="X58" t="s">
        <v>456</v>
      </c>
      <c r="Y58" t="s">
        <v>465</v>
      </c>
    </row>
    <row r="59" spans="1:46" x14ac:dyDescent="0.35">
      <c r="X59" t="s">
        <v>344</v>
      </c>
      <c r="Y59" s="30" t="s">
        <v>457</v>
      </c>
      <c r="Z59" s="1">
        <f t="shared" ref="Z59:AT59" si="62">Y4</f>
        <v>6.82</v>
      </c>
      <c r="AA59" s="1">
        <f t="shared" si="62"/>
        <v>7.94</v>
      </c>
      <c r="AB59" s="1">
        <f t="shared" si="62"/>
        <v>8.1300000000000008</v>
      </c>
      <c r="AC59" s="1">
        <f t="shared" si="62"/>
        <v>8.0299999999999994</v>
      </c>
      <c r="AD59" s="1">
        <f t="shared" si="62"/>
        <v>7.98</v>
      </c>
      <c r="AE59" s="1">
        <f t="shared" si="62"/>
        <v>7.94</v>
      </c>
      <c r="AF59" s="1">
        <f t="shared" si="62"/>
        <v>8.1300000000000008</v>
      </c>
      <c r="AG59" s="1">
        <f t="shared" si="62"/>
        <v>6.72</v>
      </c>
      <c r="AH59" s="1">
        <f t="shared" si="62"/>
        <v>7.88</v>
      </c>
      <c r="AI59" s="1">
        <f t="shared" si="62"/>
        <v>7.94</v>
      </c>
      <c r="AJ59" s="1">
        <f t="shared" si="62"/>
        <v>8.0399999999999991</v>
      </c>
      <c r="AK59" s="1">
        <f t="shared" si="62"/>
        <v>7.88</v>
      </c>
      <c r="AL59" s="1">
        <f t="shared" si="62"/>
        <v>7.84</v>
      </c>
      <c r="AM59" s="1">
        <f t="shared" si="62"/>
        <v>7.85</v>
      </c>
      <c r="AN59" s="1">
        <f t="shared" si="62"/>
        <v>6.72</v>
      </c>
      <c r="AO59" s="1">
        <f t="shared" si="62"/>
        <v>7.14</v>
      </c>
      <c r="AP59" s="1">
        <f t="shared" si="62"/>
        <v>7.81</v>
      </c>
      <c r="AQ59" s="1">
        <f t="shared" si="62"/>
        <v>7.81</v>
      </c>
      <c r="AR59" s="1">
        <f t="shared" si="62"/>
        <v>7.8</v>
      </c>
      <c r="AS59" s="1">
        <f t="shared" si="62"/>
        <v>7.87</v>
      </c>
      <c r="AT59" s="1">
        <f t="shared" si="62"/>
        <v>7.84</v>
      </c>
    </row>
    <row r="60" spans="1:46" x14ac:dyDescent="0.35">
      <c r="X60" t="s">
        <v>345</v>
      </c>
      <c r="Y60" s="30" t="s">
        <v>457</v>
      </c>
      <c r="Z60" s="1">
        <f t="shared" ref="Z60:AT60" si="63">Y7</f>
        <v>6.92</v>
      </c>
      <c r="AA60" s="1">
        <f t="shared" si="63"/>
        <v>7.05</v>
      </c>
      <c r="AB60" s="1">
        <f t="shared" si="63"/>
        <v>6.96</v>
      </c>
      <c r="AC60" s="1">
        <f t="shared" si="63"/>
        <v>6.89</v>
      </c>
      <c r="AD60" s="1">
        <f t="shared" si="63"/>
        <v>6.93</v>
      </c>
      <c r="AE60" s="1">
        <f t="shared" si="63"/>
        <v>6.88</v>
      </c>
      <c r="AF60" s="1">
        <f t="shared" si="63"/>
        <v>6.87</v>
      </c>
      <c r="AG60" s="1">
        <f t="shared" si="63"/>
        <v>6.94</v>
      </c>
      <c r="AH60" s="1">
        <f t="shared" si="63"/>
        <v>6.97</v>
      </c>
      <c r="AI60" s="1">
        <f t="shared" si="63"/>
        <v>6.98</v>
      </c>
      <c r="AJ60" s="1">
        <f t="shared" si="63"/>
        <v>7.03</v>
      </c>
      <c r="AK60" s="1">
        <f t="shared" si="63"/>
        <v>6.97</v>
      </c>
      <c r="AL60" s="1">
        <f t="shared" si="63"/>
        <v>6.94</v>
      </c>
      <c r="AM60" s="1">
        <f t="shared" si="63"/>
        <v>6.95</v>
      </c>
      <c r="AN60" s="1">
        <f t="shared" si="63"/>
        <v>7.17</v>
      </c>
      <c r="AO60" s="1">
        <f t="shared" si="63"/>
        <v>6.97</v>
      </c>
      <c r="AP60" s="1">
        <f t="shared" si="63"/>
        <v>7.02</v>
      </c>
      <c r="AQ60" s="1">
        <f t="shared" si="63"/>
        <v>6.93</v>
      </c>
      <c r="AR60" s="1">
        <f t="shared" si="63"/>
        <v>7.04</v>
      </c>
      <c r="AS60" s="1">
        <f t="shared" si="63"/>
        <v>6.99</v>
      </c>
      <c r="AT60" s="1">
        <f t="shared" si="63"/>
        <v>7.02</v>
      </c>
    </row>
    <row r="61" spans="1:46" x14ac:dyDescent="0.35">
      <c r="X61" t="s">
        <v>346</v>
      </c>
      <c r="Y61" s="30" t="s">
        <v>457</v>
      </c>
      <c r="Z61" s="1">
        <f t="shared" ref="Z61:AT61" si="64">Y10</f>
        <v>6.78</v>
      </c>
      <c r="AA61" s="1">
        <f t="shared" si="64"/>
        <v>6.83</v>
      </c>
      <c r="AB61" s="1">
        <f t="shared" si="64"/>
        <v>6.85</v>
      </c>
      <c r="AC61" s="1">
        <f t="shared" si="64"/>
        <v>6.7</v>
      </c>
      <c r="AD61" s="1">
        <f t="shared" si="64"/>
        <v>6.88</v>
      </c>
      <c r="AE61" s="1">
        <f t="shared" si="64"/>
        <v>6.82</v>
      </c>
      <c r="AF61" s="1">
        <f t="shared" si="64"/>
        <v>7.01</v>
      </c>
      <c r="AG61" s="1">
        <f t="shared" si="64"/>
        <v>6.89</v>
      </c>
      <c r="AH61" s="1">
        <f t="shared" si="64"/>
        <v>6.98</v>
      </c>
      <c r="AI61" s="1">
        <f t="shared" si="64"/>
        <v>6.85</v>
      </c>
      <c r="AJ61" s="1">
        <f t="shared" si="64"/>
        <v>6.88</v>
      </c>
      <c r="AK61" s="1">
        <f t="shared" si="64"/>
        <v>6.96</v>
      </c>
      <c r="AL61" s="1">
        <f t="shared" si="64"/>
        <v>6.97</v>
      </c>
      <c r="AM61" s="1">
        <f t="shared" si="64"/>
        <v>7.05</v>
      </c>
      <c r="AN61" s="1">
        <f t="shared" si="64"/>
        <v>6.83</v>
      </c>
      <c r="AO61" s="1">
        <f t="shared" si="64"/>
        <v>6.8</v>
      </c>
      <c r="AP61" s="1">
        <f t="shared" si="64"/>
        <v>6.76</v>
      </c>
      <c r="AQ61" s="1">
        <f t="shared" si="64"/>
        <v>6.76</v>
      </c>
      <c r="AR61" s="1">
        <f t="shared" si="64"/>
        <v>6.81</v>
      </c>
      <c r="AS61" s="1">
        <f t="shared" si="64"/>
        <v>6.84</v>
      </c>
      <c r="AT61" s="1">
        <f t="shared" si="64"/>
        <v>6.88</v>
      </c>
    </row>
    <row r="62" spans="1:46" x14ac:dyDescent="0.35">
      <c r="X62" t="s">
        <v>344</v>
      </c>
      <c r="Y62" s="30" t="s">
        <v>458</v>
      </c>
      <c r="Z62" s="1">
        <f t="shared" ref="Z62:AT62" si="65">Y13</f>
        <v>7.18</v>
      </c>
      <c r="AA62" s="1">
        <f t="shared" si="65"/>
        <v>7.14</v>
      </c>
      <c r="AB62" s="1">
        <f t="shared" si="65"/>
        <v>7.93</v>
      </c>
      <c r="AC62" s="1">
        <f t="shared" si="65"/>
        <v>8</v>
      </c>
      <c r="AD62" s="1">
        <f t="shared" si="65"/>
        <v>7.95</v>
      </c>
      <c r="AE62" s="1">
        <f t="shared" si="65"/>
        <v>7.9</v>
      </c>
      <c r="AF62" s="1">
        <f t="shared" si="65"/>
        <v>7.93</v>
      </c>
      <c r="AG62" s="1">
        <f t="shared" si="65"/>
        <v>7.29</v>
      </c>
      <c r="AH62" s="1">
        <f t="shared" si="65"/>
        <v>8.07</v>
      </c>
      <c r="AI62" s="1">
        <f t="shared" si="65"/>
        <v>8.07</v>
      </c>
      <c r="AJ62" s="1">
        <f t="shared" si="65"/>
        <v>8.0500000000000007</v>
      </c>
      <c r="AK62" s="1">
        <f t="shared" si="65"/>
        <v>8.0399999999999991</v>
      </c>
      <c r="AL62" s="1">
        <f t="shared" si="65"/>
        <v>8.01</v>
      </c>
      <c r="AM62" s="1">
        <f t="shared" si="65"/>
        <v>8.02</v>
      </c>
      <c r="AN62" s="1">
        <f t="shared" si="65"/>
        <v>7.41</v>
      </c>
      <c r="AO62" s="1">
        <f t="shared" si="65"/>
        <v>7.35</v>
      </c>
      <c r="AP62" s="1">
        <f t="shared" si="65"/>
        <v>7.33</v>
      </c>
      <c r="AQ62" s="1">
        <f t="shared" si="65"/>
        <v>7.36</v>
      </c>
      <c r="AR62" s="1">
        <f t="shared" si="65"/>
        <v>7.34</v>
      </c>
      <c r="AS62" s="1">
        <f t="shared" si="65"/>
        <v>7.41</v>
      </c>
      <c r="AT62" s="1">
        <f t="shared" si="65"/>
        <v>7.43</v>
      </c>
    </row>
    <row r="63" spans="1:46" x14ac:dyDescent="0.35">
      <c r="X63" t="s">
        <v>345</v>
      </c>
      <c r="Y63" s="30" t="s">
        <v>458</v>
      </c>
      <c r="Z63" s="1">
        <f t="shared" ref="Z63:AT63" si="66">Y16</f>
        <v>7.42</v>
      </c>
      <c r="AA63" s="1">
        <f t="shared" si="66"/>
        <v>7.09</v>
      </c>
      <c r="AB63" s="1">
        <f t="shared" si="66"/>
        <v>7.1</v>
      </c>
      <c r="AC63" s="1">
        <f t="shared" si="66"/>
        <v>7.05</v>
      </c>
      <c r="AD63" s="1">
        <f t="shared" si="66"/>
        <v>7.19</v>
      </c>
      <c r="AE63" s="1">
        <f t="shared" si="66"/>
        <v>7.1</v>
      </c>
      <c r="AF63" s="1">
        <f t="shared" si="66"/>
        <v>7.13</v>
      </c>
      <c r="AG63" s="1">
        <f t="shared" si="66"/>
        <v>7.64</v>
      </c>
      <c r="AH63" s="1">
        <f t="shared" si="66"/>
        <v>7.2</v>
      </c>
      <c r="AI63" s="1">
        <f t="shared" si="66"/>
        <v>7.29</v>
      </c>
      <c r="AJ63" s="1">
        <f t="shared" si="66"/>
        <v>7.11</v>
      </c>
      <c r="AK63" s="1">
        <f t="shared" si="66"/>
        <v>7.11</v>
      </c>
      <c r="AL63" s="1">
        <f t="shared" si="66"/>
        <v>7.15</v>
      </c>
      <c r="AM63" s="1">
        <f t="shared" si="66"/>
        <v>7.11</v>
      </c>
      <c r="AN63" s="1">
        <f t="shared" si="66"/>
        <v>7.2</v>
      </c>
      <c r="AO63" s="1">
        <f t="shared" si="66"/>
        <v>7.14</v>
      </c>
      <c r="AP63" s="1">
        <f t="shared" si="66"/>
        <v>7.14</v>
      </c>
      <c r="AQ63" s="1">
        <f t="shared" si="66"/>
        <v>7.12</v>
      </c>
      <c r="AR63" s="1">
        <f t="shared" si="66"/>
        <v>7.23</v>
      </c>
      <c r="AS63" s="1">
        <f t="shared" si="66"/>
        <v>7.15</v>
      </c>
      <c r="AT63" s="1">
        <f t="shared" si="66"/>
        <v>7.17</v>
      </c>
    </row>
    <row r="64" spans="1:46" x14ac:dyDescent="0.35">
      <c r="X64" t="s">
        <v>346</v>
      </c>
      <c r="Y64" s="30" t="s">
        <v>458</v>
      </c>
      <c r="Z64" s="1">
        <f t="shared" ref="Z64:AT64" si="67">Y19</f>
        <v>7.17</v>
      </c>
      <c r="AA64" s="1">
        <f t="shared" si="67"/>
        <v>7.1</v>
      </c>
      <c r="AB64" s="1">
        <f t="shared" si="67"/>
        <v>7.11</v>
      </c>
      <c r="AC64" s="1">
        <f t="shared" si="67"/>
        <v>7.11</v>
      </c>
      <c r="AD64" s="1">
        <f t="shared" si="67"/>
        <v>7.23</v>
      </c>
      <c r="AE64" s="1">
        <f t="shared" si="67"/>
        <v>7.37</v>
      </c>
      <c r="AF64" s="1">
        <f t="shared" si="67"/>
        <v>7.27</v>
      </c>
      <c r="AG64" s="1">
        <f t="shared" si="67"/>
        <v>7.26</v>
      </c>
      <c r="AH64" s="1">
        <f t="shared" si="67"/>
        <v>6.99</v>
      </c>
      <c r="AI64" s="1">
        <f t="shared" si="67"/>
        <v>7.15</v>
      </c>
      <c r="AJ64" s="1">
        <f t="shared" si="67"/>
        <v>7.16</v>
      </c>
      <c r="AK64" s="1">
        <f t="shared" si="67"/>
        <v>7.22</v>
      </c>
      <c r="AL64" s="1">
        <f t="shared" si="67"/>
        <v>7.33</v>
      </c>
      <c r="AM64" s="1">
        <f t="shared" si="67"/>
        <v>6.8</v>
      </c>
      <c r="AN64" s="1">
        <f t="shared" si="67"/>
        <v>7.27</v>
      </c>
      <c r="AO64" s="1">
        <f t="shared" si="67"/>
        <v>7.2</v>
      </c>
      <c r="AP64" s="1">
        <f t="shared" si="67"/>
        <v>7.48</v>
      </c>
      <c r="AQ64" s="1">
        <f t="shared" si="67"/>
        <v>7.19</v>
      </c>
      <c r="AR64" s="1">
        <f t="shared" si="67"/>
        <v>7.41</v>
      </c>
      <c r="AS64" s="1">
        <f t="shared" si="67"/>
        <v>7.2</v>
      </c>
      <c r="AT64" s="1">
        <f t="shared" si="67"/>
        <v>7.1</v>
      </c>
    </row>
    <row r="65" spans="24:46" x14ac:dyDescent="0.35">
      <c r="X65" t="s">
        <v>344</v>
      </c>
      <c r="Y65" s="30" t="s">
        <v>459</v>
      </c>
      <c r="Z65" s="1">
        <f t="shared" ref="Z65:AT65" si="68">Y22</f>
        <v>8.1999999999999993</v>
      </c>
      <c r="AA65" s="1">
        <f t="shared" si="68"/>
        <v>8.1999999999999993</v>
      </c>
      <c r="AB65" s="1">
        <f t="shared" si="68"/>
        <v>8.17</v>
      </c>
      <c r="AC65" s="1">
        <f t="shared" si="68"/>
        <v>8.08</v>
      </c>
      <c r="AD65" s="1">
        <f t="shared" si="68"/>
        <v>8.18</v>
      </c>
      <c r="AE65" s="1">
        <f t="shared" si="68"/>
        <v>8.17</v>
      </c>
      <c r="AF65" s="1">
        <f t="shared" si="68"/>
        <v>8.1</v>
      </c>
      <c r="AG65" s="1">
        <f t="shared" si="68"/>
        <v>8.18</v>
      </c>
      <c r="AH65" s="1">
        <f t="shared" si="68"/>
        <v>8.2100000000000009</v>
      </c>
      <c r="AI65" s="1">
        <f t="shared" si="68"/>
        <v>8.23</v>
      </c>
      <c r="AJ65" s="1">
        <f t="shared" si="68"/>
        <v>8.17</v>
      </c>
      <c r="AK65" s="1">
        <f t="shared" si="68"/>
        <v>8.15</v>
      </c>
      <c r="AL65" s="1">
        <f t="shared" si="68"/>
        <v>8.15</v>
      </c>
      <c r="AM65" s="1">
        <f t="shared" si="68"/>
        <v>8.1</v>
      </c>
      <c r="AN65" s="1">
        <f t="shared" si="68"/>
        <v>7.43</v>
      </c>
      <c r="AO65" s="1">
        <f t="shared" si="68"/>
        <v>7.35</v>
      </c>
      <c r="AP65" s="1">
        <f t="shared" si="68"/>
        <v>7.42</v>
      </c>
      <c r="AQ65" s="1">
        <f t="shared" si="68"/>
        <v>7.37</v>
      </c>
      <c r="AR65" s="1">
        <f t="shared" si="68"/>
        <v>7.44</v>
      </c>
      <c r="AS65" s="1">
        <f t="shared" si="68"/>
        <v>7.57</v>
      </c>
      <c r="AT65" s="1">
        <f t="shared" si="68"/>
        <v>7.48</v>
      </c>
    </row>
    <row r="66" spans="24:46" x14ac:dyDescent="0.35">
      <c r="X66" t="s">
        <v>345</v>
      </c>
      <c r="Y66" s="30" t="s">
        <v>459</v>
      </c>
      <c r="Z66" s="1">
        <f t="shared" ref="Z66:AT66" si="69">Y25</f>
        <v>7.62</v>
      </c>
      <c r="AA66" s="1">
        <f t="shared" si="69"/>
        <v>7.48</v>
      </c>
      <c r="AB66" s="1">
        <f t="shared" si="69"/>
        <v>7.45</v>
      </c>
      <c r="AC66" s="1">
        <f t="shared" si="69"/>
        <v>7.53</v>
      </c>
      <c r="AD66" s="1">
        <f t="shared" si="69"/>
        <v>7.56</v>
      </c>
      <c r="AE66" s="1">
        <f t="shared" si="69"/>
        <v>7.74</v>
      </c>
      <c r="AF66" s="1">
        <f t="shared" si="69"/>
        <v>7.82</v>
      </c>
      <c r="AG66" s="1">
        <f t="shared" si="69"/>
        <v>7.42</v>
      </c>
      <c r="AH66" s="1">
        <f t="shared" si="69"/>
        <v>7.47</v>
      </c>
      <c r="AI66" s="1">
        <f t="shared" si="69"/>
        <v>7.68</v>
      </c>
      <c r="AJ66" s="1">
        <f t="shared" si="69"/>
        <v>7.56</v>
      </c>
      <c r="AK66" s="1">
        <f t="shared" si="69"/>
        <v>7.66</v>
      </c>
      <c r="AL66" s="1">
        <f t="shared" si="69"/>
        <v>7.66</v>
      </c>
      <c r="AM66" s="1">
        <f t="shared" si="69"/>
        <v>7.86</v>
      </c>
      <c r="AN66" s="1">
        <f t="shared" si="69"/>
        <v>7.52</v>
      </c>
      <c r="AO66" s="1">
        <f t="shared" si="69"/>
        <v>7.34</v>
      </c>
      <c r="AP66" s="1">
        <f t="shared" si="69"/>
        <v>7.35</v>
      </c>
      <c r="AQ66" s="1">
        <f t="shared" si="69"/>
        <v>7.33</v>
      </c>
      <c r="AR66" s="1">
        <f t="shared" si="69"/>
        <v>7.39</v>
      </c>
      <c r="AS66" s="1">
        <f t="shared" si="69"/>
        <v>7.4</v>
      </c>
      <c r="AT66" s="1">
        <f t="shared" si="69"/>
        <v>7.5</v>
      </c>
    </row>
    <row r="67" spans="24:46" x14ac:dyDescent="0.35">
      <c r="X67" t="s">
        <v>346</v>
      </c>
      <c r="Y67" s="30" t="s">
        <v>459</v>
      </c>
      <c r="Z67" s="1">
        <f t="shared" ref="Z67:AT67" si="70">Y28</f>
        <v>7.49</v>
      </c>
      <c r="AA67" s="1">
        <f t="shared" si="70"/>
        <v>7.61</v>
      </c>
      <c r="AB67" s="1">
        <f t="shared" si="70"/>
        <v>7.47</v>
      </c>
      <c r="AC67" s="1">
        <f t="shared" si="70"/>
        <v>7.55</v>
      </c>
      <c r="AD67" s="1">
        <f t="shared" si="70"/>
        <v>7.62</v>
      </c>
      <c r="AE67" s="1">
        <f t="shared" si="70"/>
        <v>7.78</v>
      </c>
      <c r="AF67" s="1">
        <f t="shared" si="70"/>
        <v>7.8</v>
      </c>
      <c r="AG67" s="1">
        <f t="shared" si="70"/>
        <v>7.66</v>
      </c>
      <c r="AH67" s="1">
        <f t="shared" si="70"/>
        <v>7.5</v>
      </c>
      <c r="AI67" s="1">
        <f t="shared" si="70"/>
        <v>7.6</v>
      </c>
      <c r="AJ67" s="1">
        <f t="shared" si="70"/>
        <v>7.67</v>
      </c>
      <c r="AK67" s="1">
        <f t="shared" si="70"/>
        <v>7.68</v>
      </c>
      <c r="AL67" s="1">
        <f t="shared" si="70"/>
        <v>8.1</v>
      </c>
      <c r="AM67" s="1">
        <f t="shared" si="70"/>
        <v>7.67</v>
      </c>
      <c r="AN67" s="1">
        <f t="shared" si="70"/>
        <v>7.27</v>
      </c>
      <c r="AO67" s="1">
        <f t="shared" si="70"/>
        <v>7.33</v>
      </c>
      <c r="AP67" s="1">
        <f t="shared" si="70"/>
        <v>7.31</v>
      </c>
      <c r="AQ67" s="1">
        <f t="shared" si="70"/>
        <v>7.38</v>
      </c>
      <c r="AR67" s="1">
        <f t="shared" si="70"/>
        <v>7.34</v>
      </c>
      <c r="AS67" s="1">
        <f t="shared" si="70"/>
        <v>7.54</v>
      </c>
      <c r="AT67" s="1">
        <f t="shared" si="70"/>
        <v>7.39</v>
      </c>
    </row>
    <row r="68" spans="24:46" x14ac:dyDescent="0.35">
      <c r="X68" t="s">
        <v>344</v>
      </c>
      <c r="Y68" s="30" t="s">
        <v>460</v>
      </c>
      <c r="Z68" s="1">
        <f t="shared" ref="Z68:AT68" si="71">Y31</f>
        <v>7.59</v>
      </c>
      <c r="AA68" s="1">
        <f t="shared" si="71"/>
        <v>7.61</v>
      </c>
      <c r="AB68" s="1">
        <f t="shared" si="71"/>
        <v>7.6</v>
      </c>
      <c r="AC68" s="1">
        <f t="shared" si="71"/>
        <v>7.6</v>
      </c>
      <c r="AD68" s="1">
        <f t="shared" si="71"/>
        <v>7.58</v>
      </c>
      <c r="AE68" s="1">
        <f t="shared" si="71"/>
        <v>7.56</v>
      </c>
      <c r="AF68" s="1">
        <f t="shared" si="71"/>
        <v>7.55</v>
      </c>
      <c r="AG68" s="1">
        <f t="shared" si="71"/>
        <v>8.0399999999999991</v>
      </c>
      <c r="AH68" s="1">
        <f t="shared" si="71"/>
        <v>8.08</v>
      </c>
      <c r="AI68" s="1">
        <f t="shared" si="71"/>
        <v>8.14</v>
      </c>
      <c r="AJ68" s="1">
        <f t="shared" si="71"/>
        <v>8.1300000000000008</v>
      </c>
      <c r="AK68" s="1">
        <f t="shared" si="71"/>
        <v>8.1</v>
      </c>
      <c r="AL68" s="1">
        <f t="shared" si="71"/>
        <v>8.09</v>
      </c>
      <c r="AM68" s="1">
        <f t="shared" si="71"/>
        <v>8.1</v>
      </c>
      <c r="AN68" s="1">
        <f t="shared" si="71"/>
        <v>8.0299999999999994</v>
      </c>
      <c r="AO68" s="1">
        <f t="shared" si="71"/>
        <v>8.0399999999999991</v>
      </c>
      <c r="AP68" s="1">
        <f t="shared" si="71"/>
        <v>8.0500000000000007</v>
      </c>
      <c r="AQ68" s="1">
        <f t="shared" si="71"/>
        <v>7.8</v>
      </c>
      <c r="AR68" s="1">
        <f t="shared" si="71"/>
        <v>8.01</v>
      </c>
      <c r="AS68" s="1">
        <f t="shared" si="71"/>
        <v>7.94</v>
      </c>
      <c r="AT68" s="1">
        <f t="shared" si="71"/>
        <v>7.93</v>
      </c>
    </row>
    <row r="69" spans="24:46" x14ac:dyDescent="0.35">
      <c r="X69" t="s">
        <v>345</v>
      </c>
      <c r="Y69" s="30" t="s">
        <v>460</v>
      </c>
      <c r="Z69" s="1">
        <f t="shared" ref="Z69:AT69" si="72">Y34</f>
        <v>7.2</v>
      </c>
      <c r="AA69" s="1">
        <f t="shared" si="72"/>
        <v>7.27</v>
      </c>
      <c r="AB69" s="1">
        <f t="shared" si="72"/>
        <v>7.34</v>
      </c>
      <c r="AC69" s="1">
        <f t="shared" si="72"/>
        <v>7.3</v>
      </c>
      <c r="AD69" s="1">
        <f t="shared" si="72"/>
        <v>7.37</v>
      </c>
      <c r="AE69" s="1">
        <f t="shared" si="72"/>
        <v>7.3</v>
      </c>
      <c r="AF69" s="1">
        <f t="shared" si="72"/>
        <v>7.43</v>
      </c>
      <c r="AG69" s="1">
        <f t="shared" si="72"/>
        <v>7.22</v>
      </c>
      <c r="AH69" s="1">
        <f t="shared" si="72"/>
        <v>7.16</v>
      </c>
      <c r="AI69" s="1">
        <f t="shared" si="72"/>
        <v>7.16</v>
      </c>
      <c r="AJ69" s="1">
        <f t="shared" si="72"/>
        <v>7.3</v>
      </c>
      <c r="AK69" s="1">
        <f t="shared" si="72"/>
        <v>7.33</v>
      </c>
      <c r="AL69" s="1">
        <f t="shared" si="72"/>
        <v>7.48</v>
      </c>
      <c r="AM69" s="1">
        <f t="shared" si="72"/>
        <v>7.58</v>
      </c>
      <c r="AN69" s="1">
        <f t="shared" si="72"/>
        <v>7.04</v>
      </c>
      <c r="AO69" s="1">
        <f t="shared" si="72"/>
        <v>7.04</v>
      </c>
      <c r="AP69" s="1">
        <f t="shared" si="72"/>
        <v>7.08</v>
      </c>
      <c r="AQ69" s="1">
        <f t="shared" si="72"/>
        <v>7.08</v>
      </c>
      <c r="AR69" s="1">
        <f t="shared" si="72"/>
        <v>7.19</v>
      </c>
      <c r="AS69" s="1">
        <f t="shared" si="72"/>
        <v>7.25</v>
      </c>
      <c r="AT69" s="1">
        <f t="shared" si="72"/>
        <v>7.25</v>
      </c>
    </row>
    <row r="70" spans="24:46" x14ac:dyDescent="0.35">
      <c r="X70" t="s">
        <v>346</v>
      </c>
      <c r="Y70" s="30" t="s">
        <v>460</v>
      </c>
      <c r="Z70" s="1">
        <f t="shared" ref="Z70:AT70" si="73">Y37</f>
        <v>7.32</v>
      </c>
      <c r="AA70" s="1">
        <f t="shared" si="73"/>
        <v>7.26</v>
      </c>
      <c r="AB70" s="1">
        <f t="shared" si="73"/>
        <v>7.31</v>
      </c>
      <c r="AC70" s="1">
        <f t="shared" si="73"/>
        <v>7.24</v>
      </c>
      <c r="AD70" s="1">
        <f t="shared" si="73"/>
        <v>7.27</v>
      </c>
      <c r="AE70" s="1">
        <f t="shared" si="73"/>
        <v>7.27</v>
      </c>
      <c r="AF70" s="1">
        <f t="shared" si="73"/>
        <v>7.4</v>
      </c>
      <c r="AG70" s="1">
        <f t="shared" si="73"/>
        <v>7.34</v>
      </c>
      <c r="AH70" s="1">
        <f t="shared" si="73"/>
        <v>7.24</v>
      </c>
      <c r="AI70" s="1">
        <f t="shared" si="73"/>
        <v>7.25</v>
      </c>
      <c r="AJ70" s="1">
        <f t="shared" si="73"/>
        <v>7.35</v>
      </c>
      <c r="AK70" s="1">
        <f t="shared" si="73"/>
        <v>7.39</v>
      </c>
      <c r="AL70" s="1">
        <f t="shared" si="73"/>
        <v>7.46</v>
      </c>
      <c r="AM70" s="1">
        <f t="shared" si="73"/>
        <v>7.52</v>
      </c>
      <c r="AN70" s="1">
        <f t="shared" si="73"/>
        <v>7.1</v>
      </c>
      <c r="AO70" s="1">
        <f t="shared" si="73"/>
        <v>7.02</v>
      </c>
      <c r="AP70" s="1">
        <f t="shared" si="73"/>
        <v>7.01</v>
      </c>
      <c r="AQ70" s="1">
        <f t="shared" si="73"/>
        <v>7.12</v>
      </c>
      <c r="AR70" s="1">
        <f t="shared" si="73"/>
        <v>7.25</v>
      </c>
      <c r="AS70" s="1">
        <f t="shared" si="73"/>
        <v>7.3</v>
      </c>
      <c r="AT70" s="1">
        <f t="shared" si="73"/>
        <v>7.35</v>
      </c>
    </row>
    <row r="71" spans="24:46" x14ac:dyDescent="0.35">
      <c r="X71" t="s">
        <v>344</v>
      </c>
      <c r="Y71" s="30" t="s">
        <v>461</v>
      </c>
      <c r="Z71" s="1">
        <f t="shared" ref="Z71:AT71" si="74">Y40</f>
        <v>7.23</v>
      </c>
      <c r="AA71" s="1">
        <f t="shared" si="74"/>
        <v>7.18</v>
      </c>
      <c r="AB71" s="1">
        <f t="shared" si="74"/>
        <v>7.2</v>
      </c>
      <c r="AC71" s="1">
        <f t="shared" si="74"/>
        <v>7.26</v>
      </c>
      <c r="AD71" s="1">
        <f t="shared" si="74"/>
        <v>7.33</v>
      </c>
      <c r="AE71" s="1">
        <f t="shared" si="74"/>
        <v>7.27</v>
      </c>
      <c r="AF71" s="1">
        <f t="shared" si="74"/>
        <v>7.15</v>
      </c>
      <c r="AG71" s="1">
        <f t="shared" si="74"/>
        <v>8.0299999999999994</v>
      </c>
      <c r="AH71" s="1">
        <f t="shared" si="74"/>
        <v>7.93</v>
      </c>
      <c r="AI71" s="1">
        <f t="shared" si="74"/>
        <v>7.84</v>
      </c>
      <c r="AJ71" s="1">
        <f t="shared" si="74"/>
        <v>7.73</v>
      </c>
      <c r="AK71" s="1">
        <f t="shared" si="74"/>
        <v>7.83</v>
      </c>
      <c r="AL71" s="1">
        <f t="shared" si="74"/>
        <v>7.8</v>
      </c>
      <c r="AM71" s="1">
        <f t="shared" si="74"/>
        <v>7.89</v>
      </c>
      <c r="AN71" s="1">
        <f t="shared" si="74"/>
        <v>7.34</v>
      </c>
      <c r="AO71" s="1">
        <f t="shared" si="74"/>
        <v>7.39</v>
      </c>
      <c r="AP71" s="1">
        <f t="shared" si="74"/>
        <v>7.77</v>
      </c>
      <c r="AQ71" s="1">
        <f t="shared" si="74"/>
        <v>7.98</v>
      </c>
      <c r="AR71" s="1">
        <f t="shared" si="74"/>
        <v>8.01</v>
      </c>
      <c r="AS71" s="1">
        <f t="shared" si="74"/>
        <v>7.94</v>
      </c>
      <c r="AT71" s="1">
        <f t="shared" si="74"/>
        <v>7.91</v>
      </c>
    </row>
    <row r="72" spans="24:46" x14ac:dyDescent="0.35">
      <c r="X72" t="s">
        <v>345</v>
      </c>
      <c r="Y72" s="30" t="s">
        <v>461</v>
      </c>
      <c r="Z72" s="1">
        <f t="shared" ref="Z72:AT72" si="75">Y43</f>
        <v>7.19</v>
      </c>
      <c r="AA72" s="1">
        <f t="shared" si="75"/>
        <v>7.11</v>
      </c>
      <c r="AB72" s="1">
        <f t="shared" si="75"/>
        <v>7.04</v>
      </c>
      <c r="AC72" s="1">
        <f t="shared" si="75"/>
        <v>7.17</v>
      </c>
      <c r="AD72" s="1">
        <f t="shared" si="75"/>
        <v>7.39</v>
      </c>
      <c r="AE72" s="1">
        <f t="shared" si="75"/>
        <v>7.31</v>
      </c>
      <c r="AF72" s="1">
        <f t="shared" si="75"/>
        <v>7.45</v>
      </c>
      <c r="AG72" s="1">
        <f t="shared" si="75"/>
        <v>6.99</v>
      </c>
      <c r="AH72" s="1">
        <f t="shared" si="75"/>
        <v>7.02</v>
      </c>
      <c r="AI72" s="1">
        <f t="shared" si="75"/>
        <v>7.15</v>
      </c>
      <c r="AJ72" s="1">
        <f t="shared" si="75"/>
        <v>7.19</v>
      </c>
      <c r="AK72" s="1">
        <f t="shared" si="75"/>
        <v>7.29</v>
      </c>
      <c r="AL72" s="1">
        <f t="shared" si="75"/>
        <v>7.24</v>
      </c>
      <c r="AM72" s="1">
        <f t="shared" si="75"/>
        <v>7.4</v>
      </c>
      <c r="AN72" s="1">
        <f t="shared" si="75"/>
        <v>6.88</v>
      </c>
      <c r="AO72" s="1">
        <f t="shared" si="75"/>
        <v>6.87</v>
      </c>
      <c r="AP72" s="1">
        <f t="shared" si="75"/>
        <v>7.04</v>
      </c>
      <c r="AQ72" s="1">
        <f t="shared" si="75"/>
        <v>7.08</v>
      </c>
      <c r="AR72" s="1">
        <f t="shared" si="75"/>
        <v>7.19</v>
      </c>
      <c r="AS72" s="1">
        <f t="shared" si="75"/>
        <v>7.23</v>
      </c>
      <c r="AT72" s="1">
        <f t="shared" si="75"/>
        <v>7.34</v>
      </c>
    </row>
    <row r="73" spans="24:46" x14ac:dyDescent="0.35">
      <c r="X73" t="s">
        <v>346</v>
      </c>
      <c r="Y73" s="30" t="s">
        <v>461</v>
      </c>
      <c r="Z73" s="1">
        <f t="shared" ref="Z73:AT73" si="76">Y46</f>
        <v>7.38</v>
      </c>
      <c r="AA73" s="1">
        <f t="shared" si="76"/>
        <v>7.38</v>
      </c>
      <c r="AB73" s="1">
        <f t="shared" si="76"/>
        <v>7.45</v>
      </c>
      <c r="AC73" s="1">
        <f t="shared" si="76"/>
        <v>7.32</v>
      </c>
      <c r="AD73" s="1">
        <f t="shared" si="76"/>
        <v>7.44</v>
      </c>
      <c r="AE73" s="1">
        <f t="shared" si="76"/>
        <v>7.43</v>
      </c>
      <c r="AF73" s="1">
        <f t="shared" si="76"/>
        <v>7.28</v>
      </c>
      <c r="AG73" s="1">
        <f t="shared" si="76"/>
        <v>7.15</v>
      </c>
      <c r="AH73" s="1">
        <f t="shared" si="76"/>
        <v>7.32</v>
      </c>
      <c r="AI73" s="1">
        <f t="shared" si="76"/>
        <v>7.4</v>
      </c>
      <c r="AJ73" s="1">
        <f t="shared" si="76"/>
        <v>7.45</v>
      </c>
      <c r="AK73" s="1">
        <f t="shared" si="76"/>
        <v>7.54</v>
      </c>
      <c r="AL73" s="1">
        <f t="shared" si="76"/>
        <v>7.58</v>
      </c>
      <c r="AM73" s="1">
        <f t="shared" si="76"/>
        <v>7.58</v>
      </c>
      <c r="AN73" s="1">
        <f t="shared" si="76"/>
        <v>6.84</v>
      </c>
      <c r="AO73" s="1">
        <f t="shared" si="76"/>
        <v>7.03</v>
      </c>
      <c r="AP73" s="1">
        <f t="shared" si="76"/>
        <v>7.16</v>
      </c>
      <c r="AQ73" s="1">
        <f t="shared" si="76"/>
        <v>7.24</v>
      </c>
      <c r="AR73" s="1">
        <f t="shared" si="76"/>
        <v>7.28</v>
      </c>
      <c r="AS73" s="1">
        <f t="shared" si="76"/>
        <v>7.32</v>
      </c>
      <c r="AT73" s="1">
        <f t="shared" si="76"/>
        <v>7.36</v>
      </c>
    </row>
    <row r="74" spans="24:46" x14ac:dyDescent="0.35">
      <c r="X74" t="s">
        <v>344</v>
      </c>
      <c r="Y74" s="30" t="s">
        <v>462</v>
      </c>
      <c r="Z74" s="1">
        <f t="shared" ref="Z74:AT74" si="77">Y49</f>
        <v>8.35</v>
      </c>
      <c r="AA74" s="1">
        <f t="shared" si="77"/>
        <v>8.2799999999999994</v>
      </c>
      <c r="AB74" s="1">
        <f t="shared" si="77"/>
        <v>8.39</v>
      </c>
      <c r="AC74" s="1">
        <f t="shared" si="77"/>
        <v>8.15</v>
      </c>
      <c r="AD74" s="1">
        <f t="shared" si="77"/>
        <v>8.1199999999999992</v>
      </c>
      <c r="AE74" s="1">
        <f t="shared" si="77"/>
        <v>8.07</v>
      </c>
      <c r="AF74" s="1">
        <f t="shared" si="77"/>
        <v>8.0299999999999994</v>
      </c>
      <c r="AG74" s="1">
        <f t="shared" si="77"/>
        <v>8.4</v>
      </c>
      <c r="AH74" s="1">
        <f t="shared" si="77"/>
        <v>8.48</v>
      </c>
      <c r="AI74" s="1">
        <f t="shared" si="77"/>
        <v>8.2799999999999994</v>
      </c>
      <c r="AJ74" s="1">
        <f t="shared" si="77"/>
        <v>8.09</v>
      </c>
      <c r="AK74" s="1">
        <f t="shared" si="77"/>
        <v>7.91</v>
      </c>
      <c r="AL74" s="1">
        <f t="shared" si="77"/>
        <v>7.96</v>
      </c>
      <c r="AM74" s="1">
        <f t="shared" si="77"/>
        <v>7.86</v>
      </c>
      <c r="AN74" s="1">
        <f t="shared" si="77"/>
        <v>7.61</v>
      </c>
      <c r="AO74" s="1">
        <f t="shared" si="77"/>
        <v>7.78</v>
      </c>
      <c r="AP74" s="1">
        <f t="shared" si="77"/>
        <v>7.75</v>
      </c>
      <c r="AQ74" s="1">
        <f t="shared" si="77"/>
        <v>7.8</v>
      </c>
      <c r="AR74" s="1">
        <f t="shared" si="77"/>
        <v>7.74</v>
      </c>
      <c r="AS74" s="1">
        <f t="shared" si="77"/>
        <v>7.91</v>
      </c>
      <c r="AT74" s="1">
        <f t="shared" si="77"/>
        <v>7.95</v>
      </c>
    </row>
    <row r="75" spans="24:46" x14ac:dyDescent="0.35">
      <c r="X75" t="s">
        <v>345</v>
      </c>
      <c r="Y75" s="30" t="s">
        <v>462</v>
      </c>
      <c r="Z75" s="1">
        <f t="shared" ref="Z75:AT75" si="78">Y52</f>
        <v>7.29</v>
      </c>
      <c r="AA75" s="1">
        <f t="shared" si="78"/>
        <v>7.08</v>
      </c>
      <c r="AB75" s="1">
        <f t="shared" si="78"/>
        <v>7.14</v>
      </c>
      <c r="AC75" s="1">
        <f t="shared" si="78"/>
        <v>7.05</v>
      </c>
      <c r="AD75" s="1">
        <f t="shared" si="78"/>
        <v>7.11</v>
      </c>
      <c r="AE75" s="1">
        <f t="shared" si="78"/>
        <v>7.01</v>
      </c>
      <c r="AF75" s="1">
        <f t="shared" si="78"/>
        <v>7.03</v>
      </c>
      <c r="AG75" s="1">
        <f t="shared" si="78"/>
        <v>6.96</v>
      </c>
      <c r="AH75" s="1">
        <f t="shared" si="78"/>
        <v>6.94</v>
      </c>
      <c r="AI75" s="1">
        <f t="shared" si="78"/>
        <v>6.9</v>
      </c>
      <c r="AJ75" s="1">
        <f t="shared" si="78"/>
        <v>6.93</v>
      </c>
      <c r="AK75" s="1">
        <f t="shared" si="78"/>
        <v>6.87</v>
      </c>
      <c r="AL75" s="1">
        <f t="shared" si="78"/>
        <v>6.96</v>
      </c>
      <c r="AM75" s="1">
        <f t="shared" si="78"/>
        <v>6.87</v>
      </c>
      <c r="AN75" s="1">
        <f t="shared" si="78"/>
        <v>7.18</v>
      </c>
      <c r="AO75" s="1">
        <f t="shared" si="78"/>
        <v>7.09</v>
      </c>
      <c r="AP75" s="1">
        <f t="shared" si="78"/>
        <v>6.98</v>
      </c>
      <c r="AQ75" s="1">
        <f t="shared" si="78"/>
        <v>7.07</v>
      </c>
      <c r="AR75" s="1">
        <f t="shared" si="78"/>
        <v>7.1300000000000008</v>
      </c>
      <c r="AS75" s="1">
        <f t="shared" si="78"/>
        <v>7.19</v>
      </c>
      <c r="AT75" s="1">
        <f t="shared" si="78"/>
        <v>7.43</v>
      </c>
    </row>
    <row r="76" spans="24:46" x14ac:dyDescent="0.35">
      <c r="X76" t="s">
        <v>346</v>
      </c>
      <c r="Y76" s="30" t="s">
        <v>462</v>
      </c>
      <c r="Z76" s="1">
        <f t="shared" ref="Z76:AT76" si="79">Y55</f>
        <v>7.11</v>
      </c>
      <c r="AA76" s="1">
        <f t="shared" si="79"/>
        <v>6.99</v>
      </c>
      <c r="AB76" s="1">
        <f t="shared" si="79"/>
        <v>6.97</v>
      </c>
      <c r="AC76" s="1">
        <f t="shared" si="79"/>
        <v>6.99</v>
      </c>
      <c r="AD76" s="1">
        <f t="shared" si="79"/>
        <v>7.11</v>
      </c>
      <c r="AE76" s="1">
        <f t="shared" si="79"/>
        <v>7.07</v>
      </c>
      <c r="AF76" s="1">
        <f t="shared" si="79"/>
        <v>6.99</v>
      </c>
      <c r="AG76" s="1">
        <f t="shared" si="79"/>
        <v>6.94</v>
      </c>
      <c r="AH76" s="1">
        <f t="shared" si="79"/>
        <v>6.98</v>
      </c>
      <c r="AI76" s="1">
        <f t="shared" si="79"/>
        <v>7.01</v>
      </c>
      <c r="AJ76" s="1">
        <f t="shared" si="79"/>
        <v>6.97</v>
      </c>
      <c r="AK76" s="1">
        <f t="shared" si="79"/>
        <v>7.03</v>
      </c>
      <c r="AL76" s="1">
        <f t="shared" si="79"/>
        <v>6.99</v>
      </c>
      <c r="AM76" s="1">
        <f t="shared" si="79"/>
        <v>6.96</v>
      </c>
      <c r="AN76" s="1">
        <f t="shared" si="79"/>
        <v>7.47</v>
      </c>
      <c r="AO76" s="1">
        <f t="shared" si="79"/>
        <v>7.3949999999999996</v>
      </c>
      <c r="AP76" s="1">
        <f t="shared" si="79"/>
        <v>7.32</v>
      </c>
      <c r="AQ76" s="1">
        <f t="shared" si="79"/>
        <v>7.22</v>
      </c>
      <c r="AR76" s="1">
        <f t="shared" si="79"/>
        <v>7.12</v>
      </c>
      <c r="AS76" s="1">
        <f t="shared" si="79"/>
        <v>7.48</v>
      </c>
      <c r="AT76" s="1">
        <f t="shared" si="79"/>
        <v>7.45</v>
      </c>
    </row>
    <row r="79" spans="24:46" x14ac:dyDescent="0.35">
      <c r="X79" t="s">
        <v>530</v>
      </c>
    </row>
    <row r="80" spans="24:46" x14ac:dyDescent="0.35">
      <c r="X80" t="s">
        <v>529</v>
      </c>
      <c r="Y80" t="s">
        <v>528</v>
      </c>
    </row>
    <row r="81" spans="24:25" x14ac:dyDescent="0.35">
      <c r="X81">
        <v>0</v>
      </c>
      <c r="Y81" s="1">
        <f>AVERAGE(H52:H53)</f>
        <v>7.07</v>
      </c>
    </row>
    <row r="82" spans="24:25" x14ac:dyDescent="0.35">
      <c r="X82">
        <f t="shared" ref="X82:X87" si="80">X81+30</f>
        <v>30</v>
      </c>
      <c r="Y82" s="1">
        <f>AVERAGE(I51:I53)</f>
        <v>7.0366666666666662</v>
      </c>
    </row>
    <row r="83" spans="24:25" x14ac:dyDescent="0.35">
      <c r="X83">
        <f t="shared" si="80"/>
        <v>60</v>
      </c>
      <c r="Y83" s="1">
        <f>AVERAGE(J51:J53)</f>
        <v>7.0066666666666668</v>
      </c>
    </row>
    <row r="84" spans="24:25" x14ac:dyDescent="0.35">
      <c r="X84">
        <f t="shared" si="80"/>
        <v>90</v>
      </c>
      <c r="Y84" s="1">
        <f>AVERAGE(K51:K53)</f>
        <v>7.0166666666666666</v>
      </c>
    </row>
    <row r="85" spans="24:25" x14ac:dyDescent="0.35">
      <c r="X85">
        <f t="shared" si="80"/>
        <v>120</v>
      </c>
      <c r="Y85" s="1">
        <f>AVERAGE(L51:L53)</f>
        <v>7.0366666666666662</v>
      </c>
    </row>
    <row r="86" spans="24:25" x14ac:dyDescent="0.35">
      <c r="X86">
        <f t="shared" si="80"/>
        <v>150</v>
      </c>
      <c r="Y86" s="1">
        <f>AVERAGE(M51:M53)</f>
        <v>7.0533333333333337</v>
      </c>
    </row>
    <row r="87" spans="24:25" x14ac:dyDescent="0.35">
      <c r="X87">
        <f t="shared" si="80"/>
        <v>180</v>
      </c>
      <c r="Y87" s="1">
        <f>AVERAGE(N51:N53)</f>
        <v>7.1099999999999994</v>
      </c>
    </row>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704CFD-7D52-4BB8-8014-2AEA60E34D81}">
  <sheetPr codeName="Sheet23">
    <tabColor theme="8" tint="0.39997558519241921"/>
  </sheetPr>
  <dimension ref="A1:AT87"/>
  <sheetViews>
    <sheetView topLeftCell="E1" zoomScale="75" zoomScaleNormal="75" workbookViewId="0">
      <selection activeCell="Q1" sqref="Q1:Q1048576"/>
    </sheetView>
  </sheetViews>
  <sheetFormatPr defaultColWidth="11" defaultRowHeight="15.5" x14ac:dyDescent="0.35"/>
  <cols>
    <col min="1" max="1" width="14.6640625" style="65" customWidth="1"/>
    <col min="2" max="2" width="12.08203125" style="4" customWidth="1"/>
    <col min="3" max="3" width="41.33203125" style="4" customWidth="1"/>
    <col min="4" max="4" width="8.5" style="4" customWidth="1"/>
    <col min="5" max="22" width="11" style="4"/>
    <col min="24" max="24" width="17" customWidth="1"/>
  </cols>
  <sheetData>
    <row r="1" spans="1:45" ht="23.5" x14ac:dyDescent="0.35">
      <c r="A1" s="50" t="s">
        <v>467</v>
      </c>
      <c r="C1" s="26" t="s">
        <v>468</v>
      </c>
      <c r="F1" s="70" t="s">
        <v>25</v>
      </c>
      <c r="G1" s="26" t="s">
        <v>527</v>
      </c>
    </row>
    <row r="2" spans="1:45" ht="49.5" customHeight="1" x14ac:dyDescent="0.35">
      <c r="A2" s="18"/>
      <c r="B2" s="18" t="s">
        <v>433</v>
      </c>
      <c r="C2" s="18" t="s">
        <v>466</v>
      </c>
      <c r="D2" s="18" t="s">
        <v>497</v>
      </c>
      <c r="E2" s="18" t="s">
        <v>387</v>
      </c>
      <c r="F2" s="18" t="s">
        <v>404</v>
      </c>
      <c r="G2" s="18" t="s">
        <v>454</v>
      </c>
      <c r="H2" s="18">
        <v>0</v>
      </c>
      <c r="I2" s="18">
        <v>30</v>
      </c>
      <c r="J2" s="18">
        <v>60</v>
      </c>
      <c r="K2" s="18">
        <v>90</v>
      </c>
      <c r="L2" s="18">
        <v>120</v>
      </c>
      <c r="M2" s="18">
        <v>150</v>
      </c>
      <c r="N2" s="18">
        <v>180</v>
      </c>
      <c r="O2" s="19" t="s">
        <v>340</v>
      </c>
      <c r="P2" s="19" t="s">
        <v>547</v>
      </c>
      <c r="Q2" s="19" t="s">
        <v>340</v>
      </c>
      <c r="R2" s="19" t="s">
        <v>341</v>
      </c>
      <c r="S2" s="19" t="s">
        <v>342</v>
      </c>
      <c r="T2" s="19" t="s">
        <v>547</v>
      </c>
      <c r="U2" s="19" t="s">
        <v>475</v>
      </c>
      <c r="V2" s="19" t="s">
        <v>533</v>
      </c>
    </row>
    <row r="3" spans="1:45" x14ac:dyDescent="0.35">
      <c r="A3" s="41">
        <f>IFERROR(INDEX('Date Key'!$B$2:$B$19, MATCH(F3,'Date Key'!$A$2:$A$19, 0)), "")</f>
        <v>45175</v>
      </c>
      <c r="B3" s="4">
        <f>INT((ROW(A1)-1)/9)+1</f>
        <v>1</v>
      </c>
      <c r="C3" s="26" t="str">
        <f>IFERROR(INDEX('Date Key'!$G$57:$G$62, MATCH(B3,'Date Key'!$A$57:$A$62, 0)), "")</f>
        <v>Low HLR, Lower Outlet Height, No Plants</v>
      </c>
      <c r="D3" s="4" t="str">
        <f>IFERROR(INDEX('Date Key'!$G$2:$G$19, MATCH(F3, 'Date Key'!$A$2:$A$19, 0)), "")</f>
        <v>No</v>
      </c>
      <c r="E3" s="4" t="str">
        <f>CHOOSE(MOD(ROW(G3)-ROW($G$3), 9) + 1, "in", "in", "in", "tank 1", "tank 1", "tank 1", "tank 2", "tank 2", "tank 2")</f>
        <v>in</v>
      </c>
      <c r="F3" s="4">
        <f>MOD(ROW(G3)-ROW($G$3), 3) + 1 + 3 * INT((ROW(G3)-ROW($G$3))/9)</f>
        <v>1</v>
      </c>
      <c r="G3" s="4">
        <f>MOD(ROW(G3)-ROW($G$3), 3) + 1</f>
        <v>1</v>
      </c>
      <c r="H3" s="11" cm="1">
        <f t="array" ref="H3">IFERROR(INDEX('Master Data Sheet'!$1:$1048576, MATCH(1, ('Master Data Sheet'!$H:$H=H$2) * (INDEX('Master Data Sheet'!$1:$1, , MATCH($F$1, 'Master Data Sheet'!$1:$1, 0)) = $F$1) * ('Master Data Sheet'!$G:$G=$B3) * ('Master Data Sheet'!$F:$F=$E3) * ('Master Data Sheet'!$A:$A=$F3), 0), MATCH($F$1, 'Master Data Sheet'!$1:$1, 0)), "")</f>
        <v>133.92857142857144</v>
      </c>
      <c r="I3" s="11" cm="1">
        <f t="array" ref="I3">IFERROR(INDEX('Master Data Sheet'!$1:$1048576, MATCH(1, ('Master Data Sheet'!$H:$H=I$2) * (INDEX('Master Data Sheet'!$1:$1, , MATCH($F$1, 'Master Data Sheet'!$1:$1, 0)) = $F$1) * ('Master Data Sheet'!$G:$G=$B3) * ('Master Data Sheet'!$F:$F=$E3) * ('Master Data Sheet'!$A:$A=$F3), 0), MATCH($F$1, 'Master Data Sheet'!$1:$1, 0)), "")</f>
        <v>225.40983606557401</v>
      </c>
      <c r="J3" s="11" cm="1">
        <f t="array" ref="J3">IFERROR(INDEX('Master Data Sheet'!$1:$1048576, MATCH(1, ('Master Data Sheet'!$H:$H=J$2) * (INDEX('Master Data Sheet'!$1:$1, , MATCH($F$1, 'Master Data Sheet'!$1:$1, 0)) = $F$1) * ('Master Data Sheet'!$G:$G=$B3) * ('Master Data Sheet'!$F:$F=$E3) * ('Master Data Sheet'!$A:$A=$F3), 0), MATCH($F$1, 'Master Data Sheet'!$1:$1, 0)), "")</f>
        <v>216.94214876033061</v>
      </c>
      <c r="K3" s="11" cm="1">
        <f t="array" ref="K3">IFERROR(INDEX('Master Data Sheet'!$1:$1048576, MATCH(1, ('Master Data Sheet'!$H:$H=K$2) * (INDEX('Master Data Sheet'!$1:$1, , MATCH($F$1, 'Master Data Sheet'!$1:$1, 0)) = $F$1) * ('Master Data Sheet'!$G:$G=$B3) * ('Master Data Sheet'!$F:$F=$E3) * ('Master Data Sheet'!$A:$A=$F3), 0), MATCH($F$1, 'Master Data Sheet'!$1:$1, 0)), "")</f>
        <v>216.94214876033061</v>
      </c>
      <c r="L3" s="11" cm="1">
        <f t="array" ref="L3">IFERROR(INDEX('Master Data Sheet'!$1:$1048576, MATCH(1, ('Master Data Sheet'!$H:$H=L$2) * (INDEX('Master Data Sheet'!$1:$1, , MATCH($F$1, 'Master Data Sheet'!$1:$1, 0)) = $F$1) * ('Master Data Sheet'!$G:$G=$B3) * ('Master Data Sheet'!$F:$F=$E3) * ('Master Data Sheet'!$A:$A=$F3), 0), MATCH($F$1, 'Master Data Sheet'!$1:$1, 0)), "")</f>
        <v>225.40983606557381</v>
      </c>
      <c r="M3" s="11" cm="1">
        <f t="array" ref="M3">IFERROR(INDEX('Master Data Sheet'!$1:$1048576, MATCH(1, ('Master Data Sheet'!$H:$H=M$2) * (INDEX('Master Data Sheet'!$1:$1, , MATCH($F$1, 'Master Data Sheet'!$1:$1, 0)) = $F$1) * ('Master Data Sheet'!$G:$G=$B3) * ('Master Data Sheet'!$F:$F=$E3) * ('Master Data Sheet'!$A:$A=$F3), 0), MATCH($F$1, 'Master Data Sheet'!$1:$1, 0)), "")</f>
        <v>216.94214876033061</v>
      </c>
      <c r="N3" s="11" cm="1">
        <f t="array" ref="N3">IFERROR(INDEX('Master Data Sheet'!$1:$1048576, MATCH(1, ('Master Data Sheet'!$H:$H=N$2) * (INDEX('Master Data Sheet'!$1:$1, , MATCH($F$1, 'Master Data Sheet'!$1:$1, 0)) = $F$1) * ('Master Data Sheet'!$G:$G=$B3) * ('Master Data Sheet'!$F:$F=$E3) * ('Master Data Sheet'!$A:$A=$F3), 0), MATCH($F$1, 'Master Data Sheet'!$1:$1, 0)), "")</f>
        <v>133.92857142857144</v>
      </c>
      <c r="O3" s="11">
        <f>AVERAGE(H3:N3)</f>
        <v>195.64332303846894</v>
      </c>
      <c r="P3" s="11">
        <f>STDEV(H3:N3)</f>
        <v>42.328933484318249</v>
      </c>
      <c r="Q3" s="11">
        <f>AVERAGE(O3,O5)</f>
        <v>155.22006418380965</v>
      </c>
      <c r="S3" s="46">
        <f>AVERAGE(O3:O5)</f>
        <v>137.7265760811126</v>
      </c>
      <c r="T3" s="46">
        <f>AVERAGE(P3:P5)</f>
        <v>29.384264298209164</v>
      </c>
      <c r="V3" s="47">
        <f>AVERAGE(U6, U9)</f>
        <v>-42.572397356296086</v>
      </c>
      <c r="X3" t="s">
        <v>343</v>
      </c>
    </row>
    <row r="4" spans="1:45" x14ac:dyDescent="0.35">
      <c r="A4" s="41">
        <f>IFERROR(INDEX('Date Key'!$B$2:$B$19, MATCH(F4,'Date Key'!$A$2:$A$19, 0)), "")</f>
        <v>45181</v>
      </c>
      <c r="B4" s="4">
        <f t="shared" ref="B4:B11" si="0">INT((ROW(B2)-1)/9)+1</f>
        <v>1</v>
      </c>
      <c r="C4" s="26" t="str">
        <f>IFERROR(INDEX('Date Key'!$G$57:$G$62, MATCH(B4,'Date Key'!$A$57:$A$62, 0)), "")</f>
        <v>Low HLR, Lower Outlet Height, No Plants</v>
      </c>
      <c r="D4" s="4" t="str">
        <f>IFERROR(INDEX('Date Key'!$G$2:$G$19, MATCH(F4, 'Date Key'!$A$2:$A$19, 0)), "")</f>
        <v>No</v>
      </c>
      <c r="E4" s="4" t="str">
        <f t="shared" ref="E4:E56" si="1">CHOOSE(MOD(ROW(G4)-ROW($G$3), 9) + 1, "in", "in", "in", "tank 1", "tank 1", "tank 1", "tank 2", "tank 2", "tank 2")</f>
        <v>in</v>
      </c>
      <c r="F4" s="4">
        <f t="shared" ref="F4:F56" si="2">MOD(ROW(G4)-ROW($G$3), 3) + 1 + 3 * INT((ROW(G4)-ROW($G$3))/9)</f>
        <v>2</v>
      </c>
      <c r="G4" s="4">
        <f t="shared" ref="G4:G15" si="3">MOD(ROW(G4)-ROW($G$3), 3) + 1</f>
        <v>2</v>
      </c>
      <c r="H4" s="11" cm="1">
        <f t="array" ref="H4">IFERROR(INDEX('Master Data Sheet'!$1:$1048576, MATCH(1, ('Master Data Sheet'!$H:$H=H$2) * (INDEX('Master Data Sheet'!$1:$1, , MATCH($F$1, 'Master Data Sheet'!$1:$1, 0)) = $F$1) * ('Master Data Sheet'!$G:$G=$B4) * ('Master Data Sheet'!$F:$F=$E4) * ('Master Data Sheet'!$A:$A=$F4), 0), MATCH($F$1, 'Master Data Sheet'!$1:$1, 0)), "")</f>
        <v>70.754716981132077</v>
      </c>
      <c r="I4" s="11" cm="1">
        <f t="array" ref="I4">IFERROR(INDEX('Master Data Sheet'!$1:$1048576, MATCH(1, ('Master Data Sheet'!$H:$H=I$2) * (INDEX('Master Data Sheet'!$1:$1, , MATCH($F$1, 'Master Data Sheet'!$1:$1, 0)) = $F$1) * ('Master Data Sheet'!$G:$G=$B4) * ('Master Data Sheet'!$F:$F=$E4) * ('Master Data Sheet'!$A:$A=$F4), 0), MATCH($F$1, 'Master Data Sheet'!$1:$1, 0)), "")</f>
        <v>70.754716981132077</v>
      </c>
      <c r="J4" s="11" cm="1">
        <f t="array" ref="J4">IFERROR(INDEX('Master Data Sheet'!$1:$1048576, MATCH(1, ('Master Data Sheet'!$H:$H=J$2) * (INDEX('Master Data Sheet'!$1:$1, , MATCH($F$1, 'Master Data Sheet'!$1:$1, 0)) = $F$1) * ('Master Data Sheet'!$G:$G=$B4) * ('Master Data Sheet'!$F:$F=$E4) * ('Master Data Sheet'!$A:$A=$F4), 0), MATCH($F$1, 'Master Data Sheet'!$1:$1, 0)), "")</f>
        <v>92.592592592592609</v>
      </c>
      <c r="K4" s="11" cm="1">
        <f t="array" ref="K4">IFERROR(INDEX('Master Data Sheet'!$1:$1048576, MATCH(1, ('Master Data Sheet'!$H:$H=K$2) * (INDEX('Master Data Sheet'!$1:$1, , MATCH($F$1, 'Master Data Sheet'!$1:$1, 0)) = $F$1) * ('Master Data Sheet'!$G:$G=$B4) * ('Master Data Sheet'!$F:$F=$E4) * ('Master Data Sheet'!$A:$A=$F4), 0), MATCH($F$1, 'Master Data Sheet'!$1:$1, 0)), "")</f>
        <v>133.92857142857144</v>
      </c>
      <c r="L4" s="11" cm="1">
        <f t="array" ref="L4">IFERROR(INDEX('Master Data Sheet'!$1:$1048576, MATCH(1, ('Master Data Sheet'!$H:$H=L$2) * (INDEX('Master Data Sheet'!$1:$1, , MATCH($F$1, 'Master Data Sheet'!$1:$1, 0)) = $F$1) * ('Master Data Sheet'!$G:$G=$B4) * ('Master Data Sheet'!$F:$F=$E4) * ('Master Data Sheet'!$A:$A=$F4), 0), MATCH($F$1, 'Master Data Sheet'!$1:$1, 0)), "")</f>
        <v>113.63636363636364</v>
      </c>
      <c r="M4" s="11" cm="1">
        <f t="array" ref="M4">IFERROR(INDEX('Master Data Sheet'!$1:$1048576, MATCH(1, ('Master Data Sheet'!$H:$H=M$2) * (INDEX('Master Data Sheet'!$1:$1, , MATCH($F$1, 'Master Data Sheet'!$1:$1, 0)) = $F$1) * ('Master Data Sheet'!$G:$G=$B4) * ('Master Data Sheet'!$F:$F=$E4) * ('Master Data Sheet'!$A:$A=$F4), 0), MATCH($F$1, 'Master Data Sheet'!$1:$1, 0)), "")</f>
        <v>123.8738738738739</v>
      </c>
      <c r="N4" s="11" cm="1">
        <f t="array" ref="N4">IFERROR(INDEX('Master Data Sheet'!$1:$1048576, MATCH(1, ('Master Data Sheet'!$H:$H=N$2) * (INDEX('Master Data Sheet'!$1:$1, , MATCH($F$1, 'Master Data Sheet'!$1:$1, 0)) = $F$1) * ('Master Data Sheet'!$G:$G=$B4) * ('Master Data Sheet'!$F:$F=$E4) * ('Master Data Sheet'!$A:$A=$F4), 0), MATCH($F$1, 'Master Data Sheet'!$1:$1, 0)), "")</f>
        <v>113.63636363636364</v>
      </c>
      <c r="O4" s="11">
        <f>AVERAGE(H4:N4)</f>
        <v>102.73959987571848</v>
      </c>
      <c r="P4" s="11">
        <f t="shared" ref="P4:P56" si="4">STDEV(H4:N4)</f>
        <v>25.185695772365936</v>
      </c>
      <c r="Q4" s="11"/>
      <c r="X4" t="str">
        <f>IFERROR(INDEX('Date Key'!$G$57:$G$62, MATCH(B3,'Date Key'!$A$57:$A$62, 0)), "")</f>
        <v>Low HLR, Lower Outlet Height, No Plants</v>
      </c>
      <c r="Y4" s="1">
        <f t="shared" ref="Y4:AE4" si="5">H3</f>
        <v>133.92857142857144</v>
      </c>
      <c r="Z4" s="1">
        <f t="shared" si="5"/>
        <v>225.40983606557401</v>
      </c>
      <c r="AA4" s="1">
        <f t="shared" si="5"/>
        <v>216.94214876033061</v>
      </c>
      <c r="AB4" s="1">
        <f t="shared" si="5"/>
        <v>216.94214876033061</v>
      </c>
      <c r="AC4" s="1">
        <f t="shared" si="5"/>
        <v>225.40983606557381</v>
      </c>
      <c r="AD4" s="1">
        <f t="shared" si="5"/>
        <v>216.94214876033061</v>
      </c>
      <c r="AE4" s="1">
        <f t="shared" si="5"/>
        <v>133.92857142857144</v>
      </c>
      <c r="AF4" s="1">
        <f t="shared" ref="AF4:AL4" si="6">H4</f>
        <v>70.754716981132077</v>
      </c>
      <c r="AG4" s="1">
        <f t="shared" si="6"/>
        <v>70.754716981132077</v>
      </c>
      <c r="AH4" s="1">
        <f t="shared" si="6"/>
        <v>92.592592592592609</v>
      </c>
      <c r="AI4" s="1">
        <f t="shared" si="6"/>
        <v>133.92857142857144</v>
      </c>
      <c r="AJ4" s="1">
        <f t="shared" si="6"/>
        <v>113.63636363636364</v>
      </c>
      <c r="AK4" s="1">
        <f t="shared" si="6"/>
        <v>123.8738738738739</v>
      </c>
      <c r="AL4" s="1">
        <f t="shared" si="6"/>
        <v>113.63636363636364</v>
      </c>
      <c r="AM4" s="1">
        <f t="shared" ref="AM4:AS4" si="7">H5</f>
        <v>70.754716981132077</v>
      </c>
      <c r="AN4" s="1">
        <f t="shared" si="7"/>
        <v>113.63636363636364</v>
      </c>
      <c r="AO4" s="1">
        <f t="shared" si="7"/>
        <v>113.63636363636364</v>
      </c>
      <c r="AP4" s="1">
        <f t="shared" si="7"/>
        <v>123.8738738738739</v>
      </c>
      <c r="AQ4" s="1">
        <f t="shared" si="7"/>
        <v>123.8738738738739</v>
      </c>
      <c r="AR4" s="1">
        <f t="shared" si="7"/>
        <v>133.92857142857144</v>
      </c>
      <c r="AS4" s="1">
        <f t="shared" si="7"/>
        <v>123.8738738738739</v>
      </c>
    </row>
    <row r="5" spans="1:45" x14ac:dyDescent="0.35">
      <c r="A5" s="41">
        <f>IFERROR(INDEX('Date Key'!$B$2:$B$19, MATCH(F5,'Date Key'!$A$2:$A$19, 0)), "")</f>
        <v>45195</v>
      </c>
      <c r="B5" s="4">
        <f t="shared" si="0"/>
        <v>1</v>
      </c>
      <c r="C5" s="26" t="str">
        <f>IFERROR(INDEX('Date Key'!$G$57:$G$62, MATCH(B5,'Date Key'!$A$57:$A$62, 0)), "")</f>
        <v>Low HLR, Lower Outlet Height, No Plants</v>
      </c>
      <c r="D5" s="4" t="str">
        <f>IFERROR(INDEX('Date Key'!$G$2:$G$19, MATCH(F5, 'Date Key'!$A$2:$A$19, 0)), "")</f>
        <v>No</v>
      </c>
      <c r="E5" s="4" t="str">
        <f t="shared" si="1"/>
        <v>in</v>
      </c>
      <c r="F5" s="4">
        <f t="shared" si="2"/>
        <v>3</v>
      </c>
      <c r="G5" s="4">
        <f t="shared" si="3"/>
        <v>3</v>
      </c>
      <c r="H5" s="11" cm="1">
        <f t="array" ref="H5">IFERROR(INDEX('Master Data Sheet'!$1:$1048576, MATCH(1, ('Master Data Sheet'!$H:$H=H$2) * (INDEX('Master Data Sheet'!$1:$1, , MATCH($F$1, 'Master Data Sheet'!$1:$1, 0)) = $F$1) * ('Master Data Sheet'!$G:$G=$B5) * ('Master Data Sheet'!$F:$F=$E5) * ('Master Data Sheet'!$A:$A=$F5), 0), MATCH($F$1, 'Master Data Sheet'!$1:$1, 0)), "")</f>
        <v>70.754716981132077</v>
      </c>
      <c r="I5" s="11" cm="1">
        <f t="array" ref="I5">IFERROR(INDEX('Master Data Sheet'!$1:$1048576, MATCH(1, ('Master Data Sheet'!$H:$H=I$2) * (INDEX('Master Data Sheet'!$1:$1, , MATCH($F$1, 'Master Data Sheet'!$1:$1, 0)) = $F$1) * ('Master Data Sheet'!$G:$G=$B5) * ('Master Data Sheet'!$F:$F=$E5) * ('Master Data Sheet'!$A:$A=$F5), 0), MATCH($F$1, 'Master Data Sheet'!$1:$1, 0)), "")</f>
        <v>113.63636363636364</v>
      </c>
      <c r="J5" s="11" cm="1">
        <f t="array" ref="J5">IFERROR(INDEX('Master Data Sheet'!$1:$1048576, MATCH(1, ('Master Data Sheet'!$H:$H=J$2) * (INDEX('Master Data Sheet'!$1:$1, , MATCH($F$1, 'Master Data Sheet'!$1:$1, 0)) = $F$1) * ('Master Data Sheet'!$G:$G=$B5) * ('Master Data Sheet'!$F:$F=$E5) * ('Master Data Sheet'!$A:$A=$F5), 0), MATCH($F$1, 'Master Data Sheet'!$1:$1, 0)), "")</f>
        <v>113.63636363636364</v>
      </c>
      <c r="K5" s="11" cm="1">
        <f t="array" ref="K5">IFERROR(INDEX('Master Data Sheet'!$1:$1048576, MATCH(1, ('Master Data Sheet'!$H:$H=K$2) * (INDEX('Master Data Sheet'!$1:$1, , MATCH($F$1, 'Master Data Sheet'!$1:$1, 0)) = $F$1) * ('Master Data Sheet'!$G:$G=$B5) * ('Master Data Sheet'!$F:$F=$E5) * ('Master Data Sheet'!$A:$A=$F5), 0), MATCH($F$1, 'Master Data Sheet'!$1:$1, 0)), "")</f>
        <v>123.8738738738739</v>
      </c>
      <c r="L5" s="11" cm="1">
        <f t="array" ref="L5">IFERROR(INDEX('Master Data Sheet'!$1:$1048576, MATCH(1, ('Master Data Sheet'!$H:$H=L$2) * (INDEX('Master Data Sheet'!$1:$1, , MATCH($F$1, 'Master Data Sheet'!$1:$1, 0)) = $F$1) * ('Master Data Sheet'!$G:$G=$B5) * ('Master Data Sheet'!$F:$F=$E5) * ('Master Data Sheet'!$A:$A=$F5), 0), MATCH($F$1, 'Master Data Sheet'!$1:$1, 0)), "")</f>
        <v>123.8738738738739</v>
      </c>
      <c r="M5" s="11" cm="1">
        <f t="array" ref="M5">IFERROR(INDEX('Master Data Sheet'!$1:$1048576, MATCH(1, ('Master Data Sheet'!$H:$H=M$2) * (INDEX('Master Data Sheet'!$1:$1, , MATCH($F$1, 'Master Data Sheet'!$1:$1, 0)) = $F$1) * ('Master Data Sheet'!$G:$G=$B5) * ('Master Data Sheet'!$F:$F=$E5) * ('Master Data Sheet'!$A:$A=$F5), 0), MATCH($F$1, 'Master Data Sheet'!$1:$1, 0)), "")</f>
        <v>133.92857142857144</v>
      </c>
      <c r="N5" s="11" cm="1">
        <f t="array" ref="N5">IFERROR(INDEX('Master Data Sheet'!$1:$1048576, MATCH(1, ('Master Data Sheet'!$H:$H=N$2) * (INDEX('Master Data Sheet'!$1:$1, , MATCH($F$1, 'Master Data Sheet'!$1:$1, 0)) = $F$1) * ('Master Data Sheet'!$G:$G=$B5) * ('Master Data Sheet'!$F:$F=$E5) * ('Master Data Sheet'!$A:$A=$F5), 0), MATCH($F$1, 'Master Data Sheet'!$1:$1, 0)), "")</f>
        <v>123.8738738738739</v>
      </c>
      <c r="O5" s="11">
        <f>AVERAGE(H5:N5)</f>
        <v>114.79680532915036</v>
      </c>
      <c r="P5" s="11">
        <f t="shared" si="4"/>
        <v>20.638163637943308</v>
      </c>
      <c r="Q5" s="11"/>
      <c r="Y5" s="1"/>
      <c r="Z5" s="1"/>
      <c r="AA5" s="1"/>
      <c r="AB5" s="1"/>
      <c r="AC5" s="1"/>
      <c r="AD5" s="1"/>
      <c r="AE5" s="1"/>
      <c r="AF5" s="1"/>
      <c r="AG5" s="1"/>
      <c r="AH5" s="1"/>
      <c r="AI5" s="1"/>
      <c r="AJ5" s="1"/>
      <c r="AK5" s="1"/>
      <c r="AL5" s="1"/>
      <c r="AM5" s="1"/>
      <c r="AN5" s="1"/>
      <c r="AO5" s="1"/>
      <c r="AP5" s="1"/>
      <c r="AQ5" s="1"/>
      <c r="AR5" s="1"/>
      <c r="AS5" s="1"/>
    </row>
    <row r="6" spans="1:45" x14ac:dyDescent="0.35">
      <c r="A6" s="41">
        <f>IFERROR(INDEX('Date Key'!$B$2:$B$19, MATCH(F6,'Date Key'!$A$2:$A$19, 0)), "")</f>
        <v>45175</v>
      </c>
      <c r="B6" s="4">
        <f t="shared" si="0"/>
        <v>1</v>
      </c>
      <c r="C6" s="26" t="str">
        <f>IFERROR(INDEX('Date Key'!$G$57:$G$62, MATCH(B6,'Date Key'!$A$57:$A$62, 0)), "")</f>
        <v>Low HLR, Lower Outlet Height, No Plants</v>
      </c>
      <c r="D6" s="4" t="str">
        <f>IFERROR(INDEX('Date Key'!$G$2:$G$19, MATCH(F6, 'Date Key'!$A$2:$A$19, 0)), "")</f>
        <v>No</v>
      </c>
      <c r="E6" s="4" t="str">
        <f t="shared" si="1"/>
        <v>tank 1</v>
      </c>
      <c r="F6" s="4">
        <f t="shared" si="2"/>
        <v>1</v>
      </c>
      <c r="G6" s="4">
        <f t="shared" si="3"/>
        <v>1</v>
      </c>
      <c r="H6" s="11" cm="1">
        <f t="array" ref="H6">IFERROR(INDEX('Master Data Sheet'!$1:$1048576, MATCH(1, ('Master Data Sheet'!$H:$H=H$2) * (INDEX('Master Data Sheet'!$1:$1, , MATCH($F$1, 'Master Data Sheet'!$1:$1, 0)) = $F$1) * ('Master Data Sheet'!$G:$G=$B6) * ('Master Data Sheet'!$F:$F=$E6) * ('Master Data Sheet'!$A:$A=$F6), 0), MATCH($F$1, 'Master Data Sheet'!$1:$1, 0)), "")</f>
        <v>337.59124087591249</v>
      </c>
      <c r="I6" s="11" cm="1">
        <f t="array" ref="I6">IFERROR(INDEX('Master Data Sheet'!$1:$1048576, MATCH(1, ('Master Data Sheet'!$H:$H=I$2) * (INDEX('Master Data Sheet'!$1:$1, , MATCH($F$1, 'Master Data Sheet'!$1:$1, 0)) = $F$1) * ('Master Data Sheet'!$G:$G=$B6) * ('Master Data Sheet'!$F:$F=$E6) * ('Master Data Sheet'!$A:$A=$F6), 0), MATCH($F$1, 'Master Data Sheet'!$1:$1, 0)), "")</f>
        <v>357.14285714285717</v>
      </c>
      <c r="J6" s="11" cm="1">
        <f t="array" ref="J6">IFERROR(INDEX('Master Data Sheet'!$1:$1048576, MATCH(1, ('Master Data Sheet'!$H:$H=J$2) * (INDEX('Master Data Sheet'!$1:$1, , MATCH($F$1, 'Master Data Sheet'!$1:$1, 0)) = $F$1) * ('Master Data Sheet'!$G:$G=$B6) * ('Master Data Sheet'!$F:$F=$E6) * ('Master Data Sheet'!$A:$A=$F6), 0), MATCH($F$1, 'Master Data Sheet'!$1:$1, 0)), "")</f>
        <v>310.1503759398496</v>
      </c>
      <c r="K6" s="11" cm="1">
        <f t="array" ref="K6">IFERROR(INDEX('Master Data Sheet'!$1:$1048576, MATCH(1, ('Master Data Sheet'!$H:$H=K$2) * (INDEX('Master Data Sheet'!$1:$1, , MATCH($F$1, 'Master Data Sheet'!$1:$1, 0)) = $F$1) * ('Master Data Sheet'!$G:$G=$B6) * ('Master Data Sheet'!$F:$F=$E6) * ('Master Data Sheet'!$A:$A=$F6), 0), MATCH($F$1, 'Master Data Sheet'!$1:$1, 0)), "")</f>
        <v>310.1503759398496</v>
      </c>
      <c r="L6" s="11" cm="1">
        <f t="array" ref="L6">IFERROR(INDEX('Master Data Sheet'!$1:$1048576, MATCH(1, ('Master Data Sheet'!$H:$H=L$2) * (INDEX('Master Data Sheet'!$1:$1, , MATCH($F$1, 'Master Data Sheet'!$1:$1, 0)) = $F$1) * ('Master Data Sheet'!$G:$G=$B6) * ('Master Data Sheet'!$F:$F=$E6) * ('Master Data Sheet'!$A:$A=$F6), 0), MATCH($F$1, 'Master Data Sheet'!$1:$1, 0)), "")</f>
        <v>337.59124087591249</v>
      </c>
      <c r="M6" s="11" cm="1">
        <f t="array" ref="M6">IFERROR(INDEX('Master Data Sheet'!$1:$1048576, MATCH(1, ('Master Data Sheet'!$H:$H=M$2) * (INDEX('Master Data Sheet'!$1:$1, , MATCH($F$1, 'Master Data Sheet'!$1:$1, 0)) = $F$1) * ('Master Data Sheet'!$G:$G=$B6) * ('Master Data Sheet'!$F:$F=$E6) * ('Master Data Sheet'!$A:$A=$F6), 0), MATCH($F$1, 'Master Data Sheet'!$1:$1, 0)), "")</f>
        <v>303.03030303030312</v>
      </c>
      <c r="N6" s="11" cm="1">
        <f t="array" ref="N6">IFERROR(INDEX('Master Data Sheet'!$1:$1048576, MATCH(1, ('Master Data Sheet'!$H:$H=N$2) * (INDEX('Master Data Sheet'!$1:$1, , MATCH($F$1, 'Master Data Sheet'!$1:$1, 0)) = $F$1) * ('Master Data Sheet'!$G:$G=$B6) * ('Master Data Sheet'!$F:$F=$E6) * ('Master Data Sheet'!$A:$A=$F6), 0), MATCH($F$1, 'Master Data Sheet'!$1:$1, 0)), "")</f>
        <v>288.46153846153902</v>
      </c>
      <c r="O6" s="11">
        <f>AVERAGE(H6:N6)</f>
        <v>320.58827603803189</v>
      </c>
      <c r="P6" s="11">
        <f t="shared" si="4"/>
        <v>24.058083280101847</v>
      </c>
      <c r="Q6" s="11">
        <f>AVERAGE(O6,O8)</f>
        <v>227.95119366595782</v>
      </c>
      <c r="R6" s="46">
        <f>(1-(O6/O3))*100</f>
        <v>-63.863642806248635</v>
      </c>
      <c r="S6" s="46">
        <f>AVERAGE(R6:R8)</f>
        <v>-32.670382437630884</v>
      </c>
      <c r="T6" s="46">
        <f>STDEV(R6:R8)</f>
        <v>27.025968270437875</v>
      </c>
      <c r="U6" s="47">
        <f>(1-(AVERAGE(H6:N6,H8:N8)/AVERAGE(H3:N3,H5:N5)))*100</f>
        <v>-46.856783537997316</v>
      </c>
      <c r="V6" s="47"/>
      <c r="W6" s="14"/>
      <c r="Y6" s="2"/>
      <c r="Z6" s="2"/>
      <c r="AA6" s="2"/>
      <c r="AB6" s="2"/>
      <c r="AC6" s="2"/>
      <c r="AD6" s="2"/>
      <c r="AE6" s="2"/>
      <c r="AF6" s="2"/>
      <c r="AG6" s="2"/>
    </row>
    <row r="7" spans="1:45" x14ac:dyDescent="0.35">
      <c r="A7" s="41">
        <f>IFERROR(INDEX('Date Key'!$B$2:$B$19, MATCH(F7,'Date Key'!$A$2:$A$19, 0)), "")</f>
        <v>45181</v>
      </c>
      <c r="B7" s="4">
        <f t="shared" si="0"/>
        <v>1</v>
      </c>
      <c r="C7" s="26" t="str">
        <f>IFERROR(INDEX('Date Key'!$G$57:$G$62, MATCH(B7,'Date Key'!$A$57:$A$62, 0)), "")</f>
        <v>Low HLR, Lower Outlet Height, No Plants</v>
      </c>
      <c r="D7" s="4" t="str">
        <f>IFERROR(INDEX('Date Key'!$G$2:$G$19, MATCH(F7, 'Date Key'!$A$2:$A$19, 0)), "")</f>
        <v>No</v>
      </c>
      <c r="E7" s="4" t="str">
        <f t="shared" si="1"/>
        <v>tank 1</v>
      </c>
      <c r="F7" s="4">
        <f t="shared" si="2"/>
        <v>2</v>
      </c>
      <c r="G7" s="4">
        <f t="shared" si="3"/>
        <v>2</v>
      </c>
      <c r="H7" s="11" cm="1">
        <f t="array" ref="H7">IFERROR(INDEX('Master Data Sheet'!$1:$1048576, MATCH(1, ('Master Data Sheet'!$H:$H=H$2) * (INDEX('Master Data Sheet'!$1:$1, , MATCH($F$1, 'Master Data Sheet'!$1:$1, 0)) = $F$1) * ('Master Data Sheet'!$G:$G=$B7) * ('Master Data Sheet'!$F:$F=$E7) * ('Master Data Sheet'!$A:$A=$F7), 0), MATCH($F$1, 'Master Data Sheet'!$1:$1, 0)), "")</f>
        <v>133.92857142857144</v>
      </c>
      <c r="I7" s="11" cm="1">
        <f t="array" ref="I7">IFERROR(INDEX('Master Data Sheet'!$1:$1048576, MATCH(1, ('Master Data Sheet'!$H:$H=I$2) * (INDEX('Master Data Sheet'!$1:$1, , MATCH($F$1, 'Master Data Sheet'!$1:$1, 0)) = $F$1) * ('Master Data Sheet'!$G:$G=$B7) * ('Master Data Sheet'!$F:$F=$E7) * ('Master Data Sheet'!$A:$A=$F7), 0), MATCH($F$1, 'Master Data Sheet'!$1:$1, 0)), "")</f>
        <v>123.8738738738739</v>
      </c>
      <c r="J7" s="11" cm="1">
        <f t="array" ref="J7">IFERROR(INDEX('Master Data Sheet'!$1:$1048576, MATCH(1, ('Master Data Sheet'!$H:$H=J$2) * (INDEX('Master Data Sheet'!$1:$1, , MATCH($F$1, 'Master Data Sheet'!$1:$1, 0)) = $F$1) * ('Master Data Sheet'!$G:$G=$B7) * ('Master Data Sheet'!$F:$F=$E7) * ('Master Data Sheet'!$A:$A=$F7), 0), MATCH($F$1, 'Master Data Sheet'!$1:$1, 0)), "")</f>
        <v>123.8738738738739</v>
      </c>
      <c r="K7" s="11" cm="1">
        <f t="array" ref="K7">IFERROR(INDEX('Master Data Sheet'!$1:$1048576, MATCH(1, ('Master Data Sheet'!$H:$H=K$2) * (INDEX('Master Data Sheet'!$1:$1, , MATCH($F$1, 'Master Data Sheet'!$1:$1, 0)) = $F$1) * ('Master Data Sheet'!$G:$G=$B7) * ('Master Data Sheet'!$F:$F=$E7) * ('Master Data Sheet'!$A:$A=$F7), 0), MATCH($F$1, 'Master Data Sheet'!$1:$1, 0)), "")</f>
        <v>113.63636363636364</v>
      </c>
      <c r="L7" s="11" cm="1">
        <f t="array" ref="L7">IFERROR(INDEX('Master Data Sheet'!$1:$1048576, MATCH(1, ('Master Data Sheet'!$H:$H=L$2) * (INDEX('Master Data Sheet'!$1:$1, , MATCH($F$1, 'Master Data Sheet'!$1:$1, 0)) = $F$1) * ('Master Data Sheet'!$G:$G=$B7) * ('Master Data Sheet'!$F:$F=$E7) * ('Master Data Sheet'!$A:$A=$F7), 0), MATCH($F$1, 'Master Data Sheet'!$1:$1, 0)), "")</f>
        <v>113.63636363636364</v>
      </c>
      <c r="M7" s="11" cm="1">
        <f t="array" ref="M7">IFERROR(INDEX('Master Data Sheet'!$1:$1048576, MATCH(1, ('Master Data Sheet'!$H:$H=M$2) * (INDEX('Master Data Sheet'!$1:$1, , MATCH($F$1, 'Master Data Sheet'!$1:$1, 0)) = $F$1) * ('Master Data Sheet'!$G:$G=$B7) * ('Master Data Sheet'!$F:$F=$E7) * ('Master Data Sheet'!$A:$A=$F7), 0), MATCH($F$1, 'Master Data Sheet'!$1:$1, 0)), "")</f>
        <v>113.63636363636364</v>
      </c>
      <c r="N7" s="11" cm="1">
        <f t="array" ref="N7">IFERROR(INDEX('Master Data Sheet'!$1:$1048576, MATCH(1, ('Master Data Sheet'!$H:$H=N$2) * (INDEX('Master Data Sheet'!$1:$1, , MATCH($F$1, 'Master Data Sheet'!$1:$1, 0)) = $F$1) * ('Master Data Sheet'!$G:$G=$B7) * ('Master Data Sheet'!$F:$F=$E7) * ('Master Data Sheet'!$A:$A=$F7), 0), MATCH($F$1, 'Master Data Sheet'!$1:$1, 0)), "")</f>
        <v>113.63636363636364</v>
      </c>
      <c r="O7" s="11">
        <f t="shared" ref="O7:O56" si="8">AVERAGE(H7:N7)</f>
        <v>119.46025338882482</v>
      </c>
      <c r="P7" s="11">
        <f t="shared" si="4"/>
        <v>7.9996154685359402</v>
      </c>
      <c r="Q7" s="11"/>
      <c r="R7" s="46">
        <f>(1-(O7/O4))*100</f>
        <v>-16.274789402852363</v>
      </c>
      <c r="X7" t="str">
        <f>IFERROR(INDEX('Date Key'!$G$57:$G$62, MATCH(B6,'Date Key'!$A$57:$A$62, 0)), "")</f>
        <v>Low HLR, Lower Outlet Height, No Plants</v>
      </c>
      <c r="Y7" s="1">
        <f t="shared" ref="Y7:AE7" si="9">H6</f>
        <v>337.59124087591249</v>
      </c>
      <c r="Z7" s="1">
        <f t="shared" si="9"/>
        <v>357.14285714285717</v>
      </c>
      <c r="AA7" s="1">
        <f t="shared" si="9"/>
        <v>310.1503759398496</v>
      </c>
      <c r="AB7" s="1">
        <f t="shared" si="9"/>
        <v>310.1503759398496</v>
      </c>
      <c r="AC7" s="1">
        <f t="shared" si="9"/>
        <v>337.59124087591249</v>
      </c>
      <c r="AD7" s="1">
        <f t="shared" si="9"/>
        <v>303.03030303030312</v>
      </c>
      <c r="AE7" s="1">
        <f t="shared" si="9"/>
        <v>288.46153846153902</v>
      </c>
      <c r="AF7" s="1">
        <f t="shared" ref="AF7:AL7" si="10">H7</f>
        <v>133.92857142857144</v>
      </c>
      <c r="AG7" s="1">
        <f t="shared" si="10"/>
        <v>123.8738738738739</v>
      </c>
      <c r="AH7" s="1">
        <f t="shared" si="10"/>
        <v>123.8738738738739</v>
      </c>
      <c r="AI7" s="1">
        <f t="shared" si="10"/>
        <v>113.63636363636364</v>
      </c>
      <c r="AJ7" s="1">
        <f t="shared" si="10"/>
        <v>113.63636363636364</v>
      </c>
      <c r="AK7" s="1">
        <f t="shared" si="10"/>
        <v>113.63636363636364</v>
      </c>
      <c r="AL7" s="1">
        <f t="shared" si="10"/>
        <v>113.63636363636364</v>
      </c>
      <c r="AM7" s="1">
        <f t="shared" ref="AM7:AS7" si="11">H8</f>
        <v>133.92857142857144</v>
      </c>
      <c r="AN7" s="1">
        <f t="shared" si="11"/>
        <v>133.92857142857144</v>
      </c>
      <c r="AO7" s="1">
        <f t="shared" si="11"/>
        <v>143.80530973451326</v>
      </c>
      <c r="AP7" s="1">
        <f t="shared" si="11"/>
        <v>133.92857142857144</v>
      </c>
      <c r="AQ7" s="1">
        <f t="shared" si="11"/>
        <v>133.92857142857144</v>
      </c>
      <c r="AR7" s="1">
        <f t="shared" si="11"/>
        <v>143.80530973451326</v>
      </c>
      <c r="AS7" s="1">
        <f t="shared" si="11"/>
        <v>123.8738738738739</v>
      </c>
    </row>
    <row r="8" spans="1:45" x14ac:dyDescent="0.35">
      <c r="A8" s="41">
        <f>IFERROR(INDEX('Date Key'!$B$2:$B$19, MATCH(F8,'Date Key'!$A$2:$A$19, 0)), "")</f>
        <v>45195</v>
      </c>
      <c r="B8" s="4">
        <f t="shared" si="0"/>
        <v>1</v>
      </c>
      <c r="C8" s="26" t="str">
        <f>IFERROR(INDEX('Date Key'!$G$57:$G$62, MATCH(B8,'Date Key'!$A$57:$A$62, 0)), "")</f>
        <v>Low HLR, Lower Outlet Height, No Plants</v>
      </c>
      <c r="D8" s="4" t="str">
        <f>IFERROR(INDEX('Date Key'!$G$2:$G$19, MATCH(F8, 'Date Key'!$A$2:$A$19, 0)), "")</f>
        <v>No</v>
      </c>
      <c r="E8" s="4" t="str">
        <f t="shared" si="1"/>
        <v>tank 1</v>
      </c>
      <c r="F8" s="4">
        <f t="shared" si="2"/>
        <v>3</v>
      </c>
      <c r="G8" s="4">
        <f t="shared" si="3"/>
        <v>3</v>
      </c>
      <c r="H8" s="11" cm="1">
        <f t="array" ref="H8">IFERROR(INDEX('Master Data Sheet'!$1:$1048576, MATCH(1, ('Master Data Sheet'!$H:$H=H$2) * (INDEX('Master Data Sheet'!$1:$1, , MATCH($F$1, 'Master Data Sheet'!$1:$1, 0)) = $F$1) * ('Master Data Sheet'!$G:$G=$B8) * ('Master Data Sheet'!$F:$F=$E8) * ('Master Data Sheet'!$A:$A=$F8), 0), MATCH($F$1, 'Master Data Sheet'!$1:$1, 0)), "")</f>
        <v>133.92857142857144</v>
      </c>
      <c r="I8" s="11" cm="1">
        <f t="array" ref="I8">IFERROR(INDEX('Master Data Sheet'!$1:$1048576, MATCH(1, ('Master Data Sheet'!$H:$H=I$2) * (INDEX('Master Data Sheet'!$1:$1, , MATCH($F$1, 'Master Data Sheet'!$1:$1, 0)) = $F$1) * ('Master Data Sheet'!$G:$G=$B8) * ('Master Data Sheet'!$F:$F=$E8) * ('Master Data Sheet'!$A:$A=$F8), 0), MATCH($F$1, 'Master Data Sheet'!$1:$1, 0)), "")</f>
        <v>133.92857142857144</v>
      </c>
      <c r="J8" s="11" cm="1">
        <f t="array" ref="J8">IFERROR(INDEX('Master Data Sheet'!$1:$1048576, MATCH(1, ('Master Data Sheet'!$H:$H=J$2) * (INDEX('Master Data Sheet'!$1:$1, , MATCH($F$1, 'Master Data Sheet'!$1:$1, 0)) = $F$1) * ('Master Data Sheet'!$G:$G=$B8) * ('Master Data Sheet'!$F:$F=$E8) * ('Master Data Sheet'!$A:$A=$F8), 0), MATCH($F$1, 'Master Data Sheet'!$1:$1, 0)), "")</f>
        <v>143.80530973451326</v>
      </c>
      <c r="K8" s="11" cm="1">
        <f t="array" ref="K8">IFERROR(INDEX('Master Data Sheet'!$1:$1048576, MATCH(1, ('Master Data Sheet'!$H:$H=K$2) * (INDEX('Master Data Sheet'!$1:$1, , MATCH($F$1, 'Master Data Sheet'!$1:$1, 0)) = $F$1) * ('Master Data Sheet'!$G:$G=$B8) * ('Master Data Sheet'!$F:$F=$E8) * ('Master Data Sheet'!$A:$A=$F8), 0), MATCH($F$1, 'Master Data Sheet'!$1:$1, 0)), "")</f>
        <v>133.92857142857144</v>
      </c>
      <c r="L8" s="11" cm="1">
        <f t="array" ref="L8">IFERROR(INDEX('Master Data Sheet'!$1:$1048576, MATCH(1, ('Master Data Sheet'!$H:$H=L$2) * (INDEX('Master Data Sheet'!$1:$1, , MATCH($F$1, 'Master Data Sheet'!$1:$1, 0)) = $F$1) * ('Master Data Sheet'!$G:$G=$B8) * ('Master Data Sheet'!$F:$F=$E8) * ('Master Data Sheet'!$A:$A=$F8), 0), MATCH($F$1, 'Master Data Sheet'!$1:$1, 0)), "")</f>
        <v>133.92857142857144</v>
      </c>
      <c r="M8" s="11" cm="1">
        <f t="array" ref="M8">IFERROR(INDEX('Master Data Sheet'!$1:$1048576, MATCH(1, ('Master Data Sheet'!$H:$H=M$2) * (INDEX('Master Data Sheet'!$1:$1, , MATCH($F$1, 'Master Data Sheet'!$1:$1, 0)) = $F$1) * ('Master Data Sheet'!$G:$G=$B8) * ('Master Data Sheet'!$F:$F=$E8) * ('Master Data Sheet'!$A:$A=$F8), 0), MATCH($F$1, 'Master Data Sheet'!$1:$1, 0)), "")</f>
        <v>143.80530973451326</v>
      </c>
      <c r="N8" s="11" cm="1">
        <f t="array" ref="N8">IFERROR(INDEX('Master Data Sheet'!$1:$1048576, MATCH(1, ('Master Data Sheet'!$H:$H=N$2) * (INDEX('Master Data Sheet'!$1:$1, , MATCH($F$1, 'Master Data Sheet'!$1:$1, 0)) = $F$1) * ('Master Data Sheet'!$G:$G=$B8) * ('Master Data Sheet'!$F:$F=$E8) * ('Master Data Sheet'!$A:$A=$F8), 0), MATCH($F$1, 'Master Data Sheet'!$1:$1, 0)), "")</f>
        <v>123.8738738738739</v>
      </c>
      <c r="O8" s="11">
        <f t="shared" si="8"/>
        <v>135.31411129388374</v>
      </c>
      <c r="P8" s="11">
        <f t="shared" si="4"/>
        <v>6.8648721402996049</v>
      </c>
      <c r="Q8" s="11"/>
      <c r="R8" s="46">
        <f>(1-(O8/O5))*100</f>
        <v>-17.87271510379167</v>
      </c>
      <c r="Y8" s="2"/>
      <c r="Z8" s="2"/>
      <c r="AA8" s="2"/>
      <c r="AB8" s="2"/>
      <c r="AC8" s="2"/>
      <c r="AD8" s="2"/>
      <c r="AE8" s="2"/>
      <c r="AF8" s="2"/>
      <c r="AG8" s="2"/>
    </row>
    <row r="9" spans="1:45" x14ac:dyDescent="0.35">
      <c r="A9" s="41">
        <f>IFERROR(INDEX('Date Key'!$B$2:$B$19, MATCH(F9,'Date Key'!$A$2:$A$19, 0)), "")</f>
        <v>45175</v>
      </c>
      <c r="B9" s="4">
        <f t="shared" si="0"/>
        <v>1</v>
      </c>
      <c r="C9" s="26" t="str">
        <f>IFERROR(INDEX('Date Key'!$G$57:$G$62, MATCH(B9,'Date Key'!$A$57:$A$62, 0)), "")</f>
        <v>Low HLR, Lower Outlet Height, No Plants</v>
      </c>
      <c r="D9" s="4" t="str">
        <f>IFERROR(INDEX('Date Key'!$G$2:$G$19, MATCH(F9, 'Date Key'!$A$2:$A$19, 0)), "")</f>
        <v>No</v>
      </c>
      <c r="E9" s="4" t="str">
        <f t="shared" si="1"/>
        <v>tank 2</v>
      </c>
      <c r="F9" s="4">
        <f t="shared" si="2"/>
        <v>1</v>
      </c>
      <c r="G9" s="4">
        <f t="shared" si="3"/>
        <v>1</v>
      </c>
      <c r="H9" s="11" cm="1">
        <f t="array" ref="H9">IFERROR(INDEX('Master Data Sheet'!$1:$1048576, MATCH(1, ('Master Data Sheet'!$H:$H=H$2) * (INDEX('Master Data Sheet'!$1:$1, , MATCH($F$1, 'Master Data Sheet'!$1:$1, 0)) = $F$1) * ('Master Data Sheet'!$G:$G=$B9) * ('Master Data Sheet'!$F:$F=$E9) * ('Master Data Sheet'!$A:$A=$F9), 0), MATCH($F$1, 'Master Data Sheet'!$1:$1, 0)), "")</f>
        <v>330.88235294117652</v>
      </c>
      <c r="I9" s="11" cm="1">
        <f t="array" ref="I9">IFERROR(INDEX('Master Data Sheet'!$1:$1048576, MATCH(1, ('Master Data Sheet'!$H:$H=I$2) * (INDEX('Master Data Sheet'!$1:$1, , MATCH($F$1, 'Master Data Sheet'!$1:$1, 0)) = $F$1) * ('Master Data Sheet'!$G:$G=$B9) * ('Master Data Sheet'!$F:$F=$E9) * ('Master Data Sheet'!$A:$A=$F9), 0), MATCH($F$1, 'Master Data Sheet'!$1:$1, 0)), "")</f>
        <v>330.88235294117652</v>
      </c>
      <c r="J9" s="11" cm="1">
        <f t="array" ref="J9">IFERROR(INDEX('Master Data Sheet'!$1:$1048576, MATCH(1, ('Master Data Sheet'!$H:$H=J$2) * (INDEX('Master Data Sheet'!$1:$1, , MATCH($F$1, 'Master Data Sheet'!$1:$1, 0)) = $F$1) * ('Master Data Sheet'!$G:$G=$B9) * ('Master Data Sheet'!$F:$F=$E9) * ('Master Data Sheet'!$A:$A=$F9), 0), MATCH($F$1, 'Master Data Sheet'!$1:$1, 0)), "")</f>
        <v>250</v>
      </c>
      <c r="K9" s="11" cm="1">
        <f t="array" ref="K9">IFERROR(INDEX('Master Data Sheet'!$1:$1048576, MATCH(1, ('Master Data Sheet'!$H:$H=K$2) * (INDEX('Master Data Sheet'!$1:$1, , MATCH($F$1, 'Master Data Sheet'!$1:$1, 0)) = $F$1) * ('Master Data Sheet'!$G:$G=$B9) * ('Master Data Sheet'!$F:$F=$E9) * ('Master Data Sheet'!$A:$A=$F9), 0), MATCH($F$1, 'Master Data Sheet'!$1:$1, 0)), "")</f>
        <v>250</v>
      </c>
      <c r="L9" s="11" cm="1">
        <f t="array" ref="L9">IFERROR(INDEX('Master Data Sheet'!$1:$1048576, MATCH(1, ('Master Data Sheet'!$H:$H=L$2) * (INDEX('Master Data Sheet'!$1:$1, , MATCH($F$1, 'Master Data Sheet'!$1:$1, 0)) = $F$1) * ('Master Data Sheet'!$G:$G=$B9) * ('Master Data Sheet'!$F:$F=$E9) * ('Master Data Sheet'!$A:$A=$F9), 0), MATCH($F$1, 'Master Data Sheet'!$1:$1, 0)), "")</f>
        <v>216.94214876033061</v>
      </c>
      <c r="M9" s="11" cm="1">
        <f t="array" ref="M9">IFERROR(INDEX('Master Data Sheet'!$1:$1048576, MATCH(1, ('Master Data Sheet'!$H:$H=M$2) * (INDEX('Master Data Sheet'!$1:$1, , MATCH($F$1, 'Master Data Sheet'!$1:$1, 0)) = $F$1) * ('Master Data Sheet'!$G:$G=$B9) * ('Master Data Sheet'!$F:$F=$E9) * ('Master Data Sheet'!$A:$A=$F9), 0), MATCH($F$1, 'Master Data Sheet'!$1:$1, 0)), "")</f>
        <v>133.92857142857144</v>
      </c>
      <c r="N9" s="11" cm="1">
        <f t="array" ref="N9">IFERROR(INDEX('Master Data Sheet'!$1:$1048576, MATCH(1, ('Master Data Sheet'!$H:$H=N$2) * (INDEX('Master Data Sheet'!$1:$1, , MATCH($F$1, 'Master Data Sheet'!$1:$1, 0)) = $F$1) * ('Master Data Sheet'!$G:$G=$B9) * ('Master Data Sheet'!$F:$F=$E9) * ('Master Data Sheet'!$A:$A=$F9), 0), MATCH($F$1, 'Master Data Sheet'!$1:$1, 0)), "")</f>
        <v>199.57983193277309</v>
      </c>
      <c r="O9" s="11">
        <f t="shared" si="8"/>
        <v>244.60217971486117</v>
      </c>
      <c r="P9" s="11">
        <f t="shared" si="4"/>
        <v>70.695999645089955</v>
      </c>
      <c r="Q9" s="11">
        <f>AVERAGE(N9,N11)</f>
        <v>166.75420168067228</v>
      </c>
      <c r="R9" s="46">
        <f>(1-(O9/O3))*100</f>
        <v>-25.024547690168575</v>
      </c>
      <c r="S9" s="46">
        <f>AVERAGE(R9:R11)</f>
        <v>-30.698862442085417</v>
      </c>
      <c r="T9" s="46">
        <f>STDEV(R9:R11)</f>
        <v>27.794212157516064</v>
      </c>
      <c r="U9" s="47">
        <f>(1-(AVERAGE(H9:N9,H11:N11)/AVERAGE(H3:N3,H5:N5)))*100</f>
        <v>-38.288011174594857</v>
      </c>
      <c r="V9" s="47"/>
      <c r="Y9" s="2"/>
      <c r="Z9" s="2"/>
      <c r="AA9" s="2"/>
      <c r="AB9" s="2"/>
      <c r="AC9" s="2"/>
      <c r="AD9" s="2"/>
      <c r="AE9" s="2"/>
      <c r="AF9" s="2"/>
      <c r="AG9" s="2"/>
    </row>
    <row r="10" spans="1:45" x14ac:dyDescent="0.35">
      <c r="A10" s="41">
        <f>IFERROR(INDEX('Date Key'!$B$2:$B$19, MATCH(F10,'Date Key'!$A$2:$A$19, 0)), "")</f>
        <v>45181</v>
      </c>
      <c r="B10" s="4">
        <f t="shared" si="0"/>
        <v>1</v>
      </c>
      <c r="C10" s="26" t="str">
        <f>IFERROR(INDEX('Date Key'!$G$57:$G$62, MATCH(B10,'Date Key'!$A$57:$A$62, 0)), "")</f>
        <v>Low HLR, Lower Outlet Height, No Plants</v>
      </c>
      <c r="D10" s="4" t="str">
        <f>IFERROR(INDEX('Date Key'!$G$2:$G$19, MATCH(F10, 'Date Key'!$A$2:$A$19, 0)), "")</f>
        <v>No</v>
      </c>
      <c r="E10" s="4" t="str">
        <f t="shared" si="1"/>
        <v>tank 2</v>
      </c>
      <c r="F10" s="4">
        <f t="shared" si="2"/>
        <v>2</v>
      </c>
      <c r="G10" s="4">
        <f t="shared" si="3"/>
        <v>2</v>
      </c>
      <c r="H10" s="11" cm="1">
        <f t="array" ref="H10">IFERROR(INDEX('Master Data Sheet'!$1:$1048576, MATCH(1, ('Master Data Sheet'!$H:$H=H$2) * (INDEX('Master Data Sheet'!$1:$1, , MATCH($F$1, 'Master Data Sheet'!$1:$1, 0)) = $F$1) * ('Master Data Sheet'!$G:$G=$B10) * ('Master Data Sheet'!$F:$F=$E10) * ('Master Data Sheet'!$A:$A=$F10), 0), MATCH($F$1, 'Master Data Sheet'!$1:$1, 0)), "")</f>
        <v>133.92857142857144</v>
      </c>
      <c r="I10" s="11" cm="1">
        <f t="array" ref="I10">IFERROR(INDEX('Master Data Sheet'!$1:$1048576, MATCH(1, ('Master Data Sheet'!$H:$H=I$2) * (INDEX('Master Data Sheet'!$1:$1, , MATCH($F$1, 'Master Data Sheet'!$1:$1, 0)) = $F$1) * ('Master Data Sheet'!$G:$G=$B10) * ('Master Data Sheet'!$F:$F=$E10) * ('Master Data Sheet'!$A:$A=$F10), 0), MATCH($F$1, 'Master Data Sheet'!$1:$1, 0)), "")</f>
        <v>103.21100917431194</v>
      </c>
      <c r="J10" s="11" cm="1">
        <f t="array" ref="J10">IFERROR(INDEX('Master Data Sheet'!$1:$1048576, MATCH(1, ('Master Data Sheet'!$H:$H=J$2) * (INDEX('Master Data Sheet'!$1:$1, , MATCH($F$1, 'Master Data Sheet'!$1:$1, 0)) = $F$1) * ('Master Data Sheet'!$G:$G=$B10) * ('Master Data Sheet'!$F:$F=$E10) * ('Master Data Sheet'!$A:$A=$F10), 0), MATCH($F$1, 'Master Data Sheet'!$1:$1, 0)), "")</f>
        <v>103.21100917431194</v>
      </c>
      <c r="K10" s="11" cm="1">
        <f t="array" ref="K10">IFERROR(INDEX('Master Data Sheet'!$1:$1048576, MATCH(1, ('Master Data Sheet'!$H:$H=K$2) * (INDEX('Master Data Sheet'!$1:$1, , MATCH($F$1, 'Master Data Sheet'!$1:$1, 0)) = $F$1) * ('Master Data Sheet'!$G:$G=$B10) * ('Master Data Sheet'!$F:$F=$E10) * ('Master Data Sheet'!$A:$A=$F10), 0), MATCH($F$1, 'Master Data Sheet'!$1:$1, 0)), "")</f>
        <v>113.63636363636364</v>
      </c>
      <c r="L10" s="11" cm="1">
        <f t="array" ref="L10">IFERROR(INDEX('Master Data Sheet'!$1:$1048576, MATCH(1, ('Master Data Sheet'!$H:$H=L$2) * (INDEX('Master Data Sheet'!$1:$1, , MATCH($F$1, 'Master Data Sheet'!$1:$1, 0)) = $F$1) * ('Master Data Sheet'!$G:$G=$B10) * ('Master Data Sheet'!$F:$F=$E10) * ('Master Data Sheet'!$A:$A=$F10), 0), MATCH($F$1, 'Master Data Sheet'!$1:$1, 0)), "")</f>
        <v>103.21100917431194</v>
      </c>
      <c r="M10" s="11" cm="1">
        <f t="array" ref="M10">IFERROR(INDEX('Master Data Sheet'!$1:$1048576, MATCH(1, ('Master Data Sheet'!$H:$H=M$2) * (INDEX('Master Data Sheet'!$1:$1, , MATCH($F$1, 'Master Data Sheet'!$1:$1, 0)) = $F$1) * ('Master Data Sheet'!$G:$G=$B10) * ('Master Data Sheet'!$F:$F=$E10) * ('Master Data Sheet'!$A:$A=$F10), 0), MATCH($F$1, 'Master Data Sheet'!$1:$1, 0)), "")</f>
        <v>103.21100917431194</v>
      </c>
      <c r="N10" s="11" cm="1">
        <f t="array" ref="N10">IFERROR(INDEX('Master Data Sheet'!$1:$1048576, MATCH(1, ('Master Data Sheet'!$H:$H=N$2) * (INDEX('Master Data Sheet'!$1:$1, , MATCH($F$1, 'Master Data Sheet'!$1:$1, 0)) = $F$1) * ('Master Data Sheet'!$G:$G=$B10) * ('Master Data Sheet'!$F:$F=$E10) * ('Master Data Sheet'!$A:$A=$F10), 0), MATCH($F$1, 'Master Data Sheet'!$1:$1, 0)), "")</f>
        <v>103.21100917431194</v>
      </c>
      <c r="O10" s="11">
        <f t="shared" si="8"/>
        <v>109.08856870521353</v>
      </c>
      <c r="P10" s="11">
        <f t="shared" si="4"/>
        <v>11.622081742876958</v>
      </c>
      <c r="Q10" s="11"/>
      <c r="R10" s="46">
        <f>(1-(O10/O4))*100</f>
        <v>-6.1796705819131548</v>
      </c>
      <c r="X10" t="str">
        <f>IFERROR(INDEX('Date Key'!$G$57:$G$62, MATCH(B9,'Date Key'!$A$57:$A$62, 0)), "")</f>
        <v>Low HLR, Lower Outlet Height, No Plants</v>
      </c>
      <c r="Y10" s="1">
        <f t="shared" ref="Y10:AE10" si="12">H9</f>
        <v>330.88235294117652</v>
      </c>
      <c r="Z10" s="1">
        <f t="shared" si="12"/>
        <v>330.88235294117652</v>
      </c>
      <c r="AA10" s="1">
        <f t="shared" si="12"/>
        <v>250</v>
      </c>
      <c r="AB10" s="1">
        <f t="shared" si="12"/>
        <v>250</v>
      </c>
      <c r="AC10" s="1">
        <f t="shared" si="12"/>
        <v>216.94214876033061</v>
      </c>
      <c r="AD10" s="1">
        <f t="shared" si="12"/>
        <v>133.92857142857144</v>
      </c>
      <c r="AE10" s="1">
        <f t="shared" si="12"/>
        <v>199.57983193277309</v>
      </c>
      <c r="AF10" s="1">
        <f t="shared" ref="AF10:AL10" si="13">H10</f>
        <v>133.92857142857144</v>
      </c>
      <c r="AG10" s="1">
        <f t="shared" si="13"/>
        <v>103.21100917431194</v>
      </c>
      <c r="AH10" s="1">
        <f t="shared" si="13"/>
        <v>103.21100917431194</v>
      </c>
      <c r="AI10" s="1">
        <f t="shared" si="13"/>
        <v>113.63636363636364</v>
      </c>
      <c r="AJ10" s="1">
        <f t="shared" si="13"/>
        <v>103.21100917431194</v>
      </c>
      <c r="AK10" s="1">
        <f t="shared" si="13"/>
        <v>103.21100917431194</v>
      </c>
      <c r="AL10" s="1">
        <f t="shared" si="13"/>
        <v>103.21100917431194</v>
      </c>
      <c r="AM10" s="1">
        <f t="shared" ref="AM10:AS10" si="14">H11</f>
        <v>199.57983193277309</v>
      </c>
      <c r="AN10" s="1">
        <f t="shared" si="14"/>
        <v>216.94214876033061</v>
      </c>
      <c r="AO10" s="1">
        <f t="shared" si="14"/>
        <v>216.94214876033061</v>
      </c>
      <c r="AP10" s="1">
        <f t="shared" si="14"/>
        <v>199.57983193277309</v>
      </c>
      <c r="AQ10" s="1">
        <f t="shared" si="14"/>
        <v>172.41379310344831</v>
      </c>
      <c r="AR10" s="1">
        <f t="shared" si="14"/>
        <v>153.50877192982455</v>
      </c>
      <c r="AS10" s="1">
        <f t="shared" si="14"/>
        <v>133.92857142857144</v>
      </c>
    </row>
    <row r="11" spans="1:45" x14ac:dyDescent="0.35">
      <c r="A11" s="42">
        <f>IFERROR(INDEX('Date Key'!$B$2:$B$19, MATCH(F11,'Date Key'!$A$2:$A$19, 0)), "")</f>
        <v>45195</v>
      </c>
      <c r="B11" s="27">
        <f t="shared" si="0"/>
        <v>1</v>
      </c>
      <c r="C11" s="51" t="str">
        <f>IFERROR(INDEX('Date Key'!$G$57:$G$62, MATCH(B11,'Date Key'!$A$57:$A$62, 0)), "")</f>
        <v>Low HLR, Lower Outlet Height, No Plants</v>
      </c>
      <c r="D11" s="27" t="str">
        <f>IFERROR(INDEX('Date Key'!$G$2:$G$19, MATCH(F11, 'Date Key'!$A$2:$A$19, 0)), "")</f>
        <v>No</v>
      </c>
      <c r="E11" s="27" t="str">
        <f t="shared" si="1"/>
        <v>tank 2</v>
      </c>
      <c r="F11" s="27">
        <f t="shared" si="2"/>
        <v>3</v>
      </c>
      <c r="G11" s="27">
        <f t="shared" si="3"/>
        <v>3</v>
      </c>
      <c r="H11" s="28" cm="1">
        <f t="array" ref="H11">IFERROR(INDEX('Master Data Sheet'!$1:$1048576, MATCH(1, ('Master Data Sheet'!$H:$H=H$2) * (INDEX('Master Data Sheet'!$1:$1, , MATCH($F$1, 'Master Data Sheet'!$1:$1, 0)) = $F$1) * ('Master Data Sheet'!$G:$G=$B11) * ('Master Data Sheet'!$F:$F=$E11) * ('Master Data Sheet'!$A:$A=$F11), 0), MATCH($F$1, 'Master Data Sheet'!$1:$1, 0)), "")</f>
        <v>199.57983193277309</v>
      </c>
      <c r="I11" s="28" cm="1">
        <f t="array" ref="I11">IFERROR(INDEX('Master Data Sheet'!$1:$1048576, MATCH(1, ('Master Data Sheet'!$H:$H=I$2) * (INDEX('Master Data Sheet'!$1:$1, , MATCH($F$1, 'Master Data Sheet'!$1:$1, 0)) = $F$1) * ('Master Data Sheet'!$G:$G=$B11) * ('Master Data Sheet'!$F:$F=$E11) * ('Master Data Sheet'!$A:$A=$F11), 0), MATCH($F$1, 'Master Data Sheet'!$1:$1, 0)), "")</f>
        <v>216.94214876033061</v>
      </c>
      <c r="J11" s="28" cm="1">
        <f t="array" ref="J11">IFERROR(INDEX('Master Data Sheet'!$1:$1048576, MATCH(1, ('Master Data Sheet'!$H:$H=J$2) * (INDEX('Master Data Sheet'!$1:$1, , MATCH($F$1, 'Master Data Sheet'!$1:$1, 0)) = $F$1) * ('Master Data Sheet'!$G:$G=$B11) * ('Master Data Sheet'!$F:$F=$E11) * ('Master Data Sheet'!$A:$A=$F11), 0), MATCH($F$1, 'Master Data Sheet'!$1:$1, 0)), "")</f>
        <v>216.94214876033061</v>
      </c>
      <c r="K11" s="28" cm="1">
        <f t="array" ref="K11">IFERROR(INDEX('Master Data Sheet'!$1:$1048576, MATCH(1, ('Master Data Sheet'!$H:$H=K$2) * (INDEX('Master Data Sheet'!$1:$1, , MATCH($F$1, 'Master Data Sheet'!$1:$1, 0)) = $F$1) * ('Master Data Sheet'!$G:$G=$B11) * ('Master Data Sheet'!$F:$F=$E11) * ('Master Data Sheet'!$A:$A=$F11), 0), MATCH($F$1, 'Master Data Sheet'!$1:$1, 0)), "")</f>
        <v>199.57983193277309</v>
      </c>
      <c r="L11" s="28" cm="1">
        <f t="array" ref="L11">IFERROR(INDEX('Master Data Sheet'!$1:$1048576, MATCH(1, ('Master Data Sheet'!$H:$H=L$2) * (INDEX('Master Data Sheet'!$1:$1, , MATCH($F$1, 'Master Data Sheet'!$1:$1, 0)) = $F$1) * ('Master Data Sheet'!$G:$G=$B11) * ('Master Data Sheet'!$F:$F=$E11) * ('Master Data Sheet'!$A:$A=$F11), 0), MATCH($F$1, 'Master Data Sheet'!$1:$1, 0)), "")</f>
        <v>172.41379310344831</v>
      </c>
      <c r="M11" s="28" cm="1">
        <f t="array" ref="M11">IFERROR(INDEX('Master Data Sheet'!$1:$1048576, MATCH(1, ('Master Data Sheet'!$H:$H=M$2) * (INDEX('Master Data Sheet'!$1:$1, , MATCH($F$1, 'Master Data Sheet'!$1:$1, 0)) = $F$1) * ('Master Data Sheet'!$G:$G=$B11) * ('Master Data Sheet'!$F:$F=$E11) * ('Master Data Sheet'!$A:$A=$F11), 0), MATCH($F$1, 'Master Data Sheet'!$1:$1, 0)), "")</f>
        <v>153.50877192982455</v>
      </c>
      <c r="N11" s="28" cm="1">
        <f t="array" ref="N11">IFERROR(INDEX('Master Data Sheet'!$1:$1048576, MATCH(1, ('Master Data Sheet'!$H:$H=N$2) * (INDEX('Master Data Sheet'!$1:$1, , MATCH($F$1, 'Master Data Sheet'!$1:$1, 0)) = $F$1) * ('Master Data Sheet'!$G:$G=$B11) * ('Master Data Sheet'!$F:$F=$E11) * ('Master Data Sheet'!$A:$A=$F11), 0), MATCH($F$1, 'Master Data Sheet'!$1:$1, 0)), "")</f>
        <v>133.92857142857144</v>
      </c>
      <c r="O11" s="28">
        <f t="shared" si="8"/>
        <v>184.69929969257888</v>
      </c>
      <c r="P11" s="28">
        <f t="shared" si="4"/>
        <v>32.206398572961668</v>
      </c>
      <c r="Q11" s="28"/>
      <c r="R11" s="48">
        <f>(1-(O11/O5))*100</f>
        <v>-60.892369054174523</v>
      </c>
      <c r="S11" s="27"/>
      <c r="T11" s="27"/>
      <c r="U11" s="27"/>
      <c r="V11" s="27"/>
    </row>
    <row r="12" spans="1:45" x14ac:dyDescent="0.35">
      <c r="A12" s="41">
        <f>IFERROR(INDEX('Date Key'!$B$2:$B$19, MATCH(F12,'Date Key'!$A$2:$A$19, 0)), "")</f>
        <v>45217</v>
      </c>
      <c r="B12" s="4">
        <f>INT((ROW(B10)-1)/9)+1</f>
        <v>2</v>
      </c>
      <c r="C12" s="26" t="str">
        <f>IFERROR(INDEX('Date Key'!$G$57:$G$62, MATCH(B12,'Date Key'!$A$57:$A$62, 0)), "")</f>
        <v>Medium HLR, Lower Outlet Height, No Plants</v>
      </c>
      <c r="D12" s="4" t="str">
        <f>IFERROR(INDEX('Date Key'!$G$2:$G$19, MATCH(F12, 'Date Key'!$A$2:$A$19, 0)), "")</f>
        <v>No</v>
      </c>
      <c r="E12" s="4" t="str">
        <f t="shared" si="1"/>
        <v>in</v>
      </c>
      <c r="F12" s="4">
        <f t="shared" si="2"/>
        <v>4</v>
      </c>
      <c r="G12" s="4">
        <f t="shared" si="3"/>
        <v>1</v>
      </c>
      <c r="H12" s="11" cm="1">
        <f t="array" ref="H12">IFERROR(INDEX('Master Data Sheet'!$1:$1048576, MATCH(1, ('Master Data Sheet'!$H:$H=H$2) * (INDEX('Master Data Sheet'!$1:$1, , MATCH($F$1, 'Master Data Sheet'!$1:$1, 0)) = $F$1) * ('Master Data Sheet'!$G:$G=$B12) * ('Master Data Sheet'!$F:$F=$E12) * ('Master Data Sheet'!$A:$A=$F12), 0), MATCH($F$1, 'Master Data Sheet'!$1:$1, 0)), "")</f>
        <v>88.58267716535434</v>
      </c>
      <c r="I12" s="11" cm="1">
        <f t="array" ref="I12">IFERROR(INDEX('Master Data Sheet'!$1:$1048576, MATCH(1, ('Master Data Sheet'!$H:$H=I$2) * (INDEX('Master Data Sheet'!$1:$1, , MATCH($F$1, 'Master Data Sheet'!$1:$1, 0)) = $F$1) * ('Master Data Sheet'!$G:$G=$B12) * ('Master Data Sheet'!$F:$F=$E12) * ('Master Data Sheet'!$A:$A=$F12), 0), MATCH($F$1, 'Master Data Sheet'!$1:$1, 0)), "")</f>
        <v>79.365079365079367</v>
      </c>
      <c r="J12" s="11" cm="1">
        <f t="array" ref="J12">IFERROR(INDEX('Master Data Sheet'!$1:$1048576, MATCH(1, ('Master Data Sheet'!$H:$H=J$2) * (INDEX('Master Data Sheet'!$1:$1, , MATCH($F$1, 'Master Data Sheet'!$1:$1, 0)) = $F$1) * ('Master Data Sheet'!$G:$G=$B12) * ('Master Data Sheet'!$F:$F=$E12) * ('Master Data Sheet'!$A:$A=$F12), 0), MATCH($F$1, 'Master Data Sheet'!$1:$1, 0)), "")</f>
        <v>124.04580152671754</v>
      </c>
      <c r="K12" s="11" cm="1">
        <f t="array" ref="K12">IFERROR(INDEX('Master Data Sheet'!$1:$1048576, MATCH(1, ('Master Data Sheet'!$H:$H=K$2) * (INDEX('Master Data Sheet'!$1:$1, , MATCH($F$1, 'Master Data Sheet'!$1:$1, 0)) = $F$1) * ('Master Data Sheet'!$G:$G=$B12) * ('Master Data Sheet'!$F:$F=$E12) * ('Master Data Sheet'!$A:$A=$F12), 0), MATCH($F$1, 'Master Data Sheet'!$1:$1, 0)), "")</f>
        <v>132.57575757575754</v>
      </c>
      <c r="L12" s="11" cm="1">
        <f t="array" ref="L12">IFERROR(INDEX('Master Data Sheet'!$1:$1048576, MATCH(1, ('Master Data Sheet'!$H:$H=L$2) * (INDEX('Master Data Sheet'!$1:$1, , MATCH($F$1, 'Master Data Sheet'!$1:$1, 0)) = $F$1) * ('Master Data Sheet'!$G:$G=$B12) * ('Master Data Sheet'!$F:$F=$E12) * ('Master Data Sheet'!$A:$A=$F12), 0), MATCH($F$1, 'Master Data Sheet'!$1:$1, 0)), "")</f>
        <v>124.04580152671754</v>
      </c>
      <c r="M12" s="11" cm="1">
        <f t="array" ref="M12">IFERROR(INDEX('Master Data Sheet'!$1:$1048576, MATCH(1, ('Master Data Sheet'!$H:$H=M$2) * (INDEX('Master Data Sheet'!$1:$1, , MATCH($F$1, 'Master Data Sheet'!$1:$1, 0)) = $F$1) * ('Master Data Sheet'!$G:$G=$B12) * ('Master Data Sheet'!$F:$F=$E12) * ('Master Data Sheet'!$A:$A=$F12), 0), MATCH($F$1, 'Master Data Sheet'!$1:$1, 0)), "")</f>
        <v>115.38461538461539</v>
      </c>
      <c r="N12" s="11" cm="1">
        <f t="array" ref="N12">IFERROR(INDEX('Master Data Sheet'!$1:$1048576, MATCH(1, ('Master Data Sheet'!$H:$H=N$2) * (INDEX('Master Data Sheet'!$1:$1, , MATCH($F$1, 'Master Data Sheet'!$1:$1, 0)) = $F$1) * ('Master Data Sheet'!$G:$G=$B12) * ('Master Data Sheet'!$F:$F=$E12) * ('Master Data Sheet'!$A:$A=$F12), 0), MATCH($F$1, 'Master Data Sheet'!$1:$1, 0)), "")</f>
        <v>115.38461538461539</v>
      </c>
      <c r="O12" s="11">
        <f t="shared" si="8"/>
        <v>111.34062113269387</v>
      </c>
      <c r="P12" s="11">
        <f t="shared" si="4"/>
        <v>19.777265152261236</v>
      </c>
      <c r="Q12" s="11">
        <f>AVERAGE(O12:O14)</f>
        <v>105.69098823850159</v>
      </c>
      <c r="S12" s="11">
        <f>AVERAGE(O12:O14)</f>
        <v>105.69098823850159</v>
      </c>
      <c r="T12" s="11">
        <f>AVERAGE(P12:P14)</f>
        <v>9.2450270230757443</v>
      </c>
      <c r="V12" s="47">
        <f>AVERAGE(U15, U18)</f>
        <v>-15.648427158276279</v>
      </c>
      <c r="X12" t="s">
        <v>343</v>
      </c>
    </row>
    <row r="13" spans="1:45" x14ac:dyDescent="0.35">
      <c r="A13" s="41">
        <f>IFERROR(INDEX('Date Key'!$B$2:$B$19, MATCH(F13,'Date Key'!$A$2:$A$19, 0)), "")</f>
        <v>45224</v>
      </c>
      <c r="B13" s="4">
        <f t="shared" ref="B13:B56" si="15">INT((ROW(B11)-1)/9)+1</f>
        <v>2</v>
      </c>
      <c r="C13" s="26" t="str">
        <f>IFERROR(INDEX('Date Key'!$G$57:$G$62, MATCH(B13,'Date Key'!$A$57:$A$62, 0)), "")</f>
        <v>Medium HLR, Lower Outlet Height, No Plants</v>
      </c>
      <c r="D13" s="4" t="str">
        <f>IFERROR(INDEX('Date Key'!$G$2:$G$19, MATCH(F13, 'Date Key'!$A$2:$A$19, 0)), "")</f>
        <v>No</v>
      </c>
      <c r="E13" s="4" t="str">
        <f t="shared" si="1"/>
        <v>in</v>
      </c>
      <c r="F13" s="4">
        <f t="shared" si="2"/>
        <v>5</v>
      </c>
      <c r="G13" s="4">
        <f t="shared" si="3"/>
        <v>2</v>
      </c>
      <c r="H13" s="11" cm="1">
        <f t="array" ref="H13">IFERROR(INDEX('Master Data Sheet'!$1:$1048576, MATCH(1, ('Master Data Sheet'!$H:$H=H$2) * (INDEX('Master Data Sheet'!$1:$1, , MATCH($F$1, 'Master Data Sheet'!$1:$1, 0)) = $F$1) * ('Master Data Sheet'!$G:$G=$B13) * ('Master Data Sheet'!$F:$F=$E13) * ('Master Data Sheet'!$A:$A=$F13), 0), MATCH($F$1, 'Master Data Sheet'!$1:$1, 0)), "")</f>
        <v>113.63636363636364</v>
      </c>
      <c r="I13" s="11" cm="1">
        <f t="array" ref="I13">IFERROR(INDEX('Master Data Sheet'!$1:$1048576, MATCH(1, ('Master Data Sheet'!$H:$H=I$2) * (INDEX('Master Data Sheet'!$1:$1, , MATCH($F$1, 'Master Data Sheet'!$1:$1, 0)) = $F$1) * ('Master Data Sheet'!$G:$G=$B13) * ('Master Data Sheet'!$F:$F=$E13) * ('Master Data Sheet'!$A:$A=$F13), 0), MATCH($F$1, 'Master Data Sheet'!$1:$1, 0)), "")</f>
        <v>123.8738738738739</v>
      </c>
      <c r="J13" s="11" cm="1">
        <f t="array" ref="J13">IFERROR(INDEX('Master Data Sheet'!$1:$1048576, MATCH(1, ('Master Data Sheet'!$H:$H=J$2) * (INDEX('Master Data Sheet'!$1:$1, , MATCH($F$1, 'Master Data Sheet'!$1:$1, 0)) = $F$1) * ('Master Data Sheet'!$G:$G=$B13) * ('Master Data Sheet'!$F:$F=$E13) * ('Master Data Sheet'!$A:$A=$F13), 0), MATCH($F$1, 'Master Data Sheet'!$1:$1, 0)), "")</f>
        <v>123.8738738738739</v>
      </c>
      <c r="K13" s="11" cm="1">
        <f t="array" ref="K13">IFERROR(INDEX('Master Data Sheet'!$1:$1048576, MATCH(1, ('Master Data Sheet'!$H:$H=K$2) * (INDEX('Master Data Sheet'!$1:$1, , MATCH($F$1, 'Master Data Sheet'!$1:$1, 0)) = $F$1) * ('Master Data Sheet'!$G:$G=$B13) * ('Master Data Sheet'!$F:$F=$E13) * ('Master Data Sheet'!$A:$A=$F13), 0), MATCH($F$1, 'Master Data Sheet'!$1:$1, 0)), "")</f>
        <v>123.8738738738739</v>
      </c>
      <c r="L13" s="11" cm="1">
        <f t="array" ref="L13">IFERROR(INDEX('Master Data Sheet'!$1:$1048576, MATCH(1, ('Master Data Sheet'!$H:$H=L$2) * (INDEX('Master Data Sheet'!$1:$1, , MATCH($F$1, 'Master Data Sheet'!$1:$1, 0)) = $F$1) * ('Master Data Sheet'!$G:$G=$B13) * ('Master Data Sheet'!$F:$F=$E13) * ('Master Data Sheet'!$A:$A=$F13), 0), MATCH($F$1, 'Master Data Sheet'!$1:$1, 0)), "")</f>
        <v>123.8738738738739</v>
      </c>
      <c r="M13" s="11" cm="1">
        <f t="array" ref="M13">IFERROR(INDEX('Master Data Sheet'!$1:$1048576, MATCH(1, ('Master Data Sheet'!$H:$H=M$2) * (INDEX('Master Data Sheet'!$1:$1, , MATCH($F$1, 'Master Data Sheet'!$1:$1, 0)) = $F$1) * ('Master Data Sheet'!$G:$G=$B13) * ('Master Data Sheet'!$F:$F=$E13) * ('Master Data Sheet'!$A:$A=$F13), 0), MATCH($F$1, 'Master Data Sheet'!$1:$1, 0)), "")</f>
        <v>123.8738738738739</v>
      </c>
      <c r="N13" s="11" cm="1">
        <f t="array" ref="N13">IFERROR(INDEX('Master Data Sheet'!$1:$1048576, MATCH(1, ('Master Data Sheet'!$H:$H=N$2) * (INDEX('Master Data Sheet'!$1:$1, , MATCH($F$1, 'Master Data Sheet'!$1:$1, 0)) = $F$1) * ('Master Data Sheet'!$G:$G=$B13) * ('Master Data Sheet'!$F:$F=$E13) * ('Master Data Sheet'!$A:$A=$F13), 0), MATCH($F$1, 'Master Data Sheet'!$1:$1, 0)), "")</f>
        <v>123.8738738738739</v>
      </c>
      <c r="O13" s="11">
        <f t="shared" si="8"/>
        <v>122.41137241137244</v>
      </c>
      <c r="P13" s="11">
        <f t="shared" si="4"/>
        <v>3.8694151618471357</v>
      </c>
      <c r="Q13" s="11"/>
      <c r="X13" t="str">
        <f>IFERROR(INDEX('Date Key'!$G$57:$G$62, MATCH(B12,'Date Key'!$A$57:$A$62, 0)), "")</f>
        <v>Medium HLR, Lower Outlet Height, No Plants</v>
      </c>
      <c r="Y13" s="1">
        <f t="shared" ref="Y13:AE13" si="16">H12</f>
        <v>88.58267716535434</v>
      </c>
      <c r="Z13" s="1">
        <f t="shared" si="16"/>
        <v>79.365079365079367</v>
      </c>
      <c r="AA13" s="1">
        <f t="shared" si="16"/>
        <v>124.04580152671754</v>
      </c>
      <c r="AB13" s="1">
        <f t="shared" si="16"/>
        <v>132.57575757575754</v>
      </c>
      <c r="AC13" s="1">
        <f t="shared" si="16"/>
        <v>124.04580152671754</v>
      </c>
      <c r="AD13" s="1">
        <f t="shared" si="16"/>
        <v>115.38461538461539</v>
      </c>
      <c r="AE13" s="1">
        <f t="shared" si="16"/>
        <v>115.38461538461539</v>
      </c>
      <c r="AF13" s="1">
        <f t="shared" ref="AF13:AL13" si="17">H13</f>
        <v>113.63636363636364</v>
      </c>
      <c r="AG13" s="1">
        <f t="shared" si="17"/>
        <v>123.8738738738739</v>
      </c>
      <c r="AH13" s="1">
        <f t="shared" si="17"/>
        <v>123.8738738738739</v>
      </c>
      <c r="AI13" s="1">
        <f t="shared" si="17"/>
        <v>123.8738738738739</v>
      </c>
      <c r="AJ13" s="1">
        <f t="shared" si="17"/>
        <v>123.8738738738739</v>
      </c>
      <c r="AK13" s="1">
        <f t="shared" si="17"/>
        <v>123.8738738738739</v>
      </c>
      <c r="AL13" s="1">
        <f t="shared" si="17"/>
        <v>123.8738738738739</v>
      </c>
      <c r="AM13" s="1">
        <f t="shared" ref="AM13:AS13" si="18">H14</f>
        <v>92.592592592592609</v>
      </c>
      <c r="AN13" s="1">
        <f t="shared" si="18"/>
        <v>81.775700934579433</v>
      </c>
      <c r="AO13" s="1">
        <f t="shared" si="18"/>
        <v>81.775700934579433</v>
      </c>
      <c r="AP13" s="1">
        <f t="shared" si="18"/>
        <v>81.775700934579433</v>
      </c>
      <c r="AQ13" s="1">
        <f t="shared" si="18"/>
        <v>81.775700934579433</v>
      </c>
      <c r="AR13" s="1">
        <f t="shared" si="18"/>
        <v>81.775700934579433</v>
      </c>
      <c r="AS13" s="1">
        <f t="shared" si="18"/>
        <v>81.775700934579433</v>
      </c>
    </row>
    <row r="14" spans="1:45" x14ac:dyDescent="0.35">
      <c r="A14" s="41">
        <f>IFERROR(INDEX('Date Key'!$B$2:$B$19, MATCH(F14,'Date Key'!$A$2:$A$19, 0)), "")</f>
        <v>45230</v>
      </c>
      <c r="B14" s="4">
        <f t="shared" si="15"/>
        <v>2</v>
      </c>
      <c r="C14" s="26" t="str">
        <f>IFERROR(INDEX('Date Key'!$G$57:$G$62, MATCH(B14,'Date Key'!$A$57:$A$62, 0)), "")</f>
        <v>Medium HLR, Lower Outlet Height, No Plants</v>
      </c>
      <c r="D14" s="4" t="str">
        <f>IFERROR(INDEX('Date Key'!$G$2:$G$19, MATCH(F14, 'Date Key'!$A$2:$A$19, 0)), "")</f>
        <v>Yes</v>
      </c>
      <c r="E14" s="4" t="str">
        <f t="shared" si="1"/>
        <v>in</v>
      </c>
      <c r="F14" s="4">
        <f t="shared" si="2"/>
        <v>6</v>
      </c>
      <c r="G14" s="4">
        <f t="shared" si="3"/>
        <v>3</v>
      </c>
      <c r="H14" s="11" cm="1">
        <f t="array" ref="H14">IFERROR(INDEX('Master Data Sheet'!$1:$1048576, MATCH(1, ('Master Data Sheet'!$H:$H=H$2) * (INDEX('Master Data Sheet'!$1:$1, , MATCH($F$1, 'Master Data Sheet'!$1:$1, 0)) = $F$1) * ('Master Data Sheet'!$G:$G=$B14) * ('Master Data Sheet'!$F:$F=$E14) * ('Master Data Sheet'!$A:$A=$F14), 0), MATCH($F$1, 'Master Data Sheet'!$1:$1, 0)), "")</f>
        <v>92.592592592592609</v>
      </c>
      <c r="I14" s="11" cm="1">
        <f t="array" ref="I14">IFERROR(INDEX('Master Data Sheet'!$1:$1048576, MATCH(1, ('Master Data Sheet'!$H:$H=I$2) * (INDEX('Master Data Sheet'!$1:$1, , MATCH($F$1, 'Master Data Sheet'!$1:$1, 0)) = $F$1) * ('Master Data Sheet'!$G:$G=$B14) * ('Master Data Sheet'!$F:$F=$E14) * ('Master Data Sheet'!$A:$A=$F14), 0), MATCH($F$1, 'Master Data Sheet'!$1:$1, 0)), "")</f>
        <v>81.775700934579433</v>
      </c>
      <c r="J14" s="11" cm="1">
        <f t="array" ref="J14">IFERROR(INDEX('Master Data Sheet'!$1:$1048576, MATCH(1, ('Master Data Sheet'!$H:$H=J$2) * (INDEX('Master Data Sheet'!$1:$1, , MATCH($F$1, 'Master Data Sheet'!$1:$1, 0)) = $F$1) * ('Master Data Sheet'!$G:$G=$B14) * ('Master Data Sheet'!$F:$F=$E14) * ('Master Data Sheet'!$A:$A=$F14), 0), MATCH($F$1, 'Master Data Sheet'!$1:$1, 0)), "")</f>
        <v>81.775700934579433</v>
      </c>
      <c r="K14" s="11" cm="1">
        <f t="array" ref="K14">IFERROR(INDEX('Master Data Sheet'!$1:$1048576, MATCH(1, ('Master Data Sheet'!$H:$H=K$2) * (INDEX('Master Data Sheet'!$1:$1, , MATCH($F$1, 'Master Data Sheet'!$1:$1, 0)) = $F$1) * ('Master Data Sheet'!$G:$G=$B14) * ('Master Data Sheet'!$F:$F=$E14) * ('Master Data Sheet'!$A:$A=$F14), 0), MATCH($F$1, 'Master Data Sheet'!$1:$1, 0)), "")</f>
        <v>81.775700934579433</v>
      </c>
      <c r="L14" s="11" cm="1">
        <f t="array" ref="L14">IFERROR(INDEX('Master Data Sheet'!$1:$1048576, MATCH(1, ('Master Data Sheet'!$H:$H=L$2) * (INDEX('Master Data Sheet'!$1:$1, , MATCH($F$1, 'Master Data Sheet'!$1:$1, 0)) = $F$1) * ('Master Data Sheet'!$G:$G=$B14) * ('Master Data Sheet'!$F:$F=$E14) * ('Master Data Sheet'!$A:$A=$F14), 0), MATCH($F$1, 'Master Data Sheet'!$1:$1, 0)), "")</f>
        <v>81.775700934579433</v>
      </c>
      <c r="M14" s="11" cm="1">
        <f t="array" ref="M14">IFERROR(INDEX('Master Data Sheet'!$1:$1048576, MATCH(1, ('Master Data Sheet'!$H:$H=M$2) * (INDEX('Master Data Sheet'!$1:$1, , MATCH($F$1, 'Master Data Sheet'!$1:$1, 0)) = $F$1) * ('Master Data Sheet'!$G:$G=$B14) * ('Master Data Sheet'!$F:$F=$E14) * ('Master Data Sheet'!$A:$A=$F14), 0), MATCH($F$1, 'Master Data Sheet'!$1:$1, 0)), "")</f>
        <v>81.775700934579433</v>
      </c>
      <c r="N14" s="11" cm="1">
        <f t="array" ref="N14">IFERROR(INDEX('Master Data Sheet'!$1:$1048576, MATCH(1, ('Master Data Sheet'!$H:$H=N$2) * (INDEX('Master Data Sheet'!$1:$1, , MATCH($F$1, 'Master Data Sheet'!$1:$1, 0)) = $F$1) * ('Master Data Sheet'!$G:$G=$B14) * ('Master Data Sheet'!$F:$F=$E14) * ('Master Data Sheet'!$A:$A=$F14), 0), MATCH($F$1, 'Master Data Sheet'!$1:$1, 0)), "")</f>
        <v>81.775700934579433</v>
      </c>
      <c r="O14" s="11">
        <f t="shared" si="8"/>
        <v>83.320971171438472</v>
      </c>
      <c r="P14" s="11">
        <f t="shared" si="4"/>
        <v>4.0884007551188573</v>
      </c>
      <c r="Q14" s="11"/>
      <c r="Y14" s="1"/>
      <c r="Z14" s="1"/>
      <c r="AA14" s="1"/>
      <c r="AB14" s="1"/>
      <c r="AC14" s="1"/>
      <c r="AD14" s="1"/>
      <c r="AE14" s="1"/>
      <c r="AF14" s="1"/>
      <c r="AG14" s="1"/>
      <c r="AH14" s="1"/>
      <c r="AI14" s="1"/>
      <c r="AJ14" s="1"/>
      <c r="AK14" s="1"/>
      <c r="AL14" s="1"/>
      <c r="AM14" s="1"/>
      <c r="AN14" s="1"/>
      <c r="AO14" s="1"/>
      <c r="AP14" s="1"/>
      <c r="AQ14" s="1"/>
      <c r="AR14" s="1"/>
      <c r="AS14" s="1"/>
    </row>
    <row r="15" spans="1:45" x14ac:dyDescent="0.35">
      <c r="A15" s="41">
        <f>IFERROR(INDEX('Date Key'!$B$2:$B$19, MATCH(F15,'Date Key'!$A$2:$A$19, 0)), "")</f>
        <v>45217</v>
      </c>
      <c r="B15" s="4">
        <f t="shared" si="15"/>
        <v>2</v>
      </c>
      <c r="C15" s="26" t="str">
        <f>IFERROR(INDEX('Date Key'!$G$57:$G$62, MATCH(B15,'Date Key'!$A$57:$A$62, 0)), "")</f>
        <v>Medium HLR, Lower Outlet Height, No Plants</v>
      </c>
      <c r="D15" s="4" t="str">
        <f>IFERROR(INDEX('Date Key'!$G$2:$G$19, MATCH(F15, 'Date Key'!$A$2:$A$19, 0)), "")</f>
        <v>No</v>
      </c>
      <c r="E15" s="4" t="str">
        <f t="shared" si="1"/>
        <v>tank 1</v>
      </c>
      <c r="F15" s="4">
        <f t="shared" si="2"/>
        <v>4</v>
      </c>
      <c r="G15" s="4">
        <f t="shared" si="3"/>
        <v>1</v>
      </c>
      <c r="H15" s="11" cm="1">
        <f t="array" ref="H15">IFERROR(INDEX('Master Data Sheet'!$1:$1048576, MATCH(1, ('Master Data Sheet'!$H:$H=H$2) * (INDEX('Master Data Sheet'!$1:$1, , MATCH($F$1, 'Master Data Sheet'!$1:$1, 0)) = $F$1) * ('Master Data Sheet'!$G:$G=$B15) * ('Master Data Sheet'!$F:$F=$E15) * ('Master Data Sheet'!$A:$A=$F15), 0), MATCH($F$1, 'Master Data Sheet'!$1:$1, 0)), "")</f>
        <v>115.38461538461539</v>
      </c>
      <c r="I15" s="11" cm="1">
        <f t="array" ref="I15">IFERROR(INDEX('Master Data Sheet'!$1:$1048576, MATCH(1, ('Master Data Sheet'!$H:$H=I$2) * (INDEX('Master Data Sheet'!$1:$1, , MATCH($F$1, 'Master Data Sheet'!$1:$1, 0)) = $F$1) * ('Master Data Sheet'!$G:$G=$B15) * ('Master Data Sheet'!$F:$F=$E15) * ('Master Data Sheet'!$A:$A=$F15), 0), MATCH($F$1, 'Master Data Sheet'!$1:$1, 0)), "")</f>
        <v>115.38461538461539</v>
      </c>
      <c r="J15" s="11" cm="1">
        <f t="array" ref="J15">IFERROR(INDEX('Master Data Sheet'!$1:$1048576, MATCH(1, ('Master Data Sheet'!$H:$H=J$2) * (INDEX('Master Data Sheet'!$1:$1, , MATCH($F$1, 'Master Data Sheet'!$1:$1, 0)) = $F$1) * ('Master Data Sheet'!$G:$G=$B15) * ('Master Data Sheet'!$F:$F=$E15) * ('Master Data Sheet'!$A:$A=$F15), 0), MATCH($F$1, 'Master Data Sheet'!$1:$1, 0)), "")</f>
        <v>106.58914728682171</v>
      </c>
      <c r="K15" s="11" cm="1">
        <f t="array" ref="K15">IFERROR(INDEX('Master Data Sheet'!$1:$1048576, MATCH(1, ('Master Data Sheet'!$H:$H=K$2) * (INDEX('Master Data Sheet'!$1:$1, , MATCH($F$1, 'Master Data Sheet'!$1:$1, 0)) = $F$1) * ('Master Data Sheet'!$G:$G=$B15) * ('Master Data Sheet'!$F:$F=$E15) * ('Master Data Sheet'!$A:$A=$F15), 0), MATCH($F$1, 'Master Data Sheet'!$1:$1, 0)), "")</f>
        <v>115.38461538461539</v>
      </c>
      <c r="L15" s="11" cm="1">
        <f t="array" ref="L15">IFERROR(INDEX('Master Data Sheet'!$1:$1048576, MATCH(1, ('Master Data Sheet'!$H:$H=L$2) * (INDEX('Master Data Sheet'!$1:$1, , MATCH($F$1, 'Master Data Sheet'!$1:$1, 0)) = $F$1) * ('Master Data Sheet'!$G:$G=$B15) * ('Master Data Sheet'!$F:$F=$E15) * ('Master Data Sheet'!$A:$A=$F15), 0), MATCH($F$1, 'Master Data Sheet'!$1:$1, 0)), "")</f>
        <v>97.65625</v>
      </c>
      <c r="M15" s="11" cm="1">
        <f t="array" ref="M15">IFERROR(INDEX('Master Data Sheet'!$1:$1048576, MATCH(1, ('Master Data Sheet'!$H:$H=M$2) * (INDEX('Master Data Sheet'!$1:$1, , MATCH($F$1, 'Master Data Sheet'!$1:$1, 0)) = $F$1) * ('Master Data Sheet'!$G:$G=$B15) * ('Master Data Sheet'!$F:$F=$E15) * ('Master Data Sheet'!$A:$A=$F15), 0), MATCH($F$1, 'Master Data Sheet'!$1:$1, 0)), "")</f>
        <v>106.58914728682171</v>
      </c>
      <c r="N15" s="11" cm="1">
        <f t="array" ref="N15">IFERROR(INDEX('Master Data Sheet'!$1:$1048576, MATCH(1, ('Master Data Sheet'!$H:$H=N$2) * (INDEX('Master Data Sheet'!$1:$1, , MATCH($F$1, 'Master Data Sheet'!$1:$1, 0)) = $F$1) * ('Master Data Sheet'!$G:$G=$B15) * ('Master Data Sheet'!$F:$F=$E15) * ('Master Data Sheet'!$A:$A=$F15), 0), MATCH($F$1, 'Master Data Sheet'!$1:$1, 0)), "")</f>
        <v>106.58914728682171</v>
      </c>
      <c r="O15" s="11">
        <f t="shared" si="8"/>
        <v>109.0825054306159</v>
      </c>
      <c r="P15" s="11">
        <f t="shared" si="4"/>
        <v>6.6877946948433857</v>
      </c>
      <c r="Q15" s="11">
        <f>AVERAGE(O15:O17)</f>
        <v>119.76991396932762</v>
      </c>
      <c r="R15" s="46">
        <f>(1-(O15/O12))*100</f>
        <v>2.0281148776660651</v>
      </c>
      <c r="S15" s="46">
        <f>AVERAGE(R15:R17)</f>
        <v>-16.397130789180242</v>
      </c>
      <c r="T15" s="46">
        <f>STDEV(R15:R17)</f>
        <v>26.341305301067834</v>
      </c>
      <c r="U15" s="47">
        <f>(1-(AVERAGE(H15:N17)/AVERAGE(H12:N14)))*100</f>
        <v>-13.320838385062327</v>
      </c>
      <c r="Y15" s="2"/>
      <c r="Z15" s="2"/>
      <c r="AA15" s="2"/>
      <c r="AB15" s="2"/>
      <c r="AC15" s="2"/>
      <c r="AD15" s="2"/>
      <c r="AE15" s="2"/>
      <c r="AF15" s="2"/>
      <c r="AG15" s="2"/>
    </row>
    <row r="16" spans="1:45" x14ac:dyDescent="0.35">
      <c r="A16" s="41">
        <f>IFERROR(INDEX('Date Key'!$B$2:$B$19, MATCH(F16,'Date Key'!$A$2:$A$19, 0)), "")</f>
        <v>45224</v>
      </c>
      <c r="B16" s="4">
        <f t="shared" si="15"/>
        <v>2</v>
      </c>
      <c r="C16" s="26" t="str">
        <f>IFERROR(INDEX('Date Key'!$G$57:$G$62, MATCH(B16,'Date Key'!$A$57:$A$62, 0)), "")</f>
        <v>Medium HLR, Lower Outlet Height, No Plants</v>
      </c>
      <c r="D16" s="4" t="str">
        <f>IFERROR(INDEX('Date Key'!$G$2:$G$19, MATCH(F16, 'Date Key'!$A$2:$A$19, 0)), "")</f>
        <v>No</v>
      </c>
      <c r="E16" s="4" t="str">
        <f t="shared" si="1"/>
        <v>tank 1</v>
      </c>
      <c r="F16" s="4">
        <f t="shared" si="2"/>
        <v>5</v>
      </c>
      <c r="G16" s="4">
        <f>MOD(ROW(G16)-ROW($G$3), 3) + 1</f>
        <v>2</v>
      </c>
      <c r="H16" s="11" cm="1">
        <f t="array" ref="H16">IFERROR(INDEX('Master Data Sheet'!$1:$1048576, MATCH(1, ('Master Data Sheet'!$H:$H=H$2) * (INDEX('Master Data Sheet'!$1:$1, , MATCH($F$1, 'Master Data Sheet'!$1:$1, 0)) = $F$1) * ('Master Data Sheet'!$G:$G=$B16) * ('Master Data Sheet'!$F:$F=$E16) * ('Master Data Sheet'!$A:$A=$F16), 0), MATCH($F$1, 'Master Data Sheet'!$1:$1, 0)), "")</f>
        <v>133.92857142857144</v>
      </c>
      <c r="I16" s="11" cm="1">
        <f t="array" ref="I16">IFERROR(INDEX('Master Data Sheet'!$1:$1048576, MATCH(1, ('Master Data Sheet'!$H:$H=I$2) * (INDEX('Master Data Sheet'!$1:$1, , MATCH($F$1, 'Master Data Sheet'!$1:$1, 0)) = $F$1) * ('Master Data Sheet'!$G:$G=$B16) * ('Master Data Sheet'!$F:$F=$E16) * ('Master Data Sheet'!$A:$A=$F16), 0), MATCH($F$1, 'Master Data Sheet'!$1:$1, 0)), "")</f>
        <v>143.80530973451326</v>
      </c>
      <c r="J16" s="11" cm="1">
        <f t="array" ref="J16">IFERROR(INDEX('Master Data Sheet'!$1:$1048576, MATCH(1, ('Master Data Sheet'!$H:$H=J$2) * (INDEX('Master Data Sheet'!$1:$1, , MATCH($F$1, 'Master Data Sheet'!$1:$1, 0)) = $F$1) * ('Master Data Sheet'!$G:$G=$B16) * ('Master Data Sheet'!$F:$F=$E16) * ('Master Data Sheet'!$A:$A=$F16), 0), MATCH($F$1, 'Master Data Sheet'!$1:$1, 0)), "")</f>
        <v>133.92857142857144</v>
      </c>
      <c r="K16" s="11" cm="1">
        <f t="array" ref="K16">IFERROR(INDEX('Master Data Sheet'!$1:$1048576, MATCH(1, ('Master Data Sheet'!$H:$H=K$2) * (INDEX('Master Data Sheet'!$1:$1, , MATCH($F$1, 'Master Data Sheet'!$1:$1, 0)) = $F$1) * ('Master Data Sheet'!$G:$G=$B16) * ('Master Data Sheet'!$F:$F=$E16) * ('Master Data Sheet'!$A:$A=$F16), 0), MATCH($F$1, 'Master Data Sheet'!$1:$1, 0)), "")</f>
        <v>133.92857142857144</v>
      </c>
      <c r="L16" s="11" cm="1">
        <f t="array" ref="L16">IFERROR(INDEX('Master Data Sheet'!$1:$1048576, MATCH(1, ('Master Data Sheet'!$H:$H=L$2) * (INDEX('Master Data Sheet'!$1:$1, , MATCH($F$1, 'Master Data Sheet'!$1:$1, 0)) = $F$1) * ('Master Data Sheet'!$G:$G=$B16) * ('Master Data Sheet'!$F:$F=$E16) * ('Master Data Sheet'!$A:$A=$F16), 0), MATCH($F$1, 'Master Data Sheet'!$1:$1, 0)), "")</f>
        <v>123.8738738738739</v>
      </c>
      <c r="M16" s="11" cm="1">
        <f t="array" ref="M16">IFERROR(INDEX('Master Data Sheet'!$1:$1048576, MATCH(1, ('Master Data Sheet'!$H:$H=M$2) * (INDEX('Master Data Sheet'!$1:$1, , MATCH($F$1, 'Master Data Sheet'!$1:$1, 0)) = $F$1) * ('Master Data Sheet'!$G:$G=$B16) * ('Master Data Sheet'!$F:$F=$E16) * ('Master Data Sheet'!$A:$A=$F16), 0), MATCH($F$1, 'Master Data Sheet'!$1:$1, 0)), "")</f>
        <v>113.63636363636364</v>
      </c>
      <c r="N16" s="11" cm="1">
        <f t="array" ref="N16">IFERROR(INDEX('Master Data Sheet'!$1:$1048576, MATCH(1, ('Master Data Sheet'!$H:$H=N$2) * (INDEX('Master Data Sheet'!$1:$1, , MATCH($F$1, 'Master Data Sheet'!$1:$1, 0)) = $F$1) * ('Master Data Sheet'!$G:$G=$B16) * ('Master Data Sheet'!$F:$F=$E16) * ('Master Data Sheet'!$A:$A=$F16), 0), MATCH($F$1, 'Master Data Sheet'!$1:$1, 0)), "")</f>
        <v>113.63636363636364</v>
      </c>
      <c r="O16" s="11">
        <f t="shared" si="8"/>
        <v>128.10537502383266</v>
      </c>
      <c r="P16" s="11">
        <f t="shared" si="4"/>
        <v>11.436979365692384</v>
      </c>
      <c r="Q16" s="11"/>
      <c r="R16" s="46">
        <f>(1-(O16/O13))*100</f>
        <v>-4.6515307363151681</v>
      </c>
      <c r="X16" t="str">
        <f>IFERROR(INDEX('Date Key'!$G$57:$G$62, MATCH(B15,'Date Key'!$A$57:$A$62, 0)), "")</f>
        <v>Medium HLR, Lower Outlet Height, No Plants</v>
      </c>
      <c r="Y16" s="1">
        <f t="shared" ref="Y16:AE16" si="19">H15</f>
        <v>115.38461538461539</v>
      </c>
      <c r="Z16" s="1">
        <f t="shared" si="19"/>
        <v>115.38461538461539</v>
      </c>
      <c r="AA16" s="1">
        <f t="shared" si="19"/>
        <v>106.58914728682171</v>
      </c>
      <c r="AB16" s="1">
        <f t="shared" si="19"/>
        <v>115.38461538461539</v>
      </c>
      <c r="AC16" s="1">
        <f t="shared" si="19"/>
        <v>97.65625</v>
      </c>
      <c r="AD16" s="1">
        <f t="shared" si="19"/>
        <v>106.58914728682171</v>
      </c>
      <c r="AE16" s="1">
        <f t="shared" si="19"/>
        <v>106.58914728682171</v>
      </c>
      <c r="AF16" s="1">
        <f t="shared" ref="AF16:AL16" si="20">H16</f>
        <v>133.92857142857144</v>
      </c>
      <c r="AG16" s="1">
        <f t="shared" si="20"/>
        <v>143.80530973451326</v>
      </c>
      <c r="AH16" s="1">
        <f t="shared" si="20"/>
        <v>133.92857142857144</v>
      </c>
      <c r="AI16" s="1">
        <f t="shared" si="20"/>
        <v>133.92857142857144</v>
      </c>
      <c r="AJ16" s="1">
        <f t="shared" si="20"/>
        <v>123.8738738738739</v>
      </c>
      <c r="AK16" s="1">
        <f t="shared" si="20"/>
        <v>113.63636363636364</v>
      </c>
      <c r="AL16" s="1">
        <f t="shared" si="20"/>
        <v>113.63636363636364</v>
      </c>
      <c r="AM16" s="1">
        <f t="shared" ref="AM16:AS16" si="21">H17</f>
        <v>143.80530973451326</v>
      </c>
      <c r="AN16" s="1">
        <f t="shared" si="21"/>
        <v>143.80530973451326</v>
      </c>
      <c r="AO16" s="1">
        <f t="shared" si="21"/>
        <v>133.92857142857144</v>
      </c>
      <c r="AP16" s="1">
        <f t="shared" si="21"/>
        <v>123.8738738738739</v>
      </c>
      <c r="AQ16" s="1">
        <f t="shared" si="21"/>
        <v>113.63636363636364</v>
      </c>
      <c r="AR16" s="1">
        <f t="shared" si="21"/>
        <v>103.21100917431194</v>
      </c>
      <c r="AS16" s="1">
        <f t="shared" si="21"/>
        <v>92.592592592592609</v>
      </c>
    </row>
    <row r="17" spans="1:45" x14ac:dyDescent="0.35">
      <c r="A17" s="41">
        <f>IFERROR(INDEX('Date Key'!$B$2:$B$19, MATCH(F17,'Date Key'!$A$2:$A$19, 0)), "")</f>
        <v>45230</v>
      </c>
      <c r="B17" s="4">
        <f t="shared" si="15"/>
        <v>2</v>
      </c>
      <c r="C17" s="26" t="str">
        <f>IFERROR(INDEX('Date Key'!$G$57:$G$62, MATCH(B17,'Date Key'!$A$57:$A$62, 0)), "")</f>
        <v>Medium HLR, Lower Outlet Height, No Plants</v>
      </c>
      <c r="D17" s="4" t="str">
        <f>IFERROR(INDEX('Date Key'!$G$2:$G$19, MATCH(F17, 'Date Key'!$A$2:$A$19, 0)), "")</f>
        <v>Yes</v>
      </c>
      <c r="E17" s="4" t="str">
        <f t="shared" si="1"/>
        <v>tank 1</v>
      </c>
      <c r="F17" s="4">
        <f t="shared" si="2"/>
        <v>6</v>
      </c>
      <c r="G17" s="4">
        <f t="shared" ref="G17:G56" si="22">MOD(ROW(G17)-ROW($G$3), 3) + 1</f>
        <v>3</v>
      </c>
      <c r="H17" s="11" cm="1">
        <f t="array" ref="H17">IFERROR(INDEX('Master Data Sheet'!$1:$1048576, MATCH(1, ('Master Data Sheet'!$H:$H=H$2) * (INDEX('Master Data Sheet'!$1:$1, , MATCH($F$1, 'Master Data Sheet'!$1:$1, 0)) = $F$1) * ('Master Data Sheet'!$G:$G=$B17) * ('Master Data Sheet'!$F:$F=$E17) * ('Master Data Sheet'!$A:$A=$F17), 0), MATCH($F$1, 'Master Data Sheet'!$1:$1, 0)), "")</f>
        <v>143.80530973451326</v>
      </c>
      <c r="I17" s="11" cm="1">
        <f t="array" ref="I17">IFERROR(INDEX('Master Data Sheet'!$1:$1048576, MATCH(1, ('Master Data Sheet'!$H:$H=I$2) * (INDEX('Master Data Sheet'!$1:$1, , MATCH($F$1, 'Master Data Sheet'!$1:$1, 0)) = $F$1) * ('Master Data Sheet'!$G:$G=$B17) * ('Master Data Sheet'!$F:$F=$E17) * ('Master Data Sheet'!$A:$A=$F17), 0), MATCH($F$1, 'Master Data Sheet'!$1:$1, 0)), "")</f>
        <v>143.80530973451326</v>
      </c>
      <c r="J17" s="11" cm="1">
        <f t="array" ref="J17">IFERROR(INDEX('Master Data Sheet'!$1:$1048576, MATCH(1, ('Master Data Sheet'!$H:$H=J$2) * (INDEX('Master Data Sheet'!$1:$1, , MATCH($F$1, 'Master Data Sheet'!$1:$1, 0)) = $F$1) * ('Master Data Sheet'!$G:$G=$B17) * ('Master Data Sheet'!$F:$F=$E17) * ('Master Data Sheet'!$A:$A=$F17), 0), MATCH($F$1, 'Master Data Sheet'!$1:$1, 0)), "")</f>
        <v>133.92857142857144</v>
      </c>
      <c r="K17" s="11" cm="1">
        <f t="array" ref="K17">IFERROR(INDEX('Master Data Sheet'!$1:$1048576, MATCH(1, ('Master Data Sheet'!$H:$H=K$2) * (INDEX('Master Data Sheet'!$1:$1, , MATCH($F$1, 'Master Data Sheet'!$1:$1, 0)) = $F$1) * ('Master Data Sheet'!$G:$G=$B17) * ('Master Data Sheet'!$F:$F=$E17) * ('Master Data Sheet'!$A:$A=$F17), 0), MATCH($F$1, 'Master Data Sheet'!$1:$1, 0)), "")</f>
        <v>123.8738738738739</v>
      </c>
      <c r="L17" s="11" cm="1">
        <f t="array" ref="L17">IFERROR(INDEX('Master Data Sheet'!$1:$1048576, MATCH(1, ('Master Data Sheet'!$H:$H=L$2) * (INDEX('Master Data Sheet'!$1:$1, , MATCH($F$1, 'Master Data Sheet'!$1:$1, 0)) = $F$1) * ('Master Data Sheet'!$G:$G=$B17) * ('Master Data Sheet'!$F:$F=$E17) * ('Master Data Sheet'!$A:$A=$F17), 0), MATCH($F$1, 'Master Data Sheet'!$1:$1, 0)), "")</f>
        <v>113.63636363636364</v>
      </c>
      <c r="M17" s="11" cm="1">
        <f t="array" ref="M17">IFERROR(INDEX('Master Data Sheet'!$1:$1048576, MATCH(1, ('Master Data Sheet'!$H:$H=M$2) * (INDEX('Master Data Sheet'!$1:$1, , MATCH($F$1, 'Master Data Sheet'!$1:$1, 0)) = $F$1) * ('Master Data Sheet'!$G:$G=$B17) * ('Master Data Sheet'!$F:$F=$E17) * ('Master Data Sheet'!$A:$A=$F17), 0), MATCH($F$1, 'Master Data Sheet'!$1:$1, 0)), "")</f>
        <v>103.21100917431194</v>
      </c>
      <c r="N17" s="11" cm="1">
        <f t="array" ref="N17">IFERROR(INDEX('Master Data Sheet'!$1:$1048576, MATCH(1, ('Master Data Sheet'!$H:$H=N$2) * (INDEX('Master Data Sheet'!$1:$1, , MATCH($F$1, 'Master Data Sheet'!$1:$1, 0)) = $F$1) * ('Master Data Sheet'!$G:$G=$B17) * ('Master Data Sheet'!$F:$F=$E17) * ('Master Data Sheet'!$A:$A=$F17), 0), MATCH($F$1, 'Master Data Sheet'!$1:$1, 0)), "")</f>
        <v>92.592592592592609</v>
      </c>
      <c r="O17" s="11">
        <f t="shared" si="8"/>
        <v>122.12186145353429</v>
      </c>
      <c r="P17" s="11">
        <f t="shared" si="4"/>
        <v>19.934950602969483</v>
      </c>
      <c r="Q17" s="11"/>
      <c r="R17" s="46">
        <f>(1-(O17/O14))*100</f>
        <v>-46.567976508891618</v>
      </c>
      <c r="Y17" s="2"/>
      <c r="Z17" s="2"/>
      <c r="AA17" s="2"/>
      <c r="AB17" s="2"/>
      <c r="AC17" s="2"/>
      <c r="AD17" s="2"/>
      <c r="AE17" s="2"/>
      <c r="AF17" s="2"/>
      <c r="AG17" s="2"/>
    </row>
    <row r="18" spans="1:45" x14ac:dyDescent="0.35">
      <c r="A18" s="41">
        <f>IFERROR(INDEX('Date Key'!$B$2:$B$19, MATCH(F18,'Date Key'!$A$2:$A$19, 0)), "")</f>
        <v>45217</v>
      </c>
      <c r="B18" s="4">
        <f t="shared" si="15"/>
        <v>2</v>
      </c>
      <c r="C18" s="26" t="str">
        <f>IFERROR(INDEX('Date Key'!$G$57:$G$62, MATCH(B18,'Date Key'!$A$57:$A$62, 0)), "")</f>
        <v>Medium HLR, Lower Outlet Height, No Plants</v>
      </c>
      <c r="D18" s="4" t="str">
        <f>IFERROR(INDEX('Date Key'!$G$2:$G$19, MATCH(F18, 'Date Key'!$A$2:$A$19, 0)), "")</f>
        <v>No</v>
      </c>
      <c r="E18" s="4" t="str">
        <f t="shared" si="1"/>
        <v>tank 2</v>
      </c>
      <c r="F18" s="4">
        <f t="shared" si="2"/>
        <v>4</v>
      </c>
      <c r="G18" s="4">
        <f t="shared" si="22"/>
        <v>1</v>
      </c>
      <c r="H18" s="11" cm="1">
        <f t="array" ref="H18">IFERROR(INDEX('Master Data Sheet'!$1:$1048576, MATCH(1, ('Master Data Sheet'!$H:$H=H$2) * (INDEX('Master Data Sheet'!$1:$1, , MATCH($F$1, 'Master Data Sheet'!$1:$1, 0)) = $F$1) * ('Master Data Sheet'!$G:$G=$B18) * ('Master Data Sheet'!$F:$F=$E18) * ('Master Data Sheet'!$A:$A=$F18), 0), MATCH($F$1, 'Master Data Sheet'!$1:$1, 0)), "")</f>
        <v>149.25373134328362</v>
      </c>
      <c r="I18" s="11" cm="1">
        <f t="array" ref="I18">IFERROR(INDEX('Master Data Sheet'!$1:$1048576, MATCH(1, ('Master Data Sheet'!$H:$H=I$2) * (INDEX('Master Data Sheet'!$1:$1, , MATCH($F$1, 'Master Data Sheet'!$1:$1, 0)) = $F$1) * ('Master Data Sheet'!$G:$G=$B18) * ('Master Data Sheet'!$F:$F=$E18) * ('Master Data Sheet'!$A:$A=$F18), 0), MATCH($F$1, 'Master Data Sheet'!$1:$1, 0)), "")</f>
        <v>149.25373134328362</v>
      </c>
      <c r="J18" s="11" cm="1">
        <f t="array" ref="J18">IFERROR(INDEX('Master Data Sheet'!$1:$1048576, MATCH(1, ('Master Data Sheet'!$H:$H=J$2) * (INDEX('Master Data Sheet'!$1:$1, , MATCH($F$1, 'Master Data Sheet'!$1:$1, 0)) = $F$1) * ('Master Data Sheet'!$G:$G=$B18) * ('Master Data Sheet'!$F:$F=$E18) * ('Master Data Sheet'!$A:$A=$F18), 0), MATCH($F$1, 'Master Data Sheet'!$1:$1, 0)), "")</f>
        <v>115.38461538461539</v>
      </c>
      <c r="K18" s="11" cm="1">
        <f t="array" ref="K18">IFERROR(INDEX('Master Data Sheet'!$1:$1048576, MATCH(1, ('Master Data Sheet'!$H:$H=K$2) * (INDEX('Master Data Sheet'!$1:$1, , MATCH($F$1, 'Master Data Sheet'!$1:$1, 0)) = $F$1) * ('Master Data Sheet'!$G:$G=$B18) * ('Master Data Sheet'!$F:$F=$E18) * ('Master Data Sheet'!$A:$A=$F18), 0), MATCH($F$1, 'Master Data Sheet'!$1:$1, 0)), "")</f>
        <v>97.65625</v>
      </c>
      <c r="L18" s="11" cm="1">
        <f t="array" ref="L18">IFERROR(INDEX('Master Data Sheet'!$1:$1048576, MATCH(1, ('Master Data Sheet'!$H:$H=L$2) * (INDEX('Master Data Sheet'!$1:$1, , MATCH($F$1, 'Master Data Sheet'!$1:$1, 0)) = $F$1) * ('Master Data Sheet'!$G:$G=$B18) * ('Master Data Sheet'!$F:$F=$E18) * ('Master Data Sheet'!$A:$A=$F18), 0), MATCH($F$1, 'Master Data Sheet'!$1:$1, 0)), "")</f>
        <v>106.58914728682171</v>
      </c>
      <c r="M18" s="11" cm="1">
        <f t="array" ref="M18">IFERROR(INDEX('Master Data Sheet'!$1:$1048576, MATCH(1, ('Master Data Sheet'!$H:$H=M$2) * (INDEX('Master Data Sheet'!$1:$1, , MATCH($F$1, 'Master Data Sheet'!$1:$1, 0)) = $F$1) * ('Master Data Sheet'!$G:$G=$B18) * ('Master Data Sheet'!$F:$F=$E18) * ('Master Data Sheet'!$A:$A=$F18), 0), MATCH($F$1, 'Master Data Sheet'!$1:$1, 0)), "")</f>
        <v>97.65625</v>
      </c>
      <c r="N18" s="11" cm="1">
        <f t="array" ref="N18">IFERROR(INDEX('Master Data Sheet'!$1:$1048576, MATCH(1, ('Master Data Sheet'!$H:$H=N$2) * (INDEX('Master Data Sheet'!$1:$1, , MATCH($F$1, 'Master Data Sheet'!$1:$1, 0)) = $F$1) * ('Master Data Sheet'!$G:$G=$B18) * ('Master Data Sheet'!$F:$F=$E18) * ('Master Data Sheet'!$A:$A=$F18), 0), MATCH($F$1, 'Master Data Sheet'!$1:$1, 0)), "")</f>
        <v>106.58914728682171</v>
      </c>
      <c r="O18" s="11">
        <f t="shared" si="8"/>
        <v>117.48326752068942</v>
      </c>
      <c r="P18" s="11">
        <f t="shared" si="4"/>
        <v>22.534100243354054</v>
      </c>
      <c r="Q18" s="11">
        <f>AVERAGE(N18:N20)</f>
        <v>93.652480271331243</v>
      </c>
      <c r="R18" s="46">
        <f>(1-(O18/O12))*100</f>
        <v>-5.516985917183681</v>
      </c>
      <c r="S18" s="46">
        <f>AVERAGE(R18:R20)</f>
        <v>-20.506448528656435</v>
      </c>
      <c r="T18" s="46">
        <f>STDEV(R18:R20)</f>
        <v>21.609123319744402</v>
      </c>
      <c r="U18" s="47">
        <f>(1-(AVERAGE(H18:N20)/AVERAGE(H12:N14)))*100</f>
        <v>-17.976015931490231</v>
      </c>
      <c r="V18" s="47"/>
      <c r="Y18" s="2"/>
      <c r="Z18" s="2"/>
      <c r="AA18" s="2"/>
      <c r="AB18" s="2"/>
      <c r="AC18" s="2"/>
      <c r="AD18" s="2"/>
      <c r="AE18" s="2"/>
      <c r="AF18" s="2"/>
      <c r="AG18" s="2"/>
    </row>
    <row r="19" spans="1:45" x14ac:dyDescent="0.35">
      <c r="A19" s="41">
        <f>IFERROR(INDEX('Date Key'!$B$2:$B$19, MATCH(F19,'Date Key'!$A$2:$A$19, 0)), "")</f>
        <v>45224</v>
      </c>
      <c r="B19" s="4">
        <f t="shared" si="15"/>
        <v>2</v>
      </c>
      <c r="C19" s="26" t="str">
        <f>IFERROR(INDEX('Date Key'!$G$57:$G$62, MATCH(B19,'Date Key'!$A$57:$A$62, 0)), "")</f>
        <v>Medium HLR, Lower Outlet Height, No Plants</v>
      </c>
      <c r="D19" s="4" t="str">
        <f>IFERROR(INDEX('Date Key'!$G$2:$G$19, MATCH(F19, 'Date Key'!$A$2:$A$19, 0)), "")</f>
        <v>No</v>
      </c>
      <c r="E19" s="4" t="str">
        <f t="shared" si="1"/>
        <v>tank 2</v>
      </c>
      <c r="F19" s="4">
        <f t="shared" si="2"/>
        <v>5</v>
      </c>
      <c r="G19" s="4">
        <f t="shared" si="22"/>
        <v>2</v>
      </c>
      <c r="H19" s="11" cm="1">
        <f t="array" ref="H19">IFERROR(INDEX('Master Data Sheet'!$1:$1048576, MATCH(1, ('Master Data Sheet'!$H:$H=H$2) * (INDEX('Master Data Sheet'!$1:$1, , MATCH($F$1, 'Master Data Sheet'!$1:$1, 0)) = $F$1) * ('Master Data Sheet'!$G:$G=$B19) * ('Master Data Sheet'!$F:$F=$E19) * ('Master Data Sheet'!$A:$A=$F19), 0), MATCH($F$1, 'Master Data Sheet'!$1:$1, 0)), "")</f>
        <v>190.67796610169495</v>
      </c>
      <c r="I19" s="11" cm="1">
        <f t="array" ref="I19">IFERROR(INDEX('Master Data Sheet'!$1:$1048576, MATCH(1, ('Master Data Sheet'!$H:$H=I$2) * (INDEX('Master Data Sheet'!$1:$1, , MATCH($F$1, 'Master Data Sheet'!$1:$1, 0)) = $F$1) * ('Master Data Sheet'!$G:$G=$B19) * ('Master Data Sheet'!$F:$F=$E19) * ('Master Data Sheet'!$A:$A=$F19), 0), MATCH($F$1, 'Master Data Sheet'!$1:$1, 0)), "")</f>
        <v>190.67796610169495</v>
      </c>
      <c r="J19" s="11" cm="1">
        <f t="array" ref="J19">IFERROR(INDEX('Master Data Sheet'!$1:$1048576, MATCH(1, ('Master Data Sheet'!$H:$H=J$2) * (INDEX('Master Data Sheet'!$1:$1, , MATCH($F$1, 'Master Data Sheet'!$1:$1, 0)) = $F$1) * ('Master Data Sheet'!$G:$G=$B19) * ('Master Data Sheet'!$F:$F=$E19) * ('Master Data Sheet'!$A:$A=$F19), 0), MATCH($F$1, 'Master Data Sheet'!$1:$1, 0)), "")</f>
        <v>133.92857142857144</v>
      </c>
      <c r="K19" s="11" cm="1">
        <f t="array" ref="K19">IFERROR(INDEX('Master Data Sheet'!$1:$1048576, MATCH(1, ('Master Data Sheet'!$H:$H=K$2) * (INDEX('Master Data Sheet'!$1:$1, , MATCH($F$1, 'Master Data Sheet'!$1:$1, 0)) = $F$1) * ('Master Data Sheet'!$G:$G=$B19) * ('Master Data Sheet'!$F:$F=$E19) * ('Master Data Sheet'!$A:$A=$F19), 0), MATCH($F$1, 'Master Data Sheet'!$1:$1, 0)), "")</f>
        <v>113.63636363636364</v>
      </c>
      <c r="L19" s="11" cm="1">
        <f t="array" ref="L19">IFERROR(INDEX('Master Data Sheet'!$1:$1048576, MATCH(1, ('Master Data Sheet'!$H:$H=L$2) * (INDEX('Master Data Sheet'!$1:$1, , MATCH($F$1, 'Master Data Sheet'!$1:$1, 0)) = $F$1) * ('Master Data Sheet'!$G:$G=$B19) * ('Master Data Sheet'!$F:$F=$E19) * ('Master Data Sheet'!$A:$A=$F19), 0), MATCH($F$1, 'Master Data Sheet'!$1:$1, 0)), "")</f>
        <v>113.63636363636364</v>
      </c>
      <c r="M19" s="11" cm="1">
        <f t="array" ref="M19">IFERROR(INDEX('Master Data Sheet'!$1:$1048576, MATCH(1, ('Master Data Sheet'!$H:$H=M$2) * (INDEX('Master Data Sheet'!$1:$1, , MATCH($F$1, 'Master Data Sheet'!$1:$1, 0)) = $F$1) * ('Master Data Sheet'!$G:$G=$B19) * ('Master Data Sheet'!$F:$F=$E19) * ('Master Data Sheet'!$A:$A=$F19), 0), MATCH($F$1, 'Master Data Sheet'!$1:$1, 0)), "")</f>
        <v>113.63636363636364</v>
      </c>
      <c r="N19" s="11" cm="1">
        <f t="array" ref="N19">IFERROR(INDEX('Master Data Sheet'!$1:$1048576, MATCH(1, ('Master Data Sheet'!$H:$H=N$2) * (INDEX('Master Data Sheet'!$1:$1, , MATCH($F$1, 'Master Data Sheet'!$1:$1, 0)) = $F$1) * ('Master Data Sheet'!$G:$G=$B19) * ('Master Data Sheet'!$F:$F=$E19) * ('Master Data Sheet'!$A:$A=$F19), 0), MATCH($F$1, 'Master Data Sheet'!$1:$1, 0)), "")</f>
        <v>92.592592592592609</v>
      </c>
      <c r="O19" s="11">
        <f t="shared" si="8"/>
        <v>135.54088387623497</v>
      </c>
      <c r="P19" s="11">
        <f t="shared" si="4"/>
        <v>39.511127059569269</v>
      </c>
      <c r="Q19" s="11"/>
      <c r="R19" s="46">
        <f>(1-(O19/O13))*100</f>
        <v>-10.725728505632492</v>
      </c>
      <c r="X19" t="str">
        <f>IFERROR(INDEX('Date Key'!$G$57:$G$62, MATCH(B18,'Date Key'!$A$57:$A$62, 0)), "")</f>
        <v>Medium HLR, Lower Outlet Height, No Plants</v>
      </c>
      <c r="Y19" s="1">
        <f t="shared" ref="Y19:AE19" si="23">H18</f>
        <v>149.25373134328362</v>
      </c>
      <c r="Z19" s="1">
        <f t="shared" si="23"/>
        <v>149.25373134328362</v>
      </c>
      <c r="AA19" s="1">
        <f t="shared" si="23"/>
        <v>115.38461538461539</v>
      </c>
      <c r="AB19" s="1">
        <f t="shared" si="23"/>
        <v>97.65625</v>
      </c>
      <c r="AC19" s="1">
        <f t="shared" si="23"/>
        <v>106.58914728682171</v>
      </c>
      <c r="AD19" s="1">
        <f t="shared" si="23"/>
        <v>97.65625</v>
      </c>
      <c r="AE19" s="1">
        <f t="shared" si="23"/>
        <v>106.58914728682171</v>
      </c>
      <c r="AF19" s="1">
        <f t="shared" ref="AF19:AL19" si="24">H19</f>
        <v>190.67796610169495</v>
      </c>
      <c r="AG19" s="1">
        <f t="shared" si="24"/>
        <v>190.67796610169495</v>
      </c>
      <c r="AH19" s="1">
        <f t="shared" si="24"/>
        <v>133.92857142857144</v>
      </c>
      <c r="AI19" s="1">
        <f t="shared" si="24"/>
        <v>113.63636363636364</v>
      </c>
      <c r="AJ19" s="1">
        <f t="shared" si="24"/>
        <v>113.63636363636364</v>
      </c>
      <c r="AK19" s="1">
        <f t="shared" si="24"/>
        <v>113.63636363636364</v>
      </c>
      <c r="AL19" s="1">
        <f t="shared" si="24"/>
        <v>92.592592592592609</v>
      </c>
      <c r="AM19" s="1">
        <f t="shared" ref="AM19:AS19" si="25">H20</f>
        <v>181.62393162393164</v>
      </c>
      <c r="AN19" s="1">
        <f t="shared" si="25"/>
        <v>172.41379310344831</v>
      </c>
      <c r="AO19" s="1">
        <f t="shared" si="25"/>
        <v>133.92857142857144</v>
      </c>
      <c r="AP19" s="1">
        <f t="shared" si="25"/>
        <v>103.21100917431194</v>
      </c>
      <c r="AQ19" s="1">
        <f t="shared" si="25"/>
        <v>92.592592592592609</v>
      </c>
      <c r="AR19" s="1">
        <f t="shared" si="25"/>
        <v>81.775700934579433</v>
      </c>
      <c r="AS19" s="1">
        <f t="shared" si="25"/>
        <v>81.775700934579433</v>
      </c>
    </row>
    <row r="20" spans="1:45" x14ac:dyDescent="0.35">
      <c r="A20" s="42">
        <f>IFERROR(INDEX('Date Key'!$B$2:$B$19, MATCH(F20,'Date Key'!$A$2:$A$19, 0)), "")</f>
        <v>45230</v>
      </c>
      <c r="B20" s="27">
        <f t="shared" si="15"/>
        <v>2</v>
      </c>
      <c r="C20" s="51" t="str">
        <f>IFERROR(INDEX('Date Key'!$G$57:$G$62, MATCH(B20,'Date Key'!$A$57:$A$62, 0)), "")</f>
        <v>Medium HLR, Lower Outlet Height, No Plants</v>
      </c>
      <c r="D20" s="27" t="str">
        <f>IFERROR(INDEX('Date Key'!$G$2:$G$19, MATCH(F20, 'Date Key'!$A$2:$A$19, 0)), "")</f>
        <v>Yes</v>
      </c>
      <c r="E20" s="27" t="str">
        <f t="shared" si="1"/>
        <v>tank 2</v>
      </c>
      <c r="F20" s="27">
        <f t="shared" si="2"/>
        <v>6</v>
      </c>
      <c r="G20" s="27">
        <f t="shared" si="22"/>
        <v>3</v>
      </c>
      <c r="H20" s="28" cm="1">
        <f t="array" ref="H20">IFERROR(INDEX('Master Data Sheet'!$1:$1048576, MATCH(1, ('Master Data Sheet'!$H:$H=H$2) * (INDEX('Master Data Sheet'!$1:$1, , MATCH($F$1, 'Master Data Sheet'!$1:$1, 0)) = $F$1) * ('Master Data Sheet'!$G:$G=$B20) * ('Master Data Sheet'!$F:$F=$E20) * ('Master Data Sheet'!$A:$A=$F20), 0), MATCH($F$1, 'Master Data Sheet'!$1:$1, 0)), "")</f>
        <v>181.62393162393164</v>
      </c>
      <c r="I20" s="28" cm="1">
        <f t="array" ref="I20">IFERROR(INDEX('Master Data Sheet'!$1:$1048576, MATCH(1, ('Master Data Sheet'!$H:$H=I$2) * (INDEX('Master Data Sheet'!$1:$1, , MATCH($F$1, 'Master Data Sheet'!$1:$1, 0)) = $F$1) * ('Master Data Sheet'!$G:$G=$B20) * ('Master Data Sheet'!$F:$F=$E20) * ('Master Data Sheet'!$A:$A=$F20), 0), MATCH($F$1, 'Master Data Sheet'!$1:$1, 0)), "")</f>
        <v>172.41379310344831</v>
      </c>
      <c r="J20" s="28" cm="1">
        <f t="array" ref="J20">IFERROR(INDEX('Master Data Sheet'!$1:$1048576, MATCH(1, ('Master Data Sheet'!$H:$H=J$2) * (INDEX('Master Data Sheet'!$1:$1, , MATCH($F$1, 'Master Data Sheet'!$1:$1, 0)) = $F$1) * ('Master Data Sheet'!$G:$G=$B20) * ('Master Data Sheet'!$F:$F=$E20) * ('Master Data Sheet'!$A:$A=$F20), 0), MATCH($F$1, 'Master Data Sheet'!$1:$1, 0)), "")</f>
        <v>133.92857142857144</v>
      </c>
      <c r="K20" s="28" cm="1">
        <f t="array" ref="K20">IFERROR(INDEX('Master Data Sheet'!$1:$1048576, MATCH(1, ('Master Data Sheet'!$H:$H=K$2) * (INDEX('Master Data Sheet'!$1:$1, , MATCH($F$1, 'Master Data Sheet'!$1:$1, 0)) = $F$1) * ('Master Data Sheet'!$G:$G=$B20) * ('Master Data Sheet'!$F:$F=$E20) * ('Master Data Sheet'!$A:$A=$F20), 0), MATCH($F$1, 'Master Data Sheet'!$1:$1, 0)), "")</f>
        <v>103.21100917431194</v>
      </c>
      <c r="L20" s="28" cm="1">
        <f t="array" ref="L20">IFERROR(INDEX('Master Data Sheet'!$1:$1048576, MATCH(1, ('Master Data Sheet'!$H:$H=L$2) * (INDEX('Master Data Sheet'!$1:$1, , MATCH($F$1, 'Master Data Sheet'!$1:$1, 0)) = $F$1) * ('Master Data Sheet'!$G:$G=$B20) * ('Master Data Sheet'!$F:$F=$E20) * ('Master Data Sheet'!$A:$A=$F20), 0), MATCH($F$1, 'Master Data Sheet'!$1:$1, 0)), "")</f>
        <v>92.592592592592609</v>
      </c>
      <c r="M20" s="28" cm="1">
        <f t="array" ref="M20">IFERROR(INDEX('Master Data Sheet'!$1:$1048576, MATCH(1, ('Master Data Sheet'!$H:$H=M$2) * (INDEX('Master Data Sheet'!$1:$1, , MATCH($F$1, 'Master Data Sheet'!$1:$1, 0)) = $F$1) * ('Master Data Sheet'!$G:$G=$B20) * ('Master Data Sheet'!$F:$F=$E20) * ('Master Data Sheet'!$A:$A=$F20), 0), MATCH($F$1, 'Master Data Sheet'!$1:$1, 0)), "")</f>
        <v>81.775700934579433</v>
      </c>
      <c r="N20" s="28" cm="1">
        <f t="array" ref="N20">IFERROR(INDEX('Master Data Sheet'!$1:$1048576, MATCH(1, ('Master Data Sheet'!$H:$H=N$2) * (INDEX('Master Data Sheet'!$1:$1, , MATCH($F$1, 'Master Data Sheet'!$1:$1, 0)) = $F$1) * ('Master Data Sheet'!$G:$G=$B20) * ('Master Data Sheet'!$F:$F=$E20) * ('Master Data Sheet'!$A:$A=$F20), 0), MATCH($F$1, 'Master Data Sheet'!$1:$1, 0)), "")</f>
        <v>81.775700934579433</v>
      </c>
      <c r="O20" s="28">
        <f t="shared" si="8"/>
        <v>121.04589997028782</v>
      </c>
      <c r="P20" s="28">
        <f t="shared" si="4"/>
        <v>42.202473629938709</v>
      </c>
      <c r="Q20" s="28"/>
      <c r="R20" s="48">
        <f>(1-(O20/O14))*100</f>
        <v>-45.276631163153127</v>
      </c>
      <c r="S20" s="27"/>
      <c r="T20" s="27"/>
      <c r="U20" s="27"/>
      <c r="V20" s="27"/>
    </row>
    <row r="21" spans="1:45" x14ac:dyDescent="0.35">
      <c r="A21" s="41">
        <f>IFERROR(INDEX('Date Key'!$B$2:$B$19, MATCH(F21,'Date Key'!$A$2:$A$19, 0)), "")</f>
        <v>45233</v>
      </c>
      <c r="B21" s="4">
        <f t="shared" si="15"/>
        <v>3</v>
      </c>
      <c r="C21" s="26" t="str">
        <f>IFERROR(INDEX('Date Key'!$G$57:$G$62, MATCH(B21,'Date Key'!$A$57:$A$62, 0)), "")</f>
        <v>High HLR, Lower Outlet Height, No Plants</v>
      </c>
      <c r="D21" s="4" t="str">
        <f>IFERROR(INDEX('Date Key'!$G$2:$G$19, MATCH(F21, 'Date Key'!$A$2:$A$19, 0)), "")</f>
        <v>No</v>
      </c>
      <c r="E21" s="4" t="str">
        <f t="shared" si="1"/>
        <v>in</v>
      </c>
      <c r="F21" s="4">
        <f t="shared" si="2"/>
        <v>7</v>
      </c>
      <c r="G21" s="4">
        <f t="shared" si="22"/>
        <v>1</v>
      </c>
      <c r="H21" s="11" cm="1">
        <f t="array" ref="H21">IFERROR(INDEX('Master Data Sheet'!$1:$1048576, MATCH(1, ('Master Data Sheet'!$H:$H=H$2) * (INDEX('Master Data Sheet'!$1:$1, , MATCH($F$1, 'Master Data Sheet'!$1:$1, 0)) = $F$1) * ('Master Data Sheet'!$G:$G=$B21) * ('Master Data Sheet'!$F:$F=$E21) * ('Master Data Sheet'!$A:$A=$F21), 0), MATCH($F$1, 'Master Data Sheet'!$1:$1, 0)), "")</f>
        <v>123.8738738738739</v>
      </c>
      <c r="I21" s="11" cm="1">
        <f t="array" ref="I21">IFERROR(INDEX('Master Data Sheet'!$1:$1048576, MATCH(1, ('Master Data Sheet'!$H:$H=I$2) * (INDEX('Master Data Sheet'!$1:$1, , MATCH($F$1, 'Master Data Sheet'!$1:$1, 0)) = $F$1) * ('Master Data Sheet'!$G:$G=$B21) * ('Master Data Sheet'!$F:$F=$E21) * ('Master Data Sheet'!$A:$A=$F21), 0), MATCH($F$1, 'Master Data Sheet'!$1:$1, 0)), "")</f>
        <v>133.92857142857144</v>
      </c>
      <c r="J21" s="11" cm="1">
        <f t="array" ref="J21">IFERROR(INDEX('Master Data Sheet'!$1:$1048576, MATCH(1, ('Master Data Sheet'!$H:$H=J$2) * (INDEX('Master Data Sheet'!$1:$1, , MATCH($F$1, 'Master Data Sheet'!$1:$1, 0)) = $F$1) * ('Master Data Sheet'!$G:$G=$B21) * ('Master Data Sheet'!$F:$F=$E21) * ('Master Data Sheet'!$A:$A=$F21), 0), MATCH($F$1, 'Master Data Sheet'!$1:$1, 0)), "")</f>
        <v>133.92857142857144</v>
      </c>
      <c r="K21" s="11" cm="1">
        <f t="array" ref="K21">IFERROR(INDEX('Master Data Sheet'!$1:$1048576, MATCH(1, ('Master Data Sheet'!$H:$H=K$2) * (INDEX('Master Data Sheet'!$1:$1, , MATCH($F$1, 'Master Data Sheet'!$1:$1, 0)) = $F$1) * ('Master Data Sheet'!$G:$G=$B21) * ('Master Data Sheet'!$F:$F=$E21) * ('Master Data Sheet'!$A:$A=$F21), 0), MATCH($F$1, 'Master Data Sheet'!$1:$1, 0)), "")</f>
        <v>123.8738738738739</v>
      </c>
      <c r="L21" s="11" cm="1">
        <f t="array" ref="L21">IFERROR(INDEX('Master Data Sheet'!$1:$1048576, MATCH(1, ('Master Data Sheet'!$H:$H=L$2) * (INDEX('Master Data Sheet'!$1:$1, , MATCH($F$1, 'Master Data Sheet'!$1:$1, 0)) = $F$1) * ('Master Data Sheet'!$G:$G=$B21) * ('Master Data Sheet'!$F:$F=$E21) * ('Master Data Sheet'!$A:$A=$F21), 0), MATCH($F$1, 'Master Data Sheet'!$1:$1, 0)), "")</f>
        <v>123.8738738738739</v>
      </c>
      <c r="M21" s="11" cm="1">
        <f t="array" ref="M21">IFERROR(INDEX('Master Data Sheet'!$1:$1048576, MATCH(1, ('Master Data Sheet'!$H:$H=M$2) * (INDEX('Master Data Sheet'!$1:$1, , MATCH($F$1, 'Master Data Sheet'!$1:$1, 0)) = $F$1) * ('Master Data Sheet'!$G:$G=$B21) * ('Master Data Sheet'!$F:$F=$E21) * ('Master Data Sheet'!$A:$A=$F21), 0), MATCH($F$1, 'Master Data Sheet'!$1:$1, 0)), "")</f>
        <v>123.8738738738739</v>
      </c>
      <c r="N21" s="11" cm="1">
        <f t="array" ref="N21">IFERROR(INDEX('Master Data Sheet'!$1:$1048576, MATCH(1, ('Master Data Sheet'!$H:$H=N$2) * (INDEX('Master Data Sheet'!$1:$1, , MATCH($F$1, 'Master Data Sheet'!$1:$1, 0)) = $F$1) * ('Master Data Sheet'!$G:$G=$B21) * ('Master Data Sheet'!$F:$F=$E21) * ('Master Data Sheet'!$A:$A=$F21), 0), MATCH($F$1, 'Master Data Sheet'!$1:$1, 0)), "")</f>
        <v>123.8738738738739</v>
      </c>
      <c r="O21" s="11">
        <f t="shared" si="8"/>
        <v>126.74664460378747</v>
      </c>
      <c r="P21" s="11">
        <f t="shared" si="4"/>
        <v>4.906190038552384</v>
      </c>
      <c r="Q21" s="11">
        <f>AVERAGE(O21:O23)</f>
        <v>117.88096159000486</v>
      </c>
      <c r="S21" s="11">
        <f>AVERAGE(O21:O23)</f>
        <v>117.88096159000486</v>
      </c>
      <c r="T21" s="11">
        <f>AVERAGE(P21:P23)</f>
        <v>5.92818889075222</v>
      </c>
      <c r="V21" s="47">
        <f>AVERAGE(U24, U27)</f>
        <v>-2.5184994278563355</v>
      </c>
      <c r="X21" t="s">
        <v>343</v>
      </c>
    </row>
    <row r="22" spans="1:45" x14ac:dyDescent="0.35">
      <c r="A22" s="41">
        <f>IFERROR(INDEX('Date Key'!$B$2:$B$19, MATCH(F22,'Date Key'!$A$2:$A$19, 0)), "")</f>
        <v>45238</v>
      </c>
      <c r="B22" s="4">
        <f t="shared" si="15"/>
        <v>3</v>
      </c>
      <c r="C22" s="26" t="str">
        <f>IFERROR(INDEX('Date Key'!$G$57:$G$62, MATCH(B22,'Date Key'!$A$57:$A$62, 0)), "")</f>
        <v>High HLR, Lower Outlet Height, No Plants</v>
      </c>
      <c r="D22" s="4" t="str">
        <f>IFERROR(INDEX('Date Key'!$G$2:$G$19, MATCH(F22, 'Date Key'!$A$2:$A$19, 0)), "")</f>
        <v>No</v>
      </c>
      <c r="E22" s="4" t="str">
        <f t="shared" si="1"/>
        <v>in</v>
      </c>
      <c r="F22" s="4">
        <f t="shared" si="2"/>
        <v>8</v>
      </c>
      <c r="G22" s="4">
        <f t="shared" si="22"/>
        <v>2</v>
      </c>
      <c r="H22" s="11" cm="1">
        <f t="array" ref="H22">IFERROR(INDEX('Master Data Sheet'!$1:$1048576, MATCH(1, ('Master Data Sheet'!$H:$H=H$2) * (INDEX('Master Data Sheet'!$1:$1, , MATCH($F$1, 'Master Data Sheet'!$1:$1, 0)) = $F$1) * ('Master Data Sheet'!$G:$G=$B22) * ('Master Data Sheet'!$F:$F=$E22) * ('Master Data Sheet'!$A:$A=$F22), 0), MATCH($F$1, 'Master Data Sheet'!$1:$1, 0)), "")</f>
        <v>123.8738738738739</v>
      </c>
      <c r="I22" s="11" cm="1">
        <f t="array" ref="I22">IFERROR(INDEX('Master Data Sheet'!$1:$1048576, MATCH(1, ('Master Data Sheet'!$H:$H=I$2) * (INDEX('Master Data Sheet'!$1:$1, , MATCH($F$1, 'Master Data Sheet'!$1:$1, 0)) = $F$1) * ('Master Data Sheet'!$G:$G=$B22) * ('Master Data Sheet'!$F:$F=$E22) * ('Master Data Sheet'!$A:$A=$F22), 0), MATCH($F$1, 'Master Data Sheet'!$1:$1, 0)), "")</f>
        <v>133.92857142857144</v>
      </c>
      <c r="J22" s="11" cm="1">
        <f t="array" ref="J22">IFERROR(INDEX('Master Data Sheet'!$1:$1048576, MATCH(1, ('Master Data Sheet'!$H:$H=J$2) * (INDEX('Master Data Sheet'!$1:$1, , MATCH($F$1, 'Master Data Sheet'!$1:$1, 0)) = $F$1) * ('Master Data Sheet'!$G:$G=$B22) * ('Master Data Sheet'!$F:$F=$E22) * ('Master Data Sheet'!$A:$A=$F22), 0), MATCH($F$1, 'Master Data Sheet'!$1:$1, 0)), "")</f>
        <v>123.8738738738739</v>
      </c>
      <c r="K22" s="11" cm="1">
        <f t="array" ref="K22">IFERROR(INDEX('Master Data Sheet'!$1:$1048576, MATCH(1, ('Master Data Sheet'!$H:$H=K$2) * (INDEX('Master Data Sheet'!$1:$1, , MATCH($F$1, 'Master Data Sheet'!$1:$1, 0)) = $F$1) * ('Master Data Sheet'!$G:$G=$B22) * ('Master Data Sheet'!$F:$F=$E22) * ('Master Data Sheet'!$A:$A=$F22), 0), MATCH($F$1, 'Master Data Sheet'!$1:$1, 0)), "")</f>
        <v>123.8738738738739</v>
      </c>
      <c r="L22" s="11" cm="1">
        <f t="array" ref="L22">IFERROR(INDEX('Master Data Sheet'!$1:$1048576, MATCH(1, ('Master Data Sheet'!$H:$H=L$2) * (INDEX('Master Data Sheet'!$1:$1, , MATCH($F$1, 'Master Data Sheet'!$1:$1, 0)) = $F$1) * ('Master Data Sheet'!$G:$G=$B22) * ('Master Data Sheet'!$F:$F=$E22) * ('Master Data Sheet'!$A:$A=$F22), 0), MATCH($F$1, 'Master Data Sheet'!$1:$1, 0)), "")</f>
        <v>123.8738738738739</v>
      </c>
      <c r="M22" s="11" cm="1">
        <f t="array" ref="M22">IFERROR(INDEX('Master Data Sheet'!$1:$1048576, MATCH(1, ('Master Data Sheet'!$H:$H=M$2) * (INDEX('Master Data Sheet'!$1:$1, , MATCH($F$1, 'Master Data Sheet'!$1:$1, 0)) = $F$1) * ('Master Data Sheet'!$G:$G=$B22) * ('Master Data Sheet'!$F:$F=$E22) * ('Master Data Sheet'!$A:$A=$F22), 0), MATCH($F$1, 'Master Data Sheet'!$1:$1, 0)), "")</f>
        <v>123.8738738738739</v>
      </c>
      <c r="N22" s="11" cm="1">
        <f t="array" ref="N22">IFERROR(INDEX('Master Data Sheet'!$1:$1048576, MATCH(1, ('Master Data Sheet'!$H:$H=N$2) * (INDEX('Master Data Sheet'!$1:$1, , MATCH($F$1, 'Master Data Sheet'!$1:$1, 0)) = $F$1) * ('Master Data Sheet'!$G:$G=$B22) * ('Master Data Sheet'!$F:$F=$E22) * ('Master Data Sheet'!$A:$A=$F22), 0), MATCH($F$1, 'Master Data Sheet'!$1:$1, 0)), "")</f>
        <v>133.92857142857144</v>
      </c>
      <c r="O22" s="11">
        <f t="shared" si="8"/>
        <v>126.74664460378747</v>
      </c>
      <c r="P22" s="11">
        <f t="shared" si="4"/>
        <v>4.906190038552384</v>
      </c>
      <c r="Q22" s="11"/>
      <c r="X22" t="str">
        <f>IFERROR(INDEX('Date Key'!$G$57:$G$62, MATCH(B21,'Date Key'!$A$57:$A$62, 0)), "")</f>
        <v>High HLR, Lower Outlet Height, No Plants</v>
      </c>
      <c r="Y22" s="1">
        <f t="shared" ref="Y22:AE22" si="26">H21</f>
        <v>123.8738738738739</v>
      </c>
      <c r="Z22" s="1">
        <f t="shared" si="26"/>
        <v>133.92857142857144</v>
      </c>
      <c r="AA22" s="1">
        <f t="shared" si="26"/>
        <v>133.92857142857144</v>
      </c>
      <c r="AB22" s="1">
        <f t="shared" si="26"/>
        <v>123.8738738738739</v>
      </c>
      <c r="AC22" s="1">
        <f t="shared" si="26"/>
        <v>123.8738738738739</v>
      </c>
      <c r="AD22" s="1">
        <f t="shared" si="26"/>
        <v>123.8738738738739</v>
      </c>
      <c r="AE22" s="1">
        <f t="shared" si="26"/>
        <v>123.8738738738739</v>
      </c>
      <c r="AF22" s="1">
        <f t="shared" ref="AF22:AL22" si="27">H22</f>
        <v>123.8738738738739</v>
      </c>
      <c r="AG22" s="1">
        <f t="shared" si="27"/>
        <v>133.92857142857144</v>
      </c>
      <c r="AH22" s="1">
        <f t="shared" si="27"/>
        <v>123.8738738738739</v>
      </c>
      <c r="AI22" s="1">
        <f t="shared" si="27"/>
        <v>123.8738738738739</v>
      </c>
      <c r="AJ22" s="1">
        <f t="shared" si="27"/>
        <v>123.8738738738739</v>
      </c>
      <c r="AK22" s="1">
        <f t="shared" si="27"/>
        <v>123.8738738738739</v>
      </c>
      <c r="AL22" s="1">
        <f t="shared" si="27"/>
        <v>133.92857142857144</v>
      </c>
      <c r="AM22" s="1">
        <f t="shared" ref="AM22:AS22" si="28">H23</f>
        <v>103.21100917431194</v>
      </c>
      <c r="AN22" s="1">
        <f t="shared" si="28"/>
        <v>103.21100917431194</v>
      </c>
      <c r="AO22" s="1">
        <f t="shared" si="28"/>
        <v>103.21100917431194</v>
      </c>
      <c r="AP22" s="1">
        <f t="shared" si="28"/>
        <v>92.592592592592609</v>
      </c>
      <c r="AQ22" s="1">
        <f t="shared" si="28"/>
        <v>92.592592592592609</v>
      </c>
      <c r="AR22" s="1">
        <f t="shared" si="28"/>
        <v>92.592592592592609</v>
      </c>
      <c r="AS22" s="1">
        <f t="shared" si="28"/>
        <v>113.63636363636364</v>
      </c>
    </row>
    <row r="23" spans="1:45" x14ac:dyDescent="0.35">
      <c r="A23" s="41">
        <f>IFERROR(INDEX('Date Key'!$B$2:$B$19, MATCH(F23,'Date Key'!$A$2:$A$19, 0)), "")</f>
        <v>45246</v>
      </c>
      <c r="B23" s="4">
        <f t="shared" si="15"/>
        <v>3</v>
      </c>
      <c r="C23" s="26" t="str">
        <f>IFERROR(INDEX('Date Key'!$G$57:$G$62, MATCH(B23,'Date Key'!$A$57:$A$62, 0)), "")</f>
        <v>High HLR, Lower Outlet Height, No Plants</v>
      </c>
      <c r="D23" s="4" t="str">
        <f>IFERROR(INDEX('Date Key'!$G$2:$G$19, MATCH(F23, 'Date Key'!$A$2:$A$19, 0)), "")</f>
        <v>Yes</v>
      </c>
      <c r="E23" s="4" t="str">
        <f t="shared" si="1"/>
        <v>in</v>
      </c>
      <c r="F23" s="4">
        <f t="shared" si="2"/>
        <v>9</v>
      </c>
      <c r="G23" s="4">
        <f t="shared" si="22"/>
        <v>3</v>
      </c>
      <c r="H23" s="11" cm="1">
        <f t="array" ref="H23">IFERROR(INDEX('Master Data Sheet'!$1:$1048576, MATCH(1, ('Master Data Sheet'!$H:$H=H$2) * (INDEX('Master Data Sheet'!$1:$1, , MATCH($F$1, 'Master Data Sheet'!$1:$1, 0)) = $F$1) * ('Master Data Sheet'!$G:$G=$B23) * ('Master Data Sheet'!$F:$F=$E23) * ('Master Data Sheet'!$A:$A=$F23), 0), MATCH($F$1, 'Master Data Sheet'!$1:$1, 0)), "")</f>
        <v>103.21100917431194</v>
      </c>
      <c r="I23" s="11" cm="1">
        <f t="array" ref="I23">IFERROR(INDEX('Master Data Sheet'!$1:$1048576, MATCH(1, ('Master Data Sheet'!$H:$H=I$2) * (INDEX('Master Data Sheet'!$1:$1, , MATCH($F$1, 'Master Data Sheet'!$1:$1, 0)) = $F$1) * ('Master Data Sheet'!$G:$G=$B23) * ('Master Data Sheet'!$F:$F=$E23) * ('Master Data Sheet'!$A:$A=$F23), 0), MATCH($F$1, 'Master Data Sheet'!$1:$1, 0)), "")</f>
        <v>103.21100917431194</v>
      </c>
      <c r="J23" s="11" cm="1">
        <f t="array" ref="J23">IFERROR(INDEX('Master Data Sheet'!$1:$1048576, MATCH(1, ('Master Data Sheet'!$H:$H=J$2) * (INDEX('Master Data Sheet'!$1:$1, , MATCH($F$1, 'Master Data Sheet'!$1:$1, 0)) = $F$1) * ('Master Data Sheet'!$G:$G=$B23) * ('Master Data Sheet'!$F:$F=$E23) * ('Master Data Sheet'!$A:$A=$F23), 0), MATCH($F$1, 'Master Data Sheet'!$1:$1, 0)), "")</f>
        <v>103.21100917431194</v>
      </c>
      <c r="K23" s="11" cm="1">
        <f t="array" ref="K23">IFERROR(INDEX('Master Data Sheet'!$1:$1048576, MATCH(1, ('Master Data Sheet'!$H:$H=K$2) * (INDEX('Master Data Sheet'!$1:$1, , MATCH($F$1, 'Master Data Sheet'!$1:$1, 0)) = $F$1) * ('Master Data Sheet'!$G:$G=$B23) * ('Master Data Sheet'!$F:$F=$E23) * ('Master Data Sheet'!$A:$A=$F23), 0), MATCH($F$1, 'Master Data Sheet'!$1:$1, 0)), "")</f>
        <v>92.592592592592609</v>
      </c>
      <c r="L23" s="11" cm="1">
        <f t="array" ref="L23">IFERROR(INDEX('Master Data Sheet'!$1:$1048576, MATCH(1, ('Master Data Sheet'!$H:$H=L$2) * (INDEX('Master Data Sheet'!$1:$1, , MATCH($F$1, 'Master Data Sheet'!$1:$1, 0)) = $F$1) * ('Master Data Sheet'!$G:$G=$B23) * ('Master Data Sheet'!$F:$F=$E23) * ('Master Data Sheet'!$A:$A=$F23), 0), MATCH($F$1, 'Master Data Sheet'!$1:$1, 0)), "")</f>
        <v>92.592592592592609</v>
      </c>
      <c r="M23" s="11" cm="1">
        <f t="array" ref="M23">IFERROR(INDEX('Master Data Sheet'!$1:$1048576, MATCH(1, ('Master Data Sheet'!$H:$H=M$2) * (INDEX('Master Data Sheet'!$1:$1, , MATCH($F$1, 'Master Data Sheet'!$1:$1, 0)) = $F$1) * ('Master Data Sheet'!$G:$G=$B23) * ('Master Data Sheet'!$F:$F=$E23) * ('Master Data Sheet'!$A:$A=$F23), 0), MATCH($F$1, 'Master Data Sheet'!$1:$1, 0)), "")</f>
        <v>92.592592592592609</v>
      </c>
      <c r="N23" s="11" cm="1">
        <f t="array" ref="N23">IFERROR(INDEX('Master Data Sheet'!$1:$1048576, MATCH(1, ('Master Data Sheet'!$H:$H=N$2) * (INDEX('Master Data Sheet'!$1:$1, , MATCH($F$1, 'Master Data Sheet'!$1:$1, 0)) = $F$1) * ('Master Data Sheet'!$G:$G=$B23) * ('Master Data Sheet'!$F:$F=$E23) * ('Master Data Sheet'!$A:$A=$F23), 0), MATCH($F$1, 'Master Data Sheet'!$1:$1, 0)), "")</f>
        <v>113.63636363636364</v>
      </c>
      <c r="O23" s="11">
        <f t="shared" si="8"/>
        <v>100.14959556243961</v>
      </c>
      <c r="P23" s="11">
        <f t="shared" si="4"/>
        <v>7.9721865951518929</v>
      </c>
      <c r="Q23" s="11"/>
      <c r="Y23" s="1"/>
      <c r="Z23" s="1"/>
      <c r="AA23" s="1"/>
      <c r="AB23" s="1"/>
      <c r="AC23" s="1"/>
      <c r="AD23" s="1"/>
      <c r="AE23" s="1"/>
      <c r="AF23" s="1"/>
      <c r="AG23" s="1"/>
      <c r="AH23" s="1"/>
      <c r="AI23" s="1"/>
      <c r="AJ23" s="1"/>
      <c r="AK23" s="1"/>
      <c r="AL23" s="1"/>
      <c r="AM23" s="1"/>
      <c r="AN23" s="1"/>
      <c r="AO23" s="1"/>
      <c r="AP23" s="1"/>
      <c r="AQ23" s="1"/>
      <c r="AR23" s="1"/>
      <c r="AS23" s="1"/>
    </row>
    <row r="24" spans="1:45" x14ac:dyDescent="0.35">
      <c r="A24" s="41">
        <f>IFERROR(INDEX('Date Key'!$B$2:$B$19, MATCH(F24,'Date Key'!$A$2:$A$19, 0)), "")</f>
        <v>45233</v>
      </c>
      <c r="B24" s="4">
        <f t="shared" si="15"/>
        <v>3</v>
      </c>
      <c r="C24" s="26" t="str">
        <f>IFERROR(INDEX('Date Key'!$G$57:$G$62, MATCH(B24,'Date Key'!$A$57:$A$62, 0)), "")</f>
        <v>High HLR, Lower Outlet Height, No Plants</v>
      </c>
      <c r="D24" s="4" t="str">
        <f>IFERROR(INDEX('Date Key'!$G$2:$G$19, MATCH(F24, 'Date Key'!$A$2:$A$19, 0)), "")</f>
        <v>No</v>
      </c>
      <c r="E24" s="4" t="str">
        <f t="shared" si="1"/>
        <v>tank 1</v>
      </c>
      <c r="F24" s="4">
        <f t="shared" si="2"/>
        <v>7</v>
      </c>
      <c r="G24" s="4">
        <f t="shared" si="22"/>
        <v>1</v>
      </c>
      <c r="H24" s="11" cm="1">
        <f t="array" ref="H24">IFERROR(INDEX('Master Data Sheet'!$1:$1048576, MATCH(1, ('Master Data Sheet'!$H:$H=H$2) * (INDEX('Master Data Sheet'!$1:$1, , MATCH($F$1, 'Master Data Sheet'!$1:$1, 0)) = $F$1) * ('Master Data Sheet'!$G:$G=$B24) * ('Master Data Sheet'!$F:$F=$E24) * ('Master Data Sheet'!$A:$A=$F24), 0), MATCH($F$1, 'Master Data Sheet'!$1:$1, 0)), "")</f>
        <v>113.63636363636364</v>
      </c>
      <c r="I24" s="11" cm="1">
        <f t="array" ref="I24">IFERROR(INDEX('Master Data Sheet'!$1:$1048576, MATCH(1, ('Master Data Sheet'!$H:$H=I$2) * (INDEX('Master Data Sheet'!$1:$1, , MATCH($F$1, 'Master Data Sheet'!$1:$1, 0)) = $F$1) * ('Master Data Sheet'!$G:$G=$B24) * ('Master Data Sheet'!$F:$F=$E24) * ('Master Data Sheet'!$A:$A=$F24), 0), MATCH($F$1, 'Master Data Sheet'!$1:$1, 0)), "")</f>
        <v>113.63636363636364</v>
      </c>
      <c r="J24" s="11" cm="1">
        <f t="array" ref="J24">IFERROR(INDEX('Master Data Sheet'!$1:$1048576, MATCH(1, ('Master Data Sheet'!$H:$H=J$2) * (INDEX('Master Data Sheet'!$1:$1, , MATCH($F$1, 'Master Data Sheet'!$1:$1, 0)) = $F$1) * ('Master Data Sheet'!$G:$G=$B24) * ('Master Data Sheet'!$F:$F=$E24) * ('Master Data Sheet'!$A:$A=$F24), 0), MATCH($F$1, 'Master Data Sheet'!$1:$1, 0)), "")</f>
        <v>113.63636363636364</v>
      </c>
      <c r="K24" s="11" cm="1">
        <f t="array" ref="K24">IFERROR(INDEX('Master Data Sheet'!$1:$1048576, MATCH(1, ('Master Data Sheet'!$H:$H=K$2) * (INDEX('Master Data Sheet'!$1:$1, , MATCH($F$1, 'Master Data Sheet'!$1:$1, 0)) = $F$1) * ('Master Data Sheet'!$G:$G=$B24) * ('Master Data Sheet'!$F:$F=$E24) * ('Master Data Sheet'!$A:$A=$F24), 0), MATCH($F$1, 'Master Data Sheet'!$1:$1, 0)), "")</f>
        <v>113.63636363636364</v>
      </c>
      <c r="L24" s="11" cm="1">
        <f t="array" ref="L24">IFERROR(INDEX('Master Data Sheet'!$1:$1048576, MATCH(1, ('Master Data Sheet'!$H:$H=L$2) * (INDEX('Master Data Sheet'!$1:$1, , MATCH($F$1, 'Master Data Sheet'!$1:$1, 0)) = $F$1) * ('Master Data Sheet'!$G:$G=$B24) * ('Master Data Sheet'!$F:$F=$E24) * ('Master Data Sheet'!$A:$A=$F24), 0), MATCH($F$1, 'Master Data Sheet'!$1:$1, 0)), "")</f>
        <v>113.63636363636364</v>
      </c>
      <c r="M24" s="11" cm="1">
        <f t="array" ref="M24">IFERROR(INDEX('Master Data Sheet'!$1:$1048576, MATCH(1, ('Master Data Sheet'!$H:$H=M$2) * (INDEX('Master Data Sheet'!$1:$1, , MATCH($F$1, 'Master Data Sheet'!$1:$1, 0)) = $F$1) * ('Master Data Sheet'!$G:$G=$B24) * ('Master Data Sheet'!$F:$F=$E24) * ('Master Data Sheet'!$A:$A=$F24), 0), MATCH($F$1, 'Master Data Sheet'!$1:$1, 0)), "")</f>
        <v>113.63636363636364</v>
      </c>
      <c r="N24" s="11" cm="1">
        <f t="array" ref="N24">IFERROR(INDEX('Master Data Sheet'!$1:$1048576, MATCH(1, ('Master Data Sheet'!$H:$H=N$2) * (INDEX('Master Data Sheet'!$1:$1, , MATCH($F$1, 'Master Data Sheet'!$1:$1, 0)) = $F$1) * ('Master Data Sheet'!$G:$G=$B24) * ('Master Data Sheet'!$F:$F=$E24) * ('Master Data Sheet'!$A:$A=$F24), 0), MATCH($F$1, 'Master Data Sheet'!$1:$1, 0)), "")</f>
        <v>113.63636363636364</v>
      </c>
      <c r="O24" s="11">
        <f t="shared" si="8"/>
        <v>113.63636363636364</v>
      </c>
      <c r="P24" s="11">
        <f t="shared" si="4"/>
        <v>0</v>
      </c>
      <c r="Q24" s="11">
        <f>AVERAGE(O24:O26)</f>
        <v>118.37386594703277</v>
      </c>
      <c r="R24" s="46">
        <f>(1-(O24/O21))*100</f>
        <v>10.343690760735191</v>
      </c>
      <c r="S24" s="46">
        <f>AVERAGE(R24:R26)</f>
        <v>-1.812774432050879</v>
      </c>
      <c r="T24" s="46">
        <f>STDEV(R24:R26)</f>
        <v>16.316208229622788</v>
      </c>
      <c r="U24" s="47">
        <f>(1-(AVERAGE(H24:N26)/AVERAGE(H21:N23)))*100</f>
        <v>-0.41813737382145888</v>
      </c>
      <c r="V24" s="47"/>
      <c r="Y24" s="2"/>
      <c r="Z24" s="2"/>
      <c r="AA24" s="2"/>
      <c r="AB24" s="2"/>
      <c r="AC24" s="2"/>
      <c r="AD24" s="2"/>
      <c r="AE24" s="2"/>
      <c r="AF24" s="2"/>
      <c r="AG24" s="2"/>
    </row>
    <row r="25" spans="1:45" x14ac:dyDescent="0.35">
      <c r="A25" s="41">
        <f>IFERROR(INDEX('Date Key'!$B$2:$B$19, MATCH(F25,'Date Key'!$A$2:$A$19, 0)), "")</f>
        <v>45238</v>
      </c>
      <c r="B25" s="4">
        <f t="shared" si="15"/>
        <v>3</v>
      </c>
      <c r="C25" s="26" t="str">
        <f>IFERROR(INDEX('Date Key'!$G$57:$G$62, MATCH(B25,'Date Key'!$A$57:$A$62, 0)), "")</f>
        <v>High HLR, Lower Outlet Height, No Plants</v>
      </c>
      <c r="D25" s="4" t="str">
        <f>IFERROR(INDEX('Date Key'!$G$2:$G$19, MATCH(F25, 'Date Key'!$A$2:$A$19, 0)), "")</f>
        <v>No</v>
      </c>
      <c r="E25" s="4" t="str">
        <f t="shared" si="1"/>
        <v>tank 1</v>
      </c>
      <c r="F25" s="4">
        <f t="shared" si="2"/>
        <v>8</v>
      </c>
      <c r="G25" s="4">
        <f t="shared" si="22"/>
        <v>2</v>
      </c>
      <c r="H25" s="11" cm="1">
        <f t="array" ref="H25">IFERROR(INDEX('Master Data Sheet'!$1:$1048576, MATCH(1, ('Master Data Sheet'!$H:$H=H$2) * (INDEX('Master Data Sheet'!$1:$1, , MATCH($F$1, 'Master Data Sheet'!$1:$1, 0)) = $F$1) * ('Master Data Sheet'!$G:$G=$B25) * ('Master Data Sheet'!$F:$F=$E25) * ('Master Data Sheet'!$A:$A=$F25), 0), MATCH($F$1, 'Master Data Sheet'!$1:$1, 0)), "")</f>
        <v>123.8738738738739</v>
      </c>
      <c r="I25" s="11" cm="1">
        <f t="array" ref="I25">IFERROR(INDEX('Master Data Sheet'!$1:$1048576, MATCH(1, ('Master Data Sheet'!$H:$H=I$2) * (INDEX('Master Data Sheet'!$1:$1, , MATCH($F$1, 'Master Data Sheet'!$1:$1, 0)) = $F$1) * ('Master Data Sheet'!$G:$G=$B25) * ('Master Data Sheet'!$F:$F=$E25) * ('Master Data Sheet'!$A:$A=$F25), 0), MATCH($F$1, 'Master Data Sheet'!$1:$1, 0)), "")</f>
        <v>123.8738738738739</v>
      </c>
      <c r="J25" s="11" cm="1">
        <f t="array" ref="J25">IFERROR(INDEX('Master Data Sheet'!$1:$1048576, MATCH(1, ('Master Data Sheet'!$H:$H=J$2) * (INDEX('Master Data Sheet'!$1:$1, , MATCH($F$1, 'Master Data Sheet'!$1:$1, 0)) = $F$1) * ('Master Data Sheet'!$G:$G=$B25) * ('Master Data Sheet'!$F:$F=$E25) * ('Master Data Sheet'!$A:$A=$F25), 0), MATCH($F$1, 'Master Data Sheet'!$1:$1, 0)), "")</f>
        <v>123.8738738738739</v>
      </c>
      <c r="K25" s="11" cm="1">
        <f t="array" ref="K25">IFERROR(INDEX('Master Data Sheet'!$1:$1048576, MATCH(1, ('Master Data Sheet'!$H:$H=K$2) * (INDEX('Master Data Sheet'!$1:$1, , MATCH($F$1, 'Master Data Sheet'!$1:$1, 0)) = $F$1) * ('Master Data Sheet'!$G:$G=$B25) * ('Master Data Sheet'!$F:$F=$E25) * ('Master Data Sheet'!$A:$A=$F25), 0), MATCH($F$1, 'Master Data Sheet'!$1:$1, 0)), "")</f>
        <v>123.8738738738739</v>
      </c>
      <c r="L25" s="11" cm="1">
        <f t="array" ref="L25">IFERROR(INDEX('Master Data Sheet'!$1:$1048576, MATCH(1, ('Master Data Sheet'!$H:$H=L$2) * (INDEX('Master Data Sheet'!$1:$1, , MATCH($F$1, 'Master Data Sheet'!$1:$1, 0)) = $F$1) * ('Master Data Sheet'!$G:$G=$B25) * ('Master Data Sheet'!$F:$F=$E25) * ('Master Data Sheet'!$A:$A=$F25), 0), MATCH($F$1, 'Master Data Sheet'!$1:$1, 0)), "")</f>
        <v>113.63636363636364</v>
      </c>
      <c r="M25" s="11" cm="1">
        <f t="array" ref="M25">IFERROR(INDEX('Master Data Sheet'!$1:$1048576, MATCH(1, ('Master Data Sheet'!$H:$H=M$2) * (INDEX('Master Data Sheet'!$1:$1, , MATCH($F$1, 'Master Data Sheet'!$1:$1, 0)) = $F$1) * ('Master Data Sheet'!$G:$G=$B25) * ('Master Data Sheet'!$F:$F=$E25) * ('Master Data Sheet'!$A:$A=$F25), 0), MATCH($F$1, 'Master Data Sheet'!$1:$1, 0)), "")</f>
        <v>123.8738738738739</v>
      </c>
      <c r="N25" s="11" cm="1">
        <f t="array" ref="N25">IFERROR(INDEX('Master Data Sheet'!$1:$1048576, MATCH(1, ('Master Data Sheet'!$H:$H=N$2) * (INDEX('Master Data Sheet'!$1:$1, , MATCH($F$1, 'Master Data Sheet'!$1:$1, 0)) = $F$1) * ('Master Data Sheet'!$G:$G=$B25) * ('Master Data Sheet'!$F:$F=$E25) * ('Master Data Sheet'!$A:$A=$F25), 0), MATCH($F$1, 'Master Data Sheet'!$1:$1, 0)), "")</f>
        <v>113.63636363636364</v>
      </c>
      <c r="O25" s="11">
        <f t="shared" si="8"/>
        <v>120.94887094887098</v>
      </c>
      <c r="P25" s="11">
        <f t="shared" si="4"/>
        <v>4.9953934937988107</v>
      </c>
      <c r="Q25" s="11"/>
      <c r="R25" s="46">
        <f>(1-(O25/O22))*100</f>
        <v>4.5743014917992149</v>
      </c>
      <c r="X25" t="str">
        <f>IFERROR(INDEX('Date Key'!$G$57:$G$62, MATCH(B24,'Date Key'!$A$57:$A$62, 0)), "")</f>
        <v>High HLR, Lower Outlet Height, No Plants</v>
      </c>
      <c r="Y25" s="1">
        <f t="shared" ref="Y25:AE25" si="29">H24</f>
        <v>113.63636363636364</v>
      </c>
      <c r="Z25" s="1">
        <f t="shared" si="29"/>
        <v>113.63636363636364</v>
      </c>
      <c r="AA25" s="1">
        <f t="shared" si="29"/>
        <v>113.63636363636364</v>
      </c>
      <c r="AB25" s="1">
        <f t="shared" si="29"/>
        <v>113.63636363636364</v>
      </c>
      <c r="AC25" s="1">
        <f t="shared" si="29"/>
        <v>113.63636363636364</v>
      </c>
      <c r="AD25" s="1">
        <f t="shared" si="29"/>
        <v>113.63636363636364</v>
      </c>
      <c r="AE25" s="1">
        <f t="shared" si="29"/>
        <v>113.63636363636364</v>
      </c>
      <c r="AF25" s="1">
        <f t="shared" ref="AF25:AL25" si="30">H25</f>
        <v>123.8738738738739</v>
      </c>
      <c r="AG25" s="1">
        <f t="shared" si="30"/>
        <v>123.8738738738739</v>
      </c>
      <c r="AH25" s="1">
        <f t="shared" si="30"/>
        <v>123.8738738738739</v>
      </c>
      <c r="AI25" s="1">
        <f t="shared" si="30"/>
        <v>123.8738738738739</v>
      </c>
      <c r="AJ25" s="1">
        <f t="shared" si="30"/>
        <v>113.63636363636364</v>
      </c>
      <c r="AK25" s="1">
        <f t="shared" si="30"/>
        <v>123.8738738738739</v>
      </c>
      <c r="AL25" s="1">
        <f t="shared" si="30"/>
        <v>113.63636363636364</v>
      </c>
      <c r="AM25" s="1">
        <f t="shared" ref="AM25:AS25" si="31">H26</f>
        <v>163.04347826086959</v>
      </c>
      <c r="AN25" s="1">
        <f t="shared" si="31"/>
        <v>143.80530973451326</v>
      </c>
      <c r="AO25" s="1">
        <f t="shared" si="31"/>
        <v>113.63636363636364</v>
      </c>
      <c r="AP25" s="1">
        <f t="shared" si="31"/>
        <v>113.63636363636364</v>
      </c>
      <c r="AQ25" s="1">
        <f t="shared" si="31"/>
        <v>103.21100917431194</v>
      </c>
      <c r="AR25" s="1">
        <f t="shared" si="31"/>
        <v>103.21100917431194</v>
      </c>
      <c r="AS25" s="1">
        <f t="shared" si="31"/>
        <v>103.21100917431194</v>
      </c>
    </row>
    <row r="26" spans="1:45" x14ac:dyDescent="0.35">
      <c r="A26" s="41">
        <f>IFERROR(INDEX('Date Key'!$B$2:$B$19, MATCH(F26,'Date Key'!$A$2:$A$19, 0)), "")</f>
        <v>45246</v>
      </c>
      <c r="B26" s="4">
        <f t="shared" si="15"/>
        <v>3</v>
      </c>
      <c r="C26" s="26" t="str">
        <f>IFERROR(INDEX('Date Key'!$G$57:$G$62, MATCH(B26,'Date Key'!$A$57:$A$62, 0)), "")</f>
        <v>High HLR, Lower Outlet Height, No Plants</v>
      </c>
      <c r="D26" s="4" t="str">
        <f>IFERROR(INDEX('Date Key'!$G$2:$G$19, MATCH(F26, 'Date Key'!$A$2:$A$19, 0)), "")</f>
        <v>Yes</v>
      </c>
      <c r="E26" s="4" t="str">
        <f t="shared" si="1"/>
        <v>tank 1</v>
      </c>
      <c r="F26" s="4">
        <f t="shared" si="2"/>
        <v>9</v>
      </c>
      <c r="G26" s="4">
        <f t="shared" si="22"/>
        <v>3</v>
      </c>
      <c r="H26" s="11" cm="1">
        <f t="array" ref="H26">IFERROR(INDEX('Master Data Sheet'!$1:$1048576, MATCH(1, ('Master Data Sheet'!$H:$H=H$2) * (INDEX('Master Data Sheet'!$1:$1, , MATCH($F$1, 'Master Data Sheet'!$1:$1, 0)) = $F$1) * ('Master Data Sheet'!$G:$G=$B26) * ('Master Data Sheet'!$F:$F=$E26) * ('Master Data Sheet'!$A:$A=$F26), 0), MATCH($F$1, 'Master Data Sheet'!$1:$1, 0)), "")</f>
        <v>163.04347826086959</v>
      </c>
      <c r="I26" s="11" cm="1">
        <f t="array" ref="I26">IFERROR(INDEX('Master Data Sheet'!$1:$1048576, MATCH(1, ('Master Data Sheet'!$H:$H=I$2) * (INDEX('Master Data Sheet'!$1:$1, , MATCH($F$1, 'Master Data Sheet'!$1:$1, 0)) = $F$1) * ('Master Data Sheet'!$G:$G=$B26) * ('Master Data Sheet'!$F:$F=$E26) * ('Master Data Sheet'!$A:$A=$F26), 0), MATCH($F$1, 'Master Data Sheet'!$1:$1, 0)), "")</f>
        <v>143.80530973451326</v>
      </c>
      <c r="J26" s="11" cm="1">
        <f t="array" ref="J26">IFERROR(INDEX('Master Data Sheet'!$1:$1048576, MATCH(1, ('Master Data Sheet'!$H:$H=J$2) * (INDEX('Master Data Sheet'!$1:$1, , MATCH($F$1, 'Master Data Sheet'!$1:$1, 0)) = $F$1) * ('Master Data Sheet'!$G:$G=$B26) * ('Master Data Sheet'!$F:$F=$E26) * ('Master Data Sheet'!$A:$A=$F26), 0), MATCH($F$1, 'Master Data Sheet'!$1:$1, 0)), "")</f>
        <v>113.63636363636364</v>
      </c>
      <c r="K26" s="11" cm="1">
        <f t="array" ref="K26">IFERROR(INDEX('Master Data Sheet'!$1:$1048576, MATCH(1, ('Master Data Sheet'!$H:$H=K$2) * (INDEX('Master Data Sheet'!$1:$1, , MATCH($F$1, 'Master Data Sheet'!$1:$1, 0)) = $F$1) * ('Master Data Sheet'!$G:$G=$B26) * ('Master Data Sheet'!$F:$F=$E26) * ('Master Data Sheet'!$A:$A=$F26), 0), MATCH($F$1, 'Master Data Sheet'!$1:$1, 0)), "")</f>
        <v>113.63636363636364</v>
      </c>
      <c r="L26" s="11" cm="1">
        <f t="array" ref="L26">IFERROR(INDEX('Master Data Sheet'!$1:$1048576, MATCH(1, ('Master Data Sheet'!$H:$H=L$2) * (INDEX('Master Data Sheet'!$1:$1, , MATCH($F$1, 'Master Data Sheet'!$1:$1, 0)) = $F$1) * ('Master Data Sheet'!$G:$G=$B26) * ('Master Data Sheet'!$F:$F=$E26) * ('Master Data Sheet'!$A:$A=$F26), 0), MATCH($F$1, 'Master Data Sheet'!$1:$1, 0)), "")</f>
        <v>103.21100917431194</v>
      </c>
      <c r="M26" s="11" cm="1">
        <f t="array" ref="M26">IFERROR(INDEX('Master Data Sheet'!$1:$1048576, MATCH(1, ('Master Data Sheet'!$H:$H=M$2) * (INDEX('Master Data Sheet'!$1:$1, , MATCH($F$1, 'Master Data Sheet'!$1:$1, 0)) = $F$1) * ('Master Data Sheet'!$G:$G=$B26) * ('Master Data Sheet'!$F:$F=$E26) * ('Master Data Sheet'!$A:$A=$F26), 0), MATCH($F$1, 'Master Data Sheet'!$1:$1, 0)), "")</f>
        <v>103.21100917431194</v>
      </c>
      <c r="N26" s="11" cm="1">
        <f t="array" ref="N26">IFERROR(INDEX('Master Data Sheet'!$1:$1048576, MATCH(1, ('Master Data Sheet'!$H:$H=N$2) * (INDEX('Master Data Sheet'!$1:$1, , MATCH($F$1, 'Master Data Sheet'!$1:$1, 0)) = $F$1) * ('Master Data Sheet'!$G:$G=$B26) * ('Master Data Sheet'!$F:$F=$E26) * ('Master Data Sheet'!$A:$A=$F26), 0), MATCH($F$1, 'Master Data Sheet'!$1:$1, 0)), "")</f>
        <v>103.21100917431194</v>
      </c>
      <c r="O26" s="11">
        <f t="shared" si="8"/>
        <v>120.53636325586369</v>
      </c>
      <c r="P26" s="11">
        <f t="shared" si="4"/>
        <v>23.607987235703096</v>
      </c>
      <c r="Q26" s="11"/>
      <c r="R26" s="46">
        <f>(1-(O26/O23))*100</f>
        <v>-20.356315548687043</v>
      </c>
      <c r="Y26" s="2"/>
      <c r="Z26" s="2"/>
      <c r="AA26" s="2"/>
      <c r="AB26" s="2"/>
      <c r="AC26" s="2"/>
      <c r="AD26" s="2"/>
      <c r="AE26" s="2"/>
      <c r="AF26" s="2"/>
      <c r="AG26" s="2"/>
    </row>
    <row r="27" spans="1:45" x14ac:dyDescent="0.35">
      <c r="A27" s="41">
        <f>IFERROR(INDEX('Date Key'!$B$2:$B$19, MATCH(F27,'Date Key'!$A$2:$A$19, 0)), "")</f>
        <v>45233</v>
      </c>
      <c r="B27" s="4">
        <f t="shared" si="15"/>
        <v>3</v>
      </c>
      <c r="C27" s="26" t="str">
        <f>IFERROR(INDEX('Date Key'!$G$57:$G$62, MATCH(B27,'Date Key'!$A$57:$A$62, 0)), "")</f>
        <v>High HLR, Lower Outlet Height, No Plants</v>
      </c>
      <c r="D27" s="4" t="str">
        <f>IFERROR(INDEX('Date Key'!$G$2:$G$19, MATCH(F27, 'Date Key'!$A$2:$A$19, 0)), "")</f>
        <v>No</v>
      </c>
      <c r="E27" s="4" t="str">
        <f t="shared" si="1"/>
        <v>tank 2</v>
      </c>
      <c r="F27" s="4">
        <f t="shared" si="2"/>
        <v>7</v>
      </c>
      <c r="G27" s="4">
        <f t="shared" si="22"/>
        <v>1</v>
      </c>
      <c r="H27" s="11" cm="1">
        <f t="array" ref="H27">IFERROR(INDEX('Master Data Sheet'!$1:$1048576, MATCH(1, ('Master Data Sheet'!$H:$H=H$2) * (INDEX('Master Data Sheet'!$1:$1, , MATCH($F$1, 'Master Data Sheet'!$1:$1, 0)) = $F$1) * ('Master Data Sheet'!$G:$G=$B27) * ('Master Data Sheet'!$F:$F=$E27) * ('Master Data Sheet'!$A:$A=$F27), 0), MATCH($F$1, 'Master Data Sheet'!$1:$1, 0)), "")</f>
        <v>153.50877192982455</v>
      </c>
      <c r="I27" s="11" cm="1">
        <f t="array" ref="I27">IFERROR(INDEX('Master Data Sheet'!$1:$1048576, MATCH(1, ('Master Data Sheet'!$H:$H=I$2) * (INDEX('Master Data Sheet'!$1:$1, , MATCH($F$1, 'Master Data Sheet'!$1:$1, 0)) = $F$1) * ('Master Data Sheet'!$G:$G=$B27) * ('Master Data Sheet'!$F:$F=$E27) * ('Master Data Sheet'!$A:$A=$F27), 0), MATCH($F$1, 'Master Data Sheet'!$1:$1, 0)), "")</f>
        <v>133.92857142857144</v>
      </c>
      <c r="J27" s="11" cm="1">
        <f t="array" ref="J27">IFERROR(INDEX('Master Data Sheet'!$1:$1048576, MATCH(1, ('Master Data Sheet'!$H:$H=J$2) * (INDEX('Master Data Sheet'!$1:$1, , MATCH($F$1, 'Master Data Sheet'!$1:$1, 0)) = $F$1) * ('Master Data Sheet'!$G:$G=$B27) * ('Master Data Sheet'!$F:$F=$E27) * ('Master Data Sheet'!$A:$A=$F27), 0), MATCH($F$1, 'Master Data Sheet'!$1:$1, 0)), "")</f>
        <v>113.63636363636364</v>
      </c>
      <c r="K27" s="11" cm="1">
        <f t="array" ref="K27">IFERROR(INDEX('Master Data Sheet'!$1:$1048576, MATCH(1, ('Master Data Sheet'!$H:$H=K$2) * (INDEX('Master Data Sheet'!$1:$1, , MATCH($F$1, 'Master Data Sheet'!$1:$1, 0)) = $F$1) * ('Master Data Sheet'!$G:$G=$B27) * ('Master Data Sheet'!$F:$F=$E27) * ('Master Data Sheet'!$A:$A=$F27), 0), MATCH($F$1, 'Master Data Sheet'!$1:$1, 0)), "")</f>
        <v>113.63636363636364</v>
      </c>
      <c r="L27" s="11" cm="1">
        <f t="array" ref="L27">IFERROR(INDEX('Master Data Sheet'!$1:$1048576, MATCH(1, ('Master Data Sheet'!$H:$H=L$2) * (INDEX('Master Data Sheet'!$1:$1, , MATCH($F$1, 'Master Data Sheet'!$1:$1, 0)) = $F$1) * ('Master Data Sheet'!$G:$G=$B27) * ('Master Data Sheet'!$F:$F=$E27) * ('Master Data Sheet'!$A:$A=$F27), 0), MATCH($F$1, 'Master Data Sheet'!$1:$1, 0)), "")</f>
        <v>113.63636363636364</v>
      </c>
      <c r="M27" s="11" cm="1">
        <f t="array" ref="M27">IFERROR(INDEX('Master Data Sheet'!$1:$1048576, MATCH(1, ('Master Data Sheet'!$H:$H=M$2) * (INDEX('Master Data Sheet'!$1:$1, , MATCH($F$1, 'Master Data Sheet'!$1:$1, 0)) = $F$1) * ('Master Data Sheet'!$G:$G=$B27) * ('Master Data Sheet'!$F:$F=$E27) * ('Master Data Sheet'!$A:$A=$F27), 0), MATCH($F$1, 'Master Data Sheet'!$1:$1, 0)), "")</f>
        <v>113.63636363636364</v>
      </c>
      <c r="N27" s="11" cm="1">
        <f t="array" ref="N27">IFERROR(INDEX('Master Data Sheet'!$1:$1048576, MATCH(1, ('Master Data Sheet'!$H:$H=N$2) * (INDEX('Master Data Sheet'!$1:$1, , MATCH($F$1, 'Master Data Sheet'!$1:$1, 0)) = $F$1) * ('Master Data Sheet'!$G:$G=$B27) * ('Master Data Sheet'!$F:$F=$E27) * ('Master Data Sheet'!$A:$A=$F27), 0), MATCH($F$1, 'Master Data Sheet'!$1:$1, 0)), "")</f>
        <v>113.63636363636364</v>
      </c>
      <c r="O27" s="11">
        <f t="shared" si="8"/>
        <v>122.23130879145916</v>
      </c>
      <c r="P27" s="11">
        <f t="shared" si="4"/>
        <v>15.729330694962488</v>
      </c>
      <c r="Q27" s="11">
        <f>AVERAGE(N27:N29)</f>
        <v>106.62177328843995</v>
      </c>
      <c r="R27" s="46">
        <f>(1-(O27/O21))*100</f>
        <v>3.5624894264012608</v>
      </c>
      <c r="S27" s="46">
        <f>AVERAGE(R27:R29)</f>
        <v>-5.594352120955282</v>
      </c>
      <c r="T27" s="46">
        <f>STDEV(R27:R29)</f>
        <v>11.546069924971261</v>
      </c>
      <c r="U27" s="47">
        <f>(1-(AVERAGE(H27:N29)/AVERAGE(H21:N23)))*100</f>
        <v>-4.6188614818912122</v>
      </c>
      <c r="V27" s="47"/>
      <c r="Y27" s="2"/>
      <c r="Z27" s="2"/>
      <c r="AA27" s="2"/>
      <c r="AB27" s="2"/>
      <c r="AC27" s="2"/>
      <c r="AD27" s="2"/>
      <c r="AE27" s="2"/>
      <c r="AF27" s="2"/>
      <c r="AG27" s="2"/>
    </row>
    <row r="28" spans="1:45" x14ac:dyDescent="0.35">
      <c r="A28" s="41">
        <f>IFERROR(INDEX('Date Key'!$B$2:$B$19, MATCH(F28,'Date Key'!$A$2:$A$19, 0)), "")</f>
        <v>45238</v>
      </c>
      <c r="B28" s="4">
        <f t="shared" si="15"/>
        <v>3</v>
      </c>
      <c r="C28" s="26" t="str">
        <f>IFERROR(INDEX('Date Key'!$G$57:$G$62, MATCH(B28,'Date Key'!$A$57:$A$62, 0)), "")</f>
        <v>High HLR, Lower Outlet Height, No Plants</v>
      </c>
      <c r="D28" s="4" t="str">
        <f>IFERROR(INDEX('Date Key'!$G$2:$G$19, MATCH(F28, 'Date Key'!$A$2:$A$19, 0)), "")</f>
        <v>No</v>
      </c>
      <c r="E28" s="4" t="str">
        <f t="shared" si="1"/>
        <v>tank 2</v>
      </c>
      <c r="F28" s="4">
        <f t="shared" si="2"/>
        <v>8</v>
      </c>
      <c r="G28" s="4">
        <f t="shared" si="22"/>
        <v>2</v>
      </c>
      <c r="H28" s="11" cm="1">
        <f t="array" ref="H28">IFERROR(INDEX('Master Data Sheet'!$1:$1048576, MATCH(1, ('Master Data Sheet'!$H:$H=H$2) * (INDEX('Master Data Sheet'!$1:$1, , MATCH($F$1, 'Master Data Sheet'!$1:$1, 0)) = $F$1) * ('Master Data Sheet'!$G:$G=$B28) * ('Master Data Sheet'!$F:$F=$E28) * ('Master Data Sheet'!$A:$A=$F28), 0), MATCH($F$1, 'Master Data Sheet'!$1:$1, 0)), "")</f>
        <v>190.67796610169495</v>
      </c>
      <c r="I28" s="11" cm="1">
        <f t="array" ref="I28">IFERROR(INDEX('Master Data Sheet'!$1:$1048576, MATCH(1, ('Master Data Sheet'!$H:$H=I$2) * (INDEX('Master Data Sheet'!$1:$1, , MATCH($F$1, 'Master Data Sheet'!$1:$1, 0)) = $F$1) * ('Master Data Sheet'!$G:$G=$B28) * ('Master Data Sheet'!$F:$F=$E28) * ('Master Data Sheet'!$A:$A=$F28), 0), MATCH($F$1, 'Master Data Sheet'!$1:$1, 0)), "")</f>
        <v>133.92857142857144</v>
      </c>
      <c r="J28" s="11" cm="1">
        <f t="array" ref="J28">IFERROR(INDEX('Master Data Sheet'!$1:$1048576, MATCH(1, ('Master Data Sheet'!$H:$H=J$2) * (INDEX('Master Data Sheet'!$1:$1, , MATCH($F$1, 'Master Data Sheet'!$1:$1, 0)) = $F$1) * ('Master Data Sheet'!$G:$G=$B28) * ('Master Data Sheet'!$F:$F=$E28) * ('Master Data Sheet'!$A:$A=$F28), 0), MATCH($F$1, 'Master Data Sheet'!$1:$1, 0)), "")</f>
        <v>113.63636363636364</v>
      </c>
      <c r="K28" s="11" cm="1">
        <f t="array" ref="K28">IFERROR(INDEX('Master Data Sheet'!$1:$1048576, MATCH(1, ('Master Data Sheet'!$H:$H=K$2) * (INDEX('Master Data Sheet'!$1:$1, , MATCH($F$1, 'Master Data Sheet'!$1:$1, 0)) = $F$1) * ('Master Data Sheet'!$G:$G=$B28) * ('Master Data Sheet'!$F:$F=$E28) * ('Master Data Sheet'!$A:$A=$F28), 0), MATCH($F$1, 'Master Data Sheet'!$1:$1, 0)), "")</f>
        <v>113.63636363636364</v>
      </c>
      <c r="L28" s="11" cm="1">
        <f t="array" ref="L28">IFERROR(INDEX('Master Data Sheet'!$1:$1048576, MATCH(1, ('Master Data Sheet'!$H:$H=L$2) * (INDEX('Master Data Sheet'!$1:$1, , MATCH($F$1, 'Master Data Sheet'!$1:$1, 0)) = $F$1) * ('Master Data Sheet'!$G:$G=$B28) * ('Master Data Sheet'!$F:$F=$E28) * ('Master Data Sheet'!$A:$A=$F28), 0), MATCH($F$1, 'Master Data Sheet'!$1:$1, 0)), "")</f>
        <v>113.63636363636364</v>
      </c>
      <c r="M28" s="11" cm="1">
        <f t="array" ref="M28">IFERROR(INDEX('Master Data Sheet'!$1:$1048576, MATCH(1, ('Master Data Sheet'!$H:$H=M$2) * (INDEX('Master Data Sheet'!$1:$1, , MATCH($F$1, 'Master Data Sheet'!$1:$1, 0)) = $F$1) * ('Master Data Sheet'!$G:$G=$B28) * ('Master Data Sheet'!$F:$F=$E28) * ('Master Data Sheet'!$A:$A=$F28), 0), MATCH($F$1, 'Master Data Sheet'!$1:$1, 0)), "")</f>
        <v>123.8738738738739</v>
      </c>
      <c r="N28" s="11" cm="1">
        <f t="array" ref="N28">IFERROR(INDEX('Master Data Sheet'!$1:$1048576, MATCH(1, ('Master Data Sheet'!$H:$H=N$2) * (INDEX('Master Data Sheet'!$1:$1, , MATCH($F$1, 'Master Data Sheet'!$1:$1, 0)) = $F$1) * ('Master Data Sheet'!$G:$G=$B28) * ('Master Data Sheet'!$F:$F=$E28) * ('Master Data Sheet'!$A:$A=$F28), 0), MATCH($F$1, 'Master Data Sheet'!$1:$1, 0)), "")</f>
        <v>113.63636363636364</v>
      </c>
      <c r="O28" s="11">
        <f t="shared" si="8"/>
        <v>129.00369513565641</v>
      </c>
      <c r="P28" s="11">
        <f t="shared" si="4"/>
        <v>28.281043950283902</v>
      </c>
      <c r="Q28" s="11"/>
      <c r="R28" s="46">
        <f>(1-(O28/O22))*100</f>
        <v>-1.7807576199942332</v>
      </c>
      <c r="X28" t="str">
        <f>IFERROR(INDEX('Date Key'!$G$57:$G$62, MATCH(B27,'Date Key'!$A$57:$A$62, 0)), "")</f>
        <v>High HLR, Lower Outlet Height, No Plants</v>
      </c>
      <c r="Y28" s="1">
        <f t="shared" ref="Y28:AE28" si="32">H27</f>
        <v>153.50877192982455</v>
      </c>
      <c r="Z28" s="1">
        <f t="shared" si="32"/>
        <v>133.92857142857144</v>
      </c>
      <c r="AA28" s="1">
        <f t="shared" si="32"/>
        <v>113.63636363636364</v>
      </c>
      <c r="AB28" s="1">
        <f t="shared" si="32"/>
        <v>113.63636363636364</v>
      </c>
      <c r="AC28" s="1">
        <f t="shared" si="32"/>
        <v>113.63636363636364</v>
      </c>
      <c r="AD28" s="1">
        <f t="shared" si="32"/>
        <v>113.63636363636364</v>
      </c>
      <c r="AE28" s="1">
        <f t="shared" si="32"/>
        <v>113.63636363636364</v>
      </c>
      <c r="AF28" s="1">
        <f t="shared" ref="AF28:AL28" si="33">H28</f>
        <v>190.67796610169495</v>
      </c>
      <c r="AG28" s="1">
        <f t="shared" si="33"/>
        <v>133.92857142857144</v>
      </c>
      <c r="AH28" s="1">
        <f t="shared" si="33"/>
        <v>113.63636363636364</v>
      </c>
      <c r="AI28" s="1">
        <f t="shared" si="33"/>
        <v>113.63636363636364</v>
      </c>
      <c r="AJ28" s="1">
        <f t="shared" si="33"/>
        <v>113.63636363636364</v>
      </c>
      <c r="AK28" s="1">
        <f t="shared" si="33"/>
        <v>123.8738738738739</v>
      </c>
      <c r="AL28" s="1">
        <f t="shared" si="33"/>
        <v>113.63636363636364</v>
      </c>
      <c r="AM28" s="1">
        <f t="shared" ref="AM28:AS28" si="34">H29</f>
        <v>233.73983739837396</v>
      </c>
      <c r="AN28" s="1">
        <f t="shared" si="34"/>
        <v>123.8738738738739</v>
      </c>
      <c r="AO28" s="1">
        <f t="shared" si="34"/>
        <v>103.21100917431194</v>
      </c>
      <c r="AP28" s="1">
        <f t="shared" si="34"/>
        <v>92.592592592592609</v>
      </c>
      <c r="AQ28" s="1">
        <f t="shared" si="34"/>
        <v>92.592592592592609</v>
      </c>
      <c r="AR28" s="1">
        <f t="shared" si="34"/>
        <v>92.592592592592609</v>
      </c>
      <c r="AS28" s="1">
        <f t="shared" si="34"/>
        <v>92.592592592592609</v>
      </c>
    </row>
    <row r="29" spans="1:45" x14ac:dyDescent="0.35">
      <c r="A29" s="42">
        <f>IFERROR(INDEX('Date Key'!$B$2:$B$19, MATCH(F29,'Date Key'!$A$2:$A$19, 0)), "")</f>
        <v>45246</v>
      </c>
      <c r="B29" s="27">
        <f t="shared" si="15"/>
        <v>3</v>
      </c>
      <c r="C29" s="51" t="str">
        <f>IFERROR(INDEX('Date Key'!$G$57:$G$62, MATCH(B29,'Date Key'!$A$57:$A$62, 0)), "")</f>
        <v>High HLR, Lower Outlet Height, No Plants</v>
      </c>
      <c r="D29" s="27" t="str">
        <f>IFERROR(INDEX('Date Key'!$G$2:$G$19, MATCH(F29, 'Date Key'!$A$2:$A$19, 0)), "")</f>
        <v>Yes</v>
      </c>
      <c r="E29" s="27" t="str">
        <f t="shared" si="1"/>
        <v>tank 2</v>
      </c>
      <c r="F29" s="27">
        <f t="shared" si="2"/>
        <v>9</v>
      </c>
      <c r="G29" s="27">
        <f t="shared" si="22"/>
        <v>3</v>
      </c>
      <c r="H29" s="28" cm="1">
        <f t="array" ref="H29">IFERROR(INDEX('Master Data Sheet'!$1:$1048576, MATCH(1, ('Master Data Sheet'!$H:$H=H$2) * (INDEX('Master Data Sheet'!$1:$1, , MATCH($F$1, 'Master Data Sheet'!$1:$1, 0)) = $F$1) * ('Master Data Sheet'!$G:$G=$B29) * ('Master Data Sheet'!$F:$F=$E29) * ('Master Data Sheet'!$A:$A=$F29), 0), MATCH($F$1, 'Master Data Sheet'!$1:$1, 0)), "")</f>
        <v>233.73983739837396</v>
      </c>
      <c r="I29" s="28" cm="1">
        <f t="array" ref="I29">IFERROR(INDEX('Master Data Sheet'!$1:$1048576, MATCH(1, ('Master Data Sheet'!$H:$H=I$2) * (INDEX('Master Data Sheet'!$1:$1, , MATCH($F$1, 'Master Data Sheet'!$1:$1, 0)) = $F$1) * ('Master Data Sheet'!$G:$G=$B29) * ('Master Data Sheet'!$F:$F=$E29) * ('Master Data Sheet'!$A:$A=$F29), 0), MATCH($F$1, 'Master Data Sheet'!$1:$1, 0)), "")</f>
        <v>123.8738738738739</v>
      </c>
      <c r="J29" s="28" cm="1">
        <f t="array" ref="J29">IFERROR(INDEX('Master Data Sheet'!$1:$1048576, MATCH(1, ('Master Data Sheet'!$H:$H=J$2) * (INDEX('Master Data Sheet'!$1:$1, , MATCH($F$1, 'Master Data Sheet'!$1:$1, 0)) = $F$1) * ('Master Data Sheet'!$G:$G=$B29) * ('Master Data Sheet'!$F:$F=$E29) * ('Master Data Sheet'!$A:$A=$F29), 0), MATCH($F$1, 'Master Data Sheet'!$1:$1, 0)), "")</f>
        <v>103.21100917431194</v>
      </c>
      <c r="K29" s="28" cm="1">
        <f t="array" ref="K29">IFERROR(INDEX('Master Data Sheet'!$1:$1048576, MATCH(1, ('Master Data Sheet'!$H:$H=K$2) * (INDEX('Master Data Sheet'!$1:$1, , MATCH($F$1, 'Master Data Sheet'!$1:$1, 0)) = $F$1) * ('Master Data Sheet'!$G:$G=$B29) * ('Master Data Sheet'!$F:$F=$E29) * ('Master Data Sheet'!$A:$A=$F29), 0), MATCH($F$1, 'Master Data Sheet'!$1:$1, 0)), "")</f>
        <v>92.592592592592609</v>
      </c>
      <c r="L29" s="28" cm="1">
        <f t="array" ref="L29">IFERROR(INDEX('Master Data Sheet'!$1:$1048576, MATCH(1, ('Master Data Sheet'!$H:$H=L$2) * (INDEX('Master Data Sheet'!$1:$1, , MATCH($F$1, 'Master Data Sheet'!$1:$1, 0)) = $F$1) * ('Master Data Sheet'!$G:$G=$B29) * ('Master Data Sheet'!$F:$F=$E29) * ('Master Data Sheet'!$A:$A=$F29), 0), MATCH($F$1, 'Master Data Sheet'!$1:$1, 0)), "")</f>
        <v>92.592592592592609</v>
      </c>
      <c r="M29" s="28" cm="1">
        <f t="array" ref="M29">IFERROR(INDEX('Master Data Sheet'!$1:$1048576, MATCH(1, ('Master Data Sheet'!$H:$H=M$2) * (INDEX('Master Data Sheet'!$1:$1, , MATCH($F$1, 'Master Data Sheet'!$1:$1, 0)) = $F$1) * ('Master Data Sheet'!$G:$G=$B29) * ('Master Data Sheet'!$F:$F=$E29) * ('Master Data Sheet'!$A:$A=$F29), 0), MATCH($F$1, 'Master Data Sheet'!$1:$1, 0)), "")</f>
        <v>92.592592592592609</v>
      </c>
      <c r="N29" s="28" cm="1">
        <f t="array" ref="N29">IFERROR(INDEX('Master Data Sheet'!$1:$1048576, MATCH(1, ('Master Data Sheet'!$H:$H=N$2) * (INDEX('Master Data Sheet'!$1:$1, , MATCH($F$1, 'Master Data Sheet'!$1:$1, 0)) = $F$1) * ('Master Data Sheet'!$G:$G=$B29) * ('Master Data Sheet'!$F:$F=$E29) * ('Master Data Sheet'!$A:$A=$F29), 0), MATCH($F$1, 'Master Data Sheet'!$1:$1, 0)), "")</f>
        <v>92.592592592592609</v>
      </c>
      <c r="O29" s="28">
        <f t="shared" si="8"/>
        <v>118.74215583099003</v>
      </c>
      <c r="P29" s="28">
        <f t="shared" si="4"/>
        <v>52.005154300082175</v>
      </c>
      <c r="Q29" s="28"/>
      <c r="R29" s="48">
        <f>(1-(O29/O23))*100</f>
        <v>-18.564788169272873</v>
      </c>
      <c r="S29" s="27"/>
      <c r="T29" s="27"/>
      <c r="U29" s="27"/>
      <c r="V29" s="27"/>
    </row>
    <row r="30" spans="1:45" x14ac:dyDescent="0.35">
      <c r="A30" s="41">
        <f>IFERROR(INDEX('Date Key'!$B$2:$B$19, MATCH(F30,'Date Key'!$A$2:$A$19, 0)), "")</f>
        <v>45250</v>
      </c>
      <c r="B30" s="4">
        <f t="shared" si="15"/>
        <v>4</v>
      </c>
      <c r="C30" s="26" t="str">
        <f>IFERROR(INDEX('Date Key'!$G$57:$G$62, MATCH(B30,'Date Key'!$A$57:$A$62, 0)), "")</f>
        <v>High HLR, Upper Outlet Height, No Plants</v>
      </c>
      <c r="D30" s="4" t="str">
        <f>IFERROR(INDEX('Date Key'!$G$2:$G$19, MATCH(F30, 'Date Key'!$A$2:$A$19, 0)), "")</f>
        <v>Yes</v>
      </c>
      <c r="E30" s="4" t="str">
        <f t="shared" si="1"/>
        <v>in</v>
      </c>
      <c r="F30" s="4">
        <f t="shared" si="2"/>
        <v>10</v>
      </c>
      <c r="G30" s="4">
        <f t="shared" si="22"/>
        <v>1</v>
      </c>
      <c r="H30" s="11" cm="1">
        <f t="array" ref="H30">IFERROR(INDEX('Master Data Sheet'!$1:$1048576, MATCH(1, ('Master Data Sheet'!$H:$H=H$2) * (INDEX('Master Data Sheet'!$1:$1, , MATCH($F$1, 'Master Data Sheet'!$1:$1, 0)) = $F$1) * ('Master Data Sheet'!$G:$G=$B30) * ('Master Data Sheet'!$F:$F=$E30) * ('Master Data Sheet'!$A:$A=$F30), 0), MATCH($F$1, 'Master Data Sheet'!$1:$1, 0)), "")</f>
        <v>92.592592592592609</v>
      </c>
      <c r="I30" s="11" cm="1">
        <f t="array" ref="I30">IFERROR(INDEX('Master Data Sheet'!$1:$1048576, MATCH(1, ('Master Data Sheet'!$H:$H=I$2) * (INDEX('Master Data Sheet'!$1:$1, , MATCH($F$1, 'Master Data Sheet'!$1:$1, 0)) = $F$1) * ('Master Data Sheet'!$G:$G=$B30) * ('Master Data Sheet'!$F:$F=$E30) * ('Master Data Sheet'!$A:$A=$F30), 0), MATCH($F$1, 'Master Data Sheet'!$1:$1, 0)), "")</f>
        <v>92.592592592592609</v>
      </c>
      <c r="J30" s="11" cm="1">
        <f t="array" ref="J30">IFERROR(INDEX('Master Data Sheet'!$1:$1048576, MATCH(1, ('Master Data Sheet'!$H:$H=J$2) * (INDEX('Master Data Sheet'!$1:$1, , MATCH($F$1, 'Master Data Sheet'!$1:$1, 0)) = $F$1) * ('Master Data Sheet'!$G:$G=$B30) * ('Master Data Sheet'!$F:$F=$E30) * ('Master Data Sheet'!$A:$A=$F30), 0), MATCH($F$1, 'Master Data Sheet'!$1:$1, 0)), "")</f>
        <v>103.21100917431194</v>
      </c>
      <c r="K30" s="11" cm="1">
        <f t="array" ref="K30">IFERROR(INDEX('Master Data Sheet'!$1:$1048576, MATCH(1, ('Master Data Sheet'!$H:$H=K$2) * (INDEX('Master Data Sheet'!$1:$1, , MATCH($F$1, 'Master Data Sheet'!$1:$1, 0)) = $F$1) * ('Master Data Sheet'!$G:$G=$B30) * ('Master Data Sheet'!$F:$F=$E30) * ('Master Data Sheet'!$A:$A=$F30), 0), MATCH($F$1, 'Master Data Sheet'!$1:$1, 0)), "")</f>
        <v>92.592592592592609</v>
      </c>
      <c r="L30" s="11" cm="1">
        <f t="array" ref="L30">IFERROR(INDEX('Master Data Sheet'!$1:$1048576, MATCH(1, ('Master Data Sheet'!$H:$H=L$2) * (INDEX('Master Data Sheet'!$1:$1, , MATCH($F$1, 'Master Data Sheet'!$1:$1, 0)) = $F$1) * ('Master Data Sheet'!$G:$G=$B30) * ('Master Data Sheet'!$F:$F=$E30) * ('Master Data Sheet'!$A:$A=$F30), 0), MATCH($F$1, 'Master Data Sheet'!$1:$1, 0)), "")</f>
        <v>92.592592592592609</v>
      </c>
      <c r="M30" s="11" cm="1">
        <f t="array" ref="M30">IFERROR(INDEX('Master Data Sheet'!$1:$1048576, MATCH(1, ('Master Data Sheet'!$H:$H=M$2) * (INDEX('Master Data Sheet'!$1:$1, , MATCH($F$1, 'Master Data Sheet'!$1:$1, 0)) = $F$1) * ('Master Data Sheet'!$G:$G=$B30) * ('Master Data Sheet'!$F:$F=$E30) * ('Master Data Sheet'!$A:$A=$F30), 0), MATCH($F$1, 'Master Data Sheet'!$1:$1, 0)), "")</f>
        <v>92.592592592592609</v>
      </c>
      <c r="N30" s="11" cm="1">
        <f t="array" ref="N30">IFERROR(INDEX('Master Data Sheet'!$1:$1048576, MATCH(1, ('Master Data Sheet'!$H:$H=N$2) * (INDEX('Master Data Sheet'!$1:$1, , MATCH($F$1, 'Master Data Sheet'!$1:$1, 0)) = $F$1) * ('Master Data Sheet'!$G:$G=$B30) * ('Master Data Sheet'!$F:$F=$E30) * ('Master Data Sheet'!$A:$A=$F30), 0), MATCH($F$1, 'Master Data Sheet'!$1:$1, 0)), "")</f>
        <v>92.592592592592609</v>
      </c>
      <c r="O30" s="11">
        <f t="shared" si="8"/>
        <v>94.109509247123938</v>
      </c>
      <c r="P30" s="11">
        <f t="shared" si="4"/>
        <v>4.0133842275019873</v>
      </c>
      <c r="Q30" s="11">
        <f>AVERAGE(O30:O32)</f>
        <v>112.46380143824445</v>
      </c>
      <c r="S30" s="11">
        <f>AVERAGE(O30:O32)</f>
        <v>112.46380143824445</v>
      </c>
      <c r="T30" s="11">
        <f>AVERAGE(P30:P32)</f>
        <v>6.7658009715916068</v>
      </c>
      <c r="V30" s="47">
        <f>AVERAGE(U33, U36)</f>
        <v>-6.1794891021908267</v>
      </c>
      <c r="X30" t="s">
        <v>343</v>
      </c>
    </row>
    <row r="31" spans="1:45" x14ac:dyDescent="0.35">
      <c r="A31" s="41">
        <f>IFERROR(INDEX('Date Key'!$B$2:$B$19, MATCH(F31,'Date Key'!$A$2:$A$19, 0)), "")</f>
        <v>45259</v>
      </c>
      <c r="B31" s="4">
        <f t="shared" si="15"/>
        <v>4</v>
      </c>
      <c r="C31" s="26" t="str">
        <f>IFERROR(INDEX('Date Key'!$G$57:$G$62, MATCH(B31,'Date Key'!$A$57:$A$62, 0)), "")</f>
        <v>High HLR, Upper Outlet Height, No Plants</v>
      </c>
      <c r="D31" s="4" t="str">
        <f>IFERROR(INDEX('Date Key'!$G$2:$G$19, MATCH(F31, 'Date Key'!$A$2:$A$19, 0)), "")</f>
        <v>No</v>
      </c>
      <c r="E31" s="4" t="str">
        <f t="shared" si="1"/>
        <v>in</v>
      </c>
      <c r="F31" s="4">
        <f t="shared" si="2"/>
        <v>11</v>
      </c>
      <c r="G31" s="4">
        <f t="shared" si="22"/>
        <v>2</v>
      </c>
      <c r="H31" s="11" cm="1">
        <f t="array" ref="H31">IFERROR(INDEX('Master Data Sheet'!$1:$1048576, MATCH(1, ('Master Data Sheet'!$H:$H=H$2) * (INDEX('Master Data Sheet'!$1:$1, , MATCH($F$1, 'Master Data Sheet'!$1:$1, 0)) = $F$1) * ('Master Data Sheet'!$G:$G=$B31) * ('Master Data Sheet'!$F:$F=$E31) * ('Master Data Sheet'!$A:$A=$F31), 0), MATCH($F$1, 'Master Data Sheet'!$1:$1, 0)), "")</f>
        <v>133.92857142857144</v>
      </c>
      <c r="I31" s="11" cm="1">
        <f t="array" ref="I31">IFERROR(INDEX('Master Data Sheet'!$1:$1048576, MATCH(1, ('Master Data Sheet'!$H:$H=I$2) * (INDEX('Master Data Sheet'!$1:$1, , MATCH($F$1, 'Master Data Sheet'!$1:$1, 0)) = $F$1) * ('Master Data Sheet'!$G:$G=$B31) * ('Master Data Sheet'!$F:$F=$E31) * ('Master Data Sheet'!$A:$A=$F31), 0), MATCH($F$1, 'Master Data Sheet'!$1:$1, 0)), "")</f>
        <v>113.63636363636364</v>
      </c>
      <c r="J31" s="11" cm="1">
        <f t="array" ref="J31">IFERROR(INDEX('Master Data Sheet'!$1:$1048576, MATCH(1, ('Master Data Sheet'!$H:$H=J$2) * (INDEX('Master Data Sheet'!$1:$1, , MATCH($F$1, 'Master Data Sheet'!$1:$1, 0)) = $F$1) * ('Master Data Sheet'!$G:$G=$B31) * ('Master Data Sheet'!$F:$F=$E31) * ('Master Data Sheet'!$A:$A=$F31), 0), MATCH($F$1, 'Master Data Sheet'!$1:$1, 0)), "")</f>
        <v>113.63636363636364</v>
      </c>
      <c r="K31" s="11" cm="1">
        <f t="array" ref="K31">IFERROR(INDEX('Master Data Sheet'!$1:$1048576, MATCH(1, ('Master Data Sheet'!$H:$H=K$2) * (INDEX('Master Data Sheet'!$1:$1, , MATCH($F$1, 'Master Data Sheet'!$1:$1, 0)) = $F$1) * ('Master Data Sheet'!$G:$G=$B31) * ('Master Data Sheet'!$F:$F=$E31) * ('Master Data Sheet'!$A:$A=$F31), 0), MATCH($F$1, 'Master Data Sheet'!$1:$1, 0)), "")</f>
        <v>123.8738738738739</v>
      </c>
      <c r="L31" s="11" cm="1">
        <f t="array" ref="L31">IFERROR(INDEX('Master Data Sheet'!$1:$1048576, MATCH(1, ('Master Data Sheet'!$H:$H=L$2) * (INDEX('Master Data Sheet'!$1:$1, , MATCH($F$1, 'Master Data Sheet'!$1:$1, 0)) = $F$1) * ('Master Data Sheet'!$G:$G=$B31) * ('Master Data Sheet'!$F:$F=$E31) * ('Master Data Sheet'!$A:$A=$F31), 0), MATCH($F$1, 'Master Data Sheet'!$1:$1, 0)), "")</f>
        <v>123.8738738738739</v>
      </c>
      <c r="M31" s="11" cm="1">
        <f t="array" ref="M31">IFERROR(INDEX('Master Data Sheet'!$1:$1048576, MATCH(1, ('Master Data Sheet'!$H:$H=M$2) * (INDEX('Master Data Sheet'!$1:$1, , MATCH($F$1, 'Master Data Sheet'!$1:$1, 0)) = $F$1) * ('Master Data Sheet'!$G:$G=$B31) * ('Master Data Sheet'!$F:$F=$E31) * ('Master Data Sheet'!$A:$A=$F31), 0), MATCH($F$1, 'Master Data Sheet'!$1:$1, 0)), "")</f>
        <v>113.63636363636364</v>
      </c>
      <c r="N31" s="11" cm="1">
        <f t="array" ref="N31">IFERROR(INDEX('Master Data Sheet'!$1:$1048576, MATCH(1, ('Master Data Sheet'!$H:$H=N$2) * (INDEX('Master Data Sheet'!$1:$1, , MATCH($F$1, 'Master Data Sheet'!$1:$1, 0)) = $F$1) * ('Master Data Sheet'!$G:$G=$B31) * ('Master Data Sheet'!$F:$F=$E31) * ('Master Data Sheet'!$A:$A=$F31), 0), MATCH($F$1, 'Master Data Sheet'!$1:$1, 0)), "")</f>
        <v>113.63636363636364</v>
      </c>
      <c r="O31" s="11">
        <f t="shared" si="8"/>
        <v>119.46025338882482</v>
      </c>
      <c r="P31" s="11">
        <f t="shared" si="4"/>
        <v>7.9996154685359384</v>
      </c>
      <c r="Q31" s="11"/>
      <c r="X31" t="str">
        <f>IFERROR(INDEX('Date Key'!$G$57:$G$62, MATCH(B30,'Date Key'!$A$57:$A$62, 0)), "")</f>
        <v>High HLR, Upper Outlet Height, No Plants</v>
      </c>
      <c r="Y31" s="1">
        <f t="shared" ref="Y31:AE31" si="35">H30</f>
        <v>92.592592592592609</v>
      </c>
      <c r="Z31" s="1">
        <f t="shared" si="35"/>
        <v>92.592592592592609</v>
      </c>
      <c r="AA31" s="1">
        <f t="shared" si="35"/>
        <v>103.21100917431194</v>
      </c>
      <c r="AB31" s="1">
        <f t="shared" si="35"/>
        <v>92.592592592592609</v>
      </c>
      <c r="AC31" s="1">
        <f t="shared" si="35"/>
        <v>92.592592592592609</v>
      </c>
      <c r="AD31" s="1">
        <f t="shared" si="35"/>
        <v>92.592592592592609</v>
      </c>
      <c r="AE31" s="1">
        <f t="shared" si="35"/>
        <v>92.592592592592609</v>
      </c>
      <c r="AF31" s="1">
        <f t="shared" ref="AF31:AL31" si="36">H31</f>
        <v>133.92857142857144</v>
      </c>
      <c r="AG31" s="1">
        <f t="shared" si="36"/>
        <v>113.63636363636364</v>
      </c>
      <c r="AH31" s="1">
        <f t="shared" si="36"/>
        <v>113.63636363636364</v>
      </c>
      <c r="AI31" s="1">
        <f t="shared" si="36"/>
        <v>123.8738738738739</v>
      </c>
      <c r="AJ31" s="1">
        <f t="shared" si="36"/>
        <v>123.8738738738739</v>
      </c>
      <c r="AK31" s="1">
        <f t="shared" si="36"/>
        <v>113.63636363636364</v>
      </c>
      <c r="AL31" s="1">
        <f t="shared" si="36"/>
        <v>113.63636363636364</v>
      </c>
      <c r="AM31" s="1">
        <f t="shared" ref="AM31:AS31" si="37">H32</f>
        <v>133.92857142857144</v>
      </c>
      <c r="AN31" s="1">
        <f t="shared" si="37"/>
        <v>133.92857142857144</v>
      </c>
      <c r="AO31" s="1">
        <f t="shared" si="37"/>
        <v>123.8738738738739</v>
      </c>
      <c r="AP31" s="1">
        <f t="shared" si="37"/>
        <v>113.63636363636364</v>
      </c>
      <c r="AQ31" s="1">
        <f t="shared" si="37"/>
        <v>123.8738738738739</v>
      </c>
      <c r="AR31" s="1">
        <f t="shared" si="37"/>
        <v>113.63636363636364</v>
      </c>
      <c r="AS31" s="1">
        <f t="shared" si="37"/>
        <v>123.8738738738739</v>
      </c>
    </row>
    <row r="32" spans="1:45" x14ac:dyDescent="0.35">
      <c r="A32" s="41">
        <f>IFERROR(INDEX('Date Key'!$B$2:$B$19, MATCH(F32,'Date Key'!$A$2:$A$19, 0)), "")</f>
        <v>45266</v>
      </c>
      <c r="B32" s="4">
        <f t="shared" si="15"/>
        <v>4</v>
      </c>
      <c r="C32" s="26" t="str">
        <f>IFERROR(INDEX('Date Key'!$G$57:$G$62, MATCH(B32,'Date Key'!$A$57:$A$62, 0)), "")</f>
        <v>High HLR, Upper Outlet Height, No Plants</v>
      </c>
      <c r="D32" s="4" t="str">
        <f>IFERROR(INDEX('Date Key'!$G$2:$G$19, MATCH(F32, 'Date Key'!$A$2:$A$19, 0)), "")</f>
        <v>No</v>
      </c>
      <c r="E32" s="4" t="str">
        <f t="shared" si="1"/>
        <v>in</v>
      </c>
      <c r="F32" s="4">
        <f t="shared" si="2"/>
        <v>12</v>
      </c>
      <c r="G32" s="4">
        <f t="shared" si="22"/>
        <v>3</v>
      </c>
      <c r="H32" s="11" cm="1">
        <f t="array" ref="H32">IFERROR(INDEX('Master Data Sheet'!$1:$1048576, MATCH(1, ('Master Data Sheet'!$H:$H=H$2) * (INDEX('Master Data Sheet'!$1:$1, , MATCH($F$1, 'Master Data Sheet'!$1:$1, 0)) = $F$1) * ('Master Data Sheet'!$G:$G=$B32) * ('Master Data Sheet'!$F:$F=$E32) * ('Master Data Sheet'!$A:$A=$F32), 0), MATCH($F$1, 'Master Data Sheet'!$1:$1, 0)), "")</f>
        <v>133.92857142857144</v>
      </c>
      <c r="I32" s="11" cm="1">
        <f t="array" ref="I32">IFERROR(INDEX('Master Data Sheet'!$1:$1048576, MATCH(1, ('Master Data Sheet'!$H:$H=I$2) * (INDEX('Master Data Sheet'!$1:$1, , MATCH($F$1, 'Master Data Sheet'!$1:$1, 0)) = $F$1) * ('Master Data Sheet'!$G:$G=$B32) * ('Master Data Sheet'!$F:$F=$E32) * ('Master Data Sheet'!$A:$A=$F32), 0), MATCH($F$1, 'Master Data Sheet'!$1:$1, 0)), "")</f>
        <v>133.92857142857144</v>
      </c>
      <c r="J32" s="11" cm="1">
        <f t="array" ref="J32">IFERROR(INDEX('Master Data Sheet'!$1:$1048576, MATCH(1, ('Master Data Sheet'!$H:$H=J$2) * (INDEX('Master Data Sheet'!$1:$1, , MATCH($F$1, 'Master Data Sheet'!$1:$1, 0)) = $F$1) * ('Master Data Sheet'!$G:$G=$B32) * ('Master Data Sheet'!$F:$F=$E32) * ('Master Data Sheet'!$A:$A=$F32), 0), MATCH($F$1, 'Master Data Sheet'!$1:$1, 0)), "")</f>
        <v>123.8738738738739</v>
      </c>
      <c r="K32" s="11" cm="1">
        <f t="array" ref="K32">IFERROR(INDEX('Master Data Sheet'!$1:$1048576, MATCH(1, ('Master Data Sheet'!$H:$H=K$2) * (INDEX('Master Data Sheet'!$1:$1, , MATCH($F$1, 'Master Data Sheet'!$1:$1, 0)) = $F$1) * ('Master Data Sheet'!$G:$G=$B32) * ('Master Data Sheet'!$F:$F=$E32) * ('Master Data Sheet'!$A:$A=$F32), 0), MATCH($F$1, 'Master Data Sheet'!$1:$1, 0)), "")</f>
        <v>113.63636363636364</v>
      </c>
      <c r="L32" s="11" cm="1">
        <f t="array" ref="L32">IFERROR(INDEX('Master Data Sheet'!$1:$1048576, MATCH(1, ('Master Data Sheet'!$H:$H=L$2) * (INDEX('Master Data Sheet'!$1:$1, , MATCH($F$1, 'Master Data Sheet'!$1:$1, 0)) = $F$1) * ('Master Data Sheet'!$G:$G=$B32) * ('Master Data Sheet'!$F:$F=$E32) * ('Master Data Sheet'!$A:$A=$F32), 0), MATCH($F$1, 'Master Data Sheet'!$1:$1, 0)), "")</f>
        <v>123.8738738738739</v>
      </c>
      <c r="M32" s="11" cm="1">
        <f t="array" ref="M32">IFERROR(INDEX('Master Data Sheet'!$1:$1048576, MATCH(1, ('Master Data Sheet'!$H:$H=M$2) * (INDEX('Master Data Sheet'!$1:$1, , MATCH($F$1, 'Master Data Sheet'!$1:$1, 0)) = $F$1) * ('Master Data Sheet'!$G:$G=$B32) * ('Master Data Sheet'!$F:$F=$E32) * ('Master Data Sheet'!$A:$A=$F32), 0), MATCH($F$1, 'Master Data Sheet'!$1:$1, 0)), "")</f>
        <v>113.63636363636364</v>
      </c>
      <c r="N32" s="11" cm="1">
        <f t="array" ref="N32">IFERROR(INDEX('Master Data Sheet'!$1:$1048576, MATCH(1, ('Master Data Sheet'!$H:$H=N$2) * (INDEX('Master Data Sheet'!$1:$1, , MATCH($F$1, 'Master Data Sheet'!$1:$1, 0)) = $F$1) * ('Master Data Sheet'!$G:$G=$B32) * ('Master Data Sheet'!$F:$F=$E32) * ('Master Data Sheet'!$A:$A=$F32), 0), MATCH($F$1, 'Master Data Sheet'!$1:$1, 0)), "")</f>
        <v>123.8738738738739</v>
      </c>
      <c r="O32" s="11">
        <f t="shared" si="8"/>
        <v>123.82164167878454</v>
      </c>
      <c r="P32" s="11">
        <f t="shared" si="4"/>
        <v>8.2844032187368946</v>
      </c>
      <c r="Q32" s="11"/>
      <c r="Y32" s="1"/>
      <c r="Z32" s="1"/>
      <c r="AA32" s="1"/>
      <c r="AB32" s="1"/>
      <c r="AC32" s="1"/>
      <c r="AD32" s="1"/>
      <c r="AE32" s="1"/>
      <c r="AF32" s="1"/>
      <c r="AG32" s="1"/>
      <c r="AH32" s="1"/>
      <c r="AI32" s="1"/>
      <c r="AJ32" s="1"/>
      <c r="AK32" s="1"/>
      <c r="AL32" s="1"/>
      <c r="AM32" s="1"/>
      <c r="AN32" s="1"/>
      <c r="AO32" s="1"/>
      <c r="AP32" s="1"/>
      <c r="AQ32" s="1"/>
      <c r="AR32" s="1"/>
      <c r="AS32" s="1"/>
    </row>
    <row r="33" spans="1:45" x14ac:dyDescent="0.35">
      <c r="A33" s="41">
        <f>IFERROR(INDEX('Date Key'!$B$2:$B$19, MATCH(F33,'Date Key'!$A$2:$A$19, 0)), "")</f>
        <v>45250</v>
      </c>
      <c r="B33" s="4">
        <f t="shared" si="15"/>
        <v>4</v>
      </c>
      <c r="C33" s="26" t="str">
        <f>IFERROR(INDEX('Date Key'!$G$57:$G$62, MATCH(B33,'Date Key'!$A$57:$A$62, 0)), "")</f>
        <v>High HLR, Upper Outlet Height, No Plants</v>
      </c>
      <c r="D33" s="4" t="str">
        <f>IFERROR(INDEX('Date Key'!$G$2:$G$19, MATCH(F33, 'Date Key'!$A$2:$A$19, 0)), "")</f>
        <v>Yes</v>
      </c>
      <c r="E33" s="4" t="str">
        <f t="shared" si="1"/>
        <v>tank 1</v>
      </c>
      <c r="F33" s="4">
        <f t="shared" si="2"/>
        <v>10</v>
      </c>
      <c r="G33" s="4">
        <f t="shared" si="22"/>
        <v>1</v>
      </c>
      <c r="H33" s="11" cm="1">
        <f t="array" ref="H33">IFERROR(INDEX('Master Data Sheet'!$1:$1048576, MATCH(1, ('Master Data Sheet'!$H:$H=H$2) * (INDEX('Master Data Sheet'!$1:$1, , MATCH($F$1, 'Master Data Sheet'!$1:$1, 0)) = $F$1) * ('Master Data Sheet'!$G:$G=$B33) * ('Master Data Sheet'!$F:$F=$E33) * ('Master Data Sheet'!$A:$A=$F33), 0), MATCH($F$1, 'Master Data Sheet'!$1:$1, 0)), "")</f>
        <v>113.63636363636364</v>
      </c>
      <c r="I33" s="11" cm="1">
        <f t="array" ref="I33">IFERROR(INDEX('Master Data Sheet'!$1:$1048576, MATCH(1, ('Master Data Sheet'!$H:$H=I$2) * (INDEX('Master Data Sheet'!$1:$1, , MATCH($F$1, 'Master Data Sheet'!$1:$1, 0)) = $F$1) * ('Master Data Sheet'!$G:$G=$B33) * ('Master Data Sheet'!$F:$F=$E33) * ('Master Data Sheet'!$A:$A=$F33), 0), MATCH($F$1, 'Master Data Sheet'!$1:$1, 0)), "")</f>
        <v>123.8738738738739</v>
      </c>
      <c r="J33" s="11" cm="1">
        <f t="array" ref="J33">IFERROR(INDEX('Master Data Sheet'!$1:$1048576, MATCH(1, ('Master Data Sheet'!$H:$H=J$2) * (INDEX('Master Data Sheet'!$1:$1, , MATCH($F$1, 'Master Data Sheet'!$1:$1, 0)) = $F$1) * ('Master Data Sheet'!$G:$G=$B33) * ('Master Data Sheet'!$F:$F=$E33) * ('Master Data Sheet'!$A:$A=$F33), 0), MATCH($F$1, 'Master Data Sheet'!$1:$1, 0)), "")</f>
        <v>103.21100917431194</v>
      </c>
      <c r="K33" s="11" cm="1">
        <f t="array" ref="K33">IFERROR(INDEX('Master Data Sheet'!$1:$1048576, MATCH(1, ('Master Data Sheet'!$H:$H=K$2) * (INDEX('Master Data Sheet'!$1:$1, , MATCH($F$1, 'Master Data Sheet'!$1:$1, 0)) = $F$1) * ('Master Data Sheet'!$G:$G=$B33) * ('Master Data Sheet'!$F:$F=$E33) * ('Master Data Sheet'!$A:$A=$F33), 0), MATCH($F$1, 'Master Data Sheet'!$1:$1, 0)), "")</f>
        <v>103.21100917431194</v>
      </c>
      <c r="L33" s="11" cm="1">
        <f t="array" ref="L33">IFERROR(INDEX('Master Data Sheet'!$1:$1048576, MATCH(1, ('Master Data Sheet'!$H:$H=L$2) * (INDEX('Master Data Sheet'!$1:$1, , MATCH($F$1, 'Master Data Sheet'!$1:$1, 0)) = $F$1) * ('Master Data Sheet'!$G:$G=$B33) * ('Master Data Sheet'!$F:$F=$E33) * ('Master Data Sheet'!$A:$A=$F33), 0), MATCH($F$1, 'Master Data Sheet'!$1:$1, 0)), "")</f>
        <v>92.592592592592609</v>
      </c>
      <c r="M33" s="11" cm="1">
        <f t="array" ref="M33">IFERROR(INDEX('Master Data Sheet'!$1:$1048576, MATCH(1, ('Master Data Sheet'!$H:$H=M$2) * (INDEX('Master Data Sheet'!$1:$1, , MATCH($F$1, 'Master Data Sheet'!$1:$1, 0)) = $F$1) * ('Master Data Sheet'!$G:$G=$B33) * ('Master Data Sheet'!$F:$F=$E33) * ('Master Data Sheet'!$A:$A=$F33), 0), MATCH($F$1, 'Master Data Sheet'!$1:$1, 0)), "")</f>
        <v>92.592592592592609</v>
      </c>
      <c r="N33" s="11" cm="1">
        <f t="array" ref="N33">IFERROR(INDEX('Master Data Sheet'!$1:$1048576, MATCH(1, ('Master Data Sheet'!$H:$H=N$2) * (INDEX('Master Data Sheet'!$1:$1, , MATCH($F$1, 'Master Data Sheet'!$1:$1, 0)) = $F$1) * ('Master Data Sheet'!$G:$G=$B33) * ('Master Data Sheet'!$F:$F=$E33) * ('Master Data Sheet'!$A:$A=$F33), 0), MATCH($F$1, 'Master Data Sheet'!$1:$1, 0)), "")</f>
        <v>92.592592592592609</v>
      </c>
      <c r="O33" s="11">
        <f t="shared" si="8"/>
        <v>103.10143337666275</v>
      </c>
      <c r="P33" s="11">
        <f t="shared" si="4"/>
        <v>12.067934491678118</v>
      </c>
      <c r="Q33" s="11">
        <f>AVERAGE(O33:O35)</f>
        <v>117.88120118723003</v>
      </c>
      <c r="R33" s="46">
        <f>(1-(O33/O30))*100</f>
        <v>-9.554745531534703</v>
      </c>
      <c r="S33" s="46">
        <f>AVERAGE(R33:R35)</f>
        <v>-5.18253555139081</v>
      </c>
      <c r="T33" s="46">
        <f>STDEV(R33:R35)</f>
        <v>3.8463755267489002</v>
      </c>
      <c r="U33" s="47">
        <f>(1-(AVERAGE(H33:N35)/AVERAGE(H30:N32)))*100</f>
        <v>-4.8170163907898411</v>
      </c>
      <c r="V33" s="47"/>
      <c r="Y33" s="2"/>
      <c r="Z33" s="2"/>
      <c r="AA33" s="2"/>
      <c r="AB33" s="2"/>
      <c r="AC33" s="2"/>
      <c r="AD33" s="2"/>
      <c r="AE33" s="2"/>
      <c r="AF33" s="2"/>
      <c r="AG33" s="2"/>
    </row>
    <row r="34" spans="1:45" x14ac:dyDescent="0.35">
      <c r="A34" s="41">
        <f>IFERROR(INDEX('Date Key'!$B$2:$B$19, MATCH(F34,'Date Key'!$A$2:$A$19, 0)), "")</f>
        <v>45259</v>
      </c>
      <c r="B34" s="4">
        <f t="shared" si="15"/>
        <v>4</v>
      </c>
      <c r="C34" s="26" t="str">
        <f>IFERROR(INDEX('Date Key'!$G$57:$G$62, MATCH(B34,'Date Key'!$A$57:$A$62, 0)), "")</f>
        <v>High HLR, Upper Outlet Height, No Plants</v>
      </c>
      <c r="D34" s="4" t="str">
        <f>IFERROR(INDEX('Date Key'!$G$2:$G$19, MATCH(F34, 'Date Key'!$A$2:$A$19, 0)), "")</f>
        <v>No</v>
      </c>
      <c r="E34" s="4" t="str">
        <f t="shared" si="1"/>
        <v>tank 1</v>
      </c>
      <c r="F34" s="4">
        <f t="shared" si="2"/>
        <v>11</v>
      </c>
      <c r="G34" s="4">
        <f t="shared" si="22"/>
        <v>2</v>
      </c>
      <c r="H34" s="11" cm="1">
        <f t="array" ref="H34">IFERROR(INDEX('Master Data Sheet'!$1:$1048576, MATCH(1, ('Master Data Sheet'!$H:$H=H$2) * (INDEX('Master Data Sheet'!$1:$1, , MATCH($F$1, 'Master Data Sheet'!$1:$1, 0)) = $F$1) * ('Master Data Sheet'!$G:$G=$B34) * ('Master Data Sheet'!$F:$F=$E34) * ('Master Data Sheet'!$A:$A=$F34), 0), MATCH($F$1, 'Master Data Sheet'!$1:$1, 0)), "")</f>
        <v>123.8738738738739</v>
      </c>
      <c r="I34" s="11" cm="1">
        <f t="array" ref="I34">IFERROR(INDEX('Master Data Sheet'!$1:$1048576, MATCH(1, ('Master Data Sheet'!$H:$H=I$2) * (INDEX('Master Data Sheet'!$1:$1, , MATCH($F$1, 'Master Data Sheet'!$1:$1, 0)) = $F$1) * ('Master Data Sheet'!$G:$G=$B34) * ('Master Data Sheet'!$F:$F=$E34) * ('Master Data Sheet'!$A:$A=$F34), 0), MATCH($F$1, 'Master Data Sheet'!$1:$1, 0)), "")</f>
        <v>133.92857142857144</v>
      </c>
      <c r="J34" s="11" cm="1">
        <f t="array" ref="J34">IFERROR(INDEX('Master Data Sheet'!$1:$1048576, MATCH(1, ('Master Data Sheet'!$H:$H=J$2) * (INDEX('Master Data Sheet'!$1:$1, , MATCH($F$1, 'Master Data Sheet'!$1:$1, 0)) = $F$1) * ('Master Data Sheet'!$G:$G=$B34) * ('Master Data Sheet'!$F:$F=$E34) * ('Master Data Sheet'!$A:$A=$F34), 0), MATCH($F$1, 'Master Data Sheet'!$1:$1, 0)), "")</f>
        <v>123.8738738738739</v>
      </c>
      <c r="K34" s="11" cm="1">
        <f t="array" ref="K34">IFERROR(INDEX('Master Data Sheet'!$1:$1048576, MATCH(1, ('Master Data Sheet'!$H:$H=K$2) * (INDEX('Master Data Sheet'!$1:$1, , MATCH($F$1, 'Master Data Sheet'!$1:$1, 0)) = $F$1) * ('Master Data Sheet'!$G:$G=$B34) * ('Master Data Sheet'!$F:$F=$E34) * ('Master Data Sheet'!$A:$A=$F34), 0), MATCH($F$1, 'Master Data Sheet'!$1:$1, 0)), "")</f>
        <v>123.8738738738739</v>
      </c>
      <c r="L34" s="11" cm="1">
        <f t="array" ref="L34">IFERROR(INDEX('Master Data Sheet'!$1:$1048576, MATCH(1, ('Master Data Sheet'!$H:$H=L$2) * (INDEX('Master Data Sheet'!$1:$1, , MATCH($F$1, 'Master Data Sheet'!$1:$1, 0)) = $F$1) * ('Master Data Sheet'!$G:$G=$B34) * ('Master Data Sheet'!$F:$F=$E34) * ('Master Data Sheet'!$A:$A=$F34), 0), MATCH($F$1, 'Master Data Sheet'!$1:$1, 0)), "")</f>
        <v>123.8738738738739</v>
      </c>
      <c r="M34" s="11" cm="1">
        <f t="array" ref="M34">IFERROR(INDEX('Master Data Sheet'!$1:$1048576, MATCH(1, ('Master Data Sheet'!$H:$H=M$2) * (INDEX('Master Data Sheet'!$1:$1, , MATCH($F$1, 'Master Data Sheet'!$1:$1, 0)) = $F$1) * ('Master Data Sheet'!$G:$G=$B34) * ('Master Data Sheet'!$F:$F=$E34) * ('Master Data Sheet'!$A:$A=$F34), 0), MATCH($F$1, 'Master Data Sheet'!$1:$1, 0)), "")</f>
        <v>123.8738738738739</v>
      </c>
      <c r="N34" s="11" cm="1">
        <f t="array" ref="N34">IFERROR(INDEX('Master Data Sheet'!$1:$1048576, MATCH(1, ('Master Data Sheet'!$H:$H=N$2) * (INDEX('Master Data Sheet'!$1:$1, , MATCH($F$1, 'Master Data Sheet'!$1:$1, 0)) = $F$1) * ('Master Data Sheet'!$G:$G=$B34) * ('Master Data Sheet'!$F:$F=$E34) * ('Master Data Sheet'!$A:$A=$F34), 0), MATCH($F$1, 'Master Data Sheet'!$1:$1, 0)), "")</f>
        <v>113.63636363636364</v>
      </c>
      <c r="O34" s="11">
        <f t="shared" si="8"/>
        <v>123.84775777632922</v>
      </c>
      <c r="P34" s="11">
        <f t="shared" si="4"/>
        <v>5.8580256120088707</v>
      </c>
      <c r="Q34" s="11"/>
      <c r="R34" s="46">
        <f>(1-(O34/O31))*100</f>
        <v>-3.672773381137695</v>
      </c>
      <c r="X34" t="str">
        <f>IFERROR(INDEX('Date Key'!$G$57:$G$62, MATCH(B33,'Date Key'!$A$57:$A$62, 0)), "")</f>
        <v>High HLR, Upper Outlet Height, No Plants</v>
      </c>
      <c r="Y34" s="1">
        <f t="shared" ref="Y34:AE34" si="38">H33</f>
        <v>113.63636363636364</v>
      </c>
      <c r="Z34" s="1">
        <f t="shared" si="38"/>
        <v>123.8738738738739</v>
      </c>
      <c r="AA34" s="1">
        <f t="shared" si="38"/>
        <v>103.21100917431194</v>
      </c>
      <c r="AB34" s="1">
        <f t="shared" si="38"/>
        <v>103.21100917431194</v>
      </c>
      <c r="AC34" s="1">
        <f t="shared" si="38"/>
        <v>92.592592592592609</v>
      </c>
      <c r="AD34" s="1">
        <f t="shared" si="38"/>
        <v>92.592592592592609</v>
      </c>
      <c r="AE34" s="1">
        <f t="shared" si="38"/>
        <v>92.592592592592609</v>
      </c>
      <c r="AF34" s="1">
        <f t="shared" ref="AF34:AL34" si="39">H34</f>
        <v>123.8738738738739</v>
      </c>
      <c r="AG34" s="1">
        <f t="shared" si="39"/>
        <v>133.92857142857144</v>
      </c>
      <c r="AH34" s="1">
        <f t="shared" si="39"/>
        <v>123.8738738738739</v>
      </c>
      <c r="AI34" s="1">
        <f t="shared" si="39"/>
        <v>123.8738738738739</v>
      </c>
      <c r="AJ34" s="1">
        <f t="shared" si="39"/>
        <v>123.8738738738739</v>
      </c>
      <c r="AK34" s="1">
        <f t="shared" si="39"/>
        <v>123.8738738738739</v>
      </c>
      <c r="AL34" s="1">
        <f t="shared" si="39"/>
        <v>113.63636363636364</v>
      </c>
      <c r="AM34" s="1">
        <f t="shared" ref="AM34:AS34" si="40">H35</f>
        <v>133.92857142857144</v>
      </c>
      <c r="AN34" s="1">
        <f t="shared" si="40"/>
        <v>133.92857142857144</v>
      </c>
      <c r="AO34" s="1">
        <f t="shared" si="40"/>
        <v>133.92857142857144</v>
      </c>
      <c r="AP34" s="1">
        <f t="shared" si="40"/>
        <v>133.92857142857144</v>
      </c>
      <c r="AQ34" s="1">
        <f t="shared" si="40"/>
        <v>113.63636363636364</v>
      </c>
      <c r="AR34" s="1">
        <f t="shared" si="40"/>
        <v>123.8738738738739</v>
      </c>
      <c r="AS34" s="1">
        <f t="shared" si="40"/>
        <v>113.63636363636364</v>
      </c>
    </row>
    <row r="35" spans="1:45" x14ac:dyDescent="0.35">
      <c r="A35" s="41">
        <f>IFERROR(INDEX('Date Key'!$B$2:$B$19, MATCH(F35,'Date Key'!$A$2:$A$19, 0)), "")</f>
        <v>45266</v>
      </c>
      <c r="B35" s="4">
        <f t="shared" si="15"/>
        <v>4</v>
      </c>
      <c r="C35" s="26" t="str">
        <f>IFERROR(INDEX('Date Key'!$G$57:$G$62, MATCH(B35,'Date Key'!$A$57:$A$62, 0)), "")</f>
        <v>High HLR, Upper Outlet Height, No Plants</v>
      </c>
      <c r="D35" s="4" t="str">
        <f>IFERROR(INDEX('Date Key'!$G$2:$G$19, MATCH(F35, 'Date Key'!$A$2:$A$19, 0)), "")</f>
        <v>No</v>
      </c>
      <c r="E35" s="4" t="str">
        <f t="shared" si="1"/>
        <v>tank 1</v>
      </c>
      <c r="F35" s="4">
        <f t="shared" si="2"/>
        <v>12</v>
      </c>
      <c r="G35" s="4">
        <f t="shared" si="22"/>
        <v>3</v>
      </c>
      <c r="H35" s="11" cm="1">
        <f t="array" ref="H35">IFERROR(INDEX('Master Data Sheet'!$1:$1048576, MATCH(1, ('Master Data Sheet'!$H:$H=H$2) * (INDEX('Master Data Sheet'!$1:$1, , MATCH($F$1, 'Master Data Sheet'!$1:$1, 0)) = $F$1) * ('Master Data Sheet'!$G:$G=$B35) * ('Master Data Sheet'!$F:$F=$E35) * ('Master Data Sheet'!$A:$A=$F35), 0), MATCH($F$1, 'Master Data Sheet'!$1:$1, 0)), "")</f>
        <v>133.92857142857144</v>
      </c>
      <c r="I35" s="11" cm="1">
        <f t="array" ref="I35">IFERROR(INDEX('Master Data Sheet'!$1:$1048576, MATCH(1, ('Master Data Sheet'!$H:$H=I$2) * (INDEX('Master Data Sheet'!$1:$1, , MATCH($F$1, 'Master Data Sheet'!$1:$1, 0)) = $F$1) * ('Master Data Sheet'!$G:$G=$B35) * ('Master Data Sheet'!$F:$F=$E35) * ('Master Data Sheet'!$A:$A=$F35), 0), MATCH($F$1, 'Master Data Sheet'!$1:$1, 0)), "")</f>
        <v>133.92857142857144</v>
      </c>
      <c r="J35" s="11" cm="1">
        <f t="array" ref="J35">IFERROR(INDEX('Master Data Sheet'!$1:$1048576, MATCH(1, ('Master Data Sheet'!$H:$H=J$2) * (INDEX('Master Data Sheet'!$1:$1, , MATCH($F$1, 'Master Data Sheet'!$1:$1, 0)) = $F$1) * ('Master Data Sheet'!$G:$G=$B35) * ('Master Data Sheet'!$F:$F=$E35) * ('Master Data Sheet'!$A:$A=$F35), 0), MATCH($F$1, 'Master Data Sheet'!$1:$1, 0)), "")</f>
        <v>133.92857142857144</v>
      </c>
      <c r="K35" s="11" cm="1">
        <f t="array" ref="K35">IFERROR(INDEX('Master Data Sheet'!$1:$1048576, MATCH(1, ('Master Data Sheet'!$H:$H=K$2) * (INDEX('Master Data Sheet'!$1:$1, , MATCH($F$1, 'Master Data Sheet'!$1:$1, 0)) = $F$1) * ('Master Data Sheet'!$G:$G=$B35) * ('Master Data Sheet'!$F:$F=$E35) * ('Master Data Sheet'!$A:$A=$F35), 0), MATCH($F$1, 'Master Data Sheet'!$1:$1, 0)), "")</f>
        <v>133.92857142857144</v>
      </c>
      <c r="L35" s="11" cm="1">
        <f t="array" ref="L35">IFERROR(INDEX('Master Data Sheet'!$1:$1048576, MATCH(1, ('Master Data Sheet'!$H:$H=L$2) * (INDEX('Master Data Sheet'!$1:$1, , MATCH($F$1, 'Master Data Sheet'!$1:$1, 0)) = $F$1) * ('Master Data Sheet'!$G:$G=$B35) * ('Master Data Sheet'!$F:$F=$E35) * ('Master Data Sheet'!$A:$A=$F35), 0), MATCH($F$1, 'Master Data Sheet'!$1:$1, 0)), "")</f>
        <v>113.63636363636364</v>
      </c>
      <c r="M35" s="11" cm="1">
        <f t="array" ref="M35">IFERROR(INDEX('Master Data Sheet'!$1:$1048576, MATCH(1, ('Master Data Sheet'!$H:$H=M$2) * (INDEX('Master Data Sheet'!$1:$1, , MATCH($F$1, 'Master Data Sheet'!$1:$1, 0)) = $F$1) * ('Master Data Sheet'!$G:$G=$B35) * ('Master Data Sheet'!$F:$F=$E35) * ('Master Data Sheet'!$A:$A=$F35), 0), MATCH($F$1, 'Master Data Sheet'!$1:$1, 0)), "")</f>
        <v>123.8738738738739</v>
      </c>
      <c r="N35" s="11" cm="1">
        <f t="array" ref="N35">IFERROR(INDEX('Master Data Sheet'!$1:$1048576, MATCH(1, ('Master Data Sheet'!$H:$H=N$2) * (INDEX('Master Data Sheet'!$1:$1, , MATCH($F$1, 'Master Data Sheet'!$1:$1, 0)) = $F$1) * ('Master Data Sheet'!$G:$G=$B35) * ('Master Data Sheet'!$F:$F=$E35) * ('Master Data Sheet'!$A:$A=$F35), 0), MATCH($F$1, 'Master Data Sheet'!$1:$1, 0)), "")</f>
        <v>113.63636363636364</v>
      </c>
      <c r="O35" s="11">
        <f t="shared" si="8"/>
        <v>126.69441240869813</v>
      </c>
      <c r="P35" s="11">
        <f t="shared" si="4"/>
        <v>9.6463545792095182</v>
      </c>
      <c r="Q35" s="11"/>
      <c r="R35" s="46">
        <f>(1-(O35/O32))*100</f>
        <v>-2.3200877415000321</v>
      </c>
      <c r="Y35" s="2"/>
      <c r="Z35" s="2"/>
      <c r="AA35" s="2"/>
      <c r="AB35" s="2"/>
      <c r="AC35" s="2"/>
      <c r="AD35" s="2"/>
      <c r="AE35" s="2"/>
      <c r="AF35" s="2"/>
      <c r="AG35" s="2"/>
    </row>
    <row r="36" spans="1:45" x14ac:dyDescent="0.35">
      <c r="A36" s="41">
        <f>IFERROR(INDEX('Date Key'!$B$2:$B$19, MATCH(F36,'Date Key'!$A$2:$A$19, 0)), "")</f>
        <v>45250</v>
      </c>
      <c r="B36" s="4">
        <f t="shared" si="15"/>
        <v>4</v>
      </c>
      <c r="C36" s="26" t="str">
        <f>IFERROR(INDEX('Date Key'!$G$57:$G$62, MATCH(B36,'Date Key'!$A$57:$A$62, 0)), "")</f>
        <v>High HLR, Upper Outlet Height, No Plants</v>
      </c>
      <c r="D36" s="4" t="str">
        <f>IFERROR(INDEX('Date Key'!$G$2:$G$19, MATCH(F36, 'Date Key'!$A$2:$A$19, 0)), "")</f>
        <v>Yes</v>
      </c>
      <c r="E36" s="4" t="str">
        <f t="shared" si="1"/>
        <v>tank 2</v>
      </c>
      <c r="F36" s="4">
        <f t="shared" si="2"/>
        <v>10</v>
      </c>
      <c r="G36" s="4">
        <f t="shared" si="22"/>
        <v>1</v>
      </c>
      <c r="H36" s="11" cm="1">
        <f t="array" ref="H36">IFERROR(INDEX('Master Data Sheet'!$1:$1048576, MATCH(1, ('Master Data Sheet'!$H:$H=H$2) * (INDEX('Master Data Sheet'!$1:$1, , MATCH($F$1, 'Master Data Sheet'!$1:$1, 0)) = $F$1) * ('Master Data Sheet'!$G:$G=$B36) * ('Master Data Sheet'!$F:$F=$E36) * ('Master Data Sheet'!$A:$A=$F36), 0), MATCH($F$1, 'Master Data Sheet'!$1:$1, 0)), "")</f>
        <v>113.63636363636364</v>
      </c>
      <c r="I36" s="11" cm="1">
        <f t="array" ref="I36">IFERROR(INDEX('Master Data Sheet'!$1:$1048576, MATCH(1, ('Master Data Sheet'!$H:$H=I$2) * (INDEX('Master Data Sheet'!$1:$1, , MATCH($F$1, 'Master Data Sheet'!$1:$1, 0)) = $F$1) * ('Master Data Sheet'!$G:$G=$B36) * ('Master Data Sheet'!$F:$F=$E36) * ('Master Data Sheet'!$A:$A=$F36), 0), MATCH($F$1, 'Master Data Sheet'!$1:$1, 0)), "")</f>
        <v>133.92857142857144</v>
      </c>
      <c r="J36" s="11" cm="1">
        <f t="array" ref="J36">IFERROR(INDEX('Master Data Sheet'!$1:$1048576, MATCH(1, ('Master Data Sheet'!$H:$H=J$2) * (INDEX('Master Data Sheet'!$1:$1, , MATCH($F$1, 'Master Data Sheet'!$1:$1, 0)) = $F$1) * ('Master Data Sheet'!$G:$G=$B36) * ('Master Data Sheet'!$F:$F=$E36) * ('Master Data Sheet'!$A:$A=$F36), 0), MATCH($F$1, 'Master Data Sheet'!$1:$1, 0)), "")</f>
        <v>103.21100917431194</v>
      </c>
      <c r="K36" s="11" cm="1">
        <f t="array" ref="K36">IFERROR(INDEX('Master Data Sheet'!$1:$1048576, MATCH(1, ('Master Data Sheet'!$H:$H=K$2) * (INDEX('Master Data Sheet'!$1:$1, , MATCH($F$1, 'Master Data Sheet'!$1:$1, 0)) = $F$1) * ('Master Data Sheet'!$G:$G=$B36) * ('Master Data Sheet'!$F:$F=$E36) * ('Master Data Sheet'!$A:$A=$F36), 0), MATCH($F$1, 'Master Data Sheet'!$1:$1, 0)), "")</f>
        <v>92.592592592592609</v>
      </c>
      <c r="L36" s="11" cm="1">
        <f t="array" ref="L36">IFERROR(INDEX('Master Data Sheet'!$1:$1048576, MATCH(1, ('Master Data Sheet'!$H:$H=L$2) * (INDEX('Master Data Sheet'!$1:$1, , MATCH($F$1, 'Master Data Sheet'!$1:$1, 0)) = $F$1) * ('Master Data Sheet'!$G:$G=$B36) * ('Master Data Sheet'!$F:$F=$E36) * ('Master Data Sheet'!$A:$A=$F36), 0), MATCH($F$1, 'Master Data Sheet'!$1:$1, 0)), "")</f>
        <v>92.592592592592609</v>
      </c>
      <c r="M36" s="11" cm="1">
        <f t="array" ref="M36">IFERROR(INDEX('Master Data Sheet'!$1:$1048576, MATCH(1, ('Master Data Sheet'!$H:$H=M$2) * (INDEX('Master Data Sheet'!$1:$1, , MATCH($F$1, 'Master Data Sheet'!$1:$1, 0)) = $F$1) * ('Master Data Sheet'!$G:$G=$B36) * ('Master Data Sheet'!$F:$F=$E36) * ('Master Data Sheet'!$A:$A=$F36), 0), MATCH($F$1, 'Master Data Sheet'!$1:$1, 0)), "")</f>
        <v>92.592592592592609</v>
      </c>
      <c r="N36" s="11" cm="1">
        <f t="array" ref="N36">IFERROR(INDEX('Master Data Sheet'!$1:$1048576, MATCH(1, ('Master Data Sheet'!$H:$H=N$2) * (INDEX('Master Data Sheet'!$1:$1, , MATCH($F$1, 'Master Data Sheet'!$1:$1, 0)) = $F$1) * ('Master Data Sheet'!$G:$G=$B36) * ('Master Data Sheet'!$F:$F=$E36) * ('Master Data Sheet'!$A:$A=$F36), 0), MATCH($F$1, 'Master Data Sheet'!$1:$1, 0)), "")</f>
        <v>92.592592592592609</v>
      </c>
      <c r="O36" s="11">
        <f t="shared" si="8"/>
        <v>103.0209020870882</v>
      </c>
      <c r="P36" s="11">
        <f t="shared" si="4"/>
        <v>15.82722730183222</v>
      </c>
      <c r="Q36" s="11">
        <f>AVERAGE(N36:N38)</f>
        <v>103.14665513442272</v>
      </c>
      <c r="R36" s="46">
        <f>(1-(O36/O30))*100</f>
        <v>-9.4691736374521653</v>
      </c>
      <c r="S36" s="46">
        <f>AVERAGE(R36:R38)</f>
        <v>-7.6754123449112184</v>
      </c>
      <c r="T36" s="46">
        <f>STDEV(R36:R38)</f>
        <v>1.8472793397402727</v>
      </c>
      <c r="U36" s="47">
        <f>(1-(AVERAGE(H36:N38)/AVERAGE(H30:N32)))*100</f>
        <v>-7.5419618135918132</v>
      </c>
      <c r="V36" s="47"/>
      <c r="Y36" s="2"/>
      <c r="Z36" s="2"/>
      <c r="AA36" s="2"/>
      <c r="AB36" s="2"/>
      <c r="AC36" s="2"/>
      <c r="AD36" s="2"/>
      <c r="AE36" s="2"/>
      <c r="AF36" s="2"/>
      <c r="AG36" s="2"/>
    </row>
    <row r="37" spans="1:45" x14ac:dyDescent="0.35">
      <c r="A37" s="41">
        <f>IFERROR(INDEX('Date Key'!$B$2:$B$19, MATCH(F37,'Date Key'!$A$2:$A$19, 0)), "")</f>
        <v>45259</v>
      </c>
      <c r="B37" s="4">
        <f t="shared" si="15"/>
        <v>4</v>
      </c>
      <c r="C37" s="26" t="str">
        <f>IFERROR(INDEX('Date Key'!$G$57:$G$62, MATCH(B37,'Date Key'!$A$57:$A$62, 0)), "")</f>
        <v>High HLR, Upper Outlet Height, No Plants</v>
      </c>
      <c r="D37" s="4" t="str">
        <f>IFERROR(INDEX('Date Key'!$G$2:$G$19, MATCH(F37, 'Date Key'!$A$2:$A$19, 0)), "")</f>
        <v>No</v>
      </c>
      <c r="E37" s="4" t="str">
        <f t="shared" si="1"/>
        <v>tank 2</v>
      </c>
      <c r="F37" s="4">
        <f t="shared" si="2"/>
        <v>11</v>
      </c>
      <c r="G37" s="4">
        <f t="shared" si="22"/>
        <v>2</v>
      </c>
      <c r="H37" s="11" cm="1">
        <f t="array" ref="H37">IFERROR(INDEX('Master Data Sheet'!$1:$1048576, MATCH(1, ('Master Data Sheet'!$H:$H=H$2) * (INDEX('Master Data Sheet'!$1:$1, , MATCH($F$1, 'Master Data Sheet'!$1:$1, 0)) = $F$1) * ('Master Data Sheet'!$G:$G=$B37) * ('Master Data Sheet'!$F:$F=$E37) * ('Master Data Sheet'!$A:$A=$F37), 0), MATCH($F$1, 'Master Data Sheet'!$1:$1, 0)), "")</f>
        <v>153.50877192982455</v>
      </c>
      <c r="I37" s="11" cm="1">
        <f t="array" ref="I37">IFERROR(INDEX('Master Data Sheet'!$1:$1048576, MATCH(1, ('Master Data Sheet'!$H:$H=I$2) * (INDEX('Master Data Sheet'!$1:$1, , MATCH($F$1, 'Master Data Sheet'!$1:$1, 0)) = $F$1) * ('Master Data Sheet'!$G:$G=$B37) * ('Master Data Sheet'!$F:$F=$E37) * ('Master Data Sheet'!$A:$A=$F37), 0), MATCH($F$1, 'Master Data Sheet'!$1:$1, 0)), "")</f>
        <v>163.04347826086959</v>
      </c>
      <c r="J37" s="11" cm="1">
        <f t="array" ref="J37">IFERROR(INDEX('Master Data Sheet'!$1:$1048576, MATCH(1, ('Master Data Sheet'!$H:$H=J$2) * (INDEX('Master Data Sheet'!$1:$1, , MATCH($F$1, 'Master Data Sheet'!$1:$1, 0)) = $F$1) * ('Master Data Sheet'!$G:$G=$B37) * ('Master Data Sheet'!$F:$F=$E37) * ('Master Data Sheet'!$A:$A=$F37), 0), MATCH($F$1, 'Master Data Sheet'!$1:$1, 0)), "")</f>
        <v>123.8738738738739</v>
      </c>
      <c r="K37" s="11" cm="1">
        <f t="array" ref="K37">IFERROR(INDEX('Master Data Sheet'!$1:$1048576, MATCH(1, ('Master Data Sheet'!$H:$H=K$2) * (INDEX('Master Data Sheet'!$1:$1, , MATCH($F$1, 'Master Data Sheet'!$1:$1, 0)) = $F$1) * ('Master Data Sheet'!$G:$G=$B37) * ('Master Data Sheet'!$F:$F=$E37) * ('Master Data Sheet'!$A:$A=$F37), 0), MATCH($F$1, 'Master Data Sheet'!$1:$1, 0)), "")</f>
        <v>113.63636363636364</v>
      </c>
      <c r="L37" s="11" cm="1">
        <f t="array" ref="L37">IFERROR(INDEX('Master Data Sheet'!$1:$1048576, MATCH(1, ('Master Data Sheet'!$H:$H=L$2) * (INDEX('Master Data Sheet'!$1:$1, , MATCH($F$1, 'Master Data Sheet'!$1:$1, 0)) = $F$1) * ('Master Data Sheet'!$G:$G=$B37) * ('Master Data Sheet'!$F:$F=$E37) * ('Master Data Sheet'!$A:$A=$F37), 0), MATCH($F$1, 'Master Data Sheet'!$1:$1, 0)), "")</f>
        <v>113.63636363636364</v>
      </c>
      <c r="M37" s="11" cm="1">
        <f t="array" ref="M37">IFERROR(INDEX('Master Data Sheet'!$1:$1048576, MATCH(1, ('Master Data Sheet'!$H:$H=M$2) * (INDEX('Master Data Sheet'!$1:$1, , MATCH($F$1, 'Master Data Sheet'!$1:$1, 0)) = $F$1) * ('Master Data Sheet'!$G:$G=$B37) * ('Master Data Sheet'!$F:$F=$E37) * ('Master Data Sheet'!$A:$A=$F37), 0), MATCH($F$1, 'Master Data Sheet'!$1:$1, 0)), "")</f>
        <v>113.63636363636364</v>
      </c>
      <c r="N37" s="11" cm="1">
        <f t="array" ref="N37">IFERROR(INDEX('Master Data Sheet'!$1:$1048576, MATCH(1, ('Master Data Sheet'!$H:$H=N$2) * (INDEX('Master Data Sheet'!$1:$1, , MATCH($F$1, 'Master Data Sheet'!$1:$1, 0)) = $F$1) * ('Master Data Sheet'!$G:$G=$B37) * ('Master Data Sheet'!$F:$F=$E37) * ('Master Data Sheet'!$A:$A=$F37), 0), MATCH($F$1, 'Master Data Sheet'!$1:$1, 0)), "")</f>
        <v>103.21100917431194</v>
      </c>
      <c r="O37" s="11">
        <f t="shared" si="8"/>
        <v>126.36374630685297</v>
      </c>
      <c r="P37" s="11">
        <f t="shared" si="4"/>
        <v>22.768628500177513</v>
      </c>
      <c r="Q37" s="11"/>
      <c r="R37" s="46">
        <f>(1-(O37/O31))*100</f>
        <v>-5.7789036287729356</v>
      </c>
      <c r="X37" t="str">
        <f>IFERROR(INDEX('Date Key'!$G$57:$G$62, MATCH(B36,'Date Key'!$A$57:$A$62, 0)), "")</f>
        <v>High HLR, Upper Outlet Height, No Plants</v>
      </c>
      <c r="Y37" s="1">
        <f t="shared" ref="Y37:AE37" si="41">H36</f>
        <v>113.63636363636364</v>
      </c>
      <c r="Z37" s="1">
        <f t="shared" si="41"/>
        <v>133.92857142857144</v>
      </c>
      <c r="AA37" s="1">
        <f t="shared" si="41"/>
        <v>103.21100917431194</v>
      </c>
      <c r="AB37" s="1">
        <f t="shared" si="41"/>
        <v>92.592592592592609</v>
      </c>
      <c r="AC37" s="1">
        <f t="shared" si="41"/>
        <v>92.592592592592609</v>
      </c>
      <c r="AD37" s="1">
        <f t="shared" si="41"/>
        <v>92.592592592592609</v>
      </c>
      <c r="AE37" s="1">
        <f t="shared" si="41"/>
        <v>92.592592592592609</v>
      </c>
      <c r="AF37" s="1">
        <f t="shared" ref="AF37:AL37" si="42">H37</f>
        <v>153.50877192982455</v>
      </c>
      <c r="AG37" s="1">
        <f t="shared" si="42"/>
        <v>163.04347826086959</v>
      </c>
      <c r="AH37" s="1">
        <f t="shared" si="42"/>
        <v>123.8738738738739</v>
      </c>
      <c r="AI37" s="1">
        <f t="shared" si="42"/>
        <v>113.63636363636364</v>
      </c>
      <c r="AJ37" s="1">
        <f t="shared" si="42"/>
        <v>113.63636363636364</v>
      </c>
      <c r="AK37" s="1">
        <f t="shared" si="42"/>
        <v>113.63636363636364</v>
      </c>
      <c r="AL37" s="1">
        <f t="shared" si="42"/>
        <v>103.21100917431194</v>
      </c>
      <c r="AM37" s="1">
        <f t="shared" ref="AM37:AS37" si="43">H38</f>
        <v>163.04347826086959</v>
      </c>
      <c r="AN37" s="1">
        <f t="shared" si="43"/>
        <v>172.41379310344831</v>
      </c>
      <c r="AO37" s="1">
        <f t="shared" si="43"/>
        <v>133.92857142857144</v>
      </c>
      <c r="AP37" s="1">
        <f t="shared" si="43"/>
        <v>123.8738738738739</v>
      </c>
      <c r="AQ37" s="1">
        <f t="shared" si="43"/>
        <v>113.63636363636364</v>
      </c>
      <c r="AR37" s="1">
        <f t="shared" si="43"/>
        <v>113.63636363636364</v>
      </c>
      <c r="AS37" s="1">
        <f t="shared" si="43"/>
        <v>113.63636363636364</v>
      </c>
    </row>
    <row r="38" spans="1:45" x14ac:dyDescent="0.35">
      <c r="A38" s="42">
        <f>IFERROR(INDEX('Date Key'!$B$2:$B$19, MATCH(F38,'Date Key'!$A$2:$A$19, 0)), "")</f>
        <v>45266</v>
      </c>
      <c r="B38" s="27">
        <f t="shared" si="15"/>
        <v>4</v>
      </c>
      <c r="C38" s="51" t="str">
        <f>IFERROR(INDEX('Date Key'!$G$57:$G$62, MATCH(B38,'Date Key'!$A$57:$A$62, 0)), "")</f>
        <v>High HLR, Upper Outlet Height, No Plants</v>
      </c>
      <c r="D38" s="27" t="str">
        <f>IFERROR(INDEX('Date Key'!$G$2:$G$19, MATCH(F38, 'Date Key'!$A$2:$A$19, 0)), "")</f>
        <v>No</v>
      </c>
      <c r="E38" s="27" t="str">
        <f t="shared" si="1"/>
        <v>tank 2</v>
      </c>
      <c r="F38" s="27">
        <f t="shared" si="2"/>
        <v>12</v>
      </c>
      <c r="G38" s="27">
        <f t="shared" si="22"/>
        <v>3</v>
      </c>
      <c r="H38" s="28" cm="1">
        <f t="array" ref="H38">IFERROR(INDEX('Master Data Sheet'!$1:$1048576, MATCH(1, ('Master Data Sheet'!$H:$H=H$2) * (INDEX('Master Data Sheet'!$1:$1, , MATCH($F$1, 'Master Data Sheet'!$1:$1, 0)) = $F$1) * ('Master Data Sheet'!$G:$G=$B38) * ('Master Data Sheet'!$F:$F=$E38) * ('Master Data Sheet'!$A:$A=$F38), 0), MATCH($F$1, 'Master Data Sheet'!$1:$1, 0)), "")</f>
        <v>163.04347826086959</v>
      </c>
      <c r="I38" s="28" cm="1">
        <f t="array" ref="I38">IFERROR(INDEX('Master Data Sheet'!$1:$1048576, MATCH(1, ('Master Data Sheet'!$H:$H=I$2) * (INDEX('Master Data Sheet'!$1:$1, , MATCH($F$1, 'Master Data Sheet'!$1:$1, 0)) = $F$1) * ('Master Data Sheet'!$G:$G=$B38) * ('Master Data Sheet'!$F:$F=$E38) * ('Master Data Sheet'!$A:$A=$F38), 0), MATCH($F$1, 'Master Data Sheet'!$1:$1, 0)), "")</f>
        <v>172.41379310344831</v>
      </c>
      <c r="J38" s="28" cm="1">
        <f t="array" ref="J38">IFERROR(INDEX('Master Data Sheet'!$1:$1048576, MATCH(1, ('Master Data Sheet'!$H:$H=J$2) * (INDEX('Master Data Sheet'!$1:$1, , MATCH($F$1, 'Master Data Sheet'!$1:$1, 0)) = $F$1) * ('Master Data Sheet'!$G:$G=$B38) * ('Master Data Sheet'!$F:$F=$E38) * ('Master Data Sheet'!$A:$A=$F38), 0), MATCH($F$1, 'Master Data Sheet'!$1:$1, 0)), "")</f>
        <v>133.92857142857144</v>
      </c>
      <c r="K38" s="28" cm="1">
        <f t="array" ref="K38">IFERROR(INDEX('Master Data Sheet'!$1:$1048576, MATCH(1, ('Master Data Sheet'!$H:$H=K$2) * (INDEX('Master Data Sheet'!$1:$1, , MATCH($F$1, 'Master Data Sheet'!$1:$1, 0)) = $F$1) * ('Master Data Sheet'!$G:$G=$B38) * ('Master Data Sheet'!$F:$F=$E38) * ('Master Data Sheet'!$A:$A=$F38), 0), MATCH($F$1, 'Master Data Sheet'!$1:$1, 0)), "")</f>
        <v>123.8738738738739</v>
      </c>
      <c r="L38" s="28" cm="1">
        <f t="array" ref="L38">IFERROR(INDEX('Master Data Sheet'!$1:$1048576, MATCH(1, ('Master Data Sheet'!$H:$H=L$2) * (INDEX('Master Data Sheet'!$1:$1, , MATCH($F$1, 'Master Data Sheet'!$1:$1, 0)) = $F$1) * ('Master Data Sheet'!$G:$G=$B38) * ('Master Data Sheet'!$F:$F=$E38) * ('Master Data Sheet'!$A:$A=$F38), 0), MATCH($F$1, 'Master Data Sheet'!$1:$1, 0)), "")</f>
        <v>113.63636363636364</v>
      </c>
      <c r="M38" s="28" cm="1">
        <f t="array" ref="M38">IFERROR(INDEX('Master Data Sheet'!$1:$1048576, MATCH(1, ('Master Data Sheet'!$H:$H=M$2) * (INDEX('Master Data Sheet'!$1:$1, , MATCH($F$1, 'Master Data Sheet'!$1:$1, 0)) = $F$1) * ('Master Data Sheet'!$G:$G=$B38) * ('Master Data Sheet'!$F:$F=$E38) * ('Master Data Sheet'!$A:$A=$F38), 0), MATCH($F$1, 'Master Data Sheet'!$1:$1, 0)), "")</f>
        <v>113.63636363636364</v>
      </c>
      <c r="N38" s="28" cm="1">
        <f t="array" ref="N38">IFERROR(INDEX('Master Data Sheet'!$1:$1048576, MATCH(1, ('Master Data Sheet'!$H:$H=N$2) * (INDEX('Master Data Sheet'!$1:$1, , MATCH($F$1, 'Master Data Sheet'!$1:$1, 0)) = $F$1) * ('Master Data Sheet'!$G:$G=$B38) * ('Master Data Sheet'!$F:$F=$E38) * ('Master Data Sheet'!$A:$A=$F38), 0), MATCH($F$1, 'Master Data Sheet'!$1:$1, 0)), "")</f>
        <v>113.63636363636364</v>
      </c>
      <c r="O38" s="28">
        <f t="shared" si="8"/>
        <v>133.45268679655058</v>
      </c>
      <c r="P38" s="28">
        <f t="shared" si="4"/>
        <v>24.710398816759163</v>
      </c>
      <c r="Q38" s="28"/>
      <c r="R38" s="48">
        <f>(1-(O38/O32))*100</f>
        <v>-7.7781597685085524</v>
      </c>
      <c r="S38" s="27"/>
      <c r="T38" s="27"/>
      <c r="U38" s="27"/>
      <c r="V38" s="27"/>
    </row>
    <row r="39" spans="1:45" x14ac:dyDescent="0.35">
      <c r="A39" s="41">
        <f>IFERROR(INDEX('Date Key'!$B$2:$B$19, MATCH(F39,'Date Key'!$A$2:$A$19, 0)), "")</f>
        <v>45313</v>
      </c>
      <c r="B39" s="4">
        <f t="shared" si="15"/>
        <v>5</v>
      </c>
      <c r="C39" s="26" t="str">
        <f>IFERROR(INDEX('Date Key'!$G$57:$G$62, MATCH(B39,'Date Key'!$A$57:$A$62, 0)), "")</f>
        <v>High HLR, Lower Outlet Height, Yes Plants</v>
      </c>
      <c r="D39" s="4" t="str">
        <f>IFERROR(INDEX('Date Key'!$G$2:$G$19, MATCH(F39, 'Date Key'!$A$2:$A$19, 0)), "")</f>
        <v>Yes</v>
      </c>
      <c r="E39" s="4" t="str">
        <f t="shared" si="1"/>
        <v>in</v>
      </c>
      <c r="F39" s="4">
        <f t="shared" si="2"/>
        <v>13</v>
      </c>
      <c r="G39" s="4">
        <f t="shared" si="22"/>
        <v>1</v>
      </c>
      <c r="H39" s="11" cm="1">
        <f t="array" ref="H39">IFERROR(INDEX('Master Data Sheet'!$1:$1048576, MATCH(1, ('Master Data Sheet'!$H:$H=H$2) * (INDEX('Master Data Sheet'!$1:$1, , MATCH($F$1, 'Master Data Sheet'!$1:$1, 0)) = $F$1) * ('Master Data Sheet'!$G:$G=$B39) * ('Master Data Sheet'!$F:$F=$E39) * ('Master Data Sheet'!$A:$A=$F39), 0), MATCH($F$1, 'Master Data Sheet'!$1:$1, 0)), "")</f>
        <v>92.592592592592609</v>
      </c>
      <c r="I39" s="11" cm="1">
        <f t="array" ref="I39">IFERROR(INDEX('Master Data Sheet'!$1:$1048576, MATCH(1, ('Master Data Sheet'!$H:$H=I$2) * (INDEX('Master Data Sheet'!$1:$1, , MATCH($F$1, 'Master Data Sheet'!$1:$1, 0)) = $F$1) * ('Master Data Sheet'!$G:$G=$B39) * ('Master Data Sheet'!$F:$F=$E39) * ('Master Data Sheet'!$A:$A=$F39), 0), MATCH($F$1, 'Master Data Sheet'!$1:$1, 0)), "")</f>
        <v>97.926267281105993</v>
      </c>
      <c r="J39" s="11" cm="1">
        <f t="array" ref="J39">IFERROR(INDEX('Master Data Sheet'!$1:$1048576, MATCH(1, ('Master Data Sheet'!$H:$H=J$2) * (INDEX('Master Data Sheet'!$1:$1, , MATCH($F$1, 'Master Data Sheet'!$1:$1, 0)) = $F$1) * ('Master Data Sheet'!$G:$G=$B39) * ('Master Data Sheet'!$F:$F=$E39) * ('Master Data Sheet'!$A:$A=$F39), 0), MATCH($F$1, 'Master Data Sheet'!$1:$1, 0)), "")</f>
        <v>81.775700934579433</v>
      </c>
      <c r="K39" s="11" cm="1">
        <f t="array" ref="K39">IFERROR(INDEX('Master Data Sheet'!$1:$1048576, MATCH(1, ('Master Data Sheet'!$H:$H=K$2) * (INDEX('Master Data Sheet'!$1:$1, , MATCH($F$1, 'Master Data Sheet'!$1:$1, 0)) = $F$1) * ('Master Data Sheet'!$G:$G=$B39) * ('Master Data Sheet'!$F:$F=$E39) * ('Master Data Sheet'!$A:$A=$F39), 0), MATCH($F$1, 'Master Data Sheet'!$1:$1, 0)), "")</f>
        <v>103.21100917431194</v>
      </c>
      <c r="L39" s="11" cm="1">
        <f t="array" ref="L39">IFERROR(INDEX('Master Data Sheet'!$1:$1048576, MATCH(1, ('Master Data Sheet'!$H:$H=L$2) * (INDEX('Master Data Sheet'!$1:$1, , MATCH($F$1, 'Master Data Sheet'!$1:$1, 0)) = $F$1) * ('Master Data Sheet'!$G:$G=$B39) * ('Master Data Sheet'!$F:$F=$E39) * ('Master Data Sheet'!$A:$A=$F39), 0), MATCH($F$1, 'Master Data Sheet'!$1:$1, 0)), "")</f>
        <v>113.63636363636364</v>
      </c>
      <c r="M39" s="11" cm="1">
        <f t="array" ref="M39">IFERROR(INDEX('Master Data Sheet'!$1:$1048576, MATCH(1, ('Master Data Sheet'!$H:$H=M$2) * (INDEX('Master Data Sheet'!$1:$1, , MATCH($F$1, 'Master Data Sheet'!$1:$1, 0)) = $F$1) * ('Master Data Sheet'!$G:$G=$B39) * ('Master Data Sheet'!$F:$F=$E39) * ('Master Data Sheet'!$A:$A=$F39), 0), MATCH($F$1, 'Master Data Sheet'!$1:$1, 0)), "")</f>
        <v>97.926267281105993</v>
      </c>
      <c r="N39" s="11" cm="1">
        <f t="array" ref="N39">IFERROR(INDEX('Master Data Sheet'!$1:$1048576, MATCH(1, ('Master Data Sheet'!$H:$H=N$2) * (INDEX('Master Data Sheet'!$1:$1, , MATCH($F$1, 'Master Data Sheet'!$1:$1, 0)) = $F$1) * ('Master Data Sheet'!$G:$G=$B39) * ('Master Data Sheet'!$F:$F=$E39) * ('Master Data Sheet'!$A:$A=$F39), 0), MATCH($F$1, 'Master Data Sheet'!$1:$1, 0)), "")</f>
        <v>87.209302325581405</v>
      </c>
      <c r="O39" s="11">
        <f t="shared" si="8"/>
        <v>96.325357603662979</v>
      </c>
      <c r="P39" s="11">
        <f t="shared" si="4"/>
        <v>10.495534436578145</v>
      </c>
      <c r="Q39" s="11">
        <f>AVERAGE(O39:O41)</f>
        <v>115.3664458659822</v>
      </c>
      <c r="S39" s="11">
        <f>AVERAGE(O39:O41)</f>
        <v>115.3664458659822</v>
      </c>
      <c r="T39" s="11">
        <f>AVERAGE(P39:P41)</f>
        <v>9.0478961731657268</v>
      </c>
      <c r="V39" s="47">
        <f>AVERAGE(U42, U45)</f>
        <v>-9.3536897300307125</v>
      </c>
      <c r="X39" t="s">
        <v>343</v>
      </c>
    </row>
    <row r="40" spans="1:45" x14ac:dyDescent="0.35">
      <c r="A40" s="41">
        <f>IFERROR(INDEX('Date Key'!$B$2:$B$19, MATCH(F40,'Date Key'!$A$2:$A$19, 0)), "")</f>
        <v>45322</v>
      </c>
      <c r="B40" s="4">
        <f t="shared" si="15"/>
        <v>5</v>
      </c>
      <c r="C40" s="26" t="str">
        <f>IFERROR(INDEX('Date Key'!$G$57:$G$62, MATCH(B40,'Date Key'!$A$57:$A$62, 0)), "")</f>
        <v>High HLR, Lower Outlet Height, Yes Plants</v>
      </c>
      <c r="D40" s="4" t="str">
        <f>IFERROR(INDEX('Date Key'!$G$2:$G$19, MATCH(F40, 'Date Key'!$A$2:$A$19, 0)), "")</f>
        <v>No</v>
      </c>
      <c r="E40" s="4" t="str">
        <f t="shared" si="1"/>
        <v>in</v>
      </c>
      <c r="F40" s="4">
        <f t="shared" si="2"/>
        <v>14</v>
      </c>
      <c r="G40" s="4">
        <f t="shared" si="22"/>
        <v>2</v>
      </c>
      <c r="H40" s="11" cm="1">
        <f t="array" ref="H40">IFERROR(INDEX('Master Data Sheet'!$1:$1048576, MATCH(1, ('Master Data Sheet'!$H:$H=H$2) * (INDEX('Master Data Sheet'!$1:$1, , MATCH($F$1, 'Master Data Sheet'!$1:$1, 0)) = $F$1) * ('Master Data Sheet'!$G:$G=$B40) * ('Master Data Sheet'!$F:$F=$E40) * ('Master Data Sheet'!$A:$A=$F40), 0), MATCH($F$1, 'Master Data Sheet'!$1:$1, 0)), "")</f>
        <v>133.92857142857144</v>
      </c>
      <c r="I40" s="11" cm="1">
        <f t="array" ref="I40">IFERROR(INDEX('Master Data Sheet'!$1:$1048576, MATCH(1, ('Master Data Sheet'!$H:$H=I$2) * (INDEX('Master Data Sheet'!$1:$1, , MATCH($F$1, 'Master Data Sheet'!$1:$1, 0)) = $F$1) * ('Master Data Sheet'!$G:$G=$B40) * ('Master Data Sheet'!$F:$F=$E40) * ('Master Data Sheet'!$A:$A=$F40), 0), MATCH($F$1, 'Master Data Sheet'!$1:$1, 0)), "")</f>
        <v>128.92376681614348</v>
      </c>
      <c r="J40" s="11" cm="1">
        <f t="array" ref="J40">IFERROR(INDEX('Master Data Sheet'!$1:$1048576, MATCH(1, ('Master Data Sheet'!$H:$H=J$2) * (INDEX('Master Data Sheet'!$1:$1, , MATCH($F$1, 'Master Data Sheet'!$1:$1, 0)) = $F$1) * ('Master Data Sheet'!$G:$G=$B40) * ('Master Data Sheet'!$F:$F=$E40) * ('Master Data Sheet'!$A:$A=$F40), 0), MATCH($F$1, 'Master Data Sheet'!$1:$1, 0)), "")</f>
        <v>128.92376681614348</v>
      </c>
      <c r="K40" s="11" cm="1">
        <f t="array" ref="K40">IFERROR(INDEX('Master Data Sheet'!$1:$1048576, MATCH(1, ('Master Data Sheet'!$H:$H=K$2) * (INDEX('Master Data Sheet'!$1:$1, , MATCH($F$1, 'Master Data Sheet'!$1:$1, 0)) = $F$1) * ('Master Data Sheet'!$G:$G=$B40) * ('Master Data Sheet'!$F:$F=$E40) * ('Master Data Sheet'!$A:$A=$F40), 0), MATCH($F$1, 'Master Data Sheet'!$1:$1, 0)), "")</f>
        <v>133.92857142857144</v>
      </c>
      <c r="L40" s="11" cm="1">
        <f t="array" ref="L40">IFERROR(INDEX('Master Data Sheet'!$1:$1048576, MATCH(1, ('Master Data Sheet'!$H:$H=L$2) * (INDEX('Master Data Sheet'!$1:$1, , MATCH($F$1, 'Master Data Sheet'!$1:$1, 0)) = $F$1) * ('Master Data Sheet'!$G:$G=$B40) * ('Master Data Sheet'!$F:$F=$E40) * ('Master Data Sheet'!$A:$A=$F40), 0), MATCH($F$1, 'Master Data Sheet'!$1:$1, 0)), "")</f>
        <v>123.8738738738739</v>
      </c>
      <c r="M40" s="11" cm="1">
        <f t="array" ref="M40">IFERROR(INDEX('Master Data Sheet'!$1:$1048576, MATCH(1, ('Master Data Sheet'!$H:$H=M$2) * (INDEX('Master Data Sheet'!$1:$1, , MATCH($F$1, 'Master Data Sheet'!$1:$1, 0)) = $F$1) * ('Master Data Sheet'!$G:$G=$B40) * ('Master Data Sheet'!$F:$F=$E40) * ('Master Data Sheet'!$A:$A=$F40), 0), MATCH($F$1, 'Master Data Sheet'!$1:$1, 0)), "")</f>
        <v>123.8738738738739</v>
      </c>
      <c r="N40" s="11" cm="1">
        <f t="array" ref="N40">IFERROR(INDEX('Master Data Sheet'!$1:$1048576, MATCH(1, ('Master Data Sheet'!$H:$H=N$2) * (INDEX('Master Data Sheet'!$1:$1, , MATCH($F$1, 'Master Data Sheet'!$1:$1, 0)) = $F$1) * ('Master Data Sheet'!$G:$G=$B40) * ('Master Data Sheet'!$F:$F=$E40) * ('Master Data Sheet'!$A:$A=$F40), 0), MATCH($F$1, 'Master Data Sheet'!$1:$1, 0)), "")</f>
        <v>123.8738738738739</v>
      </c>
      <c r="O40" s="11">
        <f t="shared" si="8"/>
        <v>128.18947115872166</v>
      </c>
      <c r="P40" s="11">
        <f t="shared" si="4"/>
        <v>4.5244900967724675</v>
      </c>
      <c r="Q40" s="11"/>
      <c r="X40" t="str">
        <f>IFERROR(INDEX('Date Key'!$G$57:$G$62, MATCH(B39,'Date Key'!$A$57:$A$62, 0)), "")</f>
        <v>High HLR, Lower Outlet Height, Yes Plants</v>
      </c>
      <c r="Y40" s="1">
        <f t="shared" ref="Y40:AE40" si="44">H39</f>
        <v>92.592592592592609</v>
      </c>
      <c r="Z40" s="1">
        <f t="shared" si="44"/>
        <v>97.926267281105993</v>
      </c>
      <c r="AA40" s="1">
        <f t="shared" si="44"/>
        <v>81.775700934579433</v>
      </c>
      <c r="AB40" s="1">
        <f t="shared" si="44"/>
        <v>103.21100917431194</v>
      </c>
      <c r="AC40" s="1">
        <f t="shared" si="44"/>
        <v>113.63636363636364</v>
      </c>
      <c r="AD40" s="1">
        <f t="shared" si="44"/>
        <v>97.926267281105993</v>
      </c>
      <c r="AE40" s="1">
        <f t="shared" si="44"/>
        <v>87.209302325581405</v>
      </c>
      <c r="AF40" s="1">
        <f t="shared" ref="AF40:AL40" si="45">H40</f>
        <v>133.92857142857144</v>
      </c>
      <c r="AG40" s="1">
        <f t="shared" si="45"/>
        <v>128.92376681614348</v>
      </c>
      <c r="AH40" s="1">
        <f t="shared" si="45"/>
        <v>128.92376681614348</v>
      </c>
      <c r="AI40" s="1">
        <f t="shared" si="45"/>
        <v>133.92857142857144</v>
      </c>
      <c r="AJ40" s="1">
        <f t="shared" si="45"/>
        <v>123.8738738738739</v>
      </c>
      <c r="AK40" s="1">
        <f t="shared" si="45"/>
        <v>123.8738738738739</v>
      </c>
      <c r="AL40" s="1">
        <f t="shared" si="45"/>
        <v>123.8738738738739</v>
      </c>
      <c r="AM40" s="1">
        <f t="shared" ref="AM40:AS40" si="46">H41</f>
        <v>108.4474885844749</v>
      </c>
      <c r="AN40" s="1">
        <f t="shared" si="46"/>
        <v>118.77828054298644</v>
      </c>
      <c r="AO40" s="1">
        <f t="shared" si="46"/>
        <v>103.21100917431194</v>
      </c>
      <c r="AP40" s="1">
        <f t="shared" si="46"/>
        <v>128.92376681614348</v>
      </c>
      <c r="AQ40" s="1">
        <f t="shared" si="46"/>
        <v>133.92857142857144</v>
      </c>
      <c r="AR40" s="1">
        <f t="shared" si="46"/>
        <v>133.92857142857144</v>
      </c>
      <c r="AS40" s="1">
        <f t="shared" si="46"/>
        <v>123.8738738738739</v>
      </c>
    </row>
    <row r="41" spans="1:45" x14ac:dyDescent="0.35">
      <c r="A41" s="41">
        <f>IFERROR(INDEX('Date Key'!$B$2:$B$19, MATCH(F41,'Date Key'!$A$2:$A$19, 0)), "")</f>
        <v>45330</v>
      </c>
      <c r="B41" s="4">
        <f t="shared" si="15"/>
        <v>5</v>
      </c>
      <c r="C41" s="26" t="str">
        <f>IFERROR(INDEX('Date Key'!$G$57:$G$62, MATCH(B41,'Date Key'!$A$57:$A$62, 0)), "")</f>
        <v>High HLR, Lower Outlet Height, Yes Plants</v>
      </c>
      <c r="D41" s="4" t="str">
        <f>IFERROR(INDEX('Date Key'!$G$2:$G$19, MATCH(F41, 'Date Key'!$A$2:$A$19, 0)), "")</f>
        <v>No</v>
      </c>
      <c r="E41" s="4" t="str">
        <f t="shared" si="1"/>
        <v>in</v>
      </c>
      <c r="F41" s="4">
        <f t="shared" si="2"/>
        <v>15</v>
      </c>
      <c r="G41" s="4">
        <f t="shared" si="22"/>
        <v>3</v>
      </c>
      <c r="H41" s="11" cm="1">
        <f t="array" ref="H41">IFERROR(INDEX('Master Data Sheet'!$1:$1048576, MATCH(1, ('Master Data Sheet'!$H:$H=H$2) * (INDEX('Master Data Sheet'!$1:$1, , MATCH($F$1, 'Master Data Sheet'!$1:$1, 0)) = $F$1) * ('Master Data Sheet'!$G:$G=$B41) * ('Master Data Sheet'!$F:$F=$E41) * ('Master Data Sheet'!$A:$A=$F41), 0), MATCH($F$1, 'Master Data Sheet'!$1:$1, 0)), "")</f>
        <v>108.4474885844749</v>
      </c>
      <c r="I41" s="11" cm="1">
        <f t="array" ref="I41">IFERROR(INDEX('Master Data Sheet'!$1:$1048576, MATCH(1, ('Master Data Sheet'!$H:$H=I$2) * (INDEX('Master Data Sheet'!$1:$1, , MATCH($F$1, 'Master Data Sheet'!$1:$1, 0)) = $F$1) * ('Master Data Sheet'!$G:$G=$B41) * ('Master Data Sheet'!$F:$F=$E41) * ('Master Data Sheet'!$A:$A=$F41), 0), MATCH($F$1, 'Master Data Sheet'!$1:$1, 0)), "")</f>
        <v>118.77828054298644</v>
      </c>
      <c r="J41" s="11" cm="1">
        <f t="array" ref="J41">IFERROR(INDEX('Master Data Sheet'!$1:$1048576, MATCH(1, ('Master Data Sheet'!$H:$H=J$2) * (INDEX('Master Data Sheet'!$1:$1, , MATCH($F$1, 'Master Data Sheet'!$1:$1, 0)) = $F$1) * ('Master Data Sheet'!$G:$G=$B41) * ('Master Data Sheet'!$F:$F=$E41) * ('Master Data Sheet'!$A:$A=$F41), 0), MATCH($F$1, 'Master Data Sheet'!$1:$1, 0)), "")</f>
        <v>103.21100917431194</v>
      </c>
      <c r="K41" s="11" cm="1">
        <f t="array" ref="K41">IFERROR(INDEX('Master Data Sheet'!$1:$1048576, MATCH(1, ('Master Data Sheet'!$H:$H=K$2) * (INDEX('Master Data Sheet'!$1:$1, , MATCH($F$1, 'Master Data Sheet'!$1:$1, 0)) = $F$1) * ('Master Data Sheet'!$G:$G=$B41) * ('Master Data Sheet'!$F:$F=$E41) * ('Master Data Sheet'!$A:$A=$F41), 0), MATCH($F$1, 'Master Data Sheet'!$1:$1, 0)), "")</f>
        <v>128.92376681614348</v>
      </c>
      <c r="L41" s="11" cm="1">
        <f t="array" ref="L41">IFERROR(INDEX('Master Data Sheet'!$1:$1048576, MATCH(1, ('Master Data Sheet'!$H:$H=L$2) * (INDEX('Master Data Sheet'!$1:$1, , MATCH($F$1, 'Master Data Sheet'!$1:$1, 0)) = $F$1) * ('Master Data Sheet'!$G:$G=$B41) * ('Master Data Sheet'!$F:$F=$E41) * ('Master Data Sheet'!$A:$A=$F41), 0), MATCH($F$1, 'Master Data Sheet'!$1:$1, 0)), "")</f>
        <v>133.92857142857144</v>
      </c>
      <c r="M41" s="11" cm="1">
        <f t="array" ref="M41">IFERROR(INDEX('Master Data Sheet'!$1:$1048576, MATCH(1, ('Master Data Sheet'!$H:$H=M$2) * (INDEX('Master Data Sheet'!$1:$1, , MATCH($F$1, 'Master Data Sheet'!$1:$1, 0)) = $F$1) * ('Master Data Sheet'!$G:$G=$B41) * ('Master Data Sheet'!$F:$F=$E41) * ('Master Data Sheet'!$A:$A=$F41), 0), MATCH($F$1, 'Master Data Sheet'!$1:$1, 0)), "")</f>
        <v>133.92857142857144</v>
      </c>
      <c r="N41" s="11" cm="1">
        <f t="array" ref="N41">IFERROR(INDEX('Master Data Sheet'!$1:$1048576, MATCH(1, ('Master Data Sheet'!$H:$H=N$2) * (INDEX('Master Data Sheet'!$1:$1, , MATCH($F$1, 'Master Data Sheet'!$1:$1, 0)) = $F$1) * ('Master Data Sheet'!$G:$G=$B41) * ('Master Data Sheet'!$F:$F=$E41) * ('Master Data Sheet'!$A:$A=$F41), 0), MATCH($F$1, 'Master Data Sheet'!$1:$1, 0)), "")</f>
        <v>123.8738738738739</v>
      </c>
      <c r="O41" s="11">
        <f t="shared" si="8"/>
        <v>121.58450883556193</v>
      </c>
      <c r="P41" s="11">
        <f t="shared" si="4"/>
        <v>12.123663986146571</v>
      </c>
      <c r="Q41" s="11"/>
      <c r="Y41" s="1"/>
      <c r="Z41" s="1"/>
      <c r="AA41" s="1"/>
      <c r="AB41" s="1"/>
      <c r="AC41" s="1"/>
      <c r="AD41" s="1"/>
      <c r="AE41" s="1"/>
      <c r="AF41" s="1"/>
      <c r="AG41" s="1"/>
      <c r="AH41" s="1"/>
      <c r="AI41" s="1"/>
      <c r="AJ41" s="1"/>
      <c r="AK41" s="1"/>
      <c r="AL41" s="1"/>
      <c r="AM41" s="1"/>
      <c r="AN41" s="1"/>
      <c r="AO41" s="1"/>
      <c r="AP41" s="1"/>
      <c r="AQ41" s="1"/>
      <c r="AR41" s="1"/>
      <c r="AS41" s="1"/>
    </row>
    <row r="42" spans="1:45" x14ac:dyDescent="0.35">
      <c r="A42" s="41">
        <f>IFERROR(INDEX('Date Key'!$B$2:$B$19, MATCH(F42,'Date Key'!$A$2:$A$19, 0)), "")</f>
        <v>45313</v>
      </c>
      <c r="B42" s="4">
        <f t="shared" si="15"/>
        <v>5</v>
      </c>
      <c r="C42" s="26" t="str">
        <f>IFERROR(INDEX('Date Key'!$G$57:$G$62, MATCH(B42,'Date Key'!$A$57:$A$62, 0)), "")</f>
        <v>High HLR, Lower Outlet Height, Yes Plants</v>
      </c>
      <c r="D42" s="4" t="str">
        <f>IFERROR(INDEX('Date Key'!$G$2:$G$19, MATCH(F42, 'Date Key'!$A$2:$A$19, 0)), "")</f>
        <v>Yes</v>
      </c>
      <c r="E42" s="4" t="str">
        <f t="shared" si="1"/>
        <v>tank 1</v>
      </c>
      <c r="F42" s="4">
        <f t="shared" si="2"/>
        <v>13</v>
      </c>
      <c r="G42" s="4">
        <f t="shared" si="22"/>
        <v>1</v>
      </c>
      <c r="H42" s="11" cm="1">
        <f t="array" ref="H42">IFERROR(INDEX('Master Data Sheet'!$1:$1048576, MATCH(1, ('Master Data Sheet'!$H:$H=H$2) * (INDEX('Master Data Sheet'!$1:$1, , MATCH($F$1, 'Master Data Sheet'!$1:$1, 0)) = $F$1) * ('Master Data Sheet'!$G:$G=$B42) * ('Master Data Sheet'!$F:$F=$E42) * ('Master Data Sheet'!$A:$A=$F42), 0), MATCH($F$1, 'Master Data Sheet'!$1:$1, 0)), "")</f>
        <v>190.67796610169495</v>
      </c>
      <c r="I42" s="11" cm="1">
        <f t="array" ref="I42">IFERROR(INDEX('Master Data Sheet'!$1:$1048576, MATCH(1, ('Master Data Sheet'!$H:$H=I$2) * (INDEX('Master Data Sheet'!$1:$1, , MATCH($F$1, 'Master Data Sheet'!$1:$1, 0)) = $F$1) * ('Master Data Sheet'!$G:$G=$B42) * ('Master Data Sheet'!$F:$F=$E42) * ('Master Data Sheet'!$A:$A=$F42), 0), MATCH($F$1, 'Master Data Sheet'!$1:$1, 0)), "")</f>
        <v>153.50877192982455</v>
      </c>
      <c r="J42" s="11" cm="1">
        <f t="array" ref="J42">IFERROR(INDEX('Master Data Sheet'!$1:$1048576, MATCH(1, ('Master Data Sheet'!$H:$H=J$2) * (INDEX('Master Data Sheet'!$1:$1, , MATCH($F$1, 'Master Data Sheet'!$1:$1, 0)) = $F$1) * ('Master Data Sheet'!$G:$G=$B42) * ('Master Data Sheet'!$F:$F=$E42) * ('Master Data Sheet'!$A:$A=$F42), 0), MATCH($F$1, 'Master Data Sheet'!$1:$1, 0)), "")</f>
        <v>113.63636363636364</v>
      </c>
      <c r="K42" s="11" cm="1">
        <f t="array" ref="K42">IFERROR(INDEX('Master Data Sheet'!$1:$1048576, MATCH(1, ('Master Data Sheet'!$H:$H=K$2) * (INDEX('Master Data Sheet'!$1:$1, , MATCH($F$1, 'Master Data Sheet'!$1:$1, 0)) = $F$1) * ('Master Data Sheet'!$G:$G=$B42) * ('Master Data Sheet'!$F:$F=$E42) * ('Master Data Sheet'!$A:$A=$F42), 0), MATCH($F$1, 'Master Data Sheet'!$1:$1, 0)), "")</f>
        <v>113.63636363636364</v>
      </c>
      <c r="L42" s="11" cm="1">
        <f t="array" ref="L42">IFERROR(INDEX('Master Data Sheet'!$1:$1048576, MATCH(1, ('Master Data Sheet'!$H:$H=L$2) * (INDEX('Master Data Sheet'!$1:$1, , MATCH($F$1, 'Master Data Sheet'!$1:$1, 0)) = $F$1) * ('Master Data Sheet'!$G:$G=$B42) * ('Master Data Sheet'!$F:$F=$E42) * ('Master Data Sheet'!$A:$A=$F42), 0), MATCH($F$1, 'Master Data Sheet'!$1:$1, 0)), "")</f>
        <v>108.4474885844749</v>
      </c>
      <c r="M42" s="11" cm="1">
        <f t="array" ref="M42">IFERROR(INDEX('Master Data Sheet'!$1:$1048576, MATCH(1, ('Master Data Sheet'!$H:$H=M$2) * (INDEX('Master Data Sheet'!$1:$1, , MATCH($F$1, 'Master Data Sheet'!$1:$1, 0)) = $F$1) * ('Master Data Sheet'!$G:$G=$B42) * ('Master Data Sheet'!$F:$F=$E42) * ('Master Data Sheet'!$A:$A=$F42), 0), MATCH($F$1, 'Master Data Sheet'!$1:$1, 0)), "")</f>
        <v>103.21100917431194</v>
      </c>
      <c r="N42" s="11" cm="1">
        <f t="array" ref="N42">IFERROR(INDEX('Master Data Sheet'!$1:$1048576, MATCH(1, ('Master Data Sheet'!$H:$H=N$2) * (INDEX('Master Data Sheet'!$1:$1, , MATCH($F$1, 'Master Data Sheet'!$1:$1, 0)) = $F$1) * ('Master Data Sheet'!$G:$G=$B42) * ('Master Data Sheet'!$F:$F=$E42) * ('Master Data Sheet'!$A:$A=$F42), 0), MATCH($F$1, 'Master Data Sheet'!$1:$1, 0)), "")</f>
        <v>97.926267281105993</v>
      </c>
      <c r="O42" s="11">
        <f t="shared" si="8"/>
        <v>125.86346147773422</v>
      </c>
      <c r="P42" s="11">
        <f t="shared" si="4"/>
        <v>33.815981354098632</v>
      </c>
      <c r="Q42" s="11">
        <f>AVERAGE(O42:O44)</f>
        <v>127.59710840353311</v>
      </c>
      <c r="R42" s="46">
        <f>(1-(O42/O39))*100</f>
        <v>-30.664930407637534</v>
      </c>
      <c r="S42" s="46">
        <f>AVERAGE(R42:R44)</f>
        <v>-12.113392334374732</v>
      </c>
      <c r="T42" s="46">
        <f>STDEV(R42:R44)</f>
        <v>16.097373046934049</v>
      </c>
      <c r="U42" s="47">
        <f>(1-(AVERAGE(H42:N44)/AVERAGE(H39:N41)))*100</f>
        <v>-10.601576953977521</v>
      </c>
      <c r="V42" s="47"/>
      <c r="Y42" s="2"/>
      <c r="Z42" s="2"/>
      <c r="AA42" s="2"/>
      <c r="AB42" s="2"/>
      <c r="AC42" s="2"/>
      <c r="AD42" s="2"/>
      <c r="AE42" s="2"/>
      <c r="AF42" s="2"/>
      <c r="AG42" s="2"/>
    </row>
    <row r="43" spans="1:45" x14ac:dyDescent="0.35">
      <c r="A43" s="41">
        <f>IFERROR(INDEX('Date Key'!$B$2:$B$19, MATCH(F43,'Date Key'!$A$2:$A$19, 0)), "")</f>
        <v>45322</v>
      </c>
      <c r="B43" s="4">
        <f t="shared" si="15"/>
        <v>5</v>
      </c>
      <c r="C43" s="26" t="str">
        <f>IFERROR(INDEX('Date Key'!$G$57:$G$62, MATCH(B43,'Date Key'!$A$57:$A$62, 0)), "")</f>
        <v>High HLR, Lower Outlet Height, Yes Plants</v>
      </c>
      <c r="D43" s="4" t="str">
        <f>IFERROR(INDEX('Date Key'!$G$2:$G$19, MATCH(F43, 'Date Key'!$A$2:$A$19, 0)), "")</f>
        <v>No</v>
      </c>
      <c r="E43" s="4" t="str">
        <f t="shared" si="1"/>
        <v>tank 1</v>
      </c>
      <c r="F43" s="4">
        <f t="shared" si="2"/>
        <v>14</v>
      </c>
      <c r="G43" s="4">
        <f t="shared" si="22"/>
        <v>2</v>
      </c>
      <c r="H43" s="11" cm="1">
        <f t="array" ref="H43">IFERROR(INDEX('Master Data Sheet'!$1:$1048576, MATCH(1, ('Master Data Sheet'!$H:$H=H$2) * (INDEX('Master Data Sheet'!$1:$1, , MATCH($F$1, 'Master Data Sheet'!$1:$1, 0)) = $F$1) * ('Master Data Sheet'!$G:$G=$B43) * ('Master Data Sheet'!$F:$F=$E43) * ('Master Data Sheet'!$A:$A=$F43), 0), MATCH($F$1, 'Master Data Sheet'!$1:$1, 0)), "")</f>
        <v>153.50877192982455</v>
      </c>
      <c r="I43" s="11" cm="1">
        <f t="array" ref="I43">IFERROR(INDEX('Master Data Sheet'!$1:$1048576, MATCH(1, ('Master Data Sheet'!$H:$H=I$2) * (INDEX('Master Data Sheet'!$1:$1, , MATCH($F$1, 'Master Data Sheet'!$1:$1, 0)) = $F$1) * ('Master Data Sheet'!$G:$G=$B43) * ('Master Data Sheet'!$F:$F=$E43) * ('Master Data Sheet'!$A:$A=$F43), 0), MATCH($F$1, 'Master Data Sheet'!$1:$1, 0)), "")</f>
        <v>143.80530973451326</v>
      </c>
      <c r="J43" s="11" cm="1">
        <f t="array" ref="J43">IFERROR(INDEX('Master Data Sheet'!$1:$1048576, MATCH(1, ('Master Data Sheet'!$H:$H=J$2) * (INDEX('Master Data Sheet'!$1:$1, , MATCH($F$1, 'Master Data Sheet'!$1:$1, 0)) = $F$1) * ('Master Data Sheet'!$G:$G=$B43) * ('Master Data Sheet'!$F:$F=$E43) * ('Master Data Sheet'!$A:$A=$F43), 0), MATCH($F$1, 'Master Data Sheet'!$1:$1, 0)), "")</f>
        <v>133.92857142857144</v>
      </c>
      <c r="K43" s="11" cm="1">
        <f t="array" ref="K43">IFERROR(INDEX('Master Data Sheet'!$1:$1048576, MATCH(1, ('Master Data Sheet'!$H:$H=K$2) * (INDEX('Master Data Sheet'!$1:$1, , MATCH($F$1, 'Master Data Sheet'!$1:$1, 0)) = $F$1) * ('Master Data Sheet'!$G:$G=$B43) * ('Master Data Sheet'!$F:$F=$E43) * ('Master Data Sheet'!$A:$A=$F43), 0), MATCH($F$1, 'Master Data Sheet'!$1:$1, 0)), "")</f>
        <v>128.92376681614348</v>
      </c>
      <c r="L43" s="11" cm="1">
        <f t="array" ref="L43">IFERROR(INDEX('Master Data Sheet'!$1:$1048576, MATCH(1, ('Master Data Sheet'!$H:$H=L$2) * (INDEX('Master Data Sheet'!$1:$1, , MATCH($F$1, 'Master Data Sheet'!$1:$1, 0)) = $F$1) * ('Master Data Sheet'!$G:$G=$B43) * ('Master Data Sheet'!$F:$F=$E43) * ('Master Data Sheet'!$A:$A=$F43), 0), MATCH($F$1, 'Master Data Sheet'!$1:$1, 0)), "")</f>
        <v>123.8738738738739</v>
      </c>
      <c r="M43" s="11" cm="1">
        <f t="array" ref="M43">IFERROR(INDEX('Master Data Sheet'!$1:$1048576, MATCH(1, ('Master Data Sheet'!$H:$H=M$2) * (INDEX('Master Data Sheet'!$1:$1, , MATCH($F$1, 'Master Data Sheet'!$1:$1, 0)) = $F$1) * ('Master Data Sheet'!$G:$G=$B43) * ('Master Data Sheet'!$F:$F=$E43) * ('Master Data Sheet'!$A:$A=$F43), 0), MATCH($F$1, 'Master Data Sheet'!$1:$1, 0)), "")</f>
        <v>123.8738738738739</v>
      </c>
      <c r="N43" s="11" cm="1">
        <f t="array" ref="N43">IFERROR(INDEX('Master Data Sheet'!$1:$1048576, MATCH(1, ('Master Data Sheet'!$H:$H=N$2) * (INDEX('Master Data Sheet'!$1:$1, , MATCH($F$1, 'Master Data Sheet'!$1:$1, 0)) = $F$1) * ('Master Data Sheet'!$G:$G=$B43) * ('Master Data Sheet'!$F:$F=$E43) * ('Master Data Sheet'!$A:$A=$F43), 0), MATCH($F$1, 'Master Data Sheet'!$1:$1, 0)), "")</f>
        <v>123.8738738738739</v>
      </c>
      <c r="O43" s="11">
        <f t="shared" si="8"/>
        <v>133.1125773615249</v>
      </c>
      <c r="P43" s="11">
        <f t="shared" si="4"/>
        <v>11.580243124743733</v>
      </c>
      <c r="Q43" s="11"/>
      <c r="R43" s="46">
        <f>(1-(O43/O40))*100</f>
        <v>-3.8404918581086411</v>
      </c>
      <c r="X43" t="str">
        <f>IFERROR(INDEX('Date Key'!$G$57:$G$62, MATCH(B42,'Date Key'!$A$57:$A$62, 0)), "")</f>
        <v>High HLR, Lower Outlet Height, Yes Plants</v>
      </c>
      <c r="Y43" s="1">
        <f t="shared" ref="Y43:AE43" si="47">H42</f>
        <v>190.67796610169495</v>
      </c>
      <c r="Z43" s="1">
        <f t="shared" si="47"/>
        <v>153.50877192982455</v>
      </c>
      <c r="AA43" s="1">
        <f t="shared" si="47"/>
        <v>113.63636363636364</v>
      </c>
      <c r="AB43" s="1">
        <f t="shared" si="47"/>
        <v>113.63636363636364</v>
      </c>
      <c r="AC43" s="1">
        <f t="shared" si="47"/>
        <v>108.4474885844749</v>
      </c>
      <c r="AD43" s="1">
        <f t="shared" si="47"/>
        <v>103.21100917431194</v>
      </c>
      <c r="AE43" s="1">
        <f t="shared" si="47"/>
        <v>97.926267281105993</v>
      </c>
      <c r="AF43" s="1">
        <f t="shared" ref="AF43:AL43" si="48">H43</f>
        <v>153.50877192982455</v>
      </c>
      <c r="AG43" s="1">
        <f t="shared" si="48"/>
        <v>143.80530973451326</v>
      </c>
      <c r="AH43" s="1">
        <f t="shared" si="48"/>
        <v>133.92857142857144</v>
      </c>
      <c r="AI43" s="1">
        <f t="shared" si="48"/>
        <v>128.92376681614348</v>
      </c>
      <c r="AJ43" s="1">
        <f t="shared" si="48"/>
        <v>123.8738738738739</v>
      </c>
      <c r="AK43" s="1">
        <f t="shared" si="48"/>
        <v>123.8738738738739</v>
      </c>
      <c r="AL43" s="1">
        <f t="shared" si="48"/>
        <v>123.8738738738739</v>
      </c>
      <c r="AM43" s="1">
        <f t="shared" ref="AM43:AS43" si="49">H44</f>
        <v>138.88888888888889</v>
      </c>
      <c r="AN43" s="1">
        <f t="shared" si="49"/>
        <v>123.8738738738739</v>
      </c>
      <c r="AO43" s="1">
        <f t="shared" si="49"/>
        <v>113.63636363636364</v>
      </c>
      <c r="AP43" s="1">
        <f t="shared" si="49"/>
        <v>113.63636363636364</v>
      </c>
      <c r="AQ43" s="1">
        <f t="shared" si="49"/>
        <v>128.92376681614348</v>
      </c>
      <c r="AR43" s="1">
        <f t="shared" si="49"/>
        <v>123.8738738738739</v>
      </c>
      <c r="AS43" s="1">
        <f t="shared" si="49"/>
        <v>123.8738738738739</v>
      </c>
    </row>
    <row r="44" spans="1:45" x14ac:dyDescent="0.35">
      <c r="A44" s="41">
        <f>IFERROR(INDEX('Date Key'!$B$2:$B$19, MATCH(F44,'Date Key'!$A$2:$A$19, 0)), "")</f>
        <v>45330</v>
      </c>
      <c r="B44" s="4">
        <f t="shared" si="15"/>
        <v>5</v>
      </c>
      <c r="C44" s="26" t="str">
        <f>IFERROR(INDEX('Date Key'!$G$57:$G$62, MATCH(B44,'Date Key'!$A$57:$A$62, 0)), "")</f>
        <v>High HLR, Lower Outlet Height, Yes Plants</v>
      </c>
      <c r="D44" s="4" t="str">
        <f>IFERROR(INDEX('Date Key'!$G$2:$G$19, MATCH(F44, 'Date Key'!$A$2:$A$19, 0)), "")</f>
        <v>No</v>
      </c>
      <c r="E44" s="4" t="str">
        <f t="shared" si="1"/>
        <v>tank 1</v>
      </c>
      <c r="F44" s="4">
        <f t="shared" si="2"/>
        <v>15</v>
      </c>
      <c r="G44" s="4">
        <f t="shared" si="22"/>
        <v>3</v>
      </c>
      <c r="H44" s="11" cm="1">
        <f t="array" ref="H44">IFERROR(INDEX('Master Data Sheet'!$1:$1048576, MATCH(1, ('Master Data Sheet'!$H:$H=H$2) * (INDEX('Master Data Sheet'!$1:$1, , MATCH($F$1, 'Master Data Sheet'!$1:$1, 0)) = $F$1) * ('Master Data Sheet'!$G:$G=$B44) * ('Master Data Sheet'!$F:$F=$E44) * ('Master Data Sheet'!$A:$A=$F44), 0), MATCH($F$1, 'Master Data Sheet'!$1:$1, 0)), "")</f>
        <v>138.88888888888889</v>
      </c>
      <c r="I44" s="11" cm="1">
        <f t="array" ref="I44">IFERROR(INDEX('Master Data Sheet'!$1:$1048576, MATCH(1, ('Master Data Sheet'!$H:$H=I$2) * (INDEX('Master Data Sheet'!$1:$1, , MATCH($F$1, 'Master Data Sheet'!$1:$1, 0)) = $F$1) * ('Master Data Sheet'!$G:$G=$B44) * ('Master Data Sheet'!$F:$F=$E44) * ('Master Data Sheet'!$A:$A=$F44), 0), MATCH($F$1, 'Master Data Sheet'!$1:$1, 0)), "")</f>
        <v>123.8738738738739</v>
      </c>
      <c r="J44" s="11" cm="1">
        <f t="array" ref="J44">IFERROR(INDEX('Master Data Sheet'!$1:$1048576, MATCH(1, ('Master Data Sheet'!$H:$H=J$2) * (INDEX('Master Data Sheet'!$1:$1, , MATCH($F$1, 'Master Data Sheet'!$1:$1, 0)) = $F$1) * ('Master Data Sheet'!$G:$G=$B44) * ('Master Data Sheet'!$F:$F=$E44) * ('Master Data Sheet'!$A:$A=$F44), 0), MATCH($F$1, 'Master Data Sheet'!$1:$1, 0)), "")</f>
        <v>113.63636363636364</v>
      </c>
      <c r="K44" s="11" cm="1">
        <f t="array" ref="K44">IFERROR(INDEX('Master Data Sheet'!$1:$1048576, MATCH(1, ('Master Data Sheet'!$H:$H=K$2) * (INDEX('Master Data Sheet'!$1:$1, , MATCH($F$1, 'Master Data Sheet'!$1:$1, 0)) = $F$1) * ('Master Data Sheet'!$G:$G=$B44) * ('Master Data Sheet'!$F:$F=$E44) * ('Master Data Sheet'!$A:$A=$F44), 0), MATCH($F$1, 'Master Data Sheet'!$1:$1, 0)), "")</f>
        <v>113.63636363636364</v>
      </c>
      <c r="L44" s="11" cm="1">
        <f t="array" ref="L44">IFERROR(INDEX('Master Data Sheet'!$1:$1048576, MATCH(1, ('Master Data Sheet'!$H:$H=L$2) * (INDEX('Master Data Sheet'!$1:$1, , MATCH($F$1, 'Master Data Sheet'!$1:$1, 0)) = $F$1) * ('Master Data Sheet'!$G:$G=$B44) * ('Master Data Sheet'!$F:$F=$E44) * ('Master Data Sheet'!$A:$A=$F44), 0), MATCH($F$1, 'Master Data Sheet'!$1:$1, 0)), "")</f>
        <v>128.92376681614348</v>
      </c>
      <c r="M44" s="11" cm="1">
        <f t="array" ref="M44">IFERROR(INDEX('Master Data Sheet'!$1:$1048576, MATCH(1, ('Master Data Sheet'!$H:$H=M$2) * (INDEX('Master Data Sheet'!$1:$1, , MATCH($F$1, 'Master Data Sheet'!$1:$1, 0)) = $F$1) * ('Master Data Sheet'!$G:$G=$B44) * ('Master Data Sheet'!$F:$F=$E44) * ('Master Data Sheet'!$A:$A=$F44), 0), MATCH($F$1, 'Master Data Sheet'!$1:$1, 0)), "")</f>
        <v>123.8738738738739</v>
      </c>
      <c r="N44" s="11" cm="1">
        <f t="array" ref="N44">IFERROR(INDEX('Master Data Sheet'!$1:$1048576, MATCH(1, ('Master Data Sheet'!$H:$H=N$2) * (INDEX('Master Data Sheet'!$1:$1, , MATCH($F$1, 'Master Data Sheet'!$1:$1, 0)) = $F$1) * ('Master Data Sheet'!$G:$G=$B44) * ('Master Data Sheet'!$F:$F=$E44) * ('Master Data Sheet'!$A:$A=$F44), 0), MATCH($F$1, 'Master Data Sheet'!$1:$1, 0)), "")</f>
        <v>123.8738738738739</v>
      </c>
      <c r="O44" s="11">
        <f t="shared" si="8"/>
        <v>123.81528637134019</v>
      </c>
      <c r="P44" s="11">
        <f t="shared" si="4"/>
        <v>8.7611005671623285</v>
      </c>
      <c r="Q44" s="11"/>
      <c r="R44" s="46">
        <f>(1-(O44/O41))*100</f>
        <v>-1.8347547373780193</v>
      </c>
      <c r="Y44" s="2"/>
      <c r="Z44" s="2"/>
      <c r="AA44" s="2"/>
      <c r="AB44" s="2"/>
      <c r="AC44" s="2"/>
      <c r="AD44" s="2"/>
      <c r="AE44" s="2"/>
      <c r="AF44" s="2"/>
      <c r="AG44" s="2"/>
    </row>
    <row r="45" spans="1:45" x14ac:dyDescent="0.35">
      <c r="A45" s="41">
        <f>IFERROR(INDEX('Date Key'!$B$2:$B$19, MATCH(F45,'Date Key'!$A$2:$A$19, 0)), "")</f>
        <v>45313</v>
      </c>
      <c r="B45" s="4">
        <f t="shared" si="15"/>
        <v>5</v>
      </c>
      <c r="C45" s="26" t="str">
        <f>IFERROR(INDEX('Date Key'!$G$57:$G$62, MATCH(B45,'Date Key'!$A$57:$A$62, 0)), "")</f>
        <v>High HLR, Lower Outlet Height, Yes Plants</v>
      </c>
      <c r="D45" s="4" t="str">
        <f>IFERROR(INDEX('Date Key'!$G$2:$G$19, MATCH(F45, 'Date Key'!$A$2:$A$19, 0)), "")</f>
        <v>Yes</v>
      </c>
      <c r="E45" s="4" t="str">
        <f t="shared" si="1"/>
        <v>tank 2</v>
      </c>
      <c r="F45" s="4">
        <f t="shared" si="2"/>
        <v>13</v>
      </c>
      <c r="G45" s="4">
        <f t="shared" si="22"/>
        <v>1</v>
      </c>
      <c r="H45" s="11" cm="1">
        <f t="array" ref="H45">IFERROR(INDEX('Master Data Sheet'!$1:$1048576, MATCH(1, ('Master Data Sheet'!$H:$H=H$2) * (INDEX('Master Data Sheet'!$1:$1, , MATCH($F$1, 'Master Data Sheet'!$1:$1, 0)) = $F$1) * ('Master Data Sheet'!$G:$G=$B45) * ('Master Data Sheet'!$F:$F=$E45) * ('Master Data Sheet'!$A:$A=$F45), 0), MATCH($F$1, 'Master Data Sheet'!$1:$1, 0)), "")</f>
        <v>212.65560165975103</v>
      </c>
      <c r="I45" s="11" cm="1">
        <f t="array" ref="I45">IFERROR(INDEX('Master Data Sheet'!$1:$1048576, MATCH(1, ('Master Data Sheet'!$H:$H=I$2) * (INDEX('Master Data Sheet'!$1:$1, , MATCH($F$1, 'Master Data Sheet'!$1:$1, 0)) = $F$1) * ('Master Data Sheet'!$G:$G=$B45) * ('Master Data Sheet'!$F:$F=$E45) * ('Master Data Sheet'!$A:$A=$F45), 0), MATCH($F$1, 'Master Data Sheet'!$1:$1, 0)), "")</f>
        <v>153.50877192982455</v>
      </c>
      <c r="J45" s="11" cm="1">
        <f t="array" ref="J45">IFERROR(INDEX('Master Data Sheet'!$1:$1048576, MATCH(1, ('Master Data Sheet'!$H:$H=J$2) * (INDEX('Master Data Sheet'!$1:$1, , MATCH($F$1, 'Master Data Sheet'!$1:$1, 0)) = $F$1) * ('Master Data Sheet'!$G:$G=$B45) * ('Master Data Sheet'!$F:$F=$E45) * ('Master Data Sheet'!$A:$A=$F45), 0), MATCH($F$1, 'Master Data Sheet'!$1:$1, 0)), "")</f>
        <v>113.63636363636364</v>
      </c>
      <c r="K45" s="11" cm="1">
        <f t="array" ref="K45">IFERROR(INDEX('Master Data Sheet'!$1:$1048576, MATCH(1, ('Master Data Sheet'!$H:$H=K$2) * (INDEX('Master Data Sheet'!$1:$1, , MATCH($F$1, 'Master Data Sheet'!$1:$1, 0)) = $F$1) * ('Master Data Sheet'!$G:$G=$B45) * ('Master Data Sheet'!$F:$F=$E45) * ('Master Data Sheet'!$A:$A=$F45), 0), MATCH($F$1, 'Master Data Sheet'!$1:$1, 0)), "")</f>
        <v>97.926267281105993</v>
      </c>
      <c r="L45" s="11" cm="1">
        <f t="array" ref="L45">IFERROR(INDEX('Master Data Sheet'!$1:$1048576, MATCH(1, ('Master Data Sheet'!$H:$H=L$2) * (INDEX('Master Data Sheet'!$1:$1, , MATCH($F$1, 'Master Data Sheet'!$1:$1, 0)) = $F$1) * ('Master Data Sheet'!$G:$G=$B45) * ('Master Data Sheet'!$F:$F=$E45) * ('Master Data Sheet'!$A:$A=$F45), 0), MATCH($F$1, 'Master Data Sheet'!$1:$1, 0)), "")</f>
        <v>97.926267281105993</v>
      </c>
      <c r="M45" s="11" cm="1">
        <f t="array" ref="M45">IFERROR(INDEX('Master Data Sheet'!$1:$1048576, MATCH(1, ('Master Data Sheet'!$H:$H=M$2) * (INDEX('Master Data Sheet'!$1:$1, , MATCH($F$1, 'Master Data Sheet'!$1:$1, 0)) = $F$1) * ('Master Data Sheet'!$G:$G=$B45) * ('Master Data Sheet'!$F:$F=$E45) * ('Master Data Sheet'!$A:$A=$F45), 0), MATCH($F$1, 'Master Data Sheet'!$1:$1, 0)), "")</f>
        <v>97.926267281105993</v>
      </c>
      <c r="N45" s="11" cm="1">
        <f t="array" ref="N45">IFERROR(INDEX('Master Data Sheet'!$1:$1048576, MATCH(1, ('Master Data Sheet'!$H:$H=N$2) * (INDEX('Master Data Sheet'!$1:$1, , MATCH($F$1, 'Master Data Sheet'!$1:$1, 0)) = $F$1) * ('Master Data Sheet'!$G:$G=$B45) * ('Master Data Sheet'!$F:$F=$E45) * ('Master Data Sheet'!$A:$A=$F45), 0), MATCH($F$1, 'Master Data Sheet'!$1:$1, 0)), "")</f>
        <v>87.209302325581405</v>
      </c>
      <c r="O45" s="11">
        <f t="shared" si="8"/>
        <v>122.96983448497693</v>
      </c>
      <c r="P45" s="11">
        <f t="shared" si="4"/>
        <v>45.136152633407619</v>
      </c>
      <c r="Q45" s="11">
        <f>AVERAGE(N45:N47)</f>
        <v>106.5102215946434</v>
      </c>
      <c r="R45" s="46">
        <f>(1-(O45/O39))*100</f>
        <v>-27.660916651817068</v>
      </c>
      <c r="S45" s="46">
        <f>AVERAGE(R45:R47)</f>
        <v>-9.5752323142415143</v>
      </c>
      <c r="T45" s="46">
        <f>STDEV(R45:R47)</f>
        <v>15.709284227388801</v>
      </c>
      <c r="U45" s="47">
        <f>(1-(AVERAGE(H45:N47)/AVERAGE(H39:N41)))*100</f>
        <v>-8.1058025060839043</v>
      </c>
      <c r="V45" s="47"/>
      <c r="Y45" s="2"/>
      <c r="Z45" s="2"/>
      <c r="AA45" s="2"/>
      <c r="AB45" s="2"/>
      <c r="AC45" s="2"/>
      <c r="AD45" s="2"/>
      <c r="AE45" s="2"/>
      <c r="AF45" s="2"/>
      <c r="AG45" s="2"/>
    </row>
    <row r="46" spans="1:45" x14ac:dyDescent="0.35">
      <c r="A46" s="41">
        <f>IFERROR(INDEX('Date Key'!$B$2:$B$19, MATCH(F46,'Date Key'!$A$2:$A$19, 0)), "")</f>
        <v>45322</v>
      </c>
      <c r="B46" s="4">
        <f t="shared" si="15"/>
        <v>5</v>
      </c>
      <c r="C46" s="26" t="str">
        <f>IFERROR(INDEX('Date Key'!$G$57:$G$62, MATCH(B46,'Date Key'!$A$57:$A$62, 0)), "")</f>
        <v>High HLR, Lower Outlet Height, Yes Plants</v>
      </c>
      <c r="D46" s="4" t="str">
        <f>IFERROR(INDEX('Date Key'!$G$2:$G$19, MATCH(F46, 'Date Key'!$A$2:$A$19, 0)), "")</f>
        <v>No</v>
      </c>
      <c r="E46" s="4" t="str">
        <f t="shared" si="1"/>
        <v>tank 2</v>
      </c>
      <c r="F46" s="4">
        <f t="shared" si="2"/>
        <v>14</v>
      </c>
      <c r="G46" s="4">
        <f t="shared" si="22"/>
        <v>2</v>
      </c>
      <c r="H46" s="11" cm="1">
        <f t="array" ref="H46">IFERROR(INDEX('Master Data Sheet'!$1:$1048576, MATCH(1, ('Master Data Sheet'!$H:$H=H$2) * (INDEX('Master Data Sheet'!$1:$1, , MATCH($F$1, 'Master Data Sheet'!$1:$1, 0)) = $F$1) * ('Master Data Sheet'!$G:$G=$B46) * ('Master Data Sheet'!$F:$F=$E46) * ('Master Data Sheet'!$A:$A=$F46), 0), MATCH($F$1, 'Master Data Sheet'!$1:$1, 0)), "")</f>
        <v>186.17021276595744</v>
      </c>
      <c r="I46" s="11" cm="1">
        <f t="array" ref="I46">IFERROR(INDEX('Master Data Sheet'!$1:$1048576, MATCH(1, ('Master Data Sheet'!$H:$H=I$2) * (INDEX('Master Data Sheet'!$1:$1, , MATCH($F$1, 'Master Data Sheet'!$1:$1, 0)) = $F$1) * ('Master Data Sheet'!$G:$G=$B46) * ('Master Data Sheet'!$F:$F=$E46) * ('Master Data Sheet'!$A:$A=$F46), 0), MATCH($F$1, 'Master Data Sheet'!$1:$1, 0)), "")</f>
        <v>153.50877192982455</v>
      </c>
      <c r="J46" s="11" cm="1">
        <f t="array" ref="J46">IFERROR(INDEX('Master Data Sheet'!$1:$1048576, MATCH(1, ('Master Data Sheet'!$H:$H=J$2) * (INDEX('Master Data Sheet'!$1:$1, , MATCH($F$1, 'Master Data Sheet'!$1:$1, 0)) = $F$1) * ('Master Data Sheet'!$G:$G=$B46) * ('Master Data Sheet'!$F:$F=$E46) * ('Master Data Sheet'!$A:$A=$F46), 0), MATCH($F$1, 'Master Data Sheet'!$1:$1, 0)), "")</f>
        <v>118.77828054298644</v>
      </c>
      <c r="K46" s="11" cm="1">
        <f t="array" ref="K46">IFERROR(INDEX('Master Data Sheet'!$1:$1048576, MATCH(1, ('Master Data Sheet'!$H:$H=K$2) * (INDEX('Master Data Sheet'!$1:$1, , MATCH($F$1, 'Master Data Sheet'!$1:$1, 0)) = $F$1) * ('Master Data Sheet'!$G:$G=$B46) * ('Master Data Sheet'!$F:$F=$E46) * ('Master Data Sheet'!$A:$A=$F46), 0), MATCH($F$1, 'Master Data Sheet'!$1:$1, 0)), "")</f>
        <v>118.77828054298644</v>
      </c>
      <c r="L46" s="11" cm="1">
        <f t="array" ref="L46">IFERROR(INDEX('Master Data Sheet'!$1:$1048576, MATCH(1, ('Master Data Sheet'!$H:$H=L$2) * (INDEX('Master Data Sheet'!$1:$1, , MATCH($F$1, 'Master Data Sheet'!$1:$1, 0)) = $F$1) * ('Master Data Sheet'!$G:$G=$B46) * ('Master Data Sheet'!$F:$F=$E46) * ('Master Data Sheet'!$A:$A=$F46), 0), MATCH($F$1, 'Master Data Sheet'!$1:$1, 0)), "")</f>
        <v>113.63636363636364</v>
      </c>
      <c r="M46" s="11" cm="1">
        <f t="array" ref="M46">IFERROR(INDEX('Master Data Sheet'!$1:$1048576, MATCH(1, ('Master Data Sheet'!$H:$H=M$2) * (INDEX('Master Data Sheet'!$1:$1, , MATCH($F$1, 'Master Data Sheet'!$1:$1, 0)) = $F$1) * ('Master Data Sheet'!$G:$G=$B46) * ('Master Data Sheet'!$F:$F=$E46) * ('Master Data Sheet'!$A:$A=$F46), 0), MATCH($F$1, 'Master Data Sheet'!$1:$1, 0)), "")</f>
        <v>113.63636363636364</v>
      </c>
      <c r="N46" s="11" cm="1">
        <f t="array" ref="N46">IFERROR(INDEX('Master Data Sheet'!$1:$1048576, MATCH(1, ('Master Data Sheet'!$H:$H=N$2) * (INDEX('Master Data Sheet'!$1:$1, , MATCH($F$1, 'Master Data Sheet'!$1:$1, 0)) = $F$1) * ('Master Data Sheet'!$G:$G=$B46) * ('Master Data Sheet'!$F:$F=$E46) * ('Master Data Sheet'!$A:$A=$F46), 0), MATCH($F$1, 'Master Data Sheet'!$1:$1, 0)), "")</f>
        <v>108.4474885844749</v>
      </c>
      <c r="O46" s="11">
        <f t="shared" si="8"/>
        <v>130.42225166270813</v>
      </c>
      <c r="P46" s="11">
        <f t="shared" si="4"/>
        <v>28.747199858124361</v>
      </c>
      <c r="Q46" s="11"/>
      <c r="R46" s="46">
        <f>(1-(O46/O40))*100</f>
        <v>-1.7417815081098853</v>
      </c>
      <c r="X46" t="str">
        <f>IFERROR(INDEX('Date Key'!$G$57:$G$62, MATCH(B45,'Date Key'!$A$57:$A$62, 0)), "")</f>
        <v>High HLR, Lower Outlet Height, Yes Plants</v>
      </c>
      <c r="Y46" s="1">
        <f t="shared" ref="Y46:AE46" si="50">H45</f>
        <v>212.65560165975103</v>
      </c>
      <c r="Z46" s="1">
        <f t="shared" si="50"/>
        <v>153.50877192982455</v>
      </c>
      <c r="AA46" s="1">
        <f t="shared" si="50"/>
        <v>113.63636363636364</v>
      </c>
      <c r="AB46" s="1">
        <f t="shared" si="50"/>
        <v>97.926267281105993</v>
      </c>
      <c r="AC46" s="1">
        <f t="shared" si="50"/>
        <v>97.926267281105993</v>
      </c>
      <c r="AD46" s="1">
        <f t="shared" si="50"/>
        <v>97.926267281105993</v>
      </c>
      <c r="AE46" s="1">
        <f t="shared" si="50"/>
        <v>87.209302325581405</v>
      </c>
      <c r="AF46" s="1">
        <f t="shared" ref="AF46:AL46" si="51">H46</f>
        <v>186.17021276595744</v>
      </c>
      <c r="AG46" s="1">
        <f t="shared" si="51"/>
        <v>153.50877192982455</v>
      </c>
      <c r="AH46" s="1">
        <f t="shared" si="51"/>
        <v>118.77828054298644</v>
      </c>
      <c r="AI46" s="1">
        <f t="shared" si="51"/>
        <v>118.77828054298644</v>
      </c>
      <c r="AJ46" s="1">
        <f t="shared" si="51"/>
        <v>113.63636363636364</v>
      </c>
      <c r="AK46" s="1">
        <f t="shared" si="51"/>
        <v>113.63636363636364</v>
      </c>
      <c r="AL46" s="1">
        <f t="shared" si="51"/>
        <v>108.4474885844749</v>
      </c>
      <c r="AM46" s="1">
        <f t="shared" ref="AM46:AS46" si="52">H47</f>
        <v>153.50877192982455</v>
      </c>
      <c r="AN46" s="1">
        <f t="shared" si="52"/>
        <v>108.4474885844749</v>
      </c>
      <c r="AO46" s="1">
        <f t="shared" si="52"/>
        <v>103.21100917431194</v>
      </c>
      <c r="AP46" s="1">
        <f t="shared" si="52"/>
        <v>113.63636363636364</v>
      </c>
      <c r="AQ46" s="1">
        <f t="shared" si="52"/>
        <v>118.77828054298644</v>
      </c>
      <c r="AR46" s="1">
        <f t="shared" si="52"/>
        <v>123.8738738738739</v>
      </c>
      <c r="AS46" s="1">
        <f t="shared" si="52"/>
        <v>123.8738738738739</v>
      </c>
    </row>
    <row r="47" spans="1:45" x14ac:dyDescent="0.35">
      <c r="A47" s="42">
        <f>IFERROR(INDEX('Date Key'!$B$2:$B$19, MATCH(F47,'Date Key'!$A$2:$A$19, 0)), "")</f>
        <v>45330</v>
      </c>
      <c r="B47" s="27">
        <f t="shared" si="15"/>
        <v>5</v>
      </c>
      <c r="C47" s="51" t="str">
        <f>IFERROR(INDEX('Date Key'!$G$57:$G$62, MATCH(B47,'Date Key'!$A$57:$A$62, 0)), "")</f>
        <v>High HLR, Lower Outlet Height, Yes Plants</v>
      </c>
      <c r="D47" s="27" t="str">
        <f>IFERROR(INDEX('Date Key'!$G$2:$G$19, MATCH(F47, 'Date Key'!$A$2:$A$19, 0)), "")</f>
        <v>No</v>
      </c>
      <c r="E47" s="27" t="str">
        <f t="shared" si="1"/>
        <v>tank 2</v>
      </c>
      <c r="F47" s="27">
        <f t="shared" si="2"/>
        <v>15</v>
      </c>
      <c r="G47" s="27">
        <f t="shared" si="22"/>
        <v>3</v>
      </c>
      <c r="H47" s="28" cm="1">
        <f t="array" ref="H47">IFERROR(INDEX('Master Data Sheet'!$1:$1048576, MATCH(1, ('Master Data Sheet'!$H:$H=H$2) * (INDEX('Master Data Sheet'!$1:$1, , MATCH($F$1, 'Master Data Sheet'!$1:$1, 0)) = $F$1) * ('Master Data Sheet'!$G:$G=$B47) * ('Master Data Sheet'!$F:$F=$E47) * ('Master Data Sheet'!$A:$A=$F47), 0), MATCH($F$1, 'Master Data Sheet'!$1:$1, 0)), "")</f>
        <v>153.50877192982455</v>
      </c>
      <c r="I47" s="28" cm="1">
        <f t="array" ref="I47">IFERROR(INDEX('Master Data Sheet'!$1:$1048576, MATCH(1, ('Master Data Sheet'!$H:$H=I$2) * (INDEX('Master Data Sheet'!$1:$1, , MATCH($F$1, 'Master Data Sheet'!$1:$1, 0)) = $F$1) * ('Master Data Sheet'!$G:$G=$B47) * ('Master Data Sheet'!$F:$F=$E47) * ('Master Data Sheet'!$A:$A=$F47), 0), MATCH($F$1, 'Master Data Sheet'!$1:$1, 0)), "")</f>
        <v>108.4474885844749</v>
      </c>
      <c r="J47" s="28" cm="1">
        <f t="array" ref="J47">IFERROR(INDEX('Master Data Sheet'!$1:$1048576, MATCH(1, ('Master Data Sheet'!$H:$H=J$2) * (INDEX('Master Data Sheet'!$1:$1, , MATCH($F$1, 'Master Data Sheet'!$1:$1, 0)) = $F$1) * ('Master Data Sheet'!$G:$G=$B47) * ('Master Data Sheet'!$F:$F=$E47) * ('Master Data Sheet'!$A:$A=$F47), 0), MATCH($F$1, 'Master Data Sheet'!$1:$1, 0)), "")</f>
        <v>103.21100917431194</v>
      </c>
      <c r="K47" s="28" cm="1">
        <f t="array" ref="K47">IFERROR(INDEX('Master Data Sheet'!$1:$1048576, MATCH(1, ('Master Data Sheet'!$H:$H=K$2) * (INDEX('Master Data Sheet'!$1:$1, , MATCH($F$1, 'Master Data Sheet'!$1:$1, 0)) = $F$1) * ('Master Data Sheet'!$G:$G=$B47) * ('Master Data Sheet'!$F:$F=$E47) * ('Master Data Sheet'!$A:$A=$F47), 0), MATCH($F$1, 'Master Data Sheet'!$1:$1, 0)), "")</f>
        <v>113.63636363636364</v>
      </c>
      <c r="L47" s="28" cm="1">
        <f t="array" ref="L47">IFERROR(INDEX('Master Data Sheet'!$1:$1048576, MATCH(1, ('Master Data Sheet'!$H:$H=L$2) * (INDEX('Master Data Sheet'!$1:$1, , MATCH($F$1, 'Master Data Sheet'!$1:$1, 0)) = $F$1) * ('Master Data Sheet'!$G:$G=$B47) * ('Master Data Sheet'!$F:$F=$E47) * ('Master Data Sheet'!$A:$A=$F47), 0), MATCH($F$1, 'Master Data Sheet'!$1:$1, 0)), "")</f>
        <v>118.77828054298644</v>
      </c>
      <c r="M47" s="28" cm="1">
        <f t="array" ref="M47">IFERROR(INDEX('Master Data Sheet'!$1:$1048576, MATCH(1, ('Master Data Sheet'!$H:$H=M$2) * (INDEX('Master Data Sheet'!$1:$1, , MATCH($F$1, 'Master Data Sheet'!$1:$1, 0)) = $F$1) * ('Master Data Sheet'!$G:$G=$B47) * ('Master Data Sheet'!$F:$F=$E47) * ('Master Data Sheet'!$A:$A=$F47), 0), MATCH($F$1, 'Master Data Sheet'!$1:$1, 0)), "")</f>
        <v>123.8738738738739</v>
      </c>
      <c r="N47" s="28" cm="1">
        <f t="array" ref="N47">IFERROR(INDEX('Master Data Sheet'!$1:$1048576, MATCH(1, ('Master Data Sheet'!$H:$H=N$2) * (INDEX('Master Data Sheet'!$1:$1, , MATCH($F$1, 'Master Data Sheet'!$1:$1, 0)) = $F$1) * ('Master Data Sheet'!$G:$G=$B47) * ('Master Data Sheet'!$F:$F=$E47) * ('Master Data Sheet'!$A:$A=$F47), 0), MATCH($F$1, 'Master Data Sheet'!$1:$1, 0)), "")</f>
        <v>123.8738738738739</v>
      </c>
      <c r="O47" s="28">
        <f t="shared" si="8"/>
        <v>120.7613802308156</v>
      </c>
      <c r="P47" s="28">
        <f t="shared" si="4"/>
        <v>16.361096611506873</v>
      </c>
      <c r="Q47" s="28"/>
      <c r="R47" s="48">
        <f>(1-(O47/O41))*100</f>
        <v>0.67700121720241091</v>
      </c>
      <c r="S47" s="27"/>
      <c r="T47" s="27"/>
      <c r="U47" s="27"/>
      <c r="V47" s="27"/>
    </row>
    <row r="48" spans="1:45" x14ac:dyDescent="0.35">
      <c r="A48" s="41">
        <f>IFERROR(INDEX('Date Key'!$B$2:$B$19, MATCH(F48,'Date Key'!$A$2:$A$19, 0)), "")</f>
        <v>45371</v>
      </c>
      <c r="B48" s="4">
        <f t="shared" si="15"/>
        <v>6</v>
      </c>
      <c r="C48" s="26" t="str">
        <f>IFERROR(INDEX('Date Key'!$G$57:$G$62, MATCH(B48,'Date Key'!$A$57:$A$62, 0)), "")</f>
        <v>Medium HLR, Upper Outlet Height, Yes Plants</v>
      </c>
      <c r="D48" s="4" t="str">
        <f>IFERROR(INDEX('Date Key'!$G$2:$G$19, MATCH(F48, 'Date Key'!$A$2:$A$19, 0)), "")</f>
        <v>No</v>
      </c>
      <c r="E48" s="4" t="str">
        <f t="shared" si="1"/>
        <v>in</v>
      </c>
      <c r="F48" s="4">
        <f t="shared" si="2"/>
        <v>16</v>
      </c>
      <c r="G48" s="4">
        <f t="shared" si="22"/>
        <v>1</v>
      </c>
      <c r="H48" s="11" cm="1">
        <f t="array" ref="H48">IFERROR(INDEX('Master Data Sheet'!$1:$1048576, MATCH(1, ('Master Data Sheet'!$H:$H=H$2) * (INDEX('Master Data Sheet'!$1:$1, , MATCH($F$1, 'Master Data Sheet'!$1:$1, 0)) = $F$1) * ('Master Data Sheet'!$G:$G=$B48) * ('Master Data Sheet'!$F:$F=$E48) * ('Master Data Sheet'!$A:$A=$F48), 0), MATCH($F$1, 'Master Data Sheet'!$1:$1, 0)), "")</f>
        <v>212.65560165975111</v>
      </c>
      <c r="I48" s="11" cm="1">
        <f t="array" ref="I48">IFERROR(INDEX('Master Data Sheet'!$1:$1048576, MATCH(1, ('Master Data Sheet'!$H:$H=I$2) * (INDEX('Master Data Sheet'!$1:$1, , MATCH($F$1, 'Master Data Sheet'!$1:$1, 0)) = $F$1) * ('Master Data Sheet'!$G:$G=$B48) * ('Master Data Sheet'!$F:$F=$E48) * ('Master Data Sheet'!$A:$A=$F48), 0), MATCH($F$1, 'Master Data Sheet'!$1:$1, 0)), "")</f>
        <v>143.80530973451326</v>
      </c>
      <c r="J48" s="11" cm="1">
        <f t="array" ref="J48">IFERROR(INDEX('Master Data Sheet'!$1:$1048576, MATCH(1, ('Master Data Sheet'!$H:$H=J$2) * (INDEX('Master Data Sheet'!$1:$1, , MATCH($F$1, 'Master Data Sheet'!$1:$1, 0)) = $F$1) * ('Master Data Sheet'!$G:$G=$B48) * ('Master Data Sheet'!$F:$F=$E48) * ('Master Data Sheet'!$A:$A=$F48), 0), MATCH($F$1, 'Master Data Sheet'!$1:$1, 0)), "")</f>
        <v>143.80530973451326</v>
      </c>
      <c r="K48" s="11" cm="1">
        <f t="array" ref="K48">IFERROR(INDEX('Master Data Sheet'!$1:$1048576, MATCH(1, ('Master Data Sheet'!$H:$H=K$2) * (INDEX('Master Data Sheet'!$1:$1, , MATCH($F$1, 'Master Data Sheet'!$1:$1, 0)) = $F$1) * ('Master Data Sheet'!$G:$G=$B48) * ('Master Data Sheet'!$F:$F=$E48) * ('Master Data Sheet'!$A:$A=$F48), 0), MATCH($F$1, 'Master Data Sheet'!$1:$1, 0)), "")</f>
        <v>143.80530973451326</v>
      </c>
      <c r="L48" s="11" cm="1">
        <f t="array" ref="L48">IFERROR(INDEX('Master Data Sheet'!$1:$1048576, MATCH(1, ('Master Data Sheet'!$H:$H=L$2) * (INDEX('Master Data Sheet'!$1:$1, , MATCH($F$1, 'Master Data Sheet'!$1:$1, 0)) = $F$1) * ('Master Data Sheet'!$G:$G=$B48) * ('Master Data Sheet'!$F:$F=$E48) * ('Master Data Sheet'!$A:$A=$F48), 0), MATCH($F$1, 'Master Data Sheet'!$1:$1, 0)), "")</f>
        <v>138.88888888888889</v>
      </c>
      <c r="M48" s="11" cm="1">
        <f t="array" ref="M48">IFERROR(INDEX('Master Data Sheet'!$1:$1048576, MATCH(1, ('Master Data Sheet'!$H:$H=M$2) * (INDEX('Master Data Sheet'!$1:$1, , MATCH($F$1, 'Master Data Sheet'!$1:$1, 0)) = $F$1) * ('Master Data Sheet'!$G:$G=$B48) * ('Master Data Sheet'!$F:$F=$E48) * ('Master Data Sheet'!$A:$A=$F48), 0), MATCH($F$1, 'Master Data Sheet'!$1:$1, 0)), "")</f>
        <v>133.92857142857139</v>
      </c>
      <c r="N48" s="11" cm="1">
        <f t="array" ref="N48">IFERROR(INDEX('Master Data Sheet'!$1:$1048576, MATCH(1, ('Master Data Sheet'!$H:$H=N$2) * (INDEX('Master Data Sheet'!$1:$1, , MATCH($F$1, 'Master Data Sheet'!$1:$1, 0)) = $F$1) * ('Master Data Sheet'!$G:$G=$B48) * ('Master Data Sheet'!$F:$F=$E48) * ('Master Data Sheet'!$A:$A=$F48), 0), MATCH($F$1, 'Master Data Sheet'!$1:$1, 0)), "")</f>
        <v>153.5087719298246</v>
      </c>
      <c r="O48" s="11">
        <f t="shared" si="8"/>
        <v>152.91396615865369</v>
      </c>
      <c r="P48" s="11">
        <f t="shared" si="4"/>
        <v>27.004529488249453</v>
      </c>
      <c r="Q48" s="11">
        <f>AVERAGE(O48:O50)</f>
        <v>134.12383222023084</v>
      </c>
      <c r="S48" s="11">
        <f>AVERAGE(O48:O50)</f>
        <v>134.12383222023084</v>
      </c>
      <c r="T48" s="11">
        <f>AVERAGE(P48:P50)</f>
        <v>17.731954070627577</v>
      </c>
      <c r="V48" s="47">
        <f>AVERAGE(U51, U54)</f>
        <v>-42.866195573454561</v>
      </c>
      <c r="X48" t="s">
        <v>343</v>
      </c>
    </row>
    <row r="49" spans="1:46" x14ac:dyDescent="0.35">
      <c r="A49" s="41">
        <f>IFERROR(INDEX('Date Key'!$B$2:$B$19, MATCH(F49,'Date Key'!$A$2:$A$19, 0)), "")</f>
        <v>45392</v>
      </c>
      <c r="B49" s="4">
        <f t="shared" si="15"/>
        <v>6</v>
      </c>
      <c r="C49" s="26" t="str">
        <f>IFERROR(INDEX('Date Key'!$G$57:$G$62, MATCH(B49,'Date Key'!$A$57:$A$62, 0)), "")</f>
        <v>Medium HLR, Upper Outlet Height, Yes Plants</v>
      </c>
      <c r="D49" s="4" t="str">
        <f>IFERROR(INDEX('Date Key'!$G$2:$G$19, MATCH(F49, 'Date Key'!$A$2:$A$19, 0)), "")</f>
        <v>No</v>
      </c>
      <c r="E49" s="4" t="str">
        <f t="shared" si="1"/>
        <v>in</v>
      </c>
      <c r="F49" s="4">
        <f t="shared" si="2"/>
        <v>17</v>
      </c>
      <c r="G49" s="4">
        <f t="shared" si="22"/>
        <v>2</v>
      </c>
      <c r="H49" s="11" cm="1">
        <f t="array" ref="H49">IFERROR(INDEX('Master Data Sheet'!$1:$1048576, MATCH(1, ('Master Data Sheet'!$H:$H=H$2) * (INDEX('Master Data Sheet'!$1:$1, , MATCH($F$1, 'Master Data Sheet'!$1:$1, 0)) = $F$1) * ('Master Data Sheet'!$G:$G=$B49) * ('Master Data Sheet'!$F:$F=$E49) * ('Master Data Sheet'!$A:$A=$F49), 0), MATCH($F$1, 'Master Data Sheet'!$1:$1, 0)), "")</f>
        <v>123.87387387387386</v>
      </c>
      <c r="I49" s="11" cm="1">
        <f t="array" ref="I49">IFERROR(INDEX('Master Data Sheet'!$1:$1048576, MATCH(1, ('Master Data Sheet'!$H:$H=I$2) * (INDEX('Master Data Sheet'!$1:$1, , MATCH($F$1, 'Master Data Sheet'!$1:$1, 0)) = $F$1) * ('Master Data Sheet'!$G:$G=$B49) * ('Master Data Sheet'!$F:$F=$E49) * ('Master Data Sheet'!$A:$A=$F49), 0), MATCH($F$1, 'Master Data Sheet'!$1:$1, 0)), "")</f>
        <v>128.92376681614354</v>
      </c>
      <c r="J49" s="11" cm="1">
        <f t="array" ref="J49">IFERROR(INDEX('Master Data Sheet'!$1:$1048576, MATCH(1, ('Master Data Sheet'!$H:$H=J$2) * (INDEX('Master Data Sheet'!$1:$1, , MATCH($F$1, 'Master Data Sheet'!$1:$1, 0)) = $F$1) * ('Master Data Sheet'!$G:$G=$B49) * ('Master Data Sheet'!$F:$F=$E49) * ('Master Data Sheet'!$A:$A=$F49), 0), MATCH($F$1, 'Master Data Sheet'!$1:$1, 0)), "")</f>
        <v>128.92376681614354</v>
      </c>
      <c r="K49" s="11" cm="1">
        <f t="array" ref="K49">IFERROR(INDEX('Master Data Sheet'!$1:$1048576, MATCH(1, ('Master Data Sheet'!$H:$H=K$2) * (INDEX('Master Data Sheet'!$1:$1, , MATCH($F$1, 'Master Data Sheet'!$1:$1, 0)) = $F$1) * ('Master Data Sheet'!$G:$G=$B49) * ('Master Data Sheet'!$F:$F=$E49) * ('Master Data Sheet'!$A:$A=$F49), 0), MATCH($F$1, 'Master Data Sheet'!$1:$1, 0)), "")</f>
        <v>123.87387387387386</v>
      </c>
      <c r="L49" s="11" cm="1">
        <f t="array" ref="L49">IFERROR(INDEX('Master Data Sheet'!$1:$1048576, MATCH(1, ('Master Data Sheet'!$H:$H=L$2) * (INDEX('Master Data Sheet'!$1:$1, , MATCH($F$1, 'Master Data Sheet'!$1:$1, 0)) = $F$1) * ('Master Data Sheet'!$G:$G=$B49) * ('Master Data Sheet'!$F:$F=$E49) * ('Master Data Sheet'!$A:$A=$F49), 0), MATCH($F$1, 'Master Data Sheet'!$1:$1, 0)), "")</f>
        <v>143.80530973451337</v>
      </c>
      <c r="M49" s="11" cm="1">
        <f t="array" ref="M49">IFERROR(INDEX('Master Data Sheet'!$1:$1048576, MATCH(1, ('Master Data Sheet'!$H:$H=M$2) * (INDEX('Master Data Sheet'!$1:$1, , MATCH($F$1, 'Master Data Sheet'!$1:$1, 0)) = $F$1) * ('Master Data Sheet'!$G:$G=$B49) * ('Master Data Sheet'!$F:$F=$E49) * ('Master Data Sheet'!$A:$A=$F49), 0), MATCH($F$1, 'Master Data Sheet'!$1:$1, 0)), "")</f>
        <v>153.50877192982455</v>
      </c>
      <c r="N49" s="11" cm="1">
        <f t="array" ref="N49">IFERROR(INDEX('Master Data Sheet'!$1:$1048576, MATCH(1, ('Master Data Sheet'!$H:$H=N$2) * (INDEX('Master Data Sheet'!$1:$1, , MATCH($F$1, 'Master Data Sheet'!$1:$1, 0)) = $F$1) * ('Master Data Sheet'!$G:$G=$B49) * ('Master Data Sheet'!$F:$F=$E49) * ('Master Data Sheet'!$A:$A=$F49), 0), MATCH($F$1, 'Master Data Sheet'!$1:$1, 0)), "")</f>
        <v>143.80530973451317</v>
      </c>
      <c r="O49" s="11">
        <f t="shared" si="8"/>
        <v>135.24495325412656</v>
      </c>
      <c r="P49" s="11">
        <f t="shared" si="4"/>
        <v>11.680783130658586</v>
      </c>
      <c r="Q49" s="11"/>
      <c r="X49" t="str">
        <f>IFERROR(INDEX('Date Key'!$G$57:$G$62, MATCH(B48,'Date Key'!$A$57:$A$62, 0)), "")</f>
        <v>Medium HLR, Upper Outlet Height, Yes Plants</v>
      </c>
      <c r="Y49" s="1">
        <f t="shared" ref="Y49:AE49" si="53">H48</f>
        <v>212.65560165975111</v>
      </c>
      <c r="Z49" s="1">
        <f t="shared" si="53"/>
        <v>143.80530973451326</v>
      </c>
      <c r="AA49" s="1">
        <f t="shared" si="53"/>
        <v>143.80530973451326</v>
      </c>
      <c r="AB49" s="1">
        <f t="shared" si="53"/>
        <v>143.80530973451326</v>
      </c>
      <c r="AC49" s="1">
        <f t="shared" si="53"/>
        <v>138.88888888888889</v>
      </c>
      <c r="AD49" s="1">
        <f t="shared" si="53"/>
        <v>133.92857142857139</v>
      </c>
      <c r="AE49" s="1">
        <f t="shared" si="53"/>
        <v>153.5087719298246</v>
      </c>
      <c r="AF49" s="1">
        <f t="shared" ref="AF49:AL49" si="54">H49</f>
        <v>123.87387387387386</v>
      </c>
      <c r="AG49" s="1">
        <f t="shared" si="54"/>
        <v>128.92376681614354</v>
      </c>
      <c r="AH49" s="1">
        <f t="shared" si="54"/>
        <v>128.92376681614354</v>
      </c>
      <c r="AI49" s="1">
        <f t="shared" si="54"/>
        <v>123.87387387387386</v>
      </c>
      <c r="AJ49" s="1">
        <f t="shared" si="54"/>
        <v>143.80530973451337</v>
      </c>
      <c r="AK49" s="1">
        <f t="shared" si="54"/>
        <v>153.50877192982455</v>
      </c>
      <c r="AL49" s="1">
        <f t="shared" si="54"/>
        <v>143.80530973451317</v>
      </c>
      <c r="AM49" s="1">
        <f t="shared" ref="AM49:AS49" si="55">H50</f>
        <v>113.63636363636364</v>
      </c>
      <c r="AN49" s="1">
        <f t="shared" si="55"/>
        <v>103.21100917431197</v>
      </c>
      <c r="AO49" s="1">
        <f t="shared" si="55"/>
        <v>97.926267281105993</v>
      </c>
      <c r="AP49" s="1">
        <f t="shared" si="55"/>
        <v>143.80530973451332</v>
      </c>
      <c r="AQ49" s="1">
        <f t="shared" si="55"/>
        <v>113.63636363636364</v>
      </c>
      <c r="AR49" s="1">
        <f t="shared" si="55"/>
        <v>113.63636363636364</v>
      </c>
      <c r="AS49" s="1">
        <f t="shared" si="55"/>
        <v>113.63636363636368</v>
      </c>
    </row>
    <row r="50" spans="1:46" x14ac:dyDescent="0.35">
      <c r="A50" s="41">
        <f>IFERROR(INDEX('Date Key'!$B$2:$B$19, MATCH(F50,'Date Key'!$A$2:$A$19, 0)), "")</f>
        <v>45400</v>
      </c>
      <c r="B50" s="4">
        <f t="shared" si="15"/>
        <v>6</v>
      </c>
      <c r="C50" s="26" t="str">
        <f>IFERROR(INDEX('Date Key'!$G$57:$G$62, MATCH(B50,'Date Key'!$A$57:$A$62, 0)), "")</f>
        <v>Medium HLR, Upper Outlet Height, Yes Plants</v>
      </c>
      <c r="D50" s="4" t="str">
        <f>IFERROR(INDEX('Date Key'!$G$2:$G$19, MATCH(F50, 'Date Key'!$A$2:$A$19, 0)), "")</f>
        <v>Yes</v>
      </c>
      <c r="E50" s="4" t="str">
        <f t="shared" si="1"/>
        <v>in</v>
      </c>
      <c r="F50" s="4">
        <f t="shared" si="2"/>
        <v>18</v>
      </c>
      <c r="G50" s="4">
        <f t="shared" si="22"/>
        <v>3</v>
      </c>
      <c r="H50" s="11" cm="1">
        <f t="array" ref="H50">IFERROR(INDEX('Master Data Sheet'!$1:$1048576, MATCH(1, ('Master Data Sheet'!$H:$H=H$2) * (INDEX('Master Data Sheet'!$1:$1, , MATCH($F$1, 'Master Data Sheet'!$1:$1, 0)) = $F$1) * ('Master Data Sheet'!$G:$G=$B50) * ('Master Data Sheet'!$F:$F=$E50) * ('Master Data Sheet'!$A:$A=$F50), 0), MATCH($F$1, 'Master Data Sheet'!$1:$1, 0)), "")</f>
        <v>113.63636363636364</v>
      </c>
      <c r="I50" s="11" cm="1">
        <f t="array" ref="I50">IFERROR(INDEX('Master Data Sheet'!$1:$1048576, MATCH(1, ('Master Data Sheet'!$H:$H=I$2) * (INDEX('Master Data Sheet'!$1:$1, , MATCH($F$1, 'Master Data Sheet'!$1:$1, 0)) = $F$1) * ('Master Data Sheet'!$G:$G=$B50) * ('Master Data Sheet'!$F:$F=$E50) * ('Master Data Sheet'!$A:$A=$F50), 0), MATCH($F$1, 'Master Data Sheet'!$1:$1, 0)), "")</f>
        <v>103.21100917431197</v>
      </c>
      <c r="J50" s="11" cm="1">
        <f t="array" ref="J50">IFERROR(INDEX('Master Data Sheet'!$1:$1048576, MATCH(1, ('Master Data Sheet'!$H:$H=J$2) * (INDEX('Master Data Sheet'!$1:$1, , MATCH($F$1, 'Master Data Sheet'!$1:$1, 0)) = $F$1) * ('Master Data Sheet'!$G:$G=$B50) * ('Master Data Sheet'!$F:$F=$E50) * ('Master Data Sheet'!$A:$A=$F50), 0), MATCH($F$1, 'Master Data Sheet'!$1:$1, 0)), "")</f>
        <v>97.926267281105993</v>
      </c>
      <c r="K50" s="11" cm="1">
        <f t="array" ref="K50">IFERROR(INDEX('Master Data Sheet'!$1:$1048576, MATCH(1, ('Master Data Sheet'!$H:$H=K$2) * (INDEX('Master Data Sheet'!$1:$1, , MATCH($F$1, 'Master Data Sheet'!$1:$1, 0)) = $F$1) * ('Master Data Sheet'!$G:$G=$B50) * ('Master Data Sheet'!$F:$F=$E50) * ('Master Data Sheet'!$A:$A=$F50), 0), MATCH($F$1, 'Master Data Sheet'!$1:$1, 0)), "")</f>
        <v>143.80530973451332</v>
      </c>
      <c r="L50" s="11" cm="1">
        <f t="array" ref="L50">IFERROR(INDEX('Master Data Sheet'!$1:$1048576, MATCH(1, ('Master Data Sheet'!$H:$H=L$2) * (INDEX('Master Data Sheet'!$1:$1, , MATCH($F$1, 'Master Data Sheet'!$1:$1, 0)) = $F$1) * ('Master Data Sheet'!$G:$G=$B50) * ('Master Data Sheet'!$F:$F=$E50) * ('Master Data Sheet'!$A:$A=$F50), 0), MATCH($F$1, 'Master Data Sheet'!$1:$1, 0)), "")</f>
        <v>113.63636363636364</v>
      </c>
      <c r="M50" s="11" cm="1">
        <f t="array" ref="M50">IFERROR(INDEX('Master Data Sheet'!$1:$1048576, MATCH(1, ('Master Data Sheet'!$H:$H=M$2) * (INDEX('Master Data Sheet'!$1:$1, , MATCH($F$1, 'Master Data Sheet'!$1:$1, 0)) = $F$1) * ('Master Data Sheet'!$G:$G=$B50) * ('Master Data Sheet'!$F:$F=$E50) * ('Master Data Sheet'!$A:$A=$F50), 0), MATCH($F$1, 'Master Data Sheet'!$1:$1, 0)), "")</f>
        <v>113.63636363636364</v>
      </c>
      <c r="N50" s="11" cm="1">
        <f t="array" ref="N50">IFERROR(INDEX('Master Data Sheet'!$1:$1048576, MATCH(1, ('Master Data Sheet'!$H:$H=N$2) * (INDEX('Master Data Sheet'!$1:$1, , MATCH($F$1, 'Master Data Sheet'!$1:$1, 0)) = $F$1) * ('Master Data Sheet'!$G:$G=$B50) * ('Master Data Sheet'!$F:$F=$E50) * ('Master Data Sheet'!$A:$A=$F50), 0), MATCH($F$1, 'Master Data Sheet'!$1:$1, 0)), "")</f>
        <v>113.63636363636368</v>
      </c>
      <c r="O50" s="11">
        <f t="shared" si="8"/>
        <v>114.21257724791225</v>
      </c>
      <c r="P50" s="11">
        <f t="shared" si="4"/>
        <v>14.510549592974684</v>
      </c>
      <c r="Q50" s="11"/>
      <c r="Y50" s="1"/>
      <c r="Z50" s="1"/>
      <c r="AA50" s="1"/>
      <c r="AB50" s="1"/>
      <c r="AC50" s="1"/>
      <c r="AD50" s="1"/>
      <c r="AE50" s="1"/>
      <c r="AF50" s="1"/>
      <c r="AG50" s="1"/>
      <c r="AH50" s="1"/>
      <c r="AI50" s="1"/>
      <c r="AJ50" s="1"/>
      <c r="AK50" s="1"/>
      <c r="AL50" s="1"/>
      <c r="AM50" s="1"/>
      <c r="AN50" s="1"/>
      <c r="AO50" s="1"/>
      <c r="AP50" s="1"/>
      <c r="AQ50" s="1"/>
      <c r="AR50" s="1"/>
      <c r="AS50" s="1"/>
    </row>
    <row r="51" spans="1:46" x14ac:dyDescent="0.35">
      <c r="A51" s="41">
        <f>IFERROR(INDEX('Date Key'!$B$2:$B$19, MATCH(F51,'Date Key'!$A$2:$A$19, 0)), "")</f>
        <v>45371</v>
      </c>
      <c r="B51" s="4">
        <f t="shared" si="15"/>
        <v>6</v>
      </c>
      <c r="C51" s="26" t="str">
        <f>IFERROR(INDEX('Date Key'!$G$57:$G$62, MATCH(B51,'Date Key'!$A$57:$A$62, 0)), "")</f>
        <v>Medium HLR, Upper Outlet Height, Yes Plants</v>
      </c>
      <c r="D51" s="4" t="str">
        <f>IFERROR(INDEX('Date Key'!$G$2:$G$19, MATCH(F51, 'Date Key'!$A$2:$A$19, 0)), "")</f>
        <v>No</v>
      </c>
      <c r="E51" s="4" t="str">
        <f t="shared" si="1"/>
        <v>tank 1</v>
      </c>
      <c r="F51" s="4">
        <f t="shared" si="2"/>
        <v>16</v>
      </c>
      <c r="G51" s="4">
        <f t="shared" si="22"/>
        <v>1</v>
      </c>
      <c r="H51" s="11" cm="1">
        <f t="array" ref="H51">IFERROR(INDEX('Master Data Sheet'!$1:$1048576, MATCH(1, ('Master Data Sheet'!$H:$H=H$2) * (INDEX('Master Data Sheet'!$1:$1, , MATCH($F$1, 'Master Data Sheet'!$1:$1, 0)) = $F$1) * ('Master Data Sheet'!$G:$G=$B51) * ('Master Data Sheet'!$F:$F=$E51) * ('Master Data Sheet'!$A:$A=$F51), 0), MATCH($F$1, 'Master Data Sheet'!$1:$1, 0)), "")</f>
        <v>241.93548387096777</v>
      </c>
      <c r="I51" s="11" cm="1">
        <f t="array" ref="I51">IFERROR(INDEX('Master Data Sheet'!$1:$1048576, MATCH(1, ('Master Data Sheet'!$H:$H=I$2) * (INDEX('Master Data Sheet'!$1:$1, , MATCH($F$1, 'Master Data Sheet'!$1:$1, 0)) = $F$1) * ('Master Data Sheet'!$G:$G=$B51) * ('Master Data Sheet'!$F:$F=$E51) * ('Master Data Sheet'!$A:$A=$F51), 0), MATCH($F$1, 'Master Data Sheet'!$1:$1, 0)), "")</f>
        <v>233.73983739837408</v>
      </c>
      <c r="J51" s="11" cm="1">
        <f t="array" ref="J51">IFERROR(INDEX('Master Data Sheet'!$1:$1048576, MATCH(1, ('Master Data Sheet'!$H:$H=J$2) * (INDEX('Master Data Sheet'!$1:$1, , MATCH($F$1, 'Master Data Sheet'!$1:$1, 0)) = $F$1) * ('Master Data Sheet'!$G:$G=$B51) * ('Master Data Sheet'!$F:$F=$E51) * ('Master Data Sheet'!$A:$A=$F51), 0), MATCH($F$1, 'Master Data Sheet'!$1:$1, 0)), "")</f>
        <v>190.67796610169486</v>
      </c>
      <c r="K51" s="11" cm="1">
        <f t="array" ref="K51">IFERROR(INDEX('Master Data Sheet'!$1:$1048576, MATCH(1, ('Master Data Sheet'!$H:$H=K$2) * (INDEX('Master Data Sheet'!$1:$1, , MATCH($F$1, 'Master Data Sheet'!$1:$1, 0)) = $F$1) * ('Master Data Sheet'!$G:$G=$B51) * ('Master Data Sheet'!$F:$F=$E51) * ('Master Data Sheet'!$A:$A=$F51), 0), MATCH($F$1, 'Master Data Sheet'!$1:$1, 0)), "")</f>
        <v>216.94214876033055</v>
      </c>
      <c r="L51" s="11" cm="1">
        <f t="array" ref="L51">IFERROR(INDEX('Master Data Sheet'!$1:$1048576, MATCH(1, ('Master Data Sheet'!$H:$H=L$2) * (INDEX('Master Data Sheet'!$1:$1, , MATCH($F$1, 'Master Data Sheet'!$1:$1, 0)) = $F$1) * ('Master Data Sheet'!$G:$G=$B51) * ('Master Data Sheet'!$F:$F=$E51) * ('Master Data Sheet'!$A:$A=$F51), 0), MATCH($F$1, 'Master Data Sheet'!$1:$1, 0)), "")</f>
        <v>216.94214876033038</v>
      </c>
      <c r="M51" s="11" cm="1">
        <f t="array" ref="M51">IFERROR(INDEX('Master Data Sheet'!$1:$1048576, MATCH(1, ('Master Data Sheet'!$H:$H=M$2) * (INDEX('Master Data Sheet'!$1:$1, , MATCH($F$1, 'Master Data Sheet'!$1:$1, 0)) = $F$1) * ('Master Data Sheet'!$G:$G=$B51) * ('Master Data Sheet'!$F:$F=$E51) * ('Master Data Sheet'!$A:$A=$F51), 0), MATCH($F$1, 'Master Data Sheet'!$1:$1, 0)), "")</f>
        <v>233.73983739837408</v>
      </c>
      <c r="N51" s="11" cm="1">
        <f t="array" ref="N51">IFERROR(INDEX('Master Data Sheet'!$1:$1048576, MATCH(1, ('Master Data Sheet'!$H:$H=N$2) * (INDEX('Master Data Sheet'!$1:$1, , MATCH($F$1, 'Master Data Sheet'!$1:$1, 0)) = $F$1) * ('Master Data Sheet'!$G:$G=$B51) * ('Master Data Sheet'!$F:$F=$E51) * ('Master Data Sheet'!$A:$A=$F51), 0), MATCH($F$1, 'Master Data Sheet'!$1:$1, 0)), "")</f>
        <v>190.67796610169498</v>
      </c>
      <c r="O51" s="11">
        <f t="shared" si="8"/>
        <v>217.80791262739521</v>
      </c>
      <c r="P51" s="11">
        <f t="shared" si="4"/>
        <v>20.66945910859657</v>
      </c>
      <c r="Q51" s="11">
        <f>AVERAGE(O51:O53)</f>
        <v>205.23042151472893</v>
      </c>
      <c r="R51" s="46">
        <f>(1-(O51/O48))*100</f>
        <v>-42.438207639851377</v>
      </c>
      <c r="S51" s="46">
        <f>AVERAGE(R51:R53)</f>
        <v>-53.954904734826293</v>
      </c>
      <c r="T51" s="46">
        <f>STDEV(R51:R53)</f>
        <v>10.2911194586852</v>
      </c>
      <c r="U51" s="47">
        <f>(1-(AVERAGE(H51:N53)/AVERAGE(H48:N50)))*100</f>
        <v>-53.015626020692096</v>
      </c>
      <c r="V51" s="47"/>
      <c r="Y51" s="2"/>
      <c r="Z51" s="2"/>
      <c r="AA51" s="2"/>
      <c r="AB51" s="2"/>
      <c r="AC51" s="2"/>
      <c r="AD51" s="2"/>
      <c r="AE51" s="2"/>
      <c r="AF51" s="2"/>
      <c r="AG51" s="2"/>
    </row>
    <row r="52" spans="1:46" x14ac:dyDescent="0.35">
      <c r="A52" s="41">
        <f>IFERROR(INDEX('Date Key'!$B$2:$B$19, MATCH(F52,'Date Key'!$A$2:$A$19, 0)), "")</f>
        <v>45392</v>
      </c>
      <c r="B52" s="4">
        <f t="shared" si="15"/>
        <v>6</v>
      </c>
      <c r="C52" s="26" t="str">
        <f>IFERROR(INDEX('Date Key'!$G$57:$G$62, MATCH(B52,'Date Key'!$A$57:$A$62, 0)), "")</f>
        <v>Medium HLR, Upper Outlet Height, Yes Plants</v>
      </c>
      <c r="D52" s="4" t="str">
        <f>IFERROR(INDEX('Date Key'!$G$2:$G$19, MATCH(F52, 'Date Key'!$A$2:$A$19, 0)), "")</f>
        <v>No</v>
      </c>
      <c r="E52" s="4" t="str">
        <f t="shared" si="1"/>
        <v>tank 1</v>
      </c>
      <c r="F52" s="4">
        <f t="shared" si="2"/>
        <v>17</v>
      </c>
      <c r="G52" s="4">
        <f t="shared" si="22"/>
        <v>2</v>
      </c>
      <c r="H52" s="11" cm="1">
        <f t="array" ref="H52">IFERROR(INDEX('Master Data Sheet'!$1:$1048576, MATCH(1, ('Master Data Sheet'!$H:$H=H$2) * (INDEX('Master Data Sheet'!$1:$1, , MATCH($F$1, 'Master Data Sheet'!$1:$1, 0)) = $F$1) * ('Master Data Sheet'!$G:$G=$B52) * ('Master Data Sheet'!$F:$F=$E52) * ('Master Data Sheet'!$A:$A=$F52), 0), MATCH($F$1, 'Master Data Sheet'!$1:$1, 0)), "")</f>
        <v>241.93548387096791</v>
      </c>
      <c r="I52" s="11" cm="1">
        <f t="array" ref="I52">IFERROR(INDEX('Master Data Sheet'!$1:$1048576, MATCH(1, ('Master Data Sheet'!$H:$H=I$2) * (INDEX('Master Data Sheet'!$1:$1, , MATCH($F$1, 'Master Data Sheet'!$1:$1, 0)) = $F$1) * ('Master Data Sheet'!$G:$G=$B52) * ('Master Data Sheet'!$F:$F=$E52) * ('Master Data Sheet'!$A:$A=$F52), 0), MATCH($F$1, 'Master Data Sheet'!$1:$1, 0)), "")</f>
        <v>233.73983739837408</v>
      </c>
      <c r="J52" s="11" cm="1">
        <f t="array" ref="J52">IFERROR(INDEX('Master Data Sheet'!$1:$1048576, MATCH(1, ('Master Data Sheet'!$H:$H=J$2) * (INDEX('Master Data Sheet'!$1:$1, , MATCH($F$1, 'Master Data Sheet'!$1:$1, 0)) = $F$1) * ('Master Data Sheet'!$G:$G=$B52) * ('Master Data Sheet'!$F:$F=$E52) * ('Master Data Sheet'!$A:$A=$F52), 0), MATCH($F$1, 'Master Data Sheet'!$1:$1, 0)), "")</f>
        <v>229.59183673469389</v>
      </c>
      <c r="K52" s="11" cm="1">
        <f t="array" ref="K52">IFERROR(INDEX('Master Data Sheet'!$1:$1048576, MATCH(1, ('Master Data Sheet'!$H:$H=K$2) * (INDEX('Master Data Sheet'!$1:$1, , MATCH($F$1, 'Master Data Sheet'!$1:$1, 0)) = $F$1) * ('Master Data Sheet'!$G:$G=$B52) * ('Master Data Sheet'!$F:$F=$E52) * ('Master Data Sheet'!$A:$A=$F52), 0), MATCH($F$1, 'Master Data Sheet'!$1:$1, 0)), "")</f>
        <v>229.59183673469389</v>
      </c>
      <c r="L52" s="11" cm="1">
        <f t="array" ref="L52">IFERROR(INDEX('Master Data Sheet'!$1:$1048576, MATCH(1, ('Master Data Sheet'!$H:$H=L$2) * (INDEX('Master Data Sheet'!$1:$1, , MATCH($F$1, 'Master Data Sheet'!$1:$1, 0)) = $F$1) * ('Master Data Sheet'!$G:$G=$B52) * ('Master Data Sheet'!$F:$F=$E52) * ('Master Data Sheet'!$A:$A=$F52), 0), MATCH($F$1, 'Master Data Sheet'!$1:$1, 0)), "")</f>
        <v>208.33333333333334</v>
      </c>
      <c r="M52" s="11" cm="1">
        <f t="array" ref="M52">IFERROR(INDEX('Master Data Sheet'!$1:$1048576, MATCH(1, ('Master Data Sheet'!$H:$H=M$2) * (INDEX('Master Data Sheet'!$1:$1, , MATCH($F$1, 'Master Data Sheet'!$1:$1, 0)) = $F$1) * ('Master Data Sheet'!$G:$G=$B52) * ('Master Data Sheet'!$F:$F=$E52) * ('Master Data Sheet'!$A:$A=$F52), 0), MATCH($F$1, 'Master Data Sheet'!$1:$1, 0)), "")</f>
        <v>172.41379310344831</v>
      </c>
      <c r="N52" s="11" cm="1">
        <f t="array" ref="N52">IFERROR(INDEX('Master Data Sheet'!$1:$1048576, MATCH(1, ('Master Data Sheet'!$H:$H=N$2) * (INDEX('Master Data Sheet'!$1:$1, , MATCH($F$1, 'Master Data Sheet'!$1:$1, 0)) = $F$1) * ('Master Data Sheet'!$G:$G=$B52) * ('Master Data Sheet'!$F:$F=$E52) * ('Master Data Sheet'!$A:$A=$F52), 0), MATCH($F$1, 'Master Data Sheet'!$1:$1, 0)), "")</f>
        <v>172.4137931034484</v>
      </c>
      <c r="O52" s="11">
        <f t="shared" si="8"/>
        <v>212.57427346842283</v>
      </c>
      <c r="P52" s="11">
        <f t="shared" si="4"/>
        <v>29.24884792984431</v>
      </c>
      <c r="Q52" s="11"/>
      <c r="R52" s="46">
        <f>(1-(O52/O49))*100</f>
        <v>-57.177231647966728</v>
      </c>
      <c r="X52" t="str">
        <f>IFERROR(INDEX('Date Key'!$G$57:$G$62, MATCH(B51,'Date Key'!$A$57:$A$62, 0)), "")</f>
        <v>Medium HLR, Upper Outlet Height, Yes Plants</v>
      </c>
      <c r="Y52" s="1">
        <f t="shared" ref="Y52:AE52" si="56">H51</f>
        <v>241.93548387096777</v>
      </c>
      <c r="Z52" s="1">
        <f t="shared" si="56"/>
        <v>233.73983739837408</v>
      </c>
      <c r="AA52" s="1">
        <f t="shared" si="56"/>
        <v>190.67796610169486</v>
      </c>
      <c r="AB52" s="1">
        <f t="shared" si="56"/>
        <v>216.94214876033055</v>
      </c>
      <c r="AC52" s="1">
        <f t="shared" si="56"/>
        <v>216.94214876033038</v>
      </c>
      <c r="AD52" s="1">
        <f t="shared" si="56"/>
        <v>233.73983739837408</v>
      </c>
      <c r="AE52" s="1">
        <f t="shared" si="56"/>
        <v>190.67796610169498</v>
      </c>
      <c r="AF52" s="1">
        <f t="shared" ref="AF52:AL52" si="57">H52</f>
        <v>241.93548387096791</v>
      </c>
      <c r="AG52" s="1">
        <f t="shared" si="57"/>
        <v>233.73983739837408</v>
      </c>
      <c r="AH52" s="1">
        <f t="shared" si="57"/>
        <v>229.59183673469389</v>
      </c>
      <c r="AI52" s="1">
        <f t="shared" si="57"/>
        <v>229.59183673469389</v>
      </c>
      <c r="AJ52" s="1">
        <f t="shared" si="57"/>
        <v>208.33333333333334</v>
      </c>
      <c r="AK52" s="1">
        <f t="shared" si="57"/>
        <v>172.41379310344831</v>
      </c>
      <c r="AL52" s="1">
        <f t="shared" si="57"/>
        <v>172.4137931034484</v>
      </c>
      <c r="AM52" s="1">
        <f t="shared" ref="AM52:AS52" si="58">H53</f>
        <v>133.92857142857139</v>
      </c>
      <c r="AN52" s="1">
        <f t="shared" si="58"/>
        <v>181.62393162393155</v>
      </c>
      <c r="AO52" s="1">
        <f t="shared" si="58"/>
        <v>133.92857142857153</v>
      </c>
      <c r="AP52" s="1">
        <f t="shared" si="58"/>
        <v>190.67796610169498</v>
      </c>
      <c r="AQ52" s="1">
        <f t="shared" si="58"/>
        <v>228.21299879887897</v>
      </c>
      <c r="AR52" s="1">
        <f t="shared" si="58"/>
        <v>265.74803149606299</v>
      </c>
      <c r="AS52" s="1">
        <f t="shared" si="58"/>
        <v>163.04347826086959</v>
      </c>
    </row>
    <row r="53" spans="1:46" x14ac:dyDescent="0.35">
      <c r="A53" s="41">
        <f>IFERROR(INDEX('Date Key'!$B$2:$B$19, MATCH(F53,'Date Key'!$A$2:$A$19, 0)), "")</f>
        <v>45400</v>
      </c>
      <c r="B53" s="4">
        <f t="shared" si="15"/>
        <v>6</v>
      </c>
      <c r="C53" s="26" t="str">
        <f>IFERROR(INDEX('Date Key'!$G$57:$G$62, MATCH(B53,'Date Key'!$A$57:$A$62, 0)), "")</f>
        <v>Medium HLR, Upper Outlet Height, Yes Plants</v>
      </c>
      <c r="D53" s="4" t="str">
        <f>IFERROR(INDEX('Date Key'!$G$2:$G$19, MATCH(F53, 'Date Key'!$A$2:$A$19, 0)), "")</f>
        <v>Yes</v>
      </c>
      <c r="E53" s="4" t="str">
        <f t="shared" si="1"/>
        <v>tank 1</v>
      </c>
      <c r="F53" s="4">
        <f t="shared" si="2"/>
        <v>18</v>
      </c>
      <c r="G53" s="4">
        <f t="shared" si="22"/>
        <v>3</v>
      </c>
      <c r="H53" s="11" cm="1">
        <f t="array" ref="H53">IFERROR(INDEX('Master Data Sheet'!$1:$1048576, MATCH(1, ('Master Data Sheet'!$H:$H=H$2) * (INDEX('Master Data Sheet'!$1:$1, , MATCH($F$1, 'Master Data Sheet'!$1:$1, 0)) = $F$1) * ('Master Data Sheet'!$G:$G=$B53) * ('Master Data Sheet'!$F:$F=$E53) * ('Master Data Sheet'!$A:$A=$F53), 0), MATCH($F$1, 'Master Data Sheet'!$1:$1, 0)), "")</f>
        <v>133.92857142857139</v>
      </c>
      <c r="I53" s="11" cm="1">
        <f t="array" ref="I53">IFERROR(INDEX('Master Data Sheet'!$1:$1048576, MATCH(1, ('Master Data Sheet'!$H:$H=I$2) * (INDEX('Master Data Sheet'!$1:$1, , MATCH($F$1, 'Master Data Sheet'!$1:$1, 0)) = $F$1) * ('Master Data Sheet'!$G:$G=$B53) * ('Master Data Sheet'!$F:$F=$E53) * ('Master Data Sheet'!$A:$A=$F53), 0), MATCH($F$1, 'Master Data Sheet'!$1:$1, 0)), "")</f>
        <v>181.62393162393155</v>
      </c>
      <c r="J53" s="11" cm="1">
        <f t="array" ref="J53">IFERROR(INDEX('Master Data Sheet'!$1:$1048576, MATCH(1, ('Master Data Sheet'!$H:$H=J$2) * (INDEX('Master Data Sheet'!$1:$1, , MATCH($F$1, 'Master Data Sheet'!$1:$1, 0)) = $F$1) * ('Master Data Sheet'!$G:$G=$B53) * ('Master Data Sheet'!$F:$F=$E53) * ('Master Data Sheet'!$A:$A=$F53), 0), MATCH($F$1, 'Master Data Sheet'!$1:$1, 0)), "")</f>
        <v>133.92857142857153</v>
      </c>
      <c r="K53" s="11" cm="1">
        <f t="array" ref="K53">IFERROR(INDEX('Master Data Sheet'!$1:$1048576, MATCH(1, ('Master Data Sheet'!$H:$H=K$2) * (INDEX('Master Data Sheet'!$1:$1, , MATCH($F$1, 'Master Data Sheet'!$1:$1, 0)) = $F$1) * ('Master Data Sheet'!$G:$G=$B53) * ('Master Data Sheet'!$F:$F=$E53) * ('Master Data Sheet'!$A:$A=$F53), 0), MATCH($F$1, 'Master Data Sheet'!$1:$1, 0)), "")</f>
        <v>190.67796610169498</v>
      </c>
      <c r="L53" s="11" cm="1">
        <f t="array" ref="L53">IFERROR(INDEX('Master Data Sheet'!$1:$1048576, MATCH(1, ('Master Data Sheet'!$H:$H=L$2) * (INDEX('Master Data Sheet'!$1:$1, , MATCH($F$1, 'Master Data Sheet'!$1:$1, 0)) = $F$1) * ('Master Data Sheet'!$G:$G=$B53) * ('Master Data Sheet'!$F:$F=$E53) * ('Master Data Sheet'!$A:$A=$F53), 0), MATCH($F$1, 'Master Data Sheet'!$1:$1, 0)), "")</f>
        <v>228.21299879887897</v>
      </c>
      <c r="M53" s="11" cm="1">
        <f t="array" ref="M53">IFERROR(INDEX('Master Data Sheet'!$1:$1048576, MATCH(1, ('Master Data Sheet'!$H:$H=M$2) * (INDEX('Master Data Sheet'!$1:$1, , MATCH($F$1, 'Master Data Sheet'!$1:$1, 0)) = $F$1) * ('Master Data Sheet'!$G:$G=$B53) * ('Master Data Sheet'!$F:$F=$E53) * ('Master Data Sheet'!$A:$A=$F53), 0), MATCH($F$1, 'Master Data Sheet'!$1:$1, 0)), "")</f>
        <v>265.74803149606299</v>
      </c>
      <c r="N53" s="11" cm="1">
        <f t="array" ref="N53">IFERROR(INDEX('Master Data Sheet'!$1:$1048576, MATCH(1, ('Master Data Sheet'!$H:$H=N$2) * (INDEX('Master Data Sheet'!$1:$1, , MATCH($F$1, 'Master Data Sheet'!$1:$1, 0)) = $F$1) * ('Master Data Sheet'!$G:$G=$B53) * ('Master Data Sheet'!$F:$F=$E53) * ('Master Data Sheet'!$A:$A=$F53), 0), MATCH($F$1, 'Master Data Sheet'!$1:$1, 0)), "")</f>
        <v>163.04347826086959</v>
      </c>
      <c r="O53" s="11">
        <f t="shared" si="8"/>
        <v>185.30907844836869</v>
      </c>
      <c r="P53" s="11">
        <f t="shared" si="4"/>
        <v>48.527048755541479</v>
      </c>
      <c r="Q53" s="11"/>
      <c r="R53" s="46">
        <f>(1-(O53/O50))*100</f>
        <v>-62.249274916660767</v>
      </c>
      <c r="Y53" s="2"/>
      <c r="Z53" s="2"/>
      <c r="AA53" s="2"/>
      <c r="AB53" s="2"/>
      <c r="AC53" s="2"/>
      <c r="AD53" s="2"/>
      <c r="AE53" s="2"/>
      <c r="AF53" s="2"/>
      <c r="AG53" s="2"/>
    </row>
    <row r="54" spans="1:46" x14ac:dyDescent="0.35">
      <c r="A54" s="41">
        <f>IFERROR(INDEX('Date Key'!$B$2:$B$19, MATCH(F54,'Date Key'!$A$2:$A$19, 0)), "")</f>
        <v>45371</v>
      </c>
      <c r="B54" s="4">
        <f t="shared" si="15"/>
        <v>6</v>
      </c>
      <c r="C54" s="26" t="str">
        <f>IFERROR(INDEX('Date Key'!$G$57:$G$62, MATCH(B54,'Date Key'!$A$57:$A$62, 0)), "")</f>
        <v>Medium HLR, Upper Outlet Height, Yes Plants</v>
      </c>
      <c r="D54" s="4" t="str">
        <f>IFERROR(INDEX('Date Key'!$G$2:$G$19, MATCH(F54, 'Date Key'!$A$2:$A$19, 0)), "")</f>
        <v>No</v>
      </c>
      <c r="E54" s="4" t="str">
        <f t="shared" si="1"/>
        <v>tank 2</v>
      </c>
      <c r="F54" s="4">
        <f t="shared" si="2"/>
        <v>16</v>
      </c>
      <c r="G54" s="4">
        <f t="shared" si="22"/>
        <v>1</v>
      </c>
      <c r="H54" s="11" cm="1">
        <f t="array" ref="H54">IFERROR(INDEX('Master Data Sheet'!$1:$1048576, MATCH(1, ('Master Data Sheet'!$H:$H=H$2) * (INDEX('Master Data Sheet'!$1:$1, , MATCH($F$1, 'Master Data Sheet'!$1:$1, 0)) = $F$1) * ('Master Data Sheet'!$G:$G=$B54) * ('Master Data Sheet'!$F:$F=$E54) * ('Master Data Sheet'!$A:$A=$F54), 0), MATCH($F$1, 'Master Data Sheet'!$1:$1, 0)), "")</f>
        <v>250</v>
      </c>
      <c r="I54" s="11" cm="1">
        <f t="array" ref="I54">IFERROR(INDEX('Master Data Sheet'!$1:$1048576, MATCH(1, ('Master Data Sheet'!$H:$H=I$2) * (INDEX('Master Data Sheet'!$1:$1, , MATCH($F$1, 'Master Data Sheet'!$1:$1, 0)) = $F$1) * ('Master Data Sheet'!$G:$G=$B54) * ('Master Data Sheet'!$F:$F=$E54) * ('Master Data Sheet'!$A:$A=$F54), 0), MATCH($F$1, 'Master Data Sheet'!$1:$1, 0)), "")</f>
        <v>233.73983739837388</v>
      </c>
      <c r="J54" s="11" cm="1">
        <f t="array" ref="J54">IFERROR(INDEX('Master Data Sheet'!$1:$1048576, MATCH(1, ('Master Data Sheet'!$H:$H=J$2) * (INDEX('Master Data Sheet'!$1:$1, , MATCH($F$1, 'Master Data Sheet'!$1:$1, 0)) = $F$1) * ('Master Data Sheet'!$G:$G=$B54) * ('Master Data Sheet'!$F:$F=$E54) * ('Master Data Sheet'!$A:$A=$F54), 0), MATCH($F$1, 'Master Data Sheet'!$1:$1, 0)), "")</f>
        <v>233.73983739837377</v>
      </c>
      <c r="K54" s="11" cm="1">
        <f t="array" ref="K54">IFERROR(INDEX('Master Data Sheet'!$1:$1048576, MATCH(1, ('Master Data Sheet'!$H:$H=K$2) * (INDEX('Master Data Sheet'!$1:$1, , MATCH($F$1, 'Master Data Sheet'!$1:$1, 0)) = $F$1) * ('Master Data Sheet'!$G:$G=$B54) * ('Master Data Sheet'!$F:$F=$E54) * ('Master Data Sheet'!$A:$A=$F54), 0), MATCH($F$1, 'Master Data Sheet'!$1:$1, 0)), "")</f>
        <v>233.73983739837408</v>
      </c>
      <c r="L54" s="11" cm="1">
        <f t="array" ref="L54">IFERROR(INDEX('Master Data Sheet'!$1:$1048576, MATCH(1, ('Master Data Sheet'!$H:$H=L$2) * (INDEX('Master Data Sheet'!$1:$1, , MATCH($F$1, 'Master Data Sheet'!$1:$1, 0)) = $F$1) * ('Master Data Sheet'!$G:$G=$B54) * ('Master Data Sheet'!$F:$F=$E54) * ('Master Data Sheet'!$A:$A=$F54), 0), MATCH($F$1, 'Master Data Sheet'!$1:$1, 0)), "")</f>
        <v>216.9421487603307</v>
      </c>
      <c r="M54" s="11" cm="1">
        <f t="array" ref="M54">IFERROR(INDEX('Master Data Sheet'!$1:$1048576, MATCH(1, ('Master Data Sheet'!$H:$H=M$2) * (INDEX('Master Data Sheet'!$1:$1, , MATCH($F$1, 'Master Data Sheet'!$1:$1, 0)) = $F$1) * ('Master Data Sheet'!$G:$G=$B54) * ('Master Data Sheet'!$F:$F=$E54) * ('Master Data Sheet'!$A:$A=$F54), 0), MATCH($F$1, 'Master Data Sheet'!$1:$1, 0)), "")</f>
        <v>190.67796610169498</v>
      </c>
      <c r="N54" s="11" cm="1">
        <f t="array" ref="N54">IFERROR(INDEX('Master Data Sheet'!$1:$1048576, MATCH(1, ('Master Data Sheet'!$H:$H=N$2) * (INDEX('Master Data Sheet'!$1:$1, , MATCH($F$1, 'Master Data Sheet'!$1:$1, 0)) = $F$1) * ('Master Data Sheet'!$G:$G=$B54) * ('Master Data Sheet'!$F:$F=$E54) * ('Master Data Sheet'!$A:$A=$F54), 0), MATCH($F$1, 'Master Data Sheet'!$1:$1, 0)), "")</f>
        <v>181.62393162393155</v>
      </c>
      <c r="O54" s="11">
        <f t="shared" si="8"/>
        <v>220.06622266872554</v>
      </c>
      <c r="P54" s="11">
        <f t="shared" si="4"/>
        <v>25.193165234676488</v>
      </c>
      <c r="Q54" s="11">
        <f>AVERAGE(N54:N56)</f>
        <v>156.18042791955835</v>
      </c>
      <c r="R54" s="46">
        <f>(1-(O54/O48))*100</f>
        <v>-43.91505772625046</v>
      </c>
      <c r="S54" s="46">
        <f>AVERAGE(R54:R56)</f>
        <v>-30.720368458984684</v>
      </c>
      <c r="T54" s="46">
        <f>STDEV(R54:R56)</f>
        <v>23.479395271675841</v>
      </c>
      <c r="U54" s="47">
        <f>(1-(AVERAGE(H54:N56)/AVERAGE(H48:N50)))*100</f>
        <v>-32.71676512621702</v>
      </c>
      <c r="Y54" s="2"/>
      <c r="Z54" s="2"/>
      <c r="AA54" s="2"/>
      <c r="AB54" s="2"/>
      <c r="AC54" s="2"/>
      <c r="AD54" s="2"/>
      <c r="AE54" s="2"/>
      <c r="AF54" s="2"/>
      <c r="AG54" s="2"/>
    </row>
    <row r="55" spans="1:46" x14ac:dyDescent="0.35">
      <c r="A55" s="41">
        <f>IFERROR(INDEX('Date Key'!$B$2:$B$19, MATCH(F55,'Date Key'!$A$2:$A$19, 0)), "")</f>
        <v>45392</v>
      </c>
      <c r="B55" s="4">
        <f t="shared" si="15"/>
        <v>6</v>
      </c>
      <c r="C55" s="26" t="str">
        <f>IFERROR(INDEX('Date Key'!$G$57:$G$62, MATCH(B55,'Date Key'!$A$57:$A$62, 0)), "")</f>
        <v>Medium HLR, Upper Outlet Height, Yes Plants</v>
      </c>
      <c r="D55" s="4" t="str">
        <f>IFERROR(INDEX('Date Key'!$G$2:$G$19, MATCH(F55, 'Date Key'!$A$2:$A$19, 0)), "")</f>
        <v>No</v>
      </c>
      <c r="E55" s="4" t="str">
        <f t="shared" si="1"/>
        <v>tank 2</v>
      </c>
      <c r="F55" s="4">
        <f t="shared" si="2"/>
        <v>17</v>
      </c>
      <c r="G55" s="4">
        <f t="shared" si="22"/>
        <v>2</v>
      </c>
      <c r="H55" s="11" cm="1">
        <f t="array" ref="H55">IFERROR(INDEX('Master Data Sheet'!$1:$1048576, MATCH(1, ('Master Data Sheet'!$H:$H=H$2) * (INDEX('Master Data Sheet'!$1:$1, , MATCH($F$1, 'Master Data Sheet'!$1:$1, 0)) = $F$1) * ('Master Data Sheet'!$G:$G=$B55) * ('Master Data Sheet'!$F:$F=$E55) * ('Master Data Sheet'!$A:$A=$F55), 0), MATCH($F$1, 'Master Data Sheet'!$1:$1, 0)), "")</f>
        <v>225.40983606557381</v>
      </c>
      <c r="I55" s="11" cm="1">
        <f t="array" ref="I55">IFERROR(INDEX('Master Data Sheet'!$1:$1048576, MATCH(1, ('Master Data Sheet'!$H:$H=I$2) * (INDEX('Master Data Sheet'!$1:$1, , MATCH($F$1, 'Master Data Sheet'!$1:$1, 0)) = $F$1) * ('Master Data Sheet'!$G:$G=$B55) * ('Master Data Sheet'!$F:$F=$E55) * ('Master Data Sheet'!$A:$A=$F55), 0), MATCH($F$1, 'Master Data Sheet'!$1:$1, 0)), "")</f>
        <v>229.59183673469389</v>
      </c>
      <c r="J55" s="11" cm="1">
        <f t="array" ref="J55">IFERROR(INDEX('Master Data Sheet'!$1:$1048576, MATCH(1, ('Master Data Sheet'!$H:$H=J$2) * (INDEX('Master Data Sheet'!$1:$1, , MATCH($F$1, 'Master Data Sheet'!$1:$1, 0)) = $F$1) * ('Master Data Sheet'!$G:$G=$B55) * ('Master Data Sheet'!$F:$F=$E55) * ('Master Data Sheet'!$A:$A=$F55), 0), MATCH($F$1, 'Master Data Sheet'!$1:$1, 0)), "")</f>
        <v>221.19341563786011</v>
      </c>
      <c r="K55" s="11" cm="1">
        <f t="array" ref="K55">IFERROR(INDEX('Master Data Sheet'!$1:$1048576, MATCH(1, ('Master Data Sheet'!$H:$H=K$2) * (INDEX('Master Data Sheet'!$1:$1, , MATCH($F$1, 'Master Data Sheet'!$1:$1, 0)) = $F$1) * ('Master Data Sheet'!$G:$G=$B55) * ('Master Data Sheet'!$F:$F=$E55) * ('Master Data Sheet'!$A:$A=$F55), 0), MATCH($F$1, 'Master Data Sheet'!$1:$1, 0)), "")</f>
        <v>190.67796610169498</v>
      </c>
      <c r="L55" s="11" cm="1">
        <f t="array" ref="L55">IFERROR(INDEX('Master Data Sheet'!$1:$1048576, MATCH(1, ('Master Data Sheet'!$H:$H=L$2) * (INDEX('Master Data Sheet'!$1:$1, , MATCH($F$1, 'Master Data Sheet'!$1:$1, 0)) = $F$1) * ('Master Data Sheet'!$G:$G=$B55) * ('Master Data Sheet'!$F:$F=$E55) * ('Master Data Sheet'!$A:$A=$F55), 0), MATCH($F$1, 'Master Data Sheet'!$1:$1, 0)), "")</f>
        <v>190.67796610169486</v>
      </c>
      <c r="M55" s="11" cm="1">
        <f t="array" ref="M55">IFERROR(INDEX('Master Data Sheet'!$1:$1048576, MATCH(1, ('Master Data Sheet'!$H:$H=M$2) * (INDEX('Master Data Sheet'!$1:$1, , MATCH($F$1, 'Master Data Sheet'!$1:$1, 0)) = $F$1) * ('Master Data Sheet'!$G:$G=$B55) * ('Master Data Sheet'!$F:$F=$E55) * ('Master Data Sheet'!$A:$A=$F55), 0), MATCH($F$1, 'Master Data Sheet'!$1:$1, 0)), "")</f>
        <v>148.67841409691627</v>
      </c>
      <c r="N55" s="11" cm="1">
        <f t="array" ref="N55">IFERROR(INDEX('Master Data Sheet'!$1:$1048576, MATCH(1, ('Master Data Sheet'!$H:$H=N$2) * (INDEX('Master Data Sheet'!$1:$1, , MATCH($F$1, 'Master Data Sheet'!$1:$1, 0)) = $F$1) * ('Master Data Sheet'!$G:$G=$B55) * ('Master Data Sheet'!$F:$F=$E55) * ('Master Data Sheet'!$A:$A=$F55), 0), MATCH($F$1, 'Master Data Sheet'!$1:$1, 0)), "")</f>
        <v>163.04347826086959</v>
      </c>
      <c r="O55" s="11">
        <f t="shared" si="8"/>
        <v>195.61041614275763</v>
      </c>
      <c r="P55" s="11">
        <f t="shared" si="4"/>
        <v>31.646770825782795</v>
      </c>
      <c r="Q55" s="11"/>
      <c r="R55" s="46">
        <f>(1-(O55/O49))*100</f>
        <v>-44.634170396882602</v>
      </c>
      <c r="X55" t="str">
        <f>IFERROR(INDEX('Date Key'!$G$57:$G$62, MATCH(B54,'Date Key'!$A$57:$A$62, 0)), "")</f>
        <v>Medium HLR, Upper Outlet Height, Yes Plants</v>
      </c>
      <c r="Y55" s="1">
        <f t="shared" ref="Y55:AE55" si="59">H54</f>
        <v>250</v>
      </c>
      <c r="Z55" s="1">
        <f t="shared" si="59"/>
        <v>233.73983739837388</v>
      </c>
      <c r="AA55" s="1">
        <f t="shared" si="59"/>
        <v>233.73983739837377</v>
      </c>
      <c r="AB55" s="1">
        <f t="shared" si="59"/>
        <v>233.73983739837408</v>
      </c>
      <c r="AC55" s="1">
        <f t="shared" si="59"/>
        <v>216.9421487603307</v>
      </c>
      <c r="AD55" s="1">
        <f t="shared" si="59"/>
        <v>190.67796610169498</v>
      </c>
      <c r="AE55" s="1">
        <f t="shared" si="59"/>
        <v>181.62393162393155</v>
      </c>
      <c r="AF55" s="1">
        <f t="shared" ref="AF55:AL55" si="60">H55</f>
        <v>225.40983606557381</v>
      </c>
      <c r="AG55" s="1">
        <f t="shared" si="60"/>
        <v>229.59183673469389</v>
      </c>
      <c r="AH55" s="1">
        <f t="shared" si="60"/>
        <v>221.19341563786011</v>
      </c>
      <c r="AI55" s="1">
        <f t="shared" si="60"/>
        <v>190.67796610169498</v>
      </c>
      <c r="AJ55" s="1">
        <f t="shared" si="60"/>
        <v>190.67796610169486</v>
      </c>
      <c r="AK55" s="1">
        <f t="shared" si="60"/>
        <v>148.67841409691627</v>
      </c>
      <c r="AL55" s="1">
        <f t="shared" si="60"/>
        <v>163.04347826086959</v>
      </c>
      <c r="AM55" s="1">
        <f t="shared" ref="AM55:AS55" si="61">H56</f>
        <v>108.447488584475</v>
      </c>
      <c r="AN55" s="1">
        <f t="shared" si="61"/>
        <v>116.16068122917443</v>
      </c>
      <c r="AO55" s="1">
        <f t="shared" si="61"/>
        <v>123.87387387387386</v>
      </c>
      <c r="AP55" s="1">
        <f t="shared" si="61"/>
        <v>123.87387387387386</v>
      </c>
      <c r="AQ55" s="1">
        <f t="shared" si="61"/>
        <v>103.21100917431177</v>
      </c>
      <c r="AR55" s="1">
        <f t="shared" si="61"/>
        <v>128.92376681614337</v>
      </c>
      <c r="AS55" s="1">
        <f t="shared" si="61"/>
        <v>123.87387387387392</v>
      </c>
    </row>
    <row r="56" spans="1:46" x14ac:dyDescent="0.35">
      <c r="A56" s="42">
        <f>IFERROR(INDEX('Date Key'!$B$2:$B$19, MATCH(F56,'Date Key'!$A$2:$A$19, 0)), "")</f>
        <v>45400</v>
      </c>
      <c r="B56" s="27">
        <f t="shared" si="15"/>
        <v>6</v>
      </c>
      <c r="C56" s="51" t="str">
        <f>IFERROR(INDEX('Date Key'!$G$57:$G$62, MATCH(B56,'Date Key'!$A$57:$A$62, 0)), "")</f>
        <v>Medium HLR, Upper Outlet Height, Yes Plants</v>
      </c>
      <c r="D56" s="27" t="str">
        <f>IFERROR(INDEX('Date Key'!$G$2:$G$19, MATCH(F56, 'Date Key'!$A$2:$A$19, 0)), "")</f>
        <v>Yes</v>
      </c>
      <c r="E56" s="27" t="str">
        <f t="shared" si="1"/>
        <v>tank 2</v>
      </c>
      <c r="F56" s="27">
        <f t="shared" si="2"/>
        <v>18</v>
      </c>
      <c r="G56" s="27">
        <f t="shared" si="22"/>
        <v>3</v>
      </c>
      <c r="H56" s="28" cm="1">
        <f t="array" ref="H56">IFERROR(INDEX('Master Data Sheet'!$1:$1048576, MATCH(1, ('Master Data Sheet'!$H:$H=H$2) * (INDEX('Master Data Sheet'!$1:$1, , MATCH($F$1, 'Master Data Sheet'!$1:$1, 0)) = $F$1) * ('Master Data Sheet'!$G:$G=$B56) * ('Master Data Sheet'!$F:$F=$E56) * ('Master Data Sheet'!$A:$A=$F56), 0), MATCH($F$1, 'Master Data Sheet'!$1:$1, 0)), "")</f>
        <v>108.447488584475</v>
      </c>
      <c r="I56" s="28" cm="1">
        <f t="array" ref="I56">IFERROR(INDEX('Master Data Sheet'!$1:$1048576, MATCH(1, ('Master Data Sheet'!$H:$H=I$2) * (INDEX('Master Data Sheet'!$1:$1, , MATCH($F$1, 'Master Data Sheet'!$1:$1, 0)) = $F$1) * ('Master Data Sheet'!$G:$G=$B56) * ('Master Data Sheet'!$F:$F=$E56) * ('Master Data Sheet'!$A:$A=$F56), 0), MATCH($F$1, 'Master Data Sheet'!$1:$1, 0)), "")</f>
        <v>116.16068122917443</v>
      </c>
      <c r="J56" s="28" cm="1">
        <f t="array" ref="J56">IFERROR(INDEX('Master Data Sheet'!$1:$1048576, MATCH(1, ('Master Data Sheet'!$H:$H=J$2) * (INDEX('Master Data Sheet'!$1:$1, , MATCH($F$1, 'Master Data Sheet'!$1:$1, 0)) = $F$1) * ('Master Data Sheet'!$G:$G=$B56) * ('Master Data Sheet'!$F:$F=$E56) * ('Master Data Sheet'!$A:$A=$F56), 0), MATCH($F$1, 'Master Data Sheet'!$1:$1, 0)), "")</f>
        <v>123.87387387387386</v>
      </c>
      <c r="K56" s="28" cm="1">
        <f t="array" ref="K56">IFERROR(INDEX('Master Data Sheet'!$1:$1048576, MATCH(1, ('Master Data Sheet'!$H:$H=K$2) * (INDEX('Master Data Sheet'!$1:$1, , MATCH($F$1, 'Master Data Sheet'!$1:$1, 0)) = $F$1) * ('Master Data Sheet'!$G:$G=$B56) * ('Master Data Sheet'!$F:$F=$E56) * ('Master Data Sheet'!$A:$A=$F56), 0), MATCH($F$1, 'Master Data Sheet'!$1:$1, 0)), "")</f>
        <v>123.87387387387386</v>
      </c>
      <c r="L56" s="28" cm="1">
        <f t="array" ref="L56">IFERROR(INDEX('Master Data Sheet'!$1:$1048576, MATCH(1, ('Master Data Sheet'!$H:$H=L$2) * (INDEX('Master Data Sheet'!$1:$1, , MATCH($F$1, 'Master Data Sheet'!$1:$1, 0)) = $F$1) * ('Master Data Sheet'!$G:$G=$B56) * ('Master Data Sheet'!$F:$F=$E56) * ('Master Data Sheet'!$A:$A=$F56), 0), MATCH($F$1, 'Master Data Sheet'!$1:$1, 0)), "")</f>
        <v>103.21100917431177</v>
      </c>
      <c r="M56" s="28" cm="1">
        <f t="array" ref="M56">IFERROR(INDEX('Master Data Sheet'!$1:$1048576, MATCH(1, ('Master Data Sheet'!$H:$H=M$2) * (INDEX('Master Data Sheet'!$1:$1, , MATCH($F$1, 'Master Data Sheet'!$1:$1, 0)) = $F$1) * ('Master Data Sheet'!$G:$G=$B56) * ('Master Data Sheet'!$F:$F=$E56) * ('Master Data Sheet'!$A:$A=$F56), 0), MATCH($F$1, 'Master Data Sheet'!$1:$1, 0)), "")</f>
        <v>128.92376681614337</v>
      </c>
      <c r="N56" s="28" cm="1">
        <f t="array" ref="N56">IFERROR(INDEX('Master Data Sheet'!$1:$1048576, MATCH(1, ('Master Data Sheet'!$H:$H=N$2) * (INDEX('Master Data Sheet'!$1:$1, , MATCH($F$1, 'Master Data Sheet'!$1:$1, 0)) = $F$1) * ('Master Data Sheet'!$G:$G=$B56) * ('Master Data Sheet'!$F:$F=$E56) * ('Master Data Sheet'!$A:$A=$F56), 0), MATCH($F$1, 'Master Data Sheet'!$1:$1, 0)), "")</f>
        <v>123.87387387387392</v>
      </c>
      <c r="O56" s="28">
        <f t="shared" si="8"/>
        <v>118.33779534653232</v>
      </c>
      <c r="P56" s="28">
        <f t="shared" si="4"/>
        <v>9.4462068398358952</v>
      </c>
      <c r="Q56" s="28"/>
      <c r="R56" s="48">
        <f>(1-(O56/O50))*100</f>
        <v>-3.6118772538209942</v>
      </c>
      <c r="S56" s="27"/>
      <c r="T56" s="27"/>
      <c r="U56" s="27"/>
      <c r="V56" s="27"/>
    </row>
    <row r="58" spans="1:46" x14ac:dyDescent="0.35">
      <c r="X58" t="s">
        <v>456</v>
      </c>
      <c r="Y58" t="s">
        <v>465</v>
      </c>
    </row>
    <row r="59" spans="1:46" x14ac:dyDescent="0.35">
      <c r="X59" t="s">
        <v>344</v>
      </c>
      <c r="Y59" s="30" t="s">
        <v>457</v>
      </c>
      <c r="Z59" s="1">
        <f t="shared" ref="Z59:AT59" si="62">Y4</f>
        <v>133.92857142857144</v>
      </c>
      <c r="AA59" s="1">
        <f t="shared" si="62"/>
        <v>225.40983606557401</v>
      </c>
      <c r="AB59" s="1">
        <f t="shared" si="62"/>
        <v>216.94214876033061</v>
      </c>
      <c r="AC59" s="1">
        <f t="shared" si="62"/>
        <v>216.94214876033061</v>
      </c>
      <c r="AD59" s="1">
        <f t="shared" si="62"/>
        <v>225.40983606557381</v>
      </c>
      <c r="AE59" s="1">
        <f t="shared" si="62"/>
        <v>216.94214876033061</v>
      </c>
      <c r="AF59" s="1">
        <f t="shared" si="62"/>
        <v>133.92857142857144</v>
      </c>
      <c r="AG59" s="1">
        <f t="shared" si="62"/>
        <v>70.754716981132077</v>
      </c>
      <c r="AH59" s="1">
        <f t="shared" si="62"/>
        <v>70.754716981132077</v>
      </c>
      <c r="AI59" s="1">
        <f t="shared" si="62"/>
        <v>92.592592592592609</v>
      </c>
      <c r="AJ59" s="1">
        <f t="shared" si="62"/>
        <v>133.92857142857144</v>
      </c>
      <c r="AK59" s="1">
        <f t="shared" si="62"/>
        <v>113.63636363636364</v>
      </c>
      <c r="AL59" s="1">
        <f t="shared" si="62"/>
        <v>123.8738738738739</v>
      </c>
      <c r="AM59" s="1">
        <f t="shared" si="62"/>
        <v>113.63636363636364</v>
      </c>
      <c r="AN59" s="1">
        <f t="shared" si="62"/>
        <v>70.754716981132077</v>
      </c>
      <c r="AO59" s="1">
        <f t="shared" si="62"/>
        <v>113.63636363636364</v>
      </c>
      <c r="AP59" s="1">
        <f t="shared" si="62"/>
        <v>113.63636363636364</v>
      </c>
      <c r="AQ59" s="1">
        <f t="shared" si="62"/>
        <v>123.8738738738739</v>
      </c>
      <c r="AR59" s="1">
        <f t="shared" si="62"/>
        <v>123.8738738738739</v>
      </c>
      <c r="AS59" s="1">
        <f t="shared" si="62"/>
        <v>133.92857142857144</v>
      </c>
      <c r="AT59" s="1">
        <f t="shared" si="62"/>
        <v>123.8738738738739</v>
      </c>
    </row>
    <row r="60" spans="1:46" x14ac:dyDescent="0.35">
      <c r="X60" t="s">
        <v>345</v>
      </c>
      <c r="Y60" s="30" t="s">
        <v>457</v>
      </c>
      <c r="Z60" s="1">
        <f t="shared" ref="Z60:AT60" si="63">Y7</f>
        <v>337.59124087591249</v>
      </c>
      <c r="AA60" s="1">
        <f t="shared" si="63"/>
        <v>357.14285714285717</v>
      </c>
      <c r="AB60" s="1">
        <f t="shared" si="63"/>
        <v>310.1503759398496</v>
      </c>
      <c r="AC60" s="1">
        <f t="shared" si="63"/>
        <v>310.1503759398496</v>
      </c>
      <c r="AD60" s="1">
        <f t="shared" si="63"/>
        <v>337.59124087591249</v>
      </c>
      <c r="AE60" s="1">
        <f t="shared" si="63"/>
        <v>303.03030303030312</v>
      </c>
      <c r="AF60" s="1">
        <f t="shared" si="63"/>
        <v>288.46153846153902</v>
      </c>
      <c r="AG60" s="1">
        <f t="shared" si="63"/>
        <v>133.92857142857144</v>
      </c>
      <c r="AH60" s="1">
        <f t="shared" si="63"/>
        <v>123.8738738738739</v>
      </c>
      <c r="AI60" s="1">
        <f t="shared" si="63"/>
        <v>123.8738738738739</v>
      </c>
      <c r="AJ60" s="1">
        <f t="shared" si="63"/>
        <v>113.63636363636364</v>
      </c>
      <c r="AK60" s="1">
        <f t="shared" si="63"/>
        <v>113.63636363636364</v>
      </c>
      <c r="AL60" s="1">
        <f t="shared" si="63"/>
        <v>113.63636363636364</v>
      </c>
      <c r="AM60" s="1">
        <f t="shared" si="63"/>
        <v>113.63636363636364</v>
      </c>
      <c r="AN60" s="1">
        <f t="shared" si="63"/>
        <v>133.92857142857144</v>
      </c>
      <c r="AO60" s="1">
        <f t="shared" si="63"/>
        <v>133.92857142857144</v>
      </c>
      <c r="AP60" s="1">
        <f t="shared" si="63"/>
        <v>143.80530973451326</v>
      </c>
      <c r="AQ60" s="1">
        <f t="shared" si="63"/>
        <v>133.92857142857144</v>
      </c>
      <c r="AR60" s="1">
        <f t="shared" si="63"/>
        <v>133.92857142857144</v>
      </c>
      <c r="AS60" s="1">
        <f t="shared" si="63"/>
        <v>143.80530973451326</v>
      </c>
      <c r="AT60" s="1">
        <f t="shared" si="63"/>
        <v>123.8738738738739</v>
      </c>
    </row>
    <row r="61" spans="1:46" x14ac:dyDescent="0.35">
      <c r="X61" t="s">
        <v>346</v>
      </c>
      <c r="Y61" s="30" t="s">
        <v>457</v>
      </c>
      <c r="Z61" s="1">
        <f t="shared" ref="Z61:AT61" si="64">Y10</f>
        <v>330.88235294117652</v>
      </c>
      <c r="AA61" s="1">
        <f t="shared" si="64"/>
        <v>330.88235294117652</v>
      </c>
      <c r="AB61" s="1">
        <f t="shared" si="64"/>
        <v>250</v>
      </c>
      <c r="AC61" s="1">
        <f t="shared" si="64"/>
        <v>250</v>
      </c>
      <c r="AD61" s="1">
        <f t="shared" si="64"/>
        <v>216.94214876033061</v>
      </c>
      <c r="AE61" s="1">
        <f t="shared" si="64"/>
        <v>133.92857142857144</v>
      </c>
      <c r="AF61" s="1">
        <f t="shared" si="64"/>
        <v>199.57983193277309</v>
      </c>
      <c r="AG61" s="1">
        <f t="shared" si="64"/>
        <v>133.92857142857144</v>
      </c>
      <c r="AH61" s="1">
        <f t="shared" si="64"/>
        <v>103.21100917431194</v>
      </c>
      <c r="AI61" s="1">
        <f t="shared" si="64"/>
        <v>103.21100917431194</v>
      </c>
      <c r="AJ61" s="1">
        <f t="shared" si="64"/>
        <v>113.63636363636364</v>
      </c>
      <c r="AK61" s="1">
        <f t="shared" si="64"/>
        <v>103.21100917431194</v>
      </c>
      <c r="AL61" s="1">
        <f t="shared" si="64"/>
        <v>103.21100917431194</v>
      </c>
      <c r="AM61" s="1">
        <f t="shared" si="64"/>
        <v>103.21100917431194</v>
      </c>
      <c r="AN61" s="1">
        <f t="shared" si="64"/>
        <v>199.57983193277309</v>
      </c>
      <c r="AO61" s="1">
        <f t="shared" si="64"/>
        <v>216.94214876033061</v>
      </c>
      <c r="AP61" s="1">
        <f t="shared" si="64"/>
        <v>216.94214876033061</v>
      </c>
      <c r="AQ61" s="1">
        <f t="shared" si="64"/>
        <v>199.57983193277309</v>
      </c>
      <c r="AR61" s="1">
        <f t="shared" si="64"/>
        <v>172.41379310344831</v>
      </c>
      <c r="AS61" s="1">
        <f t="shared" si="64"/>
        <v>153.50877192982455</v>
      </c>
      <c r="AT61" s="1">
        <f t="shared" si="64"/>
        <v>133.92857142857144</v>
      </c>
    </row>
    <row r="62" spans="1:46" x14ac:dyDescent="0.35">
      <c r="X62" t="s">
        <v>344</v>
      </c>
      <c r="Y62" s="30" t="s">
        <v>458</v>
      </c>
      <c r="Z62" s="1">
        <f t="shared" ref="Z62:AT62" si="65">Y13</f>
        <v>88.58267716535434</v>
      </c>
      <c r="AA62" s="1">
        <f t="shared" si="65"/>
        <v>79.365079365079367</v>
      </c>
      <c r="AB62" s="1">
        <f t="shared" si="65"/>
        <v>124.04580152671754</v>
      </c>
      <c r="AC62" s="1">
        <f t="shared" si="65"/>
        <v>132.57575757575754</v>
      </c>
      <c r="AD62" s="1">
        <f t="shared" si="65"/>
        <v>124.04580152671754</v>
      </c>
      <c r="AE62" s="1">
        <f t="shared" si="65"/>
        <v>115.38461538461539</v>
      </c>
      <c r="AF62" s="1">
        <f t="shared" si="65"/>
        <v>115.38461538461539</v>
      </c>
      <c r="AG62" s="1">
        <f t="shared" si="65"/>
        <v>113.63636363636364</v>
      </c>
      <c r="AH62" s="1">
        <f t="shared" si="65"/>
        <v>123.8738738738739</v>
      </c>
      <c r="AI62" s="1">
        <f t="shared" si="65"/>
        <v>123.8738738738739</v>
      </c>
      <c r="AJ62" s="1">
        <f t="shared" si="65"/>
        <v>123.8738738738739</v>
      </c>
      <c r="AK62" s="1">
        <f t="shared" si="65"/>
        <v>123.8738738738739</v>
      </c>
      <c r="AL62" s="1">
        <f t="shared" si="65"/>
        <v>123.8738738738739</v>
      </c>
      <c r="AM62" s="1">
        <f t="shared" si="65"/>
        <v>123.8738738738739</v>
      </c>
      <c r="AN62" s="1">
        <f t="shared" si="65"/>
        <v>92.592592592592609</v>
      </c>
      <c r="AO62" s="1">
        <f t="shared" si="65"/>
        <v>81.775700934579433</v>
      </c>
      <c r="AP62" s="1">
        <f t="shared" si="65"/>
        <v>81.775700934579433</v>
      </c>
      <c r="AQ62" s="1">
        <f t="shared" si="65"/>
        <v>81.775700934579433</v>
      </c>
      <c r="AR62" s="1">
        <f t="shared" si="65"/>
        <v>81.775700934579433</v>
      </c>
      <c r="AS62" s="1">
        <f t="shared" si="65"/>
        <v>81.775700934579433</v>
      </c>
      <c r="AT62" s="1">
        <f t="shared" si="65"/>
        <v>81.775700934579433</v>
      </c>
    </row>
    <row r="63" spans="1:46" x14ac:dyDescent="0.35">
      <c r="X63" t="s">
        <v>345</v>
      </c>
      <c r="Y63" s="30" t="s">
        <v>458</v>
      </c>
      <c r="Z63" s="1">
        <f t="shared" ref="Z63:AT63" si="66">Y16</f>
        <v>115.38461538461539</v>
      </c>
      <c r="AA63" s="1">
        <f t="shared" si="66"/>
        <v>115.38461538461539</v>
      </c>
      <c r="AB63" s="1">
        <f t="shared" si="66"/>
        <v>106.58914728682171</v>
      </c>
      <c r="AC63" s="1">
        <f t="shared" si="66"/>
        <v>115.38461538461539</v>
      </c>
      <c r="AD63" s="1">
        <f t="shared" si="66"/>
        <v>97.65625</v>
      </c>
      <c r="AE63" s="1">
        <f t="shared" si="66"/>
        <v>106.58914728682171</v>
      </c>
      <c r="AF63" s="1">
        <f t="shared" si="66"/>
        <v>106.58914728682171</v>
      </c>
      <c r="AG63" s="1">
        <f t="shared" si="66"/>
        <v>133.92857142857144</v>
      </c>
      <c r="AH63" s="1">
        <f t="shared" si="66"/>
        <v>143.80530973451326</v>
      </c>
      <c r="AI63" s="1">
        <f t="shared" si="66"/>
        <v>133.92857142857144</v>
      </c>
      <c r="AJ63" s="1">
        <f t="shared" si="66"/>
        <v>133.92857142857144</v>
      </c>
      <c r="AK63" s="1">
        <f t="shared" si="66"/>
        <v>123.8738738738739</v>
      </c>
      <c r="AL63" s="1">
        <f t="shared" si="66"/>
        <v>113.63636363636364</v>
      </c>
      <c r="AM63" s="1">
        <f t="shared" si="66"/>
        <v>113.63636363636364</v>
      </c>
      <c r="AN63" s="1">
        <f t="shared" si="66"/>
        <v>143.80530973451326</v>
      </c>
      <c r="AO63" s="1">
        <f t="shared" si="66"/>
        <v>143.80530973451326</v>
      </c>
      <c r="AP63" s="1">
        <f t="shared" si="66"/>
        <v>133.92857142857144</v>
      </c>
      <c r="AQ63" s="1">
        <f t="shared" si="66"/>
        <v>123.8738738738739</v>
      </c>
      <c r="AR63" s="1">
        <f t="shared" si="66"/>
        <v>113.63636363636364</v>
      </c>
      <c r="AS63" s="1">
        <f t="shared" si="66"/>
        <v>103.21100917431194</v>
      </c>
      <c r="AT63" s="1">
        <f t="shared" si="66"/>
        <v>92.592592592592609</v>
      </c>
    </row>
    <row r="64" spans="1:46" x14ac:dyDescent="0.35">
      <c r="X64" t="s">
        <v>346</v>
      </c>
      <c r="Y64" s="30" t="s">
        <v>458</v>
      </c>
      <c r="Z64" s="1">
        <f t="shared" ref="Z64:AT64" si="67">Y19</f>
        <v>149.25373134328362</v>
      </c>
      <c r="AA64" s="1">
        <f t="shared" si="67"/>
        <v>149.25373134328362</v>
      </c>
      <c r="AB64" s="1">
        <f t="shared" si="67"/>
        <v>115.38461538461539</v>
      </c>
      <c r="AC64" s="1">
        <f t="shared" si="67"/>
        <v>97.65625</v>
      </c>
      <c r="AD64" s="1">
        <f t="shared" si="67"/>
        <v>106.58914728682171</v>
      </c>
      <c r="AE64" s="1">
        <f t="shared" si="67"/>
        <v>97.65625</v>
      </c>
      <c r="AF64" s="1">
        <f t="shared" si="67"/>
        <v>106.58914728682171</v>
      </c>
      <c r="AG64" s="1">
        <f t="shared" si="67"/>
        <v>190.67796610169495</v>
      </c>
      <c r="AH64" s="1">
        <f t="shared" si="67"/>
        <v>190.67796610169495</v>
      </c>
      <c r="AI64" s="1">
        <f t="shared" si="67"/>
        <v>133.92857142857144</v>
      </c>
      <c r="AJ64" s="1">
        <f t="shared" si="67"/>
        <v>113.63636363636364</v>
      </c>
      <c r="AK64" s="1">
        <f t="shared" si="67"/>
        <v>113.63636363636364</v>
      </c>
      <c r="AL64" s="1">
        <f t="shared" si="67"/>
        <v>113.63636363636364</v>
      </c>
      <c r="AM64" s="1">
        <f t="shared" si="67"/>
        <v>92.592592592592609</v>
      </c>
      <c r="AN64" s="1">
        <f t="shared" si="67"/>
        <v>181.62393162393164</v>
      </c>
      <c r="AO64" s="1">
        <f t="shared" si="67"/>
        <v>172.41379310344831</v>
      </c>
      <c r="AP64" s="1">
        <f t="shared" si="67"/>
        <v>133.92857142857144</v>
      </c>
      <c r="AQ64" s="1">
        <f t="shared" si="67"/>
        <v>103.21100917431194</v>
      </c>
      <c r="AR64" s="1">
        <f t="shared" si="67"/>
        <v>92.592592592592609</v>
      </c>
      <c r="AS64" s="1">
        <f t="shared" si="67"/>
        <v>81.775700934579433</v>
      </c>
      <c r="AT64" s="1">
        <f t="shared" si="67"/>
        <v>81.775700934579433</v>
      </c>
    </row>
    <row r="65" spans="24:46" x14ac:dyDescent="0.35">
      <c r="X65" t="s">
        <v>344</v>
      </c>
      <c r="Y65" s="30" t="s">
        <v>459</v>
      </c>
      <c r="Z65" s="1">
        <f t="shared" ref="Z65:AT65" si="68">Y22</f>
        <v>123.8738738738739</v>
      </c>
      <c r="AA65" s="1">
        <f t="shared" si="68"/>
        <v>133.92857142857144</v>
      </c>
      <c r="AB65" s="1">
        <f t="shared" si="68"/>
        <v>133.92857142857144</v>
      </c>
      <c r="AC65" s="1">
        <f t="shared" si="68"/>
        <v>123.8738738738739</v>
      </c>
      <c r="AD65" s="1">
        <f t="shared" si="68"/>
        <v>123.8738738738739</v>
      </c>
      <c r="AE65" s="1">
        <f t="shared" si="68"/>
        <v>123.8738738738739</v>
      </c>
      <c r="AF65" s="1">
        <f t="shared" si="68"/>
        <v>123.8738738738739</v>
      </c>
      <c r="AG65" s="1">
        <f t="shared" si="68"/>
        <v>123.8738738738739</v>
      </c>
      <c r="AH65" s="1">
        <f t="shared" si="68"/>
        <v>133.92857142857144</v>
      </c>
      <c r="AI65" s="1">
        <f t="shared" si="68"/>
        <v>123.8738738738739</v>
      </c>
      <c r="AJ65" s="1">
        <f t="shared" si="68"/>
        <v>123.8738738738739</v>
      </c>
      <c r="AK65" s="1">
        <f t="shared" si="68"/>
        <v>123.8738738738739</v>
      </c>
      <c r="AL65" s="1">
        <f t="shared" si="68"/>
        <v>123.8738738738739</v>
      </c>
      <c r="AM65" s="1">
        <f t="shared" si="68"/>
        <v>133.92857142857144</v>
      </c>
      <c r="AN65" s="1">
        <f t="shared" si="68"/>
        <v>103.21100917431194</v>
      </c>
      <c r="AO65" s="1">
        <f t="shared" si="68"/>
        <v>103.21100917431194</v>
      </c>
      <c r="AP65" s="1">
        <f t="shared" si="68"/>
        <v>103.21100917431194</v>
      </c>
      <c r="AQ65" s="1">
        <f t="shared" si="68"/>
        <v>92.592592592592609</v>
      </c>
      <c r="AR65" s="1">
        <f t="shared" si="68"/>
        <v>92.592592592592609</v>
      </c>
      <c r="AS65" s="1">
        <f t="shared" si="68"/>
        <v>92.592592592592609</v>
      </c>
      <c r="AT65" s="1">
        <f t="shared" si="68"/>
        <v>113.63636363636364</v>
      </c>
    </row>
    <row r="66" spans="24:46" x14ac:dyDescent="0.35">
      <c r="X66" t="s">
        <v>345</v>
      </c>
      <c r="Y66" s="30" t="s">
        <v>459</v>
      </c>
      <c r="Z66" s="1">
        <f t="shared" ref="Z66:AT66" si="69">Y25</f>
        <v>113.63636363636364</v>
      </c>
      <c r="AA66" s="1">
        <f t="shared" si="69"/>
        <v>113.63636363636364</v>
      </c>
      <c r="AB66" s="1">
        <f t="shared" si="69"/>
        <v>113.63636363636364</v>
      </c>
      <c r="AC66" s="1">
        <f t="shared" si="69"/>
        <v>113.63636363636364</v>
      </c>
      <c r="AD66" s="1">
        <f t="shared" si="69"/>
        <v>113.63636363636364</v>
      </c>
      <c r="AE66" s="1">
        <f t="shared" si="69"/>
        <v>113.63636363636364</v>
      </c>
      <c r="AF66" s="1">
        <f t="shared" si="69"/>
        <v>113.63636363636364</v>
      </c>
      <c r="AG66" s="1">
        <f t="shared" si="69"/>
        <v>123.8738738738739</v>
      </c>
      <c r="AH66" s="1">
        <f t="shared" si="69"/>
        <v>123.8738738738739</v>
      </c>
      <c r="AI66" s="1">
        <f t="shared" si="69"/>
        <v>123.8738738738739</v>
      </c>
      <c r="AJ66" s="1">
        <f t="shared" si="69"/>
        <v>123.8738738738739</v>
      </c>
      <c r="AK66" s="1">
        <f t="shared" si="69"/>
        <v>113.63636363636364</v>
      </c>
      <c r="AL66" s="1">
        <f t="shared" si="69"/>
        <v>123.8738738738739</v>
      </c>
      <c r="AM66" s="1">
        <f t="shared" si="69"/>
        <v>113.63636363636364</v>
      </c>
      <c r="AN66" s="1">
        <f t="shared" si="69"/>
        <v>163.04347826086959</v>
      </c>
      <c r="AO66" s="1">
        <f t="shared" si="69"/>
        <v>143.80530973451326</v>
      </c>
      <c r="AP66" s="1">
        <f t="shared" si="69"/>
        <v>113.63636363636364</v>
      </c>
      <c r="AQ66" s="1">
        <f t="shared" si="69"/>
        <v>113.63636363636364</v>
      </c>
      <c r="AR66" s="1">
        <f t="shared" si="69"/>
        <v>103.21100917431194</v>
      </c>
      <c r="AS66" s="1">
        <f t="shared" si="69"/>
        <v>103.21100917431194</v>
      </c>
      <c r="AT66" s="1">
        <f t="shared" si="69"/>
        <v>103.21100917431194</v>
      </c>
    </row>
    <row r="67" spans="24:46" x14ac:dyDescent="0.35">
      <c r="X67" t="s">
        <v>346</v>
      </c>
      <c r="Y67" s="30" t="s">
        <v>459</v>
      </c>
      <c r="Z67" s="1">
        <f t="shared" ref="Z67:AT67" si="70">Y28</f>
        <v>153.50877192982455</v>
      </c>
      <c r="AA67" s="1">
        <f t="shared" si="70"/>
        <v>133.92857142857144</v>
      </c>
      <c r="AB67" s="1">
        <f t="shared" si="70"/>
        <v>113.63636363636364</v>
      </c>
      <c r="AC67" s="1">
        <f t="shared" si="70"/>
        <v>113.63636363636364</v>
      </c>
      <c r="AD67" s="1">
        <f t="shared" si="70"/>
        <v>113.63636363636364</v>
      </c>
      <c r="AE67" s="1">
        <f t="shared" si="70"/>
        <v>113.63636363636364</v>
      </c>
      <c r="AF67" s="1">
        <f t="shared" si="70"/>
        <v>113.63636363636364</v>
      </c>
      <c r="AG67" s="1">
        <f t="shared" si="70"/>
        <v>190.67796610169495</v>
      </c>
      <c r="AH67" s="1">
        <f t="shared" si="70"/>
        <v>133.92857142857144</v>
      </c>
      <c r="AI67" s="1">
        <f t="shared" si="70"/>
        <v>113.63636363636364</v>
      </c>
      <c r="AJ67" s="1">
        <f t="shared" si="70"/>
        <v>113.63636363636364</v>
      </c>
      <c r="AK67" s="1">
        <f t="shared" si="70"/>
        <v>113.63636363636364</v>
      </c>
      <c r="AL67" s="1">
        <f t="shared" si="70"/>
        <v>123.8738738738739</v>
      </c>
      <c r="AM67" s="1">
        <f t="shared" si="70"/>
        <v>113.63636363636364</v>
      </c>
      <c r="AN67" s="1">
        <f t="shared" si="70"/>
        <v>233.73983739837396</v>
      </c>
      <c r="AO67" s="1">
        <f t="shared" si="70"/>
        <v>123.8738738738739</v>
      </c>
      <c r="AP67" s="1">
        <f t="shared" si="70"/>
        <v>103.21100917431194</v>
      </c>
      <c r="AQ67" s="1">
        <f t="shared" si="70"/>
        <v>92.592592592592609</v>
      </c>
      <c r="AR67" s="1">
        <f t="shared" si="70"/>
        <v>92.592592592592609</v>
      </c>
      <c r="AS67" s="1">
        <f t="shared" si="70"/>
        <v>92.592592592592609</v>
      </c>
      <c r="AT67" s="1">
        <f t="shared" si="70"/>
        <v>92.592592592592609</v>
      </c>
    </row>
    <row r="68" spans="24:46" x14ac:dyDescent="0.35">
      <c r="X68" t="s">
        <v>344</v>
      </c>
      <c r="Y68" s="30" t="s">
        <v>460</v>
      </c>
      <c r="Z68" s="1">
        <f t="shared" ref="Z68:AT68" si="71">Y31</f>
        <v>92.592592592592609</v>
      </c>
      <c r="AA68" s="1">
        <f t="shared" si="71"/>
        <v>92.592592592592609</v>
      </c>
      <c r="AB68" s="1">
        <f t="shared" si="71"/>
        <v>103.21100917431194</v>
      </c>
      <c r="AC68" s="1">
        <f t="shared" si="71"/>
        <v>92.592592592592609</v>
      </c>
      <c r="AD68" s="1">
        <f t="shared" si="71"/>
        <v>92.592592592592609</v>
      </c>
      <c r="AE68" s="1">
        <f t="shared" si="71"/>
        <v>92.592592592592609</v>
      </c>
      <c r="AF68" s="1">
        <f t="shared" si="71"/>
        <v>92.592592592592609</v>
      </c>
      <c r="AG68" s="1">
        <f t="shared" si="71"/>
        <v>133.92857142857144</v>
      </c>
      <c r="AH68" s="1">
        <f t="shared" si="71"/>
        <v>113.63636363636364</v>
      </c>
      <c r="AI68" s="1">
        <f t="shared" si="71"/>
        <v>113.63636363636364</v>
      </c>
      <c r="AJ68" s="1">
        <f t="shared" si="71"/>
        <v>123.8738738738739</v>
      </c>
      <c r="AK68" s="1">
        <f t="shared" si="71"/>
        <v>123.8738738738739</v>
      </c>
      <c r="AL68" s="1">
        <f t="shared" si="71"/>
        <v>113.63636363636364</v>
      </c>
      <c r="AM68" s="1">
        <f t="shared" si="71"/>
        <v>113.63636363636364</v>
      </c>
      <c r="AN68" s="1">
        <f t="shared" si="71"/>
        <v>133.92857142857144</v>
      </c>
      <c r="AO68" s="1">
        <f t="shared" si="71"/>
        <v>133.92857142857144</v>
      </c>
      <c r="AP68" s="1">
        <f t="shared" si="71"/>
        <v>123.8738738738739</v>
      </c>
      <c r="AQ68" s="1">
        <f t="shared" si="71"/>
        <v>113.63636363636364</v>
      </c>
      <c r="AR68" s="1">
        <f t="shared" si="71"/>
        <v>123.8738738738739</v>
      </c>
      <c r="AS68" s="1">
        <f t="shared" si="71"/>
        <v>113.63636363636364</v>
      </c>
      <c r="AT68" s="1">
        <f t="shared" si="71"/>
        <v>123.8738738738739</v>
      </c>
    </row>
    <row r="69" spans="24:46" x14ac:dyDescent="0.35">
      <c r="X69" t="s">
        <v>345</v>
      </c>
      <c r="Y69" s="30" t="s">
        <v>460</v>
      </c>
      <c r="Z69" s="1">
        <f t="shared" ref="Z69:AT69" si="72">Y34</f>
        <v>113.63636363636364</v>
      </c>
      <c r="AA69" s="1">
        <f t="shared" si="72"/>
        <v>123.8738738738739</v>
      </c>
      <c r="AB69" s="1">
        <f t="shared" si="72"/>
        <v>103.21100917431194</v>
      </c>
      <c r="AC69" s="1">
        <f t="shared" si="72"/>
        <v>103.21100917431194</v>
      </c>
      <c r="AD69" s="1">
        <f t="shared" si="72"/>
        <v>92.592592592592609</v>
      </c>
      <c r="AE69" s="1">
        <f t="shared" si="72"/>
        <v>92.592592592592609</v>
      </c>
      <c r="AF69" s="1">
        <f t="shared" si="72"/>
        <v>92.592592592592609</v>
      </c>
      <c r="AG69" s="1">
        <f t="shared" si="72"/>
        <v>123.8738738738739</v>
      </c>
      <c r="AH69" s="1">
        <f t="shared" si="72"/>
        <v>133.92857142857144</v>
      </c>
      <c r="AI69" s="1">
        <f t="shared" si="72"/>
        <v>123.8738738738739</v>
      </c>
      <c r="AJ69" s="1">
        <f t="shared" si="72"/>
        <v>123.8738738738739</v>
      </c>
      <c r="AK69" s="1">
        <f t="shared" si="72"/>
        <v>123.8738738738739</v>
      </c>
      <c r="AL69" s="1">
        <f t="shared" si="72"/>
        <v>123.8738738738739</v>
      </c>
      <c r="AM69" s="1">
        <f t="shared" si="72"/>
        <v>113.63636363636364</v>
      </c>
      <c r="AN69" s="1">
        <f t="shared" si="72"/>
        <v>133.92857142857144</v>
      </c>
      <c r="AO69" s="1">
        <f t="shared" si="72"/>
        <v>133.92857142857144</v>
      </c>
      <c r="AP69" s="1">
        <f t="shared" si="72"/>
        <v>133.92857142857144</v>
      </c>
      <c r="AQ69" s="1">
        <f t="shared" si="72"/>
        <v>133.92857142857144</v>
      </c>
      <c r="AR69" s="1">
        <f t="shared" si="72"/>
        <v>113.63636363636364</v>
      </c>
      <c r="AS69" s="1">
        <f t="shared" si="72"/>
        <v>123.8738738738739</v>
      </c>
      <c r="AT69" s="1">
        <f t="shared" si="72"/>
        <v>113.63636363636364</v>
      </c>
    </row>
    <row r="70" spans="24:46" x14ac:dyDescent="0.35">
      <c r="X70" t="s">
        <v>346</v>
      </c>
      <c r="Y70" s="30" t="s">
        <v>460</v>
      </c>
      <c r="Z70" s="1">
        <f t="shared" ref="Z70:AT70" si="73">Y37</f>
        <v>113.63636363636364</v>
      </c>
      <c r="AA70" s="1">
        <f t="shared" si="73"/>
        <v>133.92857142857144</v>
      </c>
      <c r="AB70" s="1">
        <f t="shared" si="73"/>
        <v>103.21100917431194</v>
      </c>
      <c r="AC70" s="1">
        <f t="shared" si="73"/>
        <v>92.592592592592609</v>
      </c>
      <c r="AD70" s="1">
        <f t="shared" si="73"/>
        <v>92.592592592592609</v>
      </c>
      <c r="AE70" s="1">
        <f t="shared" si="73"/>
        <v>92.592592592592609</v>
      </c>
      <c r="AF70" s="1">
        <f t="shared" si="73"/>
        <v>92.592592592592609</v>
      </c>
      <c r="AG70" s="1">
        <f t="shared" si="73"/>
        <v>153.50877192982455</v>
      </c>
      <c r="AH70" s="1">
        <f t="shared" si="73"/>
        <v>163.04347826086959</v>
      </c>
      <c r="AI70" s="1">
        <f t="shared" si="73"/>
        <v>123.8738738738739</v>
      </c>
      <c r="AJ70" s="1">
        <f t="shared" si="73"/>
        <v>113.63636363636364</v>
      </c>
      <c r="AK70" s="1">
        <f t="shared" si="73"/>
        <v>113.63636363636364</v>
      </c>
      <c r="AL70" s="1">
        <f t="shared" si="73"/>
        <v>113.63636363636364</v>
      </c>
      <c r="AM70" s="1">
        <f t="shared" si="73"/>
        <v>103.21100917431194</v>
      </c>
      <c r="AN70" s="1">
        <f t="shared" si="73"/>
        <v>163.04347826086959</v>
      </c>
      <c r="AO70" s="1">
        <f t="shared" si="73"/>
        <v>172.41379310344831</v>
      </c>
      <c r="AP70" s="1">
        <f t="shared" si="73"/>
        <v>133.92857142857144</v>
      </c>
      <c r="AQ70" s="1">
        <f t="shared" si="73"/>
        <v>123.8738738738739</v>
      </c>
      <c r="AR70" s="1">
        <f t="shared" si="73"/>
        <v>113.63636363636364</v>
      </c>
      <c r="AS70" s="1">
        <f t="shared" si="73"/>
        <v>113.63636363636364</v>
      </c>
      <c r="AT70" s="1">
        <f t="shared" si="73"/>
        <v>113.63636363636364</v>
      </c>
    </row>
    <row r="71" spans="24:46" x14ac:dyDescent="0.35">
      <c r="X71" t="s">
        <v>344</v>
      </c>
      <c r="Y71" s="30" t="s">
        <v>461</v>
      </c>
      <c r="Z71" s="1">
        <f t="shared" ref="Z71:AT71" si="74">Y40</f>
        <v>92.592592592592609</v>
      </c>
      <c r="AA71" s="1">
        <f t="shared" si="74"/>
        <v>97.926267281105993</v>
      </c>
      <c r="AB71" s="1">
        <f t="shared" si="74"/>
        <v>81.775700934579433</v>
      </c>
      <c r="AC71" s="1">
        <f t="shared" si="74"/>
        <v>103.21100917431194</v>
      </c>
      <c r="AD71" s="1">
        <f t="shared" si="74"/>
        <v>113.63636363636364</v>
      </c>
      <c r="AE71" s="1">
        <f t="shared" si="74"/>
        <v>97.926267281105993</v>
      </c>
      <c r="AF71" s="1">
        <f t="shared" si="74"/>
        <v>87.209302325581405</v>
      </c>
      <c r="AG71" s="1">
        <f t="shared" si="74"/>
        <v>133.92857142857144</v>
      </c>
      <c r="AH71" s="1">
        <f t="shared" si="74"/>
        <v>128.92376681614348</v>
      </c>
      <c r="AI71" s="1">
        <f t="shared" si="74"/>
        <v>128.92376681614348</v>
      </c>
      <c r="AJ71" s="1">
        <f t="shared" si="74"/>
        <v>133.92857142857144</v>
      </c>
      <c r="AK71" s="1">
        <f t="shared" si="74"/>
        <v>123.8738738738739</v>
      </c>
      <c r="AL71" s="1">
        <f t="shared" si="74"/>
        <v>123.8738738738739</v>
      </c>
      <c r="AM71" s="1">
        <f t="shared" si="74"/>
        <v>123.8738738738739</v>
      </c>
      <c r="AN71" s="1">
        <f t="shared" si="74"/>
        <v>108.4474885844749</v>
      </c>
      <c r="AO71" s="1">
        <f t="shared" si="74"/>
        <v>118.77828054298644</v>
      </c>
      <c r="AP71" s="1">
        <f t="shared" si="74"/>
        <v>103.21100917431194</v>
      </c>
      <c r="AQ71" s="1">
        <f t="shared" si="74"/>
        <v>128.92376681614348</v>
      </c>
      <c r="AR71" s="1">
        <f t="shared" si="74"/>
        <v>133.92857142857144</v>
      </c>
      <c r="AS71" s="1">
        <f t="shared" si="74"/>
        <v>133.92857142857144</v>
      </c>
      <c r="AT71" s="1">
        <f t="shared" si="74"/>
        <v>123.8738738738739</v>
      </c>
    </row>
    <row r="72" spans="24:46" x14ac:dyDescent="0.35">
      <c r="X72" t="s">
        <v>345</v>
      </c>
      <c r="Y72" s="30" t="s">
        <v>461</v>
      </c>
      <c r="Z72" s="1">
        <f t="shared" ref="Z72:AT72" si="75">Y43</f>
        <v>190.67796610169495</v>
      </c>
      <c r="AA72" s="1">
        <f t="shared" si="75"/>
        <v>153.50877192982455</v>
      </c>
      <c r="AB72" s="1">
        <f t="shared" si="75"/>
        <v>113.63636363636364</v>
      </c>
      <c r="AC72" s="1">
        <f t="shared" si="75"/>
        <v>113.63636363636364</v>
      </c>
      <c r="AD72" s="1">
        <f t="shared" si="75"/>
        <v>108.4474885844749</v>
      </c>
      <c r="AE72" s="1">
        <f t="shared" si="75"/>
        <v>103.21100917431194</v>
      </c>
      <c r="AF72" s="1">
        <f t="shared" si="75"/>
        <v>97.926267281105993</v>
      </c>
      <c r="AG72" s="1">
        <f t="shared" si="75"/>
        <v>153.50877192982455</v>
      </c>
      <c r="AH72" s="1">
        <f t="shared" si="75"/>
        <v>143.80530973451326</v>
      </c>
      <c r="AI72" s="1">
        <f t="shared" si="75"/>
        <v>133.92857142857144</v>
      </c>
      <c r="AJ72" s="1">
        <f t="shared" si="75"/>
        <v>128.92376681614348</v>
      </c>
      <c r="AK72" s="1">
        <f t="shared" si="75"/>
        <v>123.8738738738739</v>
      </c>
      <c r="AL72" s="1">
        <f t="shared" si="75"/>
        <v>123.8738738738739</v>
      </c>
      <c r="AM72" s="1">
        <f t="shared" si="75"/>
        <v>123.8738738738739</v>
      </c>
      <c r="AN72" s="1">
        <f t="shared" si="75"/>
        <v>138.88888888888889</v>
      </c>
      <c r="AO72" s="1">
        <f t="shared" si="75"/>
        <v>123.8738738738739</v>
      </c>
      <c r="AP72" s="1">
        <f t="shared" si="75"/>
        <v>113.63636363636364</v>
      </c>
      <c r="AQ72" s="1">
        <f t="shared" si="75"/>
        <v>113.63636363636364</v>
      </c>
      <c r="AR72" s="1">
        <f t="shared" si="75"/>
        <v>128.92376681614348</v>
      </c>
      <c r="AS72" s="1">
        <f t="shared" si="75"/>
        <v>123.8738738738739</v>
      </c>
      <c r="AT72" s="1">
        <f t="shared" si="75"/>
        <v>123.8738738738739</v>
      </c>
    </row>
    <row r="73" spans="24:46" x14ac:dyDescent="0.35">
      <c r="X73" t="s">
        <v>346</v>
      </c>
      <c r="Y73" s="30" t="s">
        <v>461</v>
      </c>
      <c r="Z73" s="1">
        <f t="shared" ref="Z73:AT73" si="76">Y46</f>
        <v>212.65560165975103</v>
      </c>
      <c r="AA73" s="1">
        <f t="shared" si="76"/>
        <v>153.50877192982455</v>
      </c>
      <c r="AB73" s="1">
        <f t="shared" si="76"/>
        <v>113.63636363636364</v>
      </c>
      <c r="AC73" s="1">
        <f t="shared" si="76"/>
        <v>97.926267281105993</v>
      </c>
      <c r="AD73" s="1">
        <f t="shared" si="76"/>
        <v>97.926267281105993</v>
      </c>
      <c r="AE73" s="1">
        <f t="shared" si="76"/>
        <v>97.926267281105993</v>
      </c>
      <c r="AF73" s="1">
        <f t="shared" si="76"/>
        <v>87.209302325581405</v>
      </c>
      <c r="AG73" s="1">
        <f t="shared" si="76"/>
        <v>186.17021276595744</v>
      </c>
      <c r="AH73" s="1">
        <f t="shared" si="76"/>
        <v>153.50877192982455</v>
      </c>
      <c r="AI73" s="1">
        <f t="shared" si="76"/>
        <v>118.77828054298644</v>
      </c>
      <c r="AJ73" s="1">
        <f t="shared" si="76"/>
        <v>118.77828054298644</v>
      </c>
      <c r="AK73" s="1">
        <f t="shared" si="76"/>
        <v>113.63636363636364</v>
      </c>
      <c r="AL73" s="1">
        <f t="shared" si="76"/>
        <v>113.63636363636364</v>
      </c>
      <c r="AM73" s="1">
        <f t="shared" si="76"/>
        <v>108.4474885844749</v>
      </c>
      <c r="AN73" s="1">
        <f t="shared" si="76"/>
        <v>153.50877192982455</v>
      </c>
      <c r="AO73" s="1">
        <f t="shared" si="76"/>
        <v>108.4474885844749</v>
      </c>
      <c r="AP73" s="1">
        <f t="shared" si="76"/>
        <v>103.21100917431194</v>
      </c>
      <c r="AQ73" s="1">
        <f t="shared" si="76"/>
        <v>113.63636363636364</v>
      </c>
      <c r="AR73" s="1">
        <f t="shared" si="76"/>
        <v>118.77828054298644</v>
      </c>
      <c r="AS73" s="1">
        <f t="shared" si="76"/>
        <v>123.8738738738739</v>
      </c>
      <c r="AT73" s="1">
        <f t="shared" si="76"/>
        <v>123.8738738738739</v>
      </c>
    </row>
    <row r="74" spans="24:46" x14ac:dyDescent="0.35">
      <c r="X74" t="s">
        <v>344</v>
      </c>
      <c r="Y74" s="30" t="s">
        <v>462</v>
      </c>
      <c r="Z74" s="1">
        <f t="shared" ref="Z74:AT74" si="77">Y49</f>
        <v>212.65560165975111</v>
      </c>
      <c r="AA74" s="1">
        <f t="shared" si="77"/>
        <v>143.80530973451326</v>
      </c>
      <c r="AB74" s="1">
        <f t="shared" si="77"/>
        <v>143.80530973451326</v>
      </c>
      <c r="AC74" s="1">
        <f t="shared" si="77"/>
        <v>143.80530973451326</v>
      </c>
      <c r="AD74" s="1">
        <f t="shared" si="77"/>
        <v>138.88888888888889</v>
      </c>
      <c r="AE74" s="1">
        <f t="shared" si="77"/>
        <v>133.92857142857139</v>
      </c>
      <c r="AF74" s="1">
        <f t="shared" si="77"/>
        <v>153.5087719298246</v>
      </c>
      <c r="AG74" s="1">
        <f t="shared" si="77"/>
        <v>123.87387387387386</v>
      </c>
      <c r="AH74" s="1">
        <f t="shared" si="77"/>
        <v>128.92376681614354</v>
      </c>
      <c r="AI74" s="1">
        <f t="shared" si="77"/>
        <v>128.92376681614354</v>
      </c>
      <c r="AJ74" s="1">
        <f t="shared" si="77"/>
        <v>123.87387387387386</v>
      </c>
      <c r="AK74" s="1">
        <f t="shared" si="77"/>
        <v>143.80530973451337</v>
      </c>
      <c r="AL74" s="1">
        <f t="shared" si="77"/>
        <v>153.50877192982455</v>
      </c>
      <c r="AM74" s="1">
        <f t="shared" si="77"/>
        <v>143.80530973451317</v>
      </c>
      <c r="AN74" s="1">
        <f t="shared" si="77"/>
        <v>113.63636363636364</v>
      </c>
      <c r="AO74" s="1">
        <f t="shared" si="77"/>
        <v>103.21100917431197</v>
      </c>
      <c r="AP74" s="1">
        <f t="shared" si="77"/>
        <v>97.926267281105993</v>
      </c>
      <c r="AQ74" s="1">
        <f t="shared" si="77"/>
        <v>143.80530973451332</v>
      </c>
      <c r="AR74" s="1">
        <f t="shared" si="77"/>
        <v>113.63636363636364</v>
      </c>
      <c r="AS74" s="1">
        <f t="shared" si="77"/>
        <v>113.63636363636364</v>
      </c>
      <c r="AT74" s="1">
        <f t="shared" si="77"/>
        <v>113.63636363636368</v>
      </c>
    </row>
    <row r="75" spans="24:46" x14ac:dyDescent="0.35">
      <c r="X75" t="s">
        <v>345</v>
      </c>
      <c r="Y75" s="30" t="s">
        <v>462</v>
      </c>
      <c r="Z75" s="1">
        <f t="shared" ref="Z75:AT75" si="78">Y52</f>
        <v>241.93548387096777</v>
      </c>
      <c r="AA75" s="1">
        <f t="shared" si="78"/>
        <v>233.73983739837408</v>
      </c>
      <c r="AB75" s="1">
        <f t="shared" si="78"/>
        <v>190.67796610169486</v>
      </c>
      <c r="AC75" s="1">
        <f t="shared" si="78"/>
        <v>216.94214876033055</v>
      </c>
      <c r="AD75" s="1">
        <f t="shared" si="78"/>
        <v>216.94214876033038</v>
      </c>
      <c r="AE75" s="1">
        <f t="shared" si="78"/>
        <v>233.73983739837408</v>
      </c>
      <c r="AF75" s="1">
        <f t="shared" si="78"/>
        <v>190.67796610169498</v>
      </c>
      <c r="AG75" s="1">
        <f t="shared" si="78"/>
        <v>241.93548387096791</v>
      </c>
      <c r="AH75" s="1">
        <f t="shared" si="78"/>
        <v>233.73983739837408</v>
      </c>
      <c r="AI75" s="1">
        <f t="shared" si="78"/>
        <v>229.59183673469389</v>
      </c>
      <c r="AJ75" s="1">
        <f t="shared" si="78"/>
        <v>229.59183673469389</v>
      </c>
      <c r="AK75" s="1">
        <f t="shared" si="78"/>
        <v>208.33333333333334</v>
      </c>
      <c r="AL75" s="1">
        <f t="shared" si="78"/>
        <v>172.41379310344831</v>
      </c>
      <c r="AM75" s="1">
        <f t="shared" si="78"/>
        <v>172.4137931034484</v>
      </c>
      <c r="AN75" s="1">
        <f t="shared" si="78"/>
        <v>133.92857142857139</v>
      </c>
      <c r="AO75" s="1">
        <f t="shared" si="78"/>
        <v>181.62393162393155</v>
      </c>
      <c r="AP75" s="1">
        <f t="shared" si="78"/>
        <v>133.92857142857153</v>
      </c>
      <c r="AQ75" s="1">
        <f t="shared" si="78"/>
        <v>190.67796610169498</v>
      </c>
      <c r="AR75" s="1">
        <f t="shared" si="78"/>
        <v>228.21299879887897</v>
      </c>
      <c r="AS75" s="1">
        <f t="shared" si="78"/>
        <v>265.74803149606299</v>
      </c>
      <c r="AT75" s="1">
        <f t="shared" si="78"/>
        <v>163.04347826086959</v>
      </c>
    </row>
    <row r="76" spans="24:46" x14ac:dyDescent="0.35">
      <c r="X76" t="s">
        <v>346</v>
      </c>
      <c r="Y76" s="30" t="s">
        <v>462</v>
      </c>
      <c r="Z76" s="1">
        <f t="shared" ref="Z76:AT76" si="79">Y55</f>
        <v>250</v>
      </c>
      <c r="AA76" s="1">
        <f t="shared" si="79"/>
        <v>233.73983739837388</v>
      </c>
      <c r="AB76" s="1">
        <f t="shared" si="79"/>
        <v>233.73983739837377</v>
      </c>
      <c r="AC76" s="1">
        <f t="shared" si="79"/>
        <v>233.73983739837408</v>
      </c>
      <c r="AD76" s="1">
        <f t="shared" si="79"/>
        <v>216.9421487603307</v>
      </c>
      <c r="AE76" s="1">
        <f t="shared" si="79"/>
        <v>190.67796610169498</v>
      </c>
      <c r="AF76" s="1">
        <f t="shared" si="79"/>
        <v>181.62393162393155</v>
      </c>
      <c r="AG76" s="1">
        <f t="shared" si="79"/>
        <v>225.40983606557381</v>
      </c>
      <c r="AH76" s="1">
        <f t="shared" si="79"/>
        <v>229.59183673469389</v>
      </c>
      <c r="AI76" s="1">
        <f t="shared" si="79"/>
        <v>221.19341563786011</v>
      </c>
      <c r="AJ76" s="1">
        <f t="shared" si="79"/>
        <v>190.67796610169498</v>
      </c>
      <c r="AK76" s="1">
        <f t="shared" si="79"/>
        <v>190.67796610169486</v>
      </c>
      <c r="AL76" s="1">
        <f t="shared" si="79"/>
        <v>148.67841409691627</v>
      </c>
      <c r="AM76" s="1">
        <f t="shared" si="79"/>
        <v>163.04347826086959</v>
      </c>
      <c r="AN76" s="1">
        <f t="shared" si="79"/>
        <v>108.447488584475</v>
      </c>
      <c r="AO76" s="1">
        <f t="shared" si="79"/>
        <v>116.16068122917443</v>
      </c>
      <c r="AP76" s="1">
        <f t="shared" si="79"/>
        <v>123.87387387387386</v>
      </c>
      <c r="AQ76" s="1">
        <f t="shared" si="79"/>
        <v>123.87387387387386</v>
      </c>
      <c r="AR76" s="1">
        <f t="shared" si="79"/>
        <v>103.21100917431177</v>
      </c>
      <c r="AS76" s="1">
        <f t="shared" si="79"/>
        <v>128.92376681614337</v>
      </c>
      <c r="AT76" s="1">
        <f t="shared" si="79"/>
        <v>123.87387387387392</v>
      </c>
    </row>
    <row r="79" spans="24:46" x14ac:dyDescent="0.35">
      <c r="X79" t="s">
        <v>530</v>
      </c>
    </row>
    <row r="80" spans="24:46" x14ac:dyDescent="0.35">
      <c r="X80" t="s">
        <v>529</v>
      </c>
      <c r="Y80" t="s">
        <v>528</v>
      </c>
    </row>
    <row r="81" spans="24:25" x14ac:dyDescent="0.35">
      <c r="X81">
        <v>0</v>
      </c>
      <c r="Y81" s="1">
        <f>AVERAGE(H52:H53)</f>
        <v>187.93202764976965</v>
      </c>
    </row>
    <row r="82" spans="24:25" x14ac:dyDescent="0.35">
      <c r="X82">
        <f t="shared" ref="X82:X87" si="80">X81+30</f>
        <v>30</v>
      </c>
      <c r="Y82" s="1">
        <f>AVERAGE(I51:I53)</f>
        <v>216.36786880689326</v>
      </c>
    </row>
    <row r="83" spans="24:25" x14ac:dyDescent="0.35">
      <c r="X83">
        <f t="shared" si="80"/>
        <v>60</v>
      </c>
      <c r="Y83" s="1">
        <f>AVERAGE(J51:J53)</f>
        <v>184.73279142165345</v>
      </c>
    </row>
    <row r="84" spans="24:25" x14ac:dyDescent="0.35">
      <c r="X84">
        <f t="shared" si="80"/>
        <v>90</v>
      </c>
      <c r="Y84" s="1">
        <f>AVERAGE(K51:K53)</f>
        <v>212.40398386557317</v>
      </c>
    </row>
    <row r="85" spans="24:25" x14ac:dyDescent="0.35">
      <c r="X85">
        <f t="shared" si="80"/>
        <v>120</v>
      </c>
      <c r="Y85" s="1">
        <f>AVERAGE(L51:L53)</f>
        <v>217.82949363084757</v>
      </c>
    </row>
    <row r="86" spans="24:25" x14ac:dyDescent="0.35">
      <c r="X86">
        <f t="shared" si="80"/>
        <v>150</v>
      </c>
      <c r="Y86" s="1">
        <f>AVERAGE(M51:M53)</f>
        <v>223.9672206659618</v>
      </c>
    </row>
    <row r="87" spans="24:25" x14ac:dyDescent="0.35">
      <c r="X87">
        <f t="shared" si="80"/>
        <v>180</v>
      </c>
      <c r="Y87" s="1">
        <f>AVERAGE(N51:N53)</f>
        <v>175.37841248867099</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37BD38-2DD1-40AA-ACDF-5DD2F6075DDC}">
  <sheetPr codeName="Sheet24">
    <tabColor theme="8" tint="0.39997558519241921"/>
  </sheetPr>
  <dimension ref="A1:AT87"/>
  <sheetViews>
    <sheetView topLeftCell="P1" zoomScale="75" zoomScaleNormal="75" workbookViewId="0">
      <selection activeCell="Q1" sqref="Q1:Q1048576"/>
    </sheetView>
  </sheetViews>
  <sheetFormatPr defaultColWidth="11" defaultRowHeight="15.5" x14ac:dyDescent="0.35"/>
  <cols>
    <col min="1" max="1" width="14.6640625" style="65" customWidth="1"/>
    <col min="2" max="2" width="12.08203125" style="4" customWidth="1"/>
    <col min="3" max="3" width="41.33203125" style="4" customWidth="1"/>
    <col min="4" max="4" width="8.5" style="4" customWidth="1"/>
    <col min="5" max="22" width="11" style="4"/>
    <col min="24" max="24" width="17" customWidth="1"/>
  </cols>
  <sheetData>
    <row r="1" spans="1:45" ht="23.5" x14ac:dyDescent="0.35">
      <c r="A1" s="50" t="s">
        <v>467</v>
      </c>
      <c r="C1" s="26" t="s">
        <v>468</v>
      </c>
      <c r="F1" s="70" t="s">
        <v>26</v>
      </c>
      <c r="G1" s="26" t="s">
        <v>527</v>
      </c>
    </row>
    <row r="2" spans="1:45" ht="49.5" customHeight="1" x14ac:dyDescent="0.35">
      <c r="A2" s="18"/>
      <c r="B2" s="18" t="s">
        <v>433</v>
      </c>
      <c r="C2" s="18" t="s">
        <v>466</v>
      </c>
      <c r="D2" s="18" t="s">
        <v>497</v>
      </c>
      <c r="E2" s="18" t="s">
        <v>387</v>
      </c>
      <c r="F2" s="18" t="s">
        <v>404</v>
      </c>
      <c r="G2" s="18" t="s">
        <v>454</v>
      </c>
      <c r="H2" s="18">
        <v>0</v>
      </c>
      <c r="I2" s="18">
        <v>30</v>
      </c>
      <c r="J2" s="18">
        <v>60</v>
      </c>
      <c r="K2" s="18">
        <v>90</v>
      </c>
      <c r="L2" s="18">
        <v>120</v>
      </c>
      <c r="M2" s="18">
        <v>150</v>
      </c>
      <c r="N2" s="18">
        <v>180</v>
      </c>
      <c r="O2" s="19" t="s">
        <v>340</v>
      </c>
      <c r="P2" s="19" t="s">
        <v>547</v>
      </c>
      <c r="Q2" s="19" t="s">
        <v>340</v>
      </c>
      <c r="R2" s="19" t="s">
        <v>341</v>
      </c>
      <c r="S2" s="19" t="s">
        <v>342</v>
      </c>
      <c r="T2" s="19" t="s">
        <v>547</v>
      </c>
      <c r="U2" s="19" t="s">
        <v>475</v>
      </c>
      <c r="V2" s="19" t="s">
        <v>533</v>
      </c>
    </row>
    <row r="3" spans="1:45" x14ac:dyDescent="0.35">
      <c r="A3" s="41">
        <f>IFERROR(INDEX('Date Key'!$B$2:$B$19, MATCH(F3,'Date Key'!$A$2:$A$19, 0)), "")</f>
        <v>45175</v>
      </c>
      <c r="B3" s="4">
        <f>INT((ROW(A1)-1)/9)+1</f>
        <v>1</v>
      </c>
      <c r="C3" s="26" t="str">
        <f>IFERROR(INDEX('Date Key'!$G$57:$G$62, MATCH(B3,'Date Key'!$A$57:$A$62, 0)), "")</f>
        <v>Low HLR, Lower Outlet Height, No Plants</v>
      </c>
      <c r="D3" s="4" t="str">
        <f>IFERROR(INDEX('Date Key'!$G$2:$G$19, MATCH(F3, 'Date Key'!$A$2:$A$19, 0)), "")</f>
        <v>No</v>
      </c>
      <c r="E3" s="4" t="str">
        <f>CHOOSE(MOD(ROW(G3)-ROW($G$3), 9) + 1, "in", "in", "in", "tank 1", "tank 1", "tank 1", "tank 2", "tank 2", "tank 2")</f>
        <v>in</v>
      </c>
      <c r="F3" s="4">
        <f>MOD(ROW(G3)-ROW($G$3), 3) + 1 + 3 * INT((ROW(G3)-ROW($G$3))/9)</f>
        <v>1</v>
      </c>
      <c r="G3" s="4">
        <f>MOD(ROW(G3)-ROW($G$3), 3) + 1</f>
        <v>1</v>
      </c>
      <c r="H3" s="11" cm="1">
        <f t="array" ref="H3">IFERROR(INDEX('Master Data Sheet'!$1:$1048576, MATCH(1, ('Master Data Sheet'!$H:$H=H$2) * (INDEX('Master Data Sheet'!$1:$1, , MATCH($F$1, 'Master Data Sheet'!$1:$1, 0)) = $F$1) * ('Master Data Sheet'!$G:$G=$B3) * ('Master Data Sheet'!$F:$F=$E3) * ('Master Data Sheet'!$A:$A=$F3), 0), MATCH($F$1, 'Master Data Sheet'!$1:$1, 0)), "")</f>
        <v>40.733333333333327</v>
      </c>
      <c r="I3" s="11" cm="1">
        <f t="array" ref="I3">IFERROR(INDEX('Master Data Sheet'!$1:$1048576, MATCH(1, ('Master Data Sheet'!$H:$H=I$2) * (INDEX('Master Data Sheet'!$1:$1, , MATCH($F$1, 'Master Data Sheet'!$1:$1, 0)) = $F$1) * ('Master Data Sheet'!$G:$G=$B3) * ('Master Data Sheet'!$F:$F=$E3) * ('Master Data Sheet'!$A:$A=$F3), 0), MATCH($F$1, 'Master Data Sheet'!$1:$1, 0)), "")</f>
        <v>30.733333333333317</v>
      </c>
      <c r="J3" s="11" cm="1">
        <f t="array" ref="J3">IFERROR(INDEX('Master Data Sheet'!$1:$1048576, MATCH(1, ('Master Data Sheet'!$H:$H=J$2) * (INDEX('Master Data Sheet'!$1:$1, , MATCH($F$1, 'Master Data Sheet'!$1:$1, 0)) = $F$1) * ('Master Data Sheet'!$G:$G=$B3) * ('Master Data Sheet'!$F:$F=$E3) * ('Master Data Sheet'!$A:$A=$F3), 0), MATCH($F$1, 'Master Data Sheet'!$1:$1, 0)), "")</f>
        <v>27.399999999999981</v>
      </c>
      <c r="K3" s="11" cm="1">
        <f t="array" ref="K3">IFERROR(INDEX('Master Data Sheet'!$1:$1048576, MATCH(1, ('Master Data Sheet'!$H:$H=K$2) * (INDEX('Master Data Sheet'!$1:$1, , MATCH($F$1, 'Master Data Sheet'!$1:$1, 0)) = $F$1) * ('Master Data Sheet'!$G:$G=$B3) * ('Master Data Sheet'!$F:$F=$E3) * ('Master Data Sheet'!$A:$A=$F3), 0), MATCH($F$1, 'Master Data Sheet'!$1:$1, 0)), "")</f>
        <v>29.399999999999981</v>
      </c>
      <c r="L3" s="11" cm="1">
        <f t="array" ref="L3">IFERROR(INDEX('Master Data Sheet'!$1:$1048576, MATCH(1, ('Master Data Sheet'!$H:$H=L$2) * (INDEX('Master Data Sheet'!$1:$1, , MATCH($F$1, 'Master Data Sheet'!$1:$1, 0)) = $F$1) * ('Master Data Sheet'!$G:$G=$B3) * ('Master Data Sheet'!$F:$F=$E3) * ('Master Data Sheet'!$A:$A=$F3), 0), MATCH($F$1, 'Master Data Sheet'!$1:$1, 0)), "")</f>
        <v>33.399999999999984</v>
      </c>
      <c r="M3" s="11" cm="1">
        <f t="array" ref="M3">IFERROR(INDEX('Master Data Sheet'!$1:$1048576, MATCH(1, ('Master Data Sheet'!$H:$H=M$2) * (INDEX('Master Data Sheet'!$1:$1, , MATCH($F$1, 'Master Data Sheet'!$1:$1, 0)) = $F$1) * ('Master Data Sheet'!$G:$G=$B3) * ('Master Data Sheet'!$F:$F=$E3) * ('Master Data Sheet'!$A:$A=$F3), 0), MATCH($F$1, 'Master Data Sheet'!$1:$1, 0)), "")</f>
        <v>31.399999999999984</v>
      </c>
      <c r="N3" s="11" cm="1">
        <f t="array" ref="N3">IFERROR(INDEX('Master Data Sheet'!$1:$1048576, MATCH(1, ('Master Data Sheet'!$H:$H=N$2) * (INDEX('Master Data Sheet'!$1:$1, , MATCH($F$1, 'Master Data Sheet'!$1:$1, 0)) = $F$1) * ('Master Data Sheet'!$G:$G=$B3) * ('Master Data Sheet'!$F:$F=$E3) * ('Master Data Sheet'!$A:$A=$F3), 0), MATCH($F$1, 'Master Data Sheet'!$1:$1, 0)), "")</f>
        <v>36.066666666666656</v>
      </c>
      <c r="O3" s="11">
        <f>AVERAGE(H3:N3)</f>
        <v>32.733333333333313</v>
      </c>
      <c r="P3" s="11">
        <f>STDEV(H3:N3)</f>
        <v>4.488668861494304</v>
      </c>
      <c r="Q3" s="11">
        <f>AVERAGE(O3,O5)</f>
        <v>27.661904761904751</v>
      </c>
      <c r="S3" s="46">
        <f>AVERAGE(O3:O5)</f>
        <v>29.050793650793636</v>
      </c>
      <c r="T3" s="46">
        <f>AVERAGE(P3:P5)</f>
        <v>5.6862346389478988</v>
      </c>
      <c r="V3" s="47">
        <f>AVERAGE(U6, U9)</f>
        <v>-60.337407471165392</v>
      </c>
      <c r="X3" t="s">
        <v>343</v>
      </c>
    </row>
    <row r="4" spans="1:45" x14ac:dyDescent="0.35">
      <c r="A4" s="41">
        <f>IFERROR(INDEX('Date Key'!$B$2:$B$19, MATCH(F4,'Date Key'!$A$2:$A$19, 0)), "")</f>
        <v>45181</v>
      </c>
      <c r="B4" s="4">
        <f t="shared" ref="B4:B11" si="0">INT((ROW(B2)-1)/9)+1</f>
        <v>1</v>
      </c>
      <c r="C4" s="26" t="str">
        <f>IFERROR(INDEX('Date Key'!$G$57:$G$62, MATCH(B4,'Date Key'!$A$57:$A$62, 0)), "")</f>
        <v>Low HLR, Lower Outlet Height, No Plants</v>
      </c>
      <c r="D4" s="4" t="str">
        <f>IFERROR(INDEX('Date Key'!$G$2:$G$19, MATCH(F4, 'Date Key'!$A$2:$A$19, 0)), "")</f>
        <v>No</v>
      </c>
      <c r="E4" s="4" t="str">
        <f t="shared" ref="E4:E56" si="1">CHOOSE(MOD(ROW(G4)-ROW($G$3), 9) + 1, "in", "in", "in", "tank 1", "tank 1", "tank 1", "tank 2", "tank 2", "tank 2")</f>
        <v>in</v>
      </c>
      <c r="F4" s="4">
        <f t="shared" ref="F4:F56" si="2">MOD(ROW(G4)-ROW($G$3), 3) + 1 + 3 * INT((ROW(G4)-ROW($G$3))/9)</f>
        <v>2</v>
      </c>
      <c r="G4" s="4">
        <f t="shared" ref="G4:G15" si="3">MOD(ROW(G4)-ROW($G$3), 3) + 1</f>
        <v>2</v>
      </c>
      <c r="H4" s="11" cm="1">
        <f t="array" ref="H4">IFERROR(INDEX('Master Data Sheet'!$1:$1048576, MATCH(1, ('Master Data Sheet'!$H:$H=H$2) * (INDEX('Master Data Sheet'!$1:$1, , MATCH($F$1, 'Master Data Sheet'!$1:$1, 0)) = $F$1) * ('Master Data Sheet'!$G:$G=$B4) * ('Master Data Sheet'!$F:$F=$E4) * ('Master Data Sheet'!$A:$A=$F4), 0), MATCH($F$1, 'Master Data Sheet'!$1:$1, 0)), "")</f>
        <v>40.066666666666656</v>
      </c>
      <c r="I4" s="11" cm="1">
        <f t="array" ref="I4">IFERROR(INDEX('Master Data Sheet'!$1:$1048576, MATCH(1, ('Master Data Sheet'!$H:$H=I$2) * (INDEX('Master Data Sheet'!$1:$1, , MATCH($F$1, 'Master Data Sheet'!$1:$1, 0)) = $F$1) * ('Master Data Sheet'!$G:$G=$B4) * ('Master Data Sheet'!$F:$F=$E4) * ('Master Data Sheet'!$A:$A=$F4), 0), MATCH($F$1, 'Master Data Sheet'!$1:$1, 0)), "")</f>
        <v>26.733333333333313</v>
      </c>
      <c r="J4" s="11" cm="1">
        <f t="array" ref="J4">IFERROR(INDEX('Master Data Sheet'!$1:$1048576, MATCH(1, ('Master Data Sheet'!$H:$H=J$2) * (INDEX('Master Data Sheet'!$1:$1, , MATCH($F$1, 'Master Data Sheet'!$1:$1, 0)) = $F$1) * ('Master Data Sheet'!$G:$G=$B4) * ('Master Data Sheet'!$F:$F=$E4) * ('Master Data Sheet'!$A:$A=$F4), 0), MATCH($F$1, 'Master Data Sheet'!$1:$1, 0)), "")</f>
        <v>21.733333333333309</v>
      </c>
      <c r="K4" s="11" cm="1">
        <f t="array" ref="K4">IFERROR(INDEX('Master Data Sheet'!$1:$1048576, MATCH(1, ('Master Data Sheet'!$H:$H=K$2) * (INDEX('Master Data Sheet'!$1:$1, , MATCH($F$1, 'Master Data Sheet'!$1:$1, 0)) = $F$1) * ('Master Data Sheet'!$G:$G=$B4) * ('Master Data Sheet'!$F:$F=$E4) * ('Master Data Sheet'!$A:$A=$F4), 0), MATCH($F$1, 'Master Data Sheet'!$1:$1, 0)), "")</f>
        <v>29.399999999999981</v>
      </c>
      <c r="L4" s="11" cm="1">
        <f t="array" ref="L4">IFERROR(INDEX('Master Data Sheet'!$1:$1048576, MATCH(1, ('Master Data Sheet'!$H:$H=L$2) * (INDEX('Master Data Sheet'!$1:$1, , MATCH($F$1, 'Master Data Sheet'!$1:$1, 0)) = $F$1) * ('Master Data Sheet'!$G:$G=$B4) * ('Master Data Sheet'!$F:$F=$E4) * ('Master Data Sheet'!$A:$A=$F4), 0), MATCH($F$1, 'Master Data Sheet'!$1:$1, 0)), "")</f>
        <v>31.399999999999984</v>
      </c>
      <c r="M4" s="11" cm="1">
        <f t="array" ref="M4">IFERROR(INDEX('Master Data Sheet'!$1:$1048576, MATCH(1, ('Master Data Sheet'!$H:$H=M$2) * (INDEX('Master Data Sheet'!$1:$1, , MATCH($F$1, 'Master Data Sheet'!$1:$1, 0)) = $F$1) * ('Master Data Sheet'!$G:$G=$B4) * ('Master Data Sheet'!$F:$F=$E4) * ('Master Data Sheet'!$A:$A=$F4), 0), MATCH($F$1, 'Master Data Sheet'!$1:$1, 0)), "")</f>
        <v>35.399999999999984</v>
      </c>
      <c r="N4" s="11" cm="1">
        <f t="array" ref="N4">IFERROR(INDEX('Master Data Sheet'!$1:$1048576, MATCH(1, ('Master Data Sheet'!$H:$H=N$2) * (INDEX('Master Data Sheet'!$1:$1, , MATCH($F$1, 'Master Data Sheet'!$1:$1, 0)) = $F$1) * ('Master Data Sheet'!$G:$G=$B4) * ('Master Data Sheet'!$F:$F=$E4) * ('Master Data Sheet'!$A:$A=$F4), 0), MATCH($F$1, 'Master Data Sheet'!$1:$1, 0)), "")</f>
        <v>38.066666666666656</v>
      </c>
      <c r="O4" s="11">
        <f>AVERAGE(H4:N4)</f>
        <v>31.828571428571411</v>
      </c>
      <c r="P4" s="11">
        <f t="shared" ref="P4:P56" si="4">STDEV(H4:N4)</f>
        <v>6.4998982491018715</v>
      </c>
      <c r="Q4" s="11"/>
      <c r="X4" t="str">
        <f>IFERROR(INDEX('Date Key'!$G$57:$G$62, MATCH(B3,'Date Key'!$A$57:$A$62, 0)), "")</f>
        <v>Low HLR, Lower Outlet Height, No Plants</v>
      </c>
      <c r="Y4" s="1">
        <f t="shared" ref="Y4:AE4" si="5">H3</f>
        <v>40.733333333333327</v>
      </c>
      <c r="Z4" s="1">
        <f t="shared" si="5"/>
        <v>30.733333333333317</v>
      </c>
      <c r="AA4" s="1">
        <f t="shared" si="5"/>
        <v>27.399999999999981</v>
      </c>
      <c r="AB4" s="1">
        <f t="shared" si="5"/>
        <v>29.399999999999981</v>
      </c>
      <c r="AC4" s="1">
        <f t="shared" si="5"/>
        <v>33.399999999999984</v>
      </c>
      <c r="AD4" s="1">
        <f t="shared" si="5"/>
        <v>31.399999999999984</v>
      </c>
      <c r="AE4" s="1">
        <f t="shared" si="5"/>
        <v>36.066666666666656</v>
      </c>
      <c r="AF4" s="1">
        <f t="shared" ref="AF4:AL4" si="6">H4</f>
        <v>40.066666666666656</v>
      </c>
      <c r="AG4" s="1">
        <f t="shared" si="6"/>
        <v>26.733333333333313</v>
      </c>
      <c r="AH4" s="1">
        <f t="shared" si="6"/>
        <v>21.733333333333309</v>
      </c>
      <c r="AI4" s="1">
        <f t="shared" si="6"/>
        <v>29.399999999999981</v>
      </c>
      <c r="AJ4" s="1">
        <f t="shared" si="6"/>
        <v>31.399999999999984</v>
      </c>
      <c r="AK4" s="1">
        <f t="shared" si="6"/>
        <v>35.399999999999984</v>
      </c>
      <c r="AL4" s="1">
        <f t="shared" si="6"/>
        <v>38.066666666666656</v>
      </c>
      <c r="AM4" s="1">
        <f t="shared" ref="AM4:AS4" si="7">H5</f>
        <v>35.066666666666656</v>
      </c>
      <c r="AN4" s="1">
        <f t="shared" si="7"/>
        <v>26.066666666666645</v>
      </c>
      <c r="AO4" s="1">
        <f t="shared" si="7"/>
        <v>19.733333333333341</v>
      </c>
      <c r="AP4" s="1">
        <f t="shared" si="7"/>
        <v>18.066666666666674</v>
      </c>
      <c r="AQ4" s="1">
        <f t="shared" si="7"/>
        <v>19.733333333333341</v>
      </c>
      <c r="AR4" s="1">
        <f t="shared" si="7"/>
        <v>20.066666666666638</v>
      </c>
      <c r="AS4" s="1">
        <f t="shared" si="7"/>
        <v>19.400000000000009</v>
      </c>
    </row>
    <row r="5" spans="1:45" x14ac:dyDescent="0.35">
      <c r="A5" s="41">
        <f>IFERROR(INDEX('Date Key'!$B$2:$B$19, MATCH(F5,'Date Key'!$A$2:$A$19, 0)), "")</f>
        <v>45195</v>
      </c>
      <c r="B5" s="4">
        <f t="shared" si="0"/>
        <v>1</v>
      </c>
      <c r="C5" s="26" t="str">
        <f>IFERROR(INDEX('Date Key'!$G$57:$G$62, MATCH(B5,'Date Key'!$A$57:$A$62, 0)), "")</f>
        <v>Low HLR, Lower Outlet Height, No Plants</v>
      </c>
      <c r="D5" s="4" t="str">
        <f>IFERROR(INDEX('Date Key'!$G$2:$G$19, MATCH(F5, 'Date Key'!$A$2:$A$19, 0)), "")</f>
        <v>No</v>
      </c>
      <c r="E5" s="4" t="str">
        <f t="shared" si="1"/>
        <v>in</v>
      </c>
      <c r="F5" s="4">
        <f t="shared" si="2"/>
        <v>3</v>
      </c>
      <c r="G5" s="4">
        <f t="shared" si="3"/>
        <v>3</v>
      </c>
      <c r="H5" s="11" cm="1">
        <f t="array" ref="H5">IFERROR(INDEX('Master Data Sheet'!$1:$1048576, MATCH(1, ('Master Data Sheet'!$H:$H=H$2) * (INDEX('Master Data Sheet'!$1:$1, , MATCH($F$1, 'Master Data Sheet'!$1:$1, 0)) = $F$1) * ('Master Data Sheet'!$G:$G=$B5) * ('Master Data Sheet'!$F:$F=$E5) * ('Master Data Sheet'!$A:$A=$F5), 0), MATCH($F$1, 'Master Data Sheet'!$1:$1, 0)), "")</f>
        <v>35.066666666666656</v>
      </c>
      <c r="I5" s="11" cm="1">
        <f t="array" ref="I5">IFERROR(INDEX('Master Data Sheet'!$1:$1048576, MATCH(1, ('Master Data Sheet'!$H:$H=I$2) * (INDEX('Master Data Sheet'!$1:$1, , MATCH($F$1, 'Master Data Sheet'!$1:$1, 0)) = $F$1) * ('Master Data Sheet'!$G:$G=$B5) * ('Master Data Sheet'!$F:$F=$E5) * ('Master Data Sheet'!$A:$A=$F5), 0), MATCH($F$1, 'Master Data Sheet'!$1:$1, 0)), "")</f>
        <v>26.066666666666645</v>
      </c>
      <c r="J5" s="11" cm="1">
        <f t="array" ref="J5">IFERROR(INDEX('Master Data Sheet'!$1:$1048576, MATCH(1, ('Master Data Sheet'!$H:$H=J$2) * (INDEX('Master Data Sheet'!$1:$1, , MATCH($F$1, 'Master Data Sheet'!$1:$1, 0)) = $F$1) * ('Master Data Sheet'!$G:$G=$B5) * ('Master Data Sheet'!$F:$F=$E5) * ('Master Data Sheet'!$A:$A=$F5), 0), MATCH($F$1, 'Master Data Sheet'!$1:$1, 0)), "")</f>
        <v>19.733333333333341</v>
      </c>
      <c r="K5" s="11" cm="1">
        <f t="array" ref="K5">IFERROR(INDEX('Master Data Sheet'!$1:$1048576, MATCH(1, ('Master Data Sheet'!$H:$H=K$2) * (INDEX('Master Data Sheet'!$1:$1, , MATCH($F$1, 'Master Data Sheet'!$1:$1, 0)) = $F$1) * ('Master Data Sheet'!$G:$G=$B5) * ('Master Data Sheet'!$F:$F=$E5) * ('Master Data Sheet'!$A:$A=$F5), 0), MATCH($F$1, 'Master Data Sheet'!$1:$1, 0)), "")</f>
        <v>18.066666666666674</v>
      </c>
      <c r="L5" s="11" cm="1">
        <f t="array" ref="L5">IFERROR(INDEX('Master Data Sheet'!$1:$1048576, MATCH(1, ('Master Data Sheet'!$H:$H=L$2) * (INDEX('Master Data Sheet'!$1:$1, , MATCH($F$1, 'Master Data Sheet'!$1:$1, 0)) = $F$1) * ('Master Data Sheet'!$G:$G=$B5) * ('Master Data Sheet'!$F:$F=$E5) * ('Master Data Sheet'!$A:$A=$F5), 0), MATCH($F$1, 'Master Data Sheet'!$1:$1, 0)), "")</f>
        <v>19.733333333333341</v>
      </c>
      <c r="M5" s="11" cm="1">
        <f t="array" ref="M5">IFERROR(INDEX('Master Data Sheet'!$1:$1048576, MATCH(1, ('Master Data Sheet'!$H:$H=M$2) * (INDEX('Master Data Sheet'!$1:$1, , MATCH($F$1, 'Master Data Sheet'!$1:$1, 0)) = $F$1) * ('Master Data Sheet'!$G:$G=$B5) * ('Master Data Sheet'!$F:$F=$E5) * ('Master Data Sheet'!$A:$A=$F5), 0), MATCH($F$1, 'Master Data Sheet'!$1:$1, 0)), "")</f>
        <v>20.066666666666638</v>
      </c>
      <c r="N5" s="11" cm="1">
        <f t="array" ref="N5">IFERROR(INDEX('Master Data Sheet'!$1:$1048576, MATCH(1, ('Master Data Sheet'!$H:$H=N$2) * (INDEX('Master Data Sheet'!$1:$1, , MATCH($F$1, 'Master Data Sheet'!$1:$1, 0)) = $F$1) * ('Master Data Sheet'!$G:$G=$B5) * ('Master Data Sheet'!$F:$F=$E5) * ('Master Data Sheet'!$A:$A=$F5), 0), MATCH($F$1, 'Master Data Sheet'!$1:$1, 0)), "")</f>
        <v>19.400000000000009</v>
      </c>
      <c r="O5" s="11">
        <f>AVERAGE(H5:N5)</f>
        <v>22.590476190476185</v>
      </c>
      <c r="P5" s="11">
        <f t="shared" si="4"/>
        <v>6.0701368062475236</v>
      </c>
      <c r="Q5" s="11"/>
      <c r="Y5" s="1"/>
      <c r="Z5" s="1"/>
      <c r="AA5" s="1"/>
      <c r="AB5" s="1"/>
      <c r="AC5" s="1"/>
      <c r="AD5" s="1"/>
      <c r="AE5" s="1"/>
      <c r="AF5" s="1"/>
      <c r="AG5" s="1"/>
      <c r="AH5" s="1"/>
      <c r="AI5" s="1"/>
      <c r="AJ5" s="1"/>
      <c r="AK5" s="1"/>
      <c r="AL5" s="1"/>
      <c r="AM5" s="1"/>
      <c r="AN5" s="1"/>
      <c r="AO5" s="1"/>
      <c r="AP5" s="1"/>
      <c r="AQ5" s="1"/>
      <c r="AR5" s="1"/>
      <c r="AS5" s="1"/>
    </row>
    <row r="6" spans="1:45" x14ac:dyDescent="0.35">
      <c r="A6" s="41">
        <f>IFERROR(INDEX('Date Key'!$B$2:$B$19, MATCH(F6,'Date Key'!$A$2:$A$19, 0)), "")</f>
        <v>45175</v>
      </c>
      <c r="B6" s="4">
        <f t="shared" si="0"/>
        <v>1</v>
      </c>
      <c r="C6" s="26" t="str">
        <f>IFERROR(INDEX('Date Key'!$G$57:$G$62, MATCH(B6,'Date Key'!$A$57:$A$62, 0)), "")</f>
        <v>Low HLR, Lower Outlet Height, No Plants</v>
      </c>
      <c r="D6" s="4" t="str">
        <f>IFERROR(INDEX('Date Key'!$G$2:$G$19, MATCH(F6, 'Date Key'!$A$2:$A$19, 0)), "")</f>
        <v>No</v>
      </c>
      <c r="E6" s="4" t="str">
        <f t="shared" si="1"/>
        <v>tank 1</v>
      </c>
      <c r="F6" s="4">
        <f t="shared" si="2"/>
        <v>1</v>
      </c>
      <c r="G6" s="4">
        <f t="shared" si="3"/>
        <v>1</v>
      </c>
      <c r="H6" s="11" cm="1">
        <f t="array" ref="H6">IFERROR(INDEX('Master Data Sheet'!$1:$1048576, MATCH(1, ('Master Data Sheet'!$H:$H=H$2) * (INDEX('Master Data Sheet'!$1:$1, , MATCH($F$1, 'Master Data Sheet'!$1:$1, 0)) = $F$1) * ('Master Data Sheet'!$G:$G=$B6) * ('Master Data Sheet'!$F:$F=$E6) * ('Master Data Sheet'!$A:$A=$F6), 0), MATCH($F$1, 'Master Data Sheet'!$1:$1, 0)), "")</f>
        <v>22.066666666666642</v>
      </c>
      <c r="I6" s="11" cm="1">
        <f t="array" ref="I6">IFERROR(INDEX('Master Data Sheet'!$1:$1048576, MATCH(1, ('Master Data Sheet'!$H:$H=I$2) * (INDEX('Master Data Sheet'!$1:$1, , MATCH($F$1, 'Master Data Sheet'!$1:$1, 0)) = $F$1) * ('Master Data Sheet'!$G:$G=$B6) * ('Master Data Sheet'!$F:$F=$E6) * ('Master Data Sheet'!$A:$A=$F6), 0), MATCH($F$1, 'Master Data Sheet'!$1:$1, 0)), "")</f>
        <v>16.733333333333341</v>
      </c>
      <c r="J6" s="11" cm="1">
        <f t="array" ref="J6">IFERROR(INDEX('Master Data Sheet'!$1:$1048576, MATCH(1, ('Master Data Sheet'!$H:$H=J$2) * (INDEX('Master Data Sheet'!$1:$1, , MATCH($F$1, 'Master Data Sheet'!$1:$1, 0)) = $F$1) * ('Master Data Sheet'!$G:$G=$B6) * ('Master Data Sheet'!$F:$F=$E6) * ('Master Data Sheet'!$A:$A=$F6), 0), MATCH($F$1, 'Master Data Sheet'!$1:$1, 0)), "")</f>
        <v>14.733333333333338</v>
      </c>
      <c r="K6" s="11" cm="1">
        <f t="array" ref="K6">IFERROR(INDEX('Master Data Sheet'!$1:$1048576, MATCH(1, ('Master Data Sheet'!$H:$H=K$2) * (INDEX('Master Data Sheet'!$1:$1, , MATCH($F$1, 'Master Data Sheet'!$1:$1, 0)) = $F$1) * ('Master Data Sheet'!$G:$G=$B6) * ('Master Data Sheet'!$F:$F=$E6) * ('Master Data Sheet'!$A:$A=$F6), 0), MATCH($F$1, 'Master Data Sheet'!$1:$1, 0)), "")</f>
        <v>19.066666666666677</v>
      </c>
      <c r="L6" s="11" cm="1">
        <f t="array" ref="L6">IFERROR(INDEX('Master Data Sheet'!$1:$1048576, MATCH(1, ('Master Data Sheet'!$H:$H=L$2) * (INDEX('Master Data Sheet'!$1:$1, , MATCH($F$1, 'Master Data Sheet'!$1:$1, 0)) = $F$1) * ('Master Data Sheet'!$G:$G=$B6) * ('Master Data Sheet'!$F:$F=$E6) * ('Master Data Sheet'!$A:$A=$F6), 0), MATCH($F$1, 'Master Data Sheet'!$1:$1, 0)), "")</f>
        <v>17.066666666666674</v>
      </c>
      <c r="M6" s="11" cm="1">
        <f t="array" ref="M6">IFERROR(INDEX('Master Data Sheet'!$1:$1048576, MATCH(1, ('Master Data Sheet'!$H:$H=M$2) * (INDEX('Master Data Sheet'!$1:$1, , MATCH($F$1, 'Master Data Sheet'!$1:$1, 0)) = $F$1) * ('Master Data Sheet'!$G:$G=$B6) * ('Master Data Sheet'!$F:$F=$E6) * ('Master Data Sheet'!$A:$A=$F6), 0), MATCH($F$1, 'Master Data Sheet'!$1:$1, 0)), "")</f>
        <v>19.733333333333341</v>
      </c>
      <c r="N6" s="11" cm="1">
        <f t="array" ref="N6">IFERROR(INDEX('Master Data Sheet'!$1:$1048576, MATCH(1, ('Master Data Sheet'!$H:$H=N$2) * (INDEX('Master Data Sheet'!$1:$1, , MATCH($F$1, 'Master Data Sheet'!$1:$1, 0)) = $F$1) * ('Master Data Sheet'!$G:$G=$B6) * ('Master Data Sheet'!$F:$F=$E6) * ('Master Data Sheet'!$A:$A=$F6), 0), MATCH($F$1, 'Master Data Sheet'!$1:$1, 0)), "")</f>
        <v>22.733333333333309</v>
      </c>
      <c r="O6" s="11">
        <f>AVERAGE(H6:N6)</f>
        <v>18.876190476190477</v>
      </c>
      <c r="P6" s="11">
        <f t="shared" si="4"/>
        <v>2.911389784310999</v>
      </c>
      <c r="Q6" s="11">
        <f>AVERAGE(O6,O8)</f>
        <v>22.780952380952371</v>
      </c>
      <c r="R6" s="46">
        <f>(1-(O6/O3))*100</f>
        <v>42.333430317137001</v>
      </c>
      <c r="S6" s="46">
        <f>AVERAGE(R6:R8)</f>
        <v>10.312587980035071</v>
      </c>
      <c r="T6" s="46">
        <f>STDEV(R6:R8)</f>
        <v>30.389370338620235</v>
      </c>
      <c r="U6" s="47">
        <f>(1-(AVERAGE(H6:N6,H8:N8)/AVERAGE(H3:N3,H5:N5)))*100</f>
        <v>17.645033568600489</v>
      </c>
      <c r="V6" s="47"/>
      <c r="W6" s="14"/>
      <c r="Y6" s="2"/>
      <c r="Z6" s="2"/>
      <c r="AA6" s="2"/>
      <c r="AB6" s="2"/>
      <c r="AC6" s="2"/>
      <c r="AD6" s="2"/>
      <c r="AE6" s="2"/>
      <c r="AF6" s="2"/>
      <c r="AG6" s="2"/>
    </row>
    <row r="7" spans="1:45" x14ac:dyDescent="0.35">
      <c r="A7" s="41">
        <f>IFERROR(INDEX('Date Key'!$B$2:$B$19, MATCH(F7,'Date Key'!$A$2:$A$19, 0)), "")</f>
        <v>45181</v>
      </c>
      <c r="B7" s="4">
        <f t="shared" si="0"/>
        <v>1</v>
      </c>
      <c r="C7" s="26" t="str">
        <f>IFERROR(INDEX('Date Key'!$G$57:$G$62, MATCH(B7,'Date Key'!$A$57:$A$62, 0)), "")</f>
        <v>Low HLR, Lower Outlet Height, No Plants</v>
      </c>
      <c r="D7" s="4" t="str">
        <f>IFERROR(INDEX('Date Key'!$G$2:$G$19, MATCH(F7, 'Date Key'!$A$2:$A$19, 0)), "")</f>
        <v>No</v>
      </c>
      <c r="E7" s="4" t="str">
        <f t="shared" si="1"/>
        <v>tank 1</v>
      </c>
      <c r="F7" s="4">
        <f t="shared" si="2"/>
        <v>2</v>
      </c>
      <c r="G7" s="4">
        <f t="shared" si="3"/>
        <v>2</v>
      </c>
      <c r="H7" s="11" cm="1">
        <f t="array" ref="H7">IFERROR(INDEX('Master Data Sheet'!$1:$1048576, MATCH(1, ('Master Data Sheet'!$H:$H=H$2) * (INDEX('Master Data Sheet'!$1:$1, , MATCH($F$1, 'Master Data Sheet'!$1:$1, 0)) = $F$1) * ('Master Data Sheet'!$G:$G=$B7) * ('Master Data Sheet'!$F:$F=$E7) * ('Master Data Sheet'!$A:$A=$F7), 0), MATCH($F$1, 'Master Data Sheet'!$1:$1, 0)), "")</f>
        <v>27.733333333333313</v>
      </c>
      <c r="I7" s="11" cm="1">
        <f t="array" ref="I7">IFERROR(INDEX('Master Data Sheet'!$1:$1048576, MATCH(1, ('Master Data Sheet'!$H:$H=I$2) * (INDEX('Master Data Sheet'!$1:$1, , MATCH($F$1, 'Master Data Sheet'!$1:$1, 0)) = $F$1) * ('Master Data Sheet'!$G:$G=$B7) * ('Master Data Sheet'!$F:$F=$E7) * ('Master Data Sheet'!$A:$A=$F7), 0), MATCH($F$1, 'Master Data Sheet'!$1:$1, 0)), "")</f>
        <v>26.733333333333313</v>
      </c>
      <c r="J7" s="11" cm="1">
        <f t="array" ref="J7">IFERROR(INDEX('Master Data Sheet'!$1:$1048576, MATCH(1, ('Master Data Sheet'!$H:$H=J$2) * (INDEX('Master Data Sheet'!$1:$1, , MATCH($F$1, 'Master Data Sheet'!$1:$1, 0)) = $F$1) * ('Master Data Sheet'!$G:$G=$B7) * ('Master Data Sheet'!$F:$F=$E7) * ('Master Data Sheet'!$A:$A=$F7), 0), MATCH($F$1, 'Master Data Sheet'!$1:$1, 0)), "")</f>
        <v>35.399999999999984</v>
      </c>
      <c r="K7" s="11" cm="1">
        <f t="array" ref="K7">IFERROR(INDEX('Master Data Sheet'!$1:$1048576, MATCH(1, ('Master Data Sheet'!$H:$H=K$2) * (INDEX('Master Data Sheet'!$1:$1, , MATCH($F$1, 'Master Data Sheet'!$1:$1, 0)) = $F$1) * ('Master Data Sheet'!$G:$G=$B7) * ('Master Data Sheet'!$F:$F=$E7) * ('Master Data Sheet'!$A:$A=$F7), 0), MATCH($F$1, 'Master Data Sheet'!$1:$1, 0)), "")</f>
        <v>30.066666666666649</v>
      </c>
      <c r="L7" s="11" cm="1">
        <f t="array" ref="L7">IFERROR(INDEX('Master Data Sheet'!$1:$1048576, MATCH(1, ('Master Data Sheet'!$H:$H=L$2) * (INDEX('Master Data Sheet'!$1:$1, , MATCH($F$1, 'Master Data Sheet'!$1:$1, 0)) = $F$1) * ('Master Data Sheet'!$G:$G=$B7) * ('Master Data Sheet'!$F:$F=$E7) * ('Master Data Sheet'!$A:$A=$F7), 0), MATCH($F$1, 'Master Data Sheet'!$1:$1, 0)), "")</f>
        <v>28.399999999999981</v>
      </c>
      <c r="M7" s="11" cm="1">
        <f t="array" ref="M7">IFERROR(INDEX('Master Data Sheet'!$1:$1048576, MATCH(1, ('Master Data Sheet'!$H:$H=M$2) * (INDEX('Master Data Sheet'!$1:$1, , MATCH($F$1, 'Master Data Sheet'!$1:$1, 0)) = $F$1) * ('Master Data Sheet'!$G:$G=$B7) * ('Master Data Sheet'!$F:$F=$E7) * ('Master Data Sheet'!$A:$A=$F7), 0), MATCH($F$1, 'Master Data Sheet'!$1:$1, 0)), "")</f>
        <v>27.066666666666645</v>
      </c>
      <c r="N7" s="11" cm="1">
        <f t="array" ref="N7">IFERROR(INDEX('Master Data Sheet'!$1:$1048576, MATCH(1, ('Master Data Sheet'!$H:$H=N$2) * (INDEX('Master Data Sheet'!$1:$1, , MATCH($F$1, 'Master Data Sheet'!$1:$1, 0)) = $F$1) * ('Master Data Sheet'!$G:$G=$B7) * ('Master Data Sheet'!$F:$F=$E7) * ('Master Data Sheet'!$A:$A=$F7), 0), MATCH($F$1, 'Master Data Sheet'!$1:$1, 0)), "")</f>
        <v>32.399999999999984</v>
      </c>
      <c r="O7" s="11">
        <f t="shared" ref="O7:O56" si="8">AVERAGE(H7:N7)</f>
        <v>29.685714285714266</v>
      </c>
      <c r="P7" s="11">
        <f t="shared" si="4"/>
        <v>3.1939095480395521</v>
      </c>
      <c r="Q7" s="11"/>
      <c r="R7" s="46">
        <f>(1-(O7/O4))*100</f>
        <v>6.7324955116696668</v>
      </c>
      <c r="X7" t="str">
        <f>IFERROR(INDEX('Date Key'!$G$57:$G$62, MATCH(B6,'Date Key'!$A$57:$A$62, 0)), "")</f>
        <v>Low HLR, Lower Outlet Height, No Plants</v>
      </c>
      <c r="Y7" s="1">
        <f t="shared" ref="Y7:AE7" si="9">H6</f>
        <v>22.066666666666642</v>
      </c>
      <c r="Z7" s="1">
        <f t="shared" si="9"/>
        <v>16.733333333333341</v>
      </c>
      <c r="AA7" s="1">
        <f t="shared" si="9"/>
        <v>14.733333333333338</v>
      </c>
      <c r="AB7" s="1">
        <f t="shared" si="9"/>
        <v>19.066666666666677</v>
      </c>
      <c r="AC7" s="1">
        <f t="shared" si="9"/>
        <v>17.066666666666674</v>
      </c>
      <c r="AD7" s="1">
        <f t="shared" si="9"/>
        <v>19.733333333333341</v>
      </c>
      <c r="AE7" s="1">
        <f t="shared" si="9"/>
        <v>22.733333333333309</v>
      </c>
      <c r="AF7" s="1">
        <f t="shared" ref="AF7:AL7" si="10">H7</f>
        <v>27.733333333333313</v>
      </c>
      <c r="AG7" s="1">
        <f t="shared" si="10"/>
        <v>26.733333333333313</v>
      </c>
      <c r="AH7" s="1">
        <f t="shared" si="10"/>
        <v>35.399999999999984</v>
      </c>
      <c r="AI7" s="1">
        <f t="shared" si="10"/>
        <v>30.066666666666649</v>
      </c>
      <c r="AJ7" s="1">
        <f t="shared" si="10"/>
        <v>28.399999999999981</v>
      </c>
      <c r="AK7" s="1">
        <f t="shared" si="10"/>
        <v>27.066666666666645</v>
      </c>
      <c r="AL7" s="1">
        <f t="shared" si="10"/>
        <v>32.399999999999984</v>
      </c>
      <c r="AM7" s="1">
        <f t="shared" ref="AM7:AS7" si="11">H8</f>
        <v>21.733333333333309</v>
      </c>
      <c r="AN7" s="1">
        <f t="shared" si="11"/>
        <v>29.733333333333313</v>
      </c>
      <c r="AO7" s="1">
        <f t="shared" si="11"/>
        <v>29.399999999999981</v>
      </c>
      <c r="AP7" s="1">
        <f t="shared" si="11"/>
        <v>27.066666666666645</v>
      </c>
      <c r="AQ7" s="1">
        <f t="shared" si="11"/>
        <v>28.399999999999981</v>
      </c>
      <c r="AR7" s="1">
        <f t="shared" si="11"/>
        <v>26.733333333333313</v>
      </c>
      <c r="AS7" s="1">
        <f t="shared" si="11"/>
        <v>23.733333333333309</v>
      </c>
    </row>
    <row r="8" spans="1:45" x14ac:dyDescent="0.35">
      <c r="A8" s="41">
        <f>IFERROR(INDEX('Date Key'!$B$2:$B$19, MATCH(F8,'Date Key'!$A$2:$A$19, 0)), "")</f>
        <v>45195</v>
      </c>
      <c r="B8" s="4">
        <f t="shared" si="0"/>
        <v>1</v>
      </c>
      <c r="C8" s="26" t="str">
        <f>IFERROR(INDEX('Date Key'!$G$57:$G$62, MATCH(B8,'Date Key'!$A$57:$A$62, 0)), "")</f>
        <v>Low HLR, Lower Outlet Height, No Plants</v>
      </c>
      <c r="D8" s="4" t="str">
        <f>IFERROR(INDEX('Date Key'!$G$2:$G$19, MATCH(F8, 'Date Key'!$A$2:$A$19, 0)), "")</f>
        <v>No</v>
      </c>
      <c r="E8" s="4" t="str">
        <f t="shared" si="1"/>
        <v>tank 1</v>
      </c>
      <c r="F8" s="4">
        <f t="shared" si="2"/>
        <v>3</v>
      </c>
      <c r="G8" s="4">
        <f t="shared" si="3"/>
        <v>3</v>
      </c>
      <c r="H8" s="11" cm="1">
        <f t="array" ref="H8">IFERROR(INDEX('Master Data Sheet'!$1:$1048576, MATCH(1, ('Master Data Sheet'!$H:$H=H$2) * (INDEX('Master Data Sheet'!$1:$1, , MATCH($F$1, 'Master Data Sheet'!$1:$1, 0)) = $F$1) * ('Master Data Sheet'!$G:$G=$B8) * ('Master Data Sheet'!$F:$F=$E8) * ('Master Data Sheet'!$A:$A=$F8), 0), MATCH($F$1, 'Master Data Sheet'!$1:$1, 0)), "")</f>
        <v>21.733333333333309</v>
      </c>
      <c r="I8" s="11" cm="1">
        <f t="array" ref="I8">IFERROR(INDEX('Master Data Sheet'!$1:$1048576, MATCH(1, ('Master Data Sheet'!$H:$H=I$2) * (INDEX('Master Data Sheet'!$1:$1, , MATCH($F$1, 'Master Data Sheet'!$1:$1, 0)) = $F$1) * ('Master Data Sheet'!$G:$G=$B8) * ('Master Data Sheet'!$F:$F=$E8) * ('Master Data Sheet'!$A:$A=$F8), 0), MATCH($F$1, 'Master Data Sheet'!$1:$1, 0)), "")</f>
        <v>29.733333333333313</v>
      </c>
      <c r="J8" s="11" cm="1">
        <f t="array" ref="J8">IFERROR(INDEX('Master Data Sheet'!$1:$1048576, MATCH(1, ('Master Data Sheet'!$H:$H=J$2) * (INDEX('Master Data Sheet'!$1:$1, , MATCH($F$1, 'Master Data Sheet'!$1:$1, 0)) = $F$1) * ('Master Data Sheet'!$G:$G=$B8) * ('Master Data Sheet'!$F:$F=$E8) * ('Master Data Sheet'!$A:$A=$F8), 0), MATCH($F$1, 'Master Data Sheet'!$1:$1, 0)), "")</f>
        <v>29.399999999999981</v>
      </c>
      <c r="K8" s="11" cm="1">
        <f t="array" ref="K8">IFERROR(INDEX('Master Data Sheet'!$1:$1048576, MATCH(1, ('Master Data Sheet'!$H:$H=K$2) * (INDEX('Master Data Sheet'!$1:$1, , MATCH($F$1, 'Master Data Sheet'!$1:$1, 0)) = $F$1) * ('Master Data Sheet'!$G:$G=$B8) * ('Master Data Sheet'!$F:$F=$E8) * ('Master Data Sheet'!$A:$A=$F8), 0), MATCH($F$1, 'Master Data Sheet'!$1:$1, 0)), "")</f>
        <v>27.066666666666645</v>
      </c>
      <c r="L8" s="11" cm="1">
        <f t="array" ref="L8">IFERROR(INDEX('Master Data Sheet'!$1:$1048576, MATCH(1, ('Master Data Sheet'!$H:$H=L$2) * (INDEX('Master Data Sheet'!$1:$1, , MATCH($F$1, 'Master Data Sheet'!$1:$1, 0)) = $F$1) * ('Master Data Sheet'!$G:$G=$B8) * ('Master Data Sheet'!$F:$F=$E8) * ('Master Data Sheet'!$A:$A=$F8), 0), MATCH($F$1, 'Master Data Sheet'!$1:$1, 0)), "")</f>
        <v>28.399999999999981</v>
      </c>
      <c r="M8" s="11" cm="1">
        <f t="array" ref="M8">IFERROR(INDEX('Master Data Sheet'!$1:$1048576, MATCH(1, ('Master Data Sheet'!$H:$H=M$2) * (INDEX('Master Data Sheet'!$1:$1, , MATCH($F$1, 'Master Data Sheet'!$1:$1, 0)) = $F$1) * ('Master Data Sheet'!$G:$G=$B8) * ('Master Data Sheet'!$F:$F=$E8) * ('Master Data Sheet'!$A:$A=$F8), 0), MATCH($F$1, 'Master Data Sheet'!$1:$1, 0)), "")</f>
        <v>26.733333333333313</v>
      </c>
      <c r="N8" s="11" cm="1">
        <f t="array" ref="N8">IFERROR(INDEX('Master Data Sheet'!$1:$1048576, MATCH(1, ('Master Data Sheet'!$H:$H=N$2) * (INDEX('Master Data Sheet'!$1:$1, , MATCH($F$1, 'Master Data Sheet'!$1:$1, 0)) = $F$1) * ('Master Data Sheet'!$G:$G=$B8) * ('Master Data Sheet'!$F:$F=$E8) * ('Master Data Sheet'!$A:$A=$F8), 0), MATCH($F$1, 'Master Data Sheet'!$1:$1, 0)), "")</f>
        <v>23.733333333333309</v>
      </c>
      <c r="O8" s="11">
        <f t="shared" si="8"/>
        <v>26.685714285714266</v>
      </c>
      <c r="P8" s="11">
        <f t="shared" si="4"/>
        <v>2.971647326095026</v>
      </c>
      <c r="Q8" s="11"/>
      <c r="R8" s="46">
        <f>(1-(O8/O5))*100</f>
        <v>-18.128161888701456</v>
      </c>
      <c r="Y8" s="2"/>
      <c r="Z8" s="2"/>
      <c r="AA8" s="2"/>
      <c r="AB8" s="2"/>
      <c r="AC8" s="2"/>
      <c r="AD8" s="2"/>
      <c r="AE8" s="2"/>
      <c r="AF8" s="2"/>
      <c r="AG8" s="2"/>
    </row>
    <row r="9" spans="1:45" x14ac:dyDescent="0.35">
      <c r="A9" s="41">
        <f>IFERROR(INDEX('Date Key'!$B$2:$B$19, MATCH(F9,'Date Key'!$A$2:$A$19, 0)), "")</f>
        <v>45175</v>
      </c>
      <c r="B9" s="4">
        <f t="shared" si="0"/>
        <v>1</v>
      </c>
      <c r="C9" s="26" t="str">
        <f>IFERROR(INDEX('Date Key'!$G$57:$G$62, MATCH(B9,'Date Key'!$A$57:$A$62, 0)), "")</f>
        <v>Low HLR, Lower Outlet Height, No Plants</v>
      </c>
      <c r="D9" s="4" t="str">
        <f>IFERROR(INDEX('Date Key'!$G$2:$G$19, MATCH(F9, 'Date Key'!$A$2:$A$19, 0)), "")</f>
        <v>No</v>
      </c>
      <c r="E9" s="4" t="str">
        <f t="shared" si="1"/>
        <v>tank 2</v>
      </c>
      <c r="F9" s="4">
        <f t="shared" si="2"/>
        <v>1</v>
      </c>
      <c r="G9" s="4">
        <f t="shared" si="3"/>
        <v>1</v>
      </c>
      <c r="H9" s="11" cm="1">
        <f t="array" ref="H9">IFERROR(INDEX('Master Data Sheet'!$1:$1048576, MATCH(1, ('Master Data Sheet'!$H:$H=H$2) * (INDEX('Master Data Sheet'!$1:$1, , MATCH($F$1, 'Master Data Sheet'!$1:$1, 0)) = $F$1) * ('Master Data Sheet'!$G:$G=$B9) * ('Master Data Sheet'!$F:$F=$E9) * ('Master Data Sheet'!$A:$A=$F9), 0), MATCH($F$1, 'Master Data Sheet'!$1:$1, 0)), "")</f>
        <v>86.73333333333332</v>
      </c>
      <c r="I9" s="11" cm="1">
        <f t="array" ref="I9">IFERROR(INDEX('Master Data Sheet'!$1:$1048576, MATCH(1, ('Master Data Sheet'!$H:$H=I$2) * (INDEX('Master Data Sheet'!$1:$1, , MATCH($F$1, 'Master Data Sheet'!$1:$1, 0)) = $F$1) * ('Master Data Sheet'!$G:$G=$B9) * ('Master Data Sheet'!$F:$F=$E9) * ('Master Data Sheet'!$A:$A=$F9), 0), MATCH($F$1, 'Master Data Sheet'!$1:$1, 0)), "")</f>
        <v>88.399999999999991</v>
      </c>
      <c r="J9" s="11" cm="1">
        <f t="array" ref="J9">IFERROR(INDEX('Master Data Sheet'!$1:$1048576, MATCH(1, ('Master Data Sheet'!$H:$H=J$2) * (INDEX('Master Data Sheet'!$1:$1, , MATCH($F$1, 'Master Data Sheet'!$1:$1, 0)) = $F$1) * ('Master Data Sheet'!$G:$G=$B9) * ('Master Data Sheet'!$F:$F=$E9) * ('Master Data Sheet'!$A:$A=$F9), 0), MATCH($F$1, 'Master Data Sheet'!$1:$1, 0)), "")</f>
        <v>80.399999999999991</v>
      </c>
      <c r="K9" s="11" cm="1">
        <f t="array" ref="K9">IFERROR(INDEX('Master Data Sheet'!$1:$1048576, MATCH(1, ('Master Data Sheet'!$H:$H=K$2) * (INDEX('Master Data Sheet'!$1:$1, , MATCH($F$1, 'Master Data Sheet'!$1:$1, 0)) = $F$1) * ('Master Data Sheet'!$G:$G=$B9) * ('Master Data Sheet'!$F:$F=$E9) * ('Master Data Sheet'!$A:$A=$F9), 0), MATCH($F$1, 'Master Data Sheet'!$1:$1, 0)), "")</f>
        <v>60.399999999999991</v>
      </c>
      <c r="L9" s="11" cm="1">
        <f t="array" ref="L9">IFERROR(INDEX('Master Data Sheet'!$1:$1048576, MATCH(1, ('Master Data Sheet'!$H:$H=L$2) * (INDEX('Master Data Sheet'!$1:$1, , MATCH($F$1, 'Master Data Sheet'!$1:$1, 0)) = $F$1) * ('Master Data Sheet'!$G:$G=$B9) * ('Master Data Sheet'!$F:$F=$E9) * ('Master Data Sheet'!$A:$A=$F9), 0), MATCH($F$1, 'Master Data Sheet'!$1:$1, 0)), "")</f>
        <v>46.4</v>
      </c>
      <c r="M9" s="11" cm="1">
        <f t="array" ref="M9">IFERROR(INDEX('Master Data Sheet'!$1:$1048576, MATCH(1, ('Master Data Sheet'!$H:$H=M$2) * (INDEX('Master Data Sheet'!$1:$1, , MATCH($F$1, 'Master Data Sheet'!$1:$1, 0)) = $F$1) * ('Master Data Sheet'!$G:$G=$B9) * ('Master Data Sheet'!$F:$F=$E9) * ('Master Data Sheet'!$A:$A=$F9), 0), MATCH($F$1, 'Master Data Sheet'!$1:$1, 0)), "")</f>
        <v>36.399999999999984</v>
      </c>
      <c r="N9" s="11" cm="1">
        <f t="array" ref="N9">IFERROR(INDEX('Master Data Sheet'!$1:$1048576, MATCH(1, ('Master Data Sheet'!$H:$H=N$2) * (INDEX('Master Data Sheet'!$1:$1, , MATCH($F$1, 'Master Data Sheet'!$1:$1, 0)) = $F$1) * ('Master Data Sheet'!$G:$G=$B9) * ('Master Data Sheet'!$F:$F=$E9) * ('Master Data Sheet'!$A:$A=$F9), 0), MATCH($F$1, 'Master Data Sheet'!$1:$1, 0)), "")</f>
        <v>33.399999999999984</v>
      </c>
      <c r="O9" s="11">
        <f t="shared" si="8"/>
        <v>61.733333333333313</v>
      </c>
      <c r="P9" s="11">
        <f t="shared" si="4"/>
        <v>23.685438564654049</v>
      </c>
      <c r="Q9" s="11">
        <f>AVERAGE(N9,N11)</f>
        <v>36.73333333333332</v>
      </c>
      <c r="R9" s="46">
        <f>(1-(O9/O3))*100</f>
        <v>-88.594704684317776</v>
      </c>
      <c r="S9" s="46">
        <f>AVERAGE(R9:R11)</f>
        <v>-108.13319051942339</v>
      </c>
      <c r="T9" s="46">
        <f>STDEV(R9:R11)</f>
        <v>94.003984958967806</v>
      </c>
      <c r="U9" s="47">
        <f>(1-(AVERAGE(H9:N9,H11:N11)/AVERAGE(H3:N3,H5:N5)))*100</f>
        <v>-138.31984851093128</v>
      </c>
      <c r="V9" s="47"/>
      <c r="Y9" s="2"/>
      <c r="Z9" s="2"/>
      <c r="AA9" s="2"/>
      <c r="AB9" s="2"/>
      <c r="AC9" s="2"/>
      <c r="AD9" s="2"/>
      <c r="AE9" s="2"/>
      <c r="AF9" s="2"/>
      <c r="AG9" s="2"/>
    </row>
    <row r="10" spans="1:45" x14ac:dyDescent="0.35">
      <c r="A10" s="41">
        <f>IFERROR(INDEX('Date Key'!$B$2:$B$19, MATCH(F10,'Date Key'!$A$2:$A$19, 0)), "")</f>
        <v>45181</v>
      </c>
      <c r="B10" s="4">
        <f t="shared" si="0"/>
        <v>1</v>
      </c>
      <c r="C10" s="26" t="str">
        <f>IFERROR(INDEX('Date Key'!$G$57:$G$62, MATCH(B10,'Date Key'!$A$57:$A$62, 0)), "")</f>
        <v>Low HLR, Lower Outlet Height, No Plants</v>
      </c>
      <c r="D10" s="4" t="str">
        <f>IFERROR(INDEX('Date Key'!$G$2:$G$19, MATCH(F10, 'Date Key'!$A$2:$A$19, 0)), "")</f>
        <v>No</v>
      </c>
      <c r="E10" s="4" t="str">
        <f t="shared" si="1"/>
        <v>tank 2</v>
      </c>
      <c r="F10" s="4">
        <f t="shared" si="2"/>
        <v>2</v>
      </c>
      <c r="G10" s="4">
        <f t="shared" si="3"/>
        <v>2</v>
      </c>
      <c r="H10" s="11" cm="1">
        <f t="array" ref="H10">IFERROR(INDEX('Master Data Sheet'!$1:$1048576, MATCH(1, ('Master Data Sheet'!$H:$H=H$2) * (INDEX('Master Data Sheet'!$1:$1, , MATCH($F$1, 'Master Data Sheet'!$1:$1, 0)) = $F$1) * ('Master Data Sheet'!$G:$G=$B10) * ('Master Data Sheet'!$F:$F=$E10) * ('Master Data Sheet'!$A:$A=$F10), 0), MATCH($F$1, 'Master Data Sheet'!$1:$1, 0)), "")</f>
        <v>49.066666666666663</v>
      </c>
      <c r="I10" s="11" cm="1">
        <f t="array" ref="I10">IFERROR(INDEX('Master Data Sheet'!$1:$1048576, MATCH(1, ('Master Data Sheet'!$H:$H=I$2) * (INDEX('Master Data Sheet'!$1:$1, , MATCH($F$1, 'Master Data Sheet'!$1:$1, 0)) = $F$1) * ('Master Data Sheet'!$G:$G=$B10) * ('Master Data Sheet'!$F:$F=$E10) * ('Master Data Sheet'!$A:$A=$F10), 0), MATCH($F$1, 'Master Data Sheet'!$1:$1, 0)), "")</f>
        <v>43.733333333333327</v>
      </c>
      <c r="J10" s="11" cm="1">
        <f t="array" ref="J10">IFERROR(INDEX('Master Data Sheet'!$1:$1048576, MATCH(1, ('Master Data Sheet'!$H:$H=J$2) * (INDEX('Master Data Sheet'!$1:$1, , MATCH($F$1, 'Master Data Sheet'!$1:$1, 0)) = $F$1) * ('Master Data Sheet'!$G:$G=$B10) * ('Master Data Sheet'!$F:$F=$E10) * ('Master Data Sheet'!$A:$A=$F10), 0), MATCH($F$1, 'Master Data Sheet'!$1:$1, 0)), "")</f>
        <v>44.399999999999991</v>
      </c>
      <c r="K10" s="11" cm="1">
        <f t="array" ref="K10">IFERROR(INDEX('Master Data Sheet'!$1:$1048576, MATCH(1, ('Master Data Sheet'!$H:$H=K$2) * (INDEX('Master Data Sheet'!$1:$1, , MATCH($F$1, 'Master Data Sheet'!$1:$1, 0)) = $F$1) * ('Master Data Sheet'!$G:$G=$B10) * ('Master Data Sheet'!$F:$F=$E10) * ('Master Data Sheet'!$A:$A=$F10), 0), MATCH($F$1, 'Master Data Sheet'!$1:$1, 0)), "")</f>
        <v>41.399999999999991</v>
      </c>
      <c r="L10" s="11" cm="1">
        <f t="array" ref="L10">IFERROR(INDEX('Master Data Sheet'!$1:$1048576, MATCH(1, ('Master Data Sheet'!$H:$H=L$2) * (INDEX('Master Data Sheet'!$1:$1, , MATCH($F$1, 'Master Data Sheet'!$1:$1, 0)) = $F$1) * ('Master Data Sheet'!$G:$G=$B10) * ('Master Data Sheet'!$F:$F=$E10) * ('Master Data Sheet'!$A:$A=$F10), 0), MATCH($F$1, 'Master Data Sheet'!$1:$1, 0)), "")</f>
        <v>37.399999999999991</v>
      </c>
      <c r="M10" s="11" cm="1">
        <f t="array" ref="M10">IFERROR(INDEX('Master Data Sheet'!$1:$1048576, MATCH(1, ('Master Data Sheet'!$H:$H=M$2) * (INDEX('Master Data Sheet'!$1:$1, , MATCH($F$1, 'Master Data Sheet'!$1:$1, 0)) = $F$1) * ('Master Data Sheet'!$G:$G=$B10) * ('Master Data Sheet'!$F:$F=$E10) * ('Master Data Sheet'!$A:$A=$F10), 0), MATCH($F$1, 'Master Data Sheet'!$1:$1, 0)), "")</f>
        <v>30.733333333333317</v>
      </c>
      <c r="N10" s="11" cm="1">
        <f t="array" ref="N10">IFERROR(INDEX('Master Data Sheet'!$1:$1048576, MATCH(1, ('Master Data Sheet'!$H:$H=N$2) * (INDEX('Master Data Sheet'!$1:$1, , MATCH($F$1, 'Master Data Sheet'!$1:$1, 0)) = $F$1) * ('Master Data Sheet'!$G:$G=$B10) * ('Master Data Sheet'!$F:$F=$E10) * ('Master Data Sheet'!$A:$A=$F10), 0), MATCH($F$1, 'Master Data Sheet'!$1:$1, 0)), "")</f>
        <v>32.73333333333332</v>
      </c>
      <c r="O10" s="11">
        <f t="shared" si="8"/>
        <v>39.92380952380951</v>
      </c>
      <c r="P10" s="11">
        <f t="shared" si="4"/>
        <v>6.618876325292999</v>
      </c>
      <c r="Q10" s="11"/>
      <c r="R10" s="46">
        <f>(1-(O10/O4))*100</f>
        <v>-25.433871932974284</v>
      </c>
      <c r="X10" t="str">
        <f>IFERROR(INDEX('Date Key'!$G$57:$G$62, MATCH(B9,'Date Key'!$A$57:$A$62, 0)), "")</f>
        <v>Low HLR, Lower Outlet Height, No Plants</v>
      </c>
      <c r="Y10" s="1">
        <f t="shared" ref="Y10:AE10" si="12">H9</f>
        <v>86.73333333333332</v>
      </c>
      <c r="Z10" s="1">
        <f t="shared" si="12"/>
        <v>88.399999999999991</v>
      </c>
      <c r="AA10" s="1">
        <f t="shared" si="12"/>
        <v>80.399999999999991</v>
      </c>
      <c r="AB10" s="1">
        <f t="shared" si="12"/>
        <v>60.399999999999991</v>
      </c>
      <c r="AC10" s="1">
        <f t="shared" si="12"/>
        <v>46.4</v>
      </c>
      <c r="AD10" s="1">
        <f t="shared" si="12"/>
        <v>36.399999999999984</v>
      </c>
      <c r="AE10" s="1">
        <f t="shared" si="12"/>
        <v>33.399999999999984</v>
      </c>
      <c r="AF10" s="1">
        <f t="shared" ref="AF10:AL10" si="13">H10</f>
        <v>49.066666666666663</v>
      </c>
      <c r="AG10" s="1">
        <f t="shared" si="13"/>
        <v>43.733333333333327</v>
      </c>
      <c r="AH10" s="1">
        <f t="shared" si="13"/>
        <v>44.399999999999991</v>
      </c>
      <c r="AI10" s="1">
        <f t="shared" si="13"/>
        <v>41.399999999999991</v>
      </c>
      <c r="AJ10" s="1">
        <f t="shared" si="13"/>
        <v>37.399999999999991</v>
      </c>
      <c r="AK10" s="1">
        <f t="shared" si="13"/>
        <v>30.733333333333317</v>
      </c>
      <c r="AL10" s="1">
        <f t="shared" si="13"/>
        <v>32.73333333333332</v>
      </c>
      <c r="AM10" s="1">
        <f t="shared" ref="AM10:AS10" si="14">H11</f>
        <v>79.73333333333332</v>
      </c>
      <c r="AN10" s="1">
        <f t="shared" si="14"/>
        <v>90.733333333333334</v>
      </c>
      <c r="AO10" s="1">
        <f t="shared" si="14"/>
        <v>90.399999999999991</v>
      </c>
      <c r="AP10" s="1">
        <f t="shared" si="14"/>
        <v>79.399999999999991</v>
      </c>
      <c r="AQ10" s="1">
        <f t="shared" si="14"/>
        <v>62.066666666666656</v>
      </c>
      <c r="AR10" s="1">
        <f t="shared" si="14"/>
        <v>48.4</v>
      </c>
      <c r="AS10" s="1">
        <f t="shared" si="14"/>
        <v>40.066666666666656</v>
      </c>
    </row>
    <row r="11" spans="1:45" x14ac:dyDescent="0.35">
      <c r="A11" s="42">
        <f>IFERROR(INDEX('Date Key'!$B$2:$B$19, MATCH(F11,'Date Key'!$A$2:$A$19, 0)), "")</f>
        <v>45195</v>
      </c>
      <c r="B11" s="27">
        <f t="shared" si="0"/>
        <v>1</v>
      </c>
      <c r="C11" s="51" t="str">
        <f>IFERROR(INDEX('Date Key'!$G$57:$G$62, MATCH(B11,'Date Key'!$A$57:$A$62, 0)), "")</f>
        <v>Low HLR, Lower Outlet Height, No Plants</v>
      </c>
      <c r="D11" s="27" t="str">
        <f>IFERROR(INDEX('Date Key'!$G$2:$G$19, MATCH(F11, 'Date Key'!$A$2:$A$19, 0)), "")</f>
        <v>No</v>
      </c>
      <c r="E11" s="27" t="str">
        <f t="shared" si="1"/>
        <v>tank 2</v>
      </c>
      <c r="F11" s="27">
        <f t="shared" si="2"/>
        <v>3</v>
      </c>
      <c r="G11" s="27">
        <f t="shared" si="3"/>
        <v>3</v>
      </c>
      <c r="H11" s="28" cm="1">
        <f t="array" ref="H11">IFERROR(INDEX('Master Data Sheet'!$1:$1048576, MATCH(1, ('Master Data Sheet'!$H:$H=H$2) * (INDEX('Master Data Sheet'!$1:$1, , MATCH($F$1, 'Master Data Sheet'!$1:$1, 0)) = $F$1) * ('Master Data Sheet'!$G:$G=$B11) * ('Master Data Sheet'!$F:$F=$E11) * ('Master Data Sheet'!$A:$A=$F11), 0), MATCH($F$1, 'Master Data Sheet'!$1:$1, 0)), "")</f>
        <v>79.73333333333332</v>
      </c>
      <c r="I11" s="28" cm="1">
        <f t="array" ref="I11">IFERROR(INDEX('Master Data Sheet'!$1:$1048576, MATCH(1, ('Master Data Sheet'!$H:$H=I$2) * (INDEX('Master Data Sheet'!$1:$1, , MATCH($F$1, 'Master Data Sheet'!$1:$1, 0)) = $F$1) * ('Master Data Sheet'!$G:$G=$B11) * ('Master Data Sheet'!$F:$F=$E11) * ('Master Data Sheet'!$A:$A=$F11), 0), MATCH($F$1, 'Master Data Sheet'!$1:$1, 0)), "")</f>
        <v>90.733333333333334</v>
      </c>
      <c r="J11" s="28" cm="1">
        <f t="array" ref="J11">IFERROR(INDEX('Master Data Sheet'!$1:$1048576, MATCH(1, ('Master Data Sheet'!$H:$H=J$2) * (INDEX('Master Data Sheet'!$1:$1, , MATCH($F$1, 'Master Data Sheet'!$1:$1, 0)) = $F$1) * ('Master Data Sheet'!$G:$G=$B11) * ('Master Data Sheet'!$F:$F=$E11) * ('Master Data Sheet'!$A:$A=$F11), 0), MATCH($F$1, 'Master Data Sheet'!$1:$1, 0)), "")</f>
        <v>90.399999999999991</v>
      </c>
      <c r="K11" s="28" cm="1">
        <f t="array" ref="K11">IFERROR(INDEX('Master Data Sheet'!$1:$1048576, MATCH(1, ('Master Data Sheet'!$H:$H=K$2) * (INDEX('Master Data Sheet'!$1:$1, , MATCH($F$1, 'Master Data Sheet'!$1:$1, 0)) = $F$1) * ('Master Data Sheet'!$G:$G=$B11) * ('Master Data Sheet'!$F:$F=$E11) * ('Master Data Sheet'!$A:$A=$F11), 0), MATCH($F$1, 'Master Data Sheet'!$1:$1, 0)), "")</f>
        <v>79.399999999999991</v>
      </c>
      <c r="L11" s="28" cm="1">
        <f t="array" ref="L11">IFERROR(INDEX('Master Data Sheet'!$1:$1048576, MATCH(1, ('Master Data Sheet'!$H:$H=L$2) * (INDEX('Master Data Sheet'!$1:$1, , MATCH($F$1, 'Master Data Sheet'!$1:$1, 0)) = $F$1) * ('Master Data Sheet'!$G:$G=$B11) * ('Master Data Sheet'!$F:$F=$E11) * ('Master Data Sheet'!$A:$A=$F11), 0), MATCH($F$1, 'Master Data Sheet'!$1:$1, 0)), "")</f>
        <v>62.066666666666656</v>
      </c>
      <c r="M11" s="28" cm="1">
        <f t="array" ref="M11">IFERROR(INDEX('Master Data Sheet'!$1:$1048576, MATCH(1, ('Master Data Sheet'!$H:$H=M$2) * (INDEX('Master Data Sheet'!$1:$1, , MATCH($F$1, 'Master Data Sheet'!$1:$1, 0)) = $F$1) * ('Master Data Sheet'!$G:$G=$B11) * ('Master Data Sheet'!$F:$F=$E11) * ('Master Data Sheet'!$A:$A=$F11), 0), MATCH($F$1, 'Master Data Sheet'!$1:$1, 0)), "")</f>
        <v>48.4</v>
      </c>
      <c r="N11" s="28" cm="1">
        <f t="array" ref="N11">IFERROR(INDEX('Master Data Sheet'!$1:$1048576, MATCH(1, ('Master Data Sheet'!$H:$H=N$2) * (INDEX('Master Data Sheet'!$1:$1, , MATCH($F$1, 'Master Data Sheet'!$1:$1, 0)) = $F$1) * ('Master Data Sheet'!$G:$G=$B11) * ('Master Data Sheet'!$F:$F=$E11) * ('Master Data Sheet'!$A:$A=$F11), 0), MATCH($F$1, 'Master Data Sheet'!$1:$1, 0)), "")</f>
        <v>40.066666666666656</v>
      </c>
      <c r="O11" s="28">
        <f t="shared" si="8"/>
        <v>70.1142857142857</v>
      </c>
      <c r="P11" s="28">
        <f t="shared" si="4"/>
        <v>20.225972092583046</v>
      </c>
      <c r="Q11" s="28"/>
      <c r="R11" s="48">
        <f>(1-(O11/O5))*100</f>
        <v>-210.37099494097808</v>
      </c>
      <c r="S11" s="27"/>
      <c r="T11" s="27"/>
      <c r="U11" s="27"/>
      <c r="V11" s="27"/>
    </row>
    <row r="12" spans="1:45" x14ac:dyDescent="0.35">
      <c r="A12" s="41">
        <f>IFERROR(INDEX('Date Key'!$B$2:$B$19, MATCH(F12,'Date Key'!$A$2:$A$19, 0)), "")</f>
        <v>45217</v>
      </c>
      <c r="B12" s="4">
        <f>INT((ROW(B10)-1)/9)+1</f>
        <v>2</v>
      </c>
      <c r="C12" s="26" t="str">
        <f>IFERROR(INDEX('Date Key'!$G$57:$G$62, MATCH(B12,'Date Key'!$A$57:$A$62, 0)), "")</f>
        <v>Medium HLR, Lower Outlet Height, No Plants</v>
      </c>
      <c r="D12" s="4" t="str">
        <f>IFERROR(INDEX('Date Key'!$G$2:$G$19, MATCH(F12, 'Date Key'!$A$2:$A$19, 0)), "")</f>
        <v>No</v>
      </c>
      <c r="E12" s="4" t="str">
        <f t="shared" si="1"/>
        <v>in</v>
      </c>
      <c r="F12" s="4">
        <f t="shared" si="2"/>
        <v>4</v>
      </c>
      <c r="G12" s="4">
        <f t="shared" si="3"/>
        <v>1</v>
      </c>
      <c r="H12" s="11" cm="1">
        <f t="array" ref="H12">IFERROR(INDEX('Master Data Sheet'!$1:$1048576, MATCH(1, ('Master Data Sheet'!$H:$H=H$2) * (INDEX('Master Data Sheet'!$1:$1, , MATCH($F$1, 'Master Data Sheet'!$1:$1, 0)) = $F$1) * ('Master Data Sheet'!$G:$G=$B12) * ('Master Data Sheet'!$F:$F=$E12) * ('Master Data Sheet'!$A:$A=$F12), 0), MATCH($F$1, 'Master Data Sheet'!$1:$1, 0)), "")</f>
        <v>79.73333333333332</v>
      </c>
      <c r="I12" s="11" cm="1">
        <f t="array" ref="I12">IFERROR(INDEX('Master Data Sheet'!$1:$1048576, MATCH(1, ('Master Data Sheet'!$H:$H=I$2) * (INDEX('Master Data Sheet'!$1:$1, , MATCH($F$1, 'Master Data Sheet'!$1:$1, 0)) = $F$1) * ('Master Data Sheet'!$G:$G=$B12) * ('Master Data Sheet'!$F:$F=$E12) * ('Master Data Sheet'!$A:$A=$F12), 0), MATCH($F$1, 'Master Data Sheet'!$1:$1, 0)), "")</f>
        <v>81.066666666666649</v>
      </c>
      <c r="J12" s="11" cm="1">
        <f t="array" ref="J12">IFERROR(INDEX('Master Data Sheet'!$1:$1048576, MATCH(1, ('Master Data Sheet'!$H:$H=J$2) * (INDEX('Master Data Sheet'!$1:$1, , MATCH($F$1, 'Master Data Sheet'!$1:$1, 0)) = $F$1) * ('Master Data Sheet'!$G:$G=$B12) * ('Master Data Sheet'!$F:$F=$E12) * ('Master Data Sheet'!$A:$A=$F12), 0), MATCH($F$1, 'Master Data Sheet'!$1:$1, 0)), "")</f>
        <v>69.066666666666663</v>
      </c>
      <c r="K12" s="11" cm="1">
        <f t="array" ref="K12">IFERROR(INDEX('Master Data Sheet'!$1:$1048576, MATCH(1, ('Master Data Sheet'!$H:$H=K$2) * (INDEX('Master Data Sheet'!$1:$1, , MATCH($F$1, 'Master Data Sheet'!$1:$1, 0)) = $F$1) * ('Master Data Sheet'!$G:$G=$B12) * ('Master Data Sheet'!$F:$F=$E12) * ('Master Data Sheet'!$A:$A=$F12), 0), MATCH($F$1, 'Master Data Sheet'!$1:$1, 0)), "")</f>
        <v>64.73333333333332</v>
      </c>
      <c r="L12" s="11" cm="1">
        <f t="array" ref="L12">IFERROR(INDEX('Master Data Sheet'!$1:$1048576, MATCH(1, ('Master Data Sheet'!$H:$H=L$2) * (INDEX('Master Data Sheet'!$1:$1, , MATCH($F$1, 'Master Data Sheet'!$1:$1, 0)) = $F$1) * ('Master Data Sheet'!$G:$G=$B12) * ('Master Data Sheet'!$F:$F=$E12) * ('Master Data Sheet'!$A:$A=$F12), 0), MATCH($F$1, 'Master Data Sheet'!$1:$1, 0)), "")</f>
        <v>6.6666666666659324E-2</v>
      </c>
      <c r="M12" s="11" cm="1">
        <f t="array" ref="M12">IFERROR(INDEX('Master Data Sheet'!$1:$1048576, MATCH(1, ('Master Data Sheet'!$H:$H=M$2) * (INDEX('Master Data Sheet'!$1:$1, , MATCH($F$1, 'Master Data Sheet'!$1:$1, 0)) = $F$1) * ('Master Data Sheet'!$G:$G=$B12) * ('Master Data Sheet'!$F:$F=$E12) * ('Master Data Sheet'!$A:$A=$F12), 0), MATCH($F$1, 'Master Data Sheet'!$1:$1, 0)), "")</f>
        <v>63.066666666666656</v>
      </c>
      <c r="N12" s="11" cm="1">
        <f t="array" ref="N12">IFERROR(INDEX('Master Data Sheet'!$1:$1048576, MATCH(1, ('Master Data Sheet'!$H:$H=N$2) * (INDEX('Master Data Sheet'!$1:$1, , MATCH($F$1, 'Master Data Sheet'!$1:$1, 0)) = $F$1) * ('Master Data Sheet'!$G:$G=$B12) * ('Master Data Sheet'!$F:$F=$E12) * ('Master Data Sheet'!$A:$A=$F12), 0), MATCH($F$1, 'Master Data Sheet'!$1:$1, 0)), "")</f>
        <v>46.4</v>
      </c>
      <c r="O12" s="11">
        <f t="shared" si="8"/>
        <v>57.733333333333313</v>
      </c>
      <c r="P12" s="11">
        <f t="shared" si="4"/>
        <v>27.953002886458737</v>
      </c>
      <c r="Q12" s="11">
        <f>AVERAGE(O12:O14)</f>
        <v>45.225396825396814</v>
      </c>
      <c r="S12" s="11">
        <f>AVERAGE(O12:O14)</f>
        <v>45.225396825396814</v>
      </c>
      <c r="T12" s="11">
        <f>AVERAGE(P12:P14)</f>
        <v>11.748915860648799</v>
      </c>
      <c r="V12" s="47">
        <f>AVERAGE(U15, U18)</f>
        <v>12.814123262670245</v>
      </c>
      <c r="X12" t="s">
        <v>343</v>
      </c>
    </row>
    <row r="13" spans="1:45" x14ac:dyDescent="0.35">
      <c r="A13" s="41">
        <f>IFERROR(INDEX('Date Key'!$B$2:$B$19, MATCH(F13,'Date Key'!$A$2:$A$19, 0)), "")</f>
        <v>45224</v>
      </c>
      <c r="B13" s="4">
        <f t="shared" ref="B13:B56" si="15">INT((ROW(B11)-1)/9)+1</f>
        <v>2</v>
      </c>
      <c r="C13" s="26" t="str">
        <f>IFERROR(INDEX('Date Key'!$G$57:$G$62, MATCH(B13,'Date Key'!$A$57:$A$62, 0)), "")</f>
        <v>Medium HLR, Lower Outlet Height, No Plants</v>
      </c>
      <c r="D13" s="4" t="str">
        <f>IFERROR(INDEX('Date Key'!$G$2:$G$19, MATCH(F13, 'Date Key'!$A$2:$A$19, 0)), "")</f>
        <v>No</v>
      </c>
      <c r="E13" s="4" t="str">
        <f t="shared" si="1"/>
        <v>in</v>
      </c>
      <c r="F13" s="4">
        <f t="shared" si="2"/>
        <v>5</v>
      </c>
      <c r="G13" s="4">
        <f t="shared" si="3"/>
        <v>2</v>
      </c>
      <c r="H13" s="11" cm="1">
        <f t="array" ref="H13">IFERROR(INDEX('Master Data Sheet'!$1:$1048576, MATCH(1, ('Master Data Sheet'!$H:$H=H$2) * (INDEX('Master Data Sheet'!$1:$1, , MATCH($F$1, 'Master Data Sheet'!$1:$1, 0)) = $F$1) * ('Master Data Sheet'!$G:$G=$B13) * ('Master Data Sheet'!$F:$F=$E13) * ('Master Data Sheet'!$A:$A=$F13), 0), MATCH($F$1, 'Master Data Sheet'!$1:$1, 0)), "")</f>
        <v>35.73333333333332</v>
      </c>
      <c r="I13" s="11" cm="1">
        <f t="array" ref="I13">IFERROR(INDEX('Master Data Sheet'!$1:$1048576, MATCH(1, ('Master Data Sheet'!$H:$H=I$2) * (INDEX('Master Data Sheet'!$1:$1, , MATCH($F$1, 'Master Data Sheet'!$1:$1, 0)) = $F$1) * ('Master Data Sheet'!$G:$G=$B13) * ('Master Data Sheet'!$F:$F=$E13) * ('Master Data Sheet'!$A:$A=$F13), 0), MATCH($F$1, 'Master Data Sheet'!$1:$1, 0)), "")</f>
        <v>29.733333333333313</v>
      </c>
      <c r="J13" s="11" cm="1">
        <f t="array" ref="J13">IFERROR(INDEX('Master Data Sheet'!$1:$1048576, MATCH(1, ('Master Data Sheet'!$H:$H=J$2) * (INDEX('Master Data Sheet'!$1:$1, , MATCH($F$1, 'Master Data Sheet'!$1:$1, 0)) = $F$1) * ('Master Data Sheet'!$G:$G=$B13) * ('Master Data Sheet'!$F:$F=$E13) * ('Master Data Sheet'!$A:$A=$F13), 0), MATCH($F$1, 'Master Data Sheet'!$1:$1, 0)), "")</f>
        <v>28.066666666666645</v>
      </c>
      <c r="K13" s="11" cm="1">
        <f t="array" ref="K13">IFERROR(INDEX('Master Data Sheet'!$1:$1048576, MATCH(1, ('Master Data Sheet'!$H:$H=K$2) * (INDEX('Master Data Sheet'!$1:$1, , MATCH($F$1, 'Master Data Sheet'!$1:$1, 0)) = $F$1) * ('Master Data Sheet'!$G:$G=$B13) * ('Master Data Sheet'!$F:$F=$E13) * ('Master Data Sheet'!$A:$A=$F13), 0), MATCH($F$1, 'Master Data Sheet'!$1:$1, 0)), "")</f>
        <v>22.733333333333309</v>
      </c>
      <c r="L13" s="11" cm="1">
        <f t="array" ref="L13">IFERROR(INDEX('Master Data Sheet'!$1:$1048576, MATCH(1, ('Master Data Sheet'!$H:$H=L$2) * (INDEX('Master Data Sheet'!$1:$1, , MATCH($F$1, 'Master Data Sheet'!$1:$1, 0)) = $F$1) * ('Master Data Sheet'!$G:$G=$B13) * ('Master Data Sheet'!$F:$F=$E13) * ('Master Data Sheet'!$A:$A=$F13), 0), MATCH($F$1, 'Master Data Sheet'!$1:$1, 0)), "")</f>
        <v>27.066666666666645</v>
      </c>
      <c r="M13" s="11" cm="1">
        <f t="array" ref="M13">IFERROR(INDEX('Master Data Sheet'!$1:$1048576, MATCH(1, ('Master Data Sheet'!$H:$H=M$2) * (INDEX('Master Data Sheet'!$1:$1, , MATCH($F$1, 'Master Data Sheet'!$1:$1, 0)) = $F$1) * ('Master Data Sheet'!$G:$G=$B13) * ('Master Data Sheet'!$F:$F=$E13) * ('Master Data Sheet'!$A:$A=$F13), 0), MATCH($F$1, 'Master Data Sheet'!$1:$1, 0)), "")</f>
        <v>30.733333333333317</v>
      </c>
      <c r="N13" s="11" cm="1">
        <f t="array" ref="N13">IFERROR(INDEX('Master Data Sheet'!$1:$1048576, MATCH(1, ('Master Data Sheet'!$H:$H=N$2) * (INDEX('Master Data Sheet'!$1:$1, , MATCH($F$1, 'Master Data Sheet'!$1:$1, 0)) = $F$1) * ('Master Data Sheet'!$G:$G=$B13) * ('Master Data Sheet'!$F:$F=$E13) * ('Master Data Sheet'!$A:$A=$F13), 0), MATCH($F$1, 'Master Data Sheet'!$1:$1, 0)), "")</f>
        <v>31.399999999999984</v>
      </c>
      <c r="O13" s="11">
        <f t="shared" si="8"/>
        <v>29.352380952380933</v>
      </c>
      <c r="P13" s="11">
        <f t="shared" si="4"/>
        <v>4.0342449448604834</v>
      </c>
      <c r="Q13" s="11"/>
      <c r="X13" t="str">
        <f>IFERROR(INDEX('Date Key'!$G$57:$G$62, MATCH(B12,'Date Key'!$A$57:$A$62, 0)), "")</f>
        <v>Medium HLR, Lower Outlet Height, No Plants</v>
      </c>
      <c r="Y13" s="1">
        <f t="shared" ref="Y13:AE13" si="16">H12</f>
        <v>79.73333333333332</v>
      </c>
      <c r="Z13" s="1">
        <f t="shared" si="16"/>
        <v>81.066666666666649</v>
      </c>
      <c r="AA13" s="1">
        <f t="shared" si="16"/>
        <v>69.066666666666663</v>
      </c>
      <c r="AB13" s="1">
        <f t="shared" si="16"/>
        <v>64.73333333333332</v>
      </c>
      <c r="AC13" s="1">
        <f t="shared" si="16"/>
        <v>6.6666666666659324E-2</v>
      </c>
      <c r="AD13" s="1">
        <f t="shared" si="16"/>
        <v>63.066666666666656</v>
      </c>
      <c r="AE13" s="1">
        <f t="shared" si="16"/>
        <v>46.4</v>
      </c>
      <c r="AF13" s="1">
        <f t="shared" ref="AF13:AL13" si="17">H13</f>
        <v>35.73333333333332</v>
      </c>
      <c r="AG13" s="1">
        <f t="shared" si="17"/>
        <v>29.733333333333313</v>
      </c>
      <c r="AH13" s="1">
        <f t="shared" si="17"/>
        <v>28.066666666666645</v>
      </c>
      <c r="AI13" s="1">
        <f t="shared" si="17"/>
        <v>22.733333333333309</v>
      </c>
      <c r="AJ13" s="1">
        <f t="shared" si="17"/>
        <v>27.066666666666645</v>
      </c>
      <c r="AK13" s="1">
        <f t="shared" si="17"/>
        <v>30.733333333333317</v>
      </c>
      <c r="AL13" s="1">
        <f t="shared" si="17"/>
        <v>31.399999999999984</v>
      </c>
      <c r="AM13" s="1">
        <f t="shared" ref="AM13:AS13" si="18">H14</f>
        <v>43.066666666666663</v>
      </c>
      <c r="AN13" s="1">
        <f t="shared" si="18"/>
        <v>53.066666666666649</v>
      </c>
      <c r="AO13" s="1">
        <f t="shared" si="18"/>
        <v>49.4</v>
      </c>
      <c r="AP13" s="1">
        <f t="shared" si="18"/>
        <v>48.733333333333334</v>
      </c>
      <c r="AQ13" s="1">
        <f t="shared" si="18"/>
        <v>50.066666666666663</v>
      </c>
      <c r="AR13" s="1">
        <f t="shared" si="18"/>
        <v>45.733333333333327</v>
      </c>
      <c r="AS13" s="1">
        <f t="shared" si="18"/>
        <v>50.066666666666663</v>
      </c>
    </row>
    <row r="14" spans="1:45" x14ac:dyDescent="0.35">
      <c r="A14" s="41">
        <f>IFERROR(INDEX('Date Key'!$B$2:$B$19, MATCH(F14,'Date Key'!$A$2:$A$19, 0)), "")</f>
        <v>45230</v>
      </c>
      <c r="B14" s="4">
        <f t="shared" si="15"/>
        <v>2</v>
      </c>
      <c r="C14" s="26" t="str">
        <f>IFERROR(INDEX('Date Key'!$G$57:$G$62, MATCH(B14,'Date Key'!$A$57:$A$62, 0)), "")</f>
        <v>Medium HLR, Lower Outlet Height, No Plants</v>
      </c>
      <c r="D14" s="4" t="str">
        <f>IFERROR(INDEX('Date Key'!$G$2:$G$19, MATCH(F14, 'Date Key'!$A$2:$A$19, 0)), "")</f>
        <v>Yes</v>
      </c>
      <c r="E14" s="4" t="str">
        <f t="shared" si="1"/>
        <v>in</v>
      </c>
      <c r="F14" s="4">
        <f t="shared" si="2"/>
        <v>6</v>
      </c>
      <c r="G14" s="4">
        <f t="shared" si="3"/>
        <v>3</v>
      </c>
      <c r="H14" s="11" cm="1">
        <f t="array" ref="H14">IFERROR(INDEX('Master Data Sheet'!$1:$1048576, MATCH(1, ('Master Data Sheet'!$H:$H=H$2) * (INDEX('Master Data Sheet'!$1:$1, , MATCH($F$1, 'Master Data Sheet'!$1:$1, 0)) = $F$1) * ('Master Data Sheet'!$G:$G=$B14) * ('Master Data Sheet'!$F:$F=$E14) * ('Master Data Sheet'!$A:$A=$F14), 0), MATCH($F$1, 'Master Data Sheet'!$1:$1, 0)), "")</f>
        <v>43.066666666666663</v>
      </c>
      <c r="I14" s="11" cm="1">
        <f t="array" ref="I14">IFERROR(INDEX('Master Data Sheet'!$1:$1048576, MATCH(1, ('Master Data Sheet'!$H:$H=I$2) * (INDEX('Master Data Sheet'!$1:$1, , MATCH($F$1, 'Master Data Sheet'!$1:$1, 0)) = $F$1) * ('Master Data Sheet'!$G:$G=$B14) * ('Master Data Sheet'!$F:$F=$E14) * ('Master Data Sheet'!$A:$A=$F14), 0), MATCH($F$1, 'Master Data Sheet'!$1:$1, 0)), "")</f>
        <v>53.066666666666649</v>
      </c>
      <c r="J14" s="11" cm="1">
        <f t="array" ref="J14">IFERROR(INDEX('Master Data Sheet'!$1:$1048576, MATCH(1, ('Master Data Sheet'!$H:$H=J$2) * (INDEX('Master Data Sheet'!$1:$1, , MATCH($F$1, 'Master Data Sheet'!$1:$1, 0)) = $F$1) * ('Master Data Sheet'!$G:$G=$B14) * ('Master Data Sheet'!$F:$F=$E14) * ('Master Data Sheet'!$A:$A=$F14), 0), MATCH($F$1, 'Master Data Sheet'!$1:$1, 0)), "")</f>
        <v>49.4</v>
      </c>
      <c r="K14" s="11" cm="1">
        <f t="array" ref="K14">IFERROR(INDEX('Master Data Sheet'!$1:$1048576, MATCH(1, ('Master Data Sheet'!$H:$H=K$2) * (INDEX('Master Data Sheet'!$1:$1, , MATCH($F$1, 'Master Data Sheet'!$1:$1, 0)) = $F$1) * ('Master Data Sheet'!$G:$G=$B14) * ('Master Data Sheet'!$F:$F=$E14) * ('Master Data Sheet'!$A:$A=$F14), 0), MATCH($F$1, 'Master Data Sheet'!$1:$1, 0)), "")</f>
        <v>48.733333333333334</v>
      </c>
      <c r="L14" s="11" cm="1">
        <f t="array" ref="L14">IFERROR(INDEX('Master Data Sheet'!$1:$1048576, MATCH(1, ('Master Data Sheet'!$H:$H=L$2) * (INDEX('Master Data Sheet'!$1:$1, , MATCH($F$1, 'Master Data Sheet'!$1:$1, 0)) = $F$1) * ('Master Data Sheet'!$G:$G=$B14) * ('Master Data Sheet'!$F:$F=$E14) * ('Master Data Sheet'!$A:$A=$F14), 0), MATCH($F$1, 'Master Data Sheet'!$1:$1, 0)), "")</f>
        <v>50.066666666666663</v>
      </c>
      <c r="M14" s="11" cm="1">
        <f t="array" ref="M14">IFERROR(INDEX('Master Data Sheet'!$1:$1048576, MATCH(1, ('Master Data Sheet'!$H:$H=M$2) * (INDEX('Master Data Sheet'!$1:$1, , MATCH($F$1, 'Master Data Sheet'!$1:$1, 0)) = $F$1) * ('Master Data Sheet'!$G:$G=$B14) * ('Master Data Sheet'!$F:$F=$E14) * ('Master Data Sheet'!$A:$A=$F14), 0), MATCH($F$1, 'Master Data Sheet'!$1:$1, 0)), "")</f>
        <v>45.733333333333327</v>
      </c>
      <c r="N14" s="11" cm="1">
        <f t="array" ref="N14">IFERROR(INDEX('Master Data Sheet'!$1:$1048576, MATCH(1, ('Master Data Sheet'!$H:$H=N$2) * (INDEX('Master Data Sheet'!$1:$1, , MATCH($F$1, 'Master Data Sheet'!$1:$1, 0)) = $F$1) * ('Master Data Sheet'!$G:$G=$B14) * ('Master Data Sheet'!$F:$F=$E14) * ('Master Data Sheet'!$A:$A=$F14), 0), MATCH($F$1, 'Master Data Sheet'!$1:$1, 0)), "")</f>
        <v>50.066666666666663</v>
      </c>
      <c r="O14" s="11">
        <f t="shared" si="8"/>
        <v>48.590476190476188</v>
      </c>
      <c r="P14" s="11">
        <f t="shared" si="4"/>
        <v>3.2594997506271737</v>
      </c>
      <c r="Q14" s="11"/>
      <c r="Y14" s="1"/>
      <c r="Z14" s="1"/>
      <c r="AA14" s="1"/>
      <c r="AB14" s="1"/>
      <c r="AC14" s="1"/>
      <c r="AD14" s="1"/>
      <c r="AE14" s="1"/>
      <c r="AF14" s="1"/>
      <c r="AG14" s="1"/>
      <c r="AH14" s="1"/>
      <c r="AI14" s="1"/>
      <c r="AJ14" s="1"/>
      <c r="AK14" s="1"/>
      <c r="AL14" s="1"/>
      <c r="AM14" s="1"/>
      <c r="AN14" s="1"/>
      <c r="AO14" s="1"/>
      <c r="AP14" s="1"/>
      <c r="AQ14" s="1"/>
      <c r="AR14" s="1"/>
      <c r="AS14" s="1"/>
    </row>
    <row r="15" spans="1:45" x14ac:dyDescent="0.35">
      <c r="A15" s="41">
        <f>IFERROR(INDEX('Date Key'!$B$2:$B$19, MATCH(F15,'Date Key'!$A$2:$A$19, 0)), "")</f>
        <v>45217</v>
      </c>
      <c r="B15" s="4">
        <f t="shared" si="15"/>
        <v>2</v>
      </c>
      <c r="C15" s="26" t="str">
        <f>IFERROR(INDEX('Date Key'!$G$57:$G$62, MATCH(B15,'Date Key'!$A$57:$A$62, 0)), "")</f>
        <v>Medium HLR, Lower Outlet Height, No Plants</v>
      </c>
      <c r="D15" s="4" t="str">
        <f>IFERROR(INDEX('Date Key'!$G$2:$G$19, MATCH(F15, 'Date Key'!$A$2:$A$19, 0)), "")</f>
        <v>No</v>
      </c>
      <c r="E15" s="4" t="str">
        <f t="shared" si="1"/>
        <v>tank 1</v>
      </c>
      <c r="F15" s="4">
        <f t="shared" si="2"/>
        <v>4</v>
      </c>
      <c r="G15" s="4">
        <f t="shared" si="3"/>
        <v>1</v>
      </c>
      <c r="H15" s="11" cm="1">
        <f t="array" ref="H15">IFERROR(INDEX('Master Data Sheet'!$1:$1048576, MATCH(1, ('Master Data Sheet'!$H:$H=H$2) * (INDEX('Master Data Sheet'!$1:$1, , MATCH($F$1, 'Master Data Sheet'!$1:$1, 0)) = $F$1) * ('Master Data Sheet'!$G:$G=$B15) * ('Master Data Sheet'!$F:$F=$E15) * ('Master Data Sheet'!$A:$A=$F15), 0), MATCH($F$1, 'Master Data Sheet'!$1:$1, 0)), "")</f>
        <v>0</v>
      </c>
      <c r="I15" s="11" cm="1">
        <f t="array" ref="I15">IFERROR(INDEX('Master Data Sheet'!$1:$1048576, MATCH(1, ('Master Data Sheet'!$H:$H=I$2) * (INDEX('Master Data Sheet'!$1:$1, , MATCH($F$1, 'Master Data Sheet'!$1:$1, 0)) = $F$1) * ('Master Data Sheet'!$G:$G=$B15) * ('Master Data Sheet'!$F:$F=$E15) * ('Master Data Sheet'!$A:$A=$F15), 0), MATCH($F$1, 'Master Data Sheet'!$1:$1, 0)), "")</f>
        <v>61.733333333333327</v>
      </c>
      <c r="J15" s="11" cm="1">
        <f t="array" ref="J15">IFERROR(INDEX('Master Data Sheet'!$1:$1048576, MATCH(1, ('Master Data Sheet'!$H:$H=J$2) * (INDEX('Master Data Sheet'!$1:$1, , MATCH($F$1, 'Master Data Sheet'!$1:$1, 0)) = $F$1) * ('Master Data Sheet'!$G:$G=$B15) * ('Master Data Sheet'!$F:$F=$E15) * ('Master Data Sheet'!$A:$A=$F15), 0), MATCH($F$1, 'Master Data Sheet'!$1:$1, 0)), "")</f>
        <v>61.399999999999991</v>
      </c>
      <c r="K15" s="11" cm="1">
        <f t="array" ref="K15">IFERROR(INDEX('Master Data Sheet'!$1:$1048576, MATCH(1, ('Master Data Sheet'!$H:$H=K$2) * (INDEX('Master Data Sheet'!$1:$1, , MATCH($F$1, 'Master Data Sheet'!$1:$1, 0)) = $F$1) * ('Master Data Sheet'!$G:$G=$B15) * ('Master Data Sheet'!$F:$F=$E15) * ('Master Data Sheet'!$A:$A=$F15), 0), MATCH($F$1, 'Master Data Sheet'!$1:$1, 0)), "")</f>
        <v>76.399999999999991</v>
      </c>
      <c r="L15" s="11" cm="1">
        <f t="array" ref="L15">IFERROR(INDEX('Master Data Sheet'!$1:$1048576, MATCH(1, ('Master Data Sheet'!$H:$H=L$2) * (INDEX('Master Data Sheet'!$1:$1, , MATCH($F$1, 'Master Data Sheet'!$1:$1, 0)) = $F$1) * ('Master Data Sheet'!$G:$G=$B15) * ('Master Data Sheet'!$F:$F=$E15) * ('Master Data Sheet'!$A:$A=$F15), 0), MATCH($F$1, 'Master Data Sheet'!$1:$1, 0)), "")</f>
        <v>70.733333333333334</v>
      </c>
      <c r="M15" s="11" cm="1">
        <f t="array" ref="M15">IFERROR(INDEX('Master Data Sheet'!$1:$1048576, MATCH(1, ('Master Data Sheet'!$H:$H=M$2) * (INDEX('Master Data Sheet'!$1:$1, , MATCH($F$1, 'Master Data Sheet'!$1:$1, 0)) = $F$1) * ('Master Data Sheet'!$G:$G=$B15) * ('Master Data Sheet'!$F:$F=$E15) * ('Master Data Sheet'!$A:$A=$F15), 0), MATCH($F$1, 'Master Data Sheet'!$1:$1, 0)), "")</f>
        <v>42.399999999999991</v>
      </c>
      <c r="N15" s="11" cm="1">
        <f t="array" ref="N15">IFERROR(INDEX('Master Data Sheet'!$1:$1048576, MATCH(1, ('Master Data Sheet'!$H:$H=N$2) * (INDEX('Master Data Sheet'!$1:$1, , MATCH($F$1, 'Master Data Sheet'!$1:$1, 0)) = $F$1) * ('Master Data Sheet'!$G:$G=$B15) * ('Master Data Sheet'!$F:$F=$E15) * ('Master Data Sheet'!$A:$A=$F15), 0), MATCH($F$1, 'Master Data Sheet'!$1:$1, 0)), "")</f>
        <v>29.399999999999981</v>
      </c>
      <c r="O15" s="11">
        <f t="shared" si="8"/>
        <v>48.86666666666666</v>
      </c>
      <c r="P15" s="11">
        <f t="shared" si="4"/>
        <v>26.980212227702214</v>
      </c>
      <c r="Q15" s="11">
        <f>AVERAGE(O15:O17)</f>
        <v>34.555555555555536</v>
      </c>
      <c r="R15" s="46">
        <f>(1-(O15/O12))*100</f>
        <v>15.357967667436467</v>
      </c>
      <c r="S15" s="46">
        <f>AVERAGE(R15:R17)</f>
        <v>23.457658317224631</v>
      </c>
      <c r="T15" s="46">
        <f>STDEV(R15:R17)</f>
        <v>11.293368671698765</v>
      </c>
      <c r="U15" s="47">
        <f>(1-(AVERAGE(H15:N17)/AVERAGE(H12:N14)))*100</f>
        <v>23.592587392952446</v>
      </c>
      <c r="Y15" s="2"/>
      <c r="Z15" s="2"/>
      <c r="AA15" s="2"/>
      <c r="AB15" s="2"/>
      <c r="AC15" s="2"/>
      <c r="AD15" s="2"/>
      <c r="AE15" s="2"/>
      <c r="AF15" s="2"/>
      <c r="AG15" s="2"/>
    </row>
    <row r="16" spans="1:45" x14ac:dyDescent="0.35">
      <c r="A16" s="41">
        <f>IFERROR(INDEX('Date Key'!$B$2:$B$19, MATCH(F16,'Date Key'!$A$2:$A$19, 0)), "")</f>
        <v>45224</v>
      </c>
      <c r="B16" s="4">
        <f t="shared" si="15"/>
        <v>2</v>
      </c>
      <c r="C16" s="26" t="str">
        <f>IFERROR(INDEX('Date Key'!$G$57:$G$62, MATCH(B16,'Date Key'!$A$57:$A$62, 0)), "")</f>
        <v>Medium HLR, Lower Outlet Height, No Plants</v>
      </c>
      <c r="D16" s="4" t="str">
        <f>IFERROR(INDEX('Date Key'!$G$2:$G$19, MATCH(F16, 'Date Key'!$A$2:$A$19, 0)), "")</f>
        <v>No</v>
      </c>
      <c r="E16" s="4" t="str">
        <f t="shared" si="1"/>
        <v>tank 1</v>
      </c>
      <c r="F16" s="4">
        <f t="shared" si="2"/>
        <v>5</v>
      </c>
      <c r="G16" s="4">
        <f>MOD(ROW(G16)-ROW($G$3), 3) + 1</f>
        <v>2</v>
      </c>
      <c r="H16" s="11" cm="1">
        <f t="array" ref="H16">IFERROR(INDEX('Master Data Sheet'!$1:$1048576, MATCH(1, ('Master Data Sheet'!$H:$H=H$2) * (INDEX('Master Data Sheet'!$1:$1, , MATCH($F$1, 'Master Data Sheet'!$1:$1, 0)) = $F$1) * ('Master Data Sheet'!$G:$G=$B16) * ('Master Data Sheet'!$F:$F=$E16) * ('Master Data Sheet'!$A:$A=$F16), 0), MATCH($F$1, 'Master Data Sheet'!$1:$1, 0)), "")</f>
        <v>20.399999999999974</v>
      </c>
      <c r="I16" s="11" cm="1">
        <f t="array" ref="I16">IFERROR(INDEX('Master Data Sheet'!$1:$1048576, MATCH(1, ('Master Data Sheet'!$H:$H=I$2) * (INDEX('Master Data Sheet'!$1:$1, , MATCH($F$1, 'Master Data Sheet'!$1:$1, 0)) = $F$1) * ('Master Data Sheet'!$G:$G=$B16) * ('Master Data Sheet'!$F:$F=$E16) * ('Master Data Sheet'!$A:$A=$F16), 0), MATCH($F$1, 'Master Data Sheet'!$1:$1, 0)), "")</f>
        <v>21.399999999999974</v>
      </c>
      <c r="J16" s="11" cm="1">
        <f t="array" ref="J16">IFERROR(INDEX('Master Data Sheet'!$1:$1048576, MATCH(1, ('Master Data Sheet'!$H:$H=J$2) * (INDEX('Master Data Sheet'!$1:$1, , MATCH($F$1, 'Master Data Sheet'!$1:$1, 0)) = $F$1) * ('Master Data Sheet'!$G:$G=$B16) * ('Master Data Sheet'!$F:$F=$E16) * ('Master Data Sheet'!$A:$A=$F16), 0), MATCH($F$1, 'Master Data Sheet'!$1:$1, 0)), "")</f>
        <v>25.399999999999977</v>
      </c>
      <c r="K16" s="11" cm="1">
        <f t="array" ref="K16">IFERROR(INDEX('Master Data Sheet'!$1:$1048576, MATCH(1, ('Master Data Sheet'!$H:$H=K$2) * (INDEX('Master Data Sheet'!$1:$1, , MATCH($F$1, 'Master Data Sheet'!$1:$1, 0)) = $F$1) * ('Master Data Sheet'!$G:$G=$B16) * ('Master Data Sheet'!$F:$F=$E16) * ('Master Data Sheet'!$A:$A=$F16), 0), MATCH($F$1, 'Master Data Sheet'!$1:$1, 0)), "")</f>
        <v>24.733333333333309</v>
      </c>
      <c r="L16" s="11" cm="1">
        <f t="array" ref="L16">IFERROR(INDEX('Master Data Sheet'!$1:$1048576, MATCH(1, ('Master Data Sheet'!$H:$H=L$2) * (INDEX('Master Data Sheet'!$1:$1, , MATCH($F$1, 'Master Data Sheet'!$1:$1, 0)) = $F$1) * ('Master Data Sheet'!$G:$G=$B16) * ('Master Data Sheet'!$F:$F=$E16) * ('Master Data Sheet'!$A:$A=$F16), 0), MATCH($F$1, 'Master Data Sheet'!$1:$1, 0)), "")</f>
        <v>23.733333333333309</v>
      </c>
      <c r="M16" s="11" cm="1">
        <f t="array" ref="M16">IFERROR(INDEX('Master Data Sheet'!$1:$1048576, MATCH(1, ('Master Data Sheet'!$H:$H=M$2) * (INDEX('Master Data Sheet'!$1:$1, , MATCH($F$1, 'Master Data Sheet'!$1:$1, 0)) = $F$1) * ('Master Data Sheet'!$G:$G=$B16) * ('Master Data Sheet'!$F:$F=$E16) * ('Master Data Sheet'!$A:$A=$F16), 0), MATCH($F$1, 'Master Data Sheet'!$1:$1, 0)), "")</f>
        <v>25.399999999999977</v>
      </c>
      <c r="N16" s="11" cm="1">
        <f t="array" ref="N16">IFERROR(INDEX('Master Data Sheet'!$1:$1048576, MATCH(1, ('Master Data Sheet'!$H:$H=N$2) * (INDEX('Master Data Sheet'!$1:$1, , MATCH($F$1, 'Master Data Sheet'!$1:$1, 0)) = $F$1) * ('Master Data Sheet'!$G:$G=$B16) * ('Master Data Sheet'!$F:$F=$E16) * ('Master Data Sheet'!$A:$A=$F16), 0), MATCH($F$1, 'Master Data Sheet'!$1:$1, 0)), "")</f>
        <v>26.066666666666645</v>
      </c>
      <c r="O16" s="11">
        <f t="shared" si="8"/>
        <v>23.876190476190452</v>
      </c>
      <c r="P16" s="11">
        <f t="shared" si="4"/>
        <v>2.1761088519303771</v>
      </c>
      <c r="Q16" s="11"/>
      <c r="R16" s="46">
        <f>(1-(O16/O13))*100</f>
        <v>18.656716417910481</v>
      </c>
      <c r="X16" t="str">
        <f>IFERROR(INDEX('Date Key'!$G$57:$G$62, MATCH(B15,'Date Key'!$A$57:$A$62, 0)), "")</f>
        <v>Medium HLR, Lower Outlet Height, No Plants</v>
      </c>
      <c r="Y16" s="1">
        <f t="shared" ref="Y16:AE16" si="19">H15</f>
        <v>0</v>
      </c>
      <c r="Z16" s="1">
        <f t="shared" si="19"/>
        <v>61.733333333333327</v>
      </c>
      <c r="AA16" s="1">
        <f t="shared" si="19"/>
        <v>61.399999999999991</v>
      </c>
      <c r="AB16" s="1">
        <f t="shared" si="19"/>
        <v>76.399999999999991</v>
      </c>
      <c r="AC16" s="1">
        <f t="shared" si="19"/>
        <v>70.733333333333334</v>
      </c>
      <c r="AD16" s="1">
        <f t="shared" si="19"/>
        <v>42.399999999999991</v>
      </c>
      <c r="AE16" s="1">
        <f t="shared" si="19"/>
        <v>29.399999999999981</v>
      </c>
      <c r="AF16" s="1">
        <f t="shared" ref="AF16:AL16" si="20">H16</f>
        <v>20.399999999999974</v>
      </c>
      <c r="AG16" s="1">
        <f t="shared" si="20"/>
        <v>21.399999999999974</v>
      </c>
      <c r="AH16" s="1">
        <f t="shared" si="20"/>
        <v>25.399999999999977</v>
      </c>
      <c r="AI16" s="1">
        <f t="shared" si="20"/>
        <v>24.733333333333309</v>
      </c>
      <c r="AJ16" s="1">
        <f t="shared" si="20"/>
        <v>23.733333333333309</v>
      </c>
      <c r="AK16" s="1">
        <f t="shared" si="20"/>
        <v>25.399999999999977</v>
      </c>
      <c r="AL16" s="1">
        <f t="shared" si="20"/>
        <v>26.066666666666645</v>
      </c>
      <c r="AM16" s="1">
        <f t="shared" ref="AM16:AS16" si="21">H17</f>
        <v>23.733333333333309</v>
      </c>
      <c r="AN16" s="1">
        <f t="shared" si="21"/>
        <v>17.733333333333341</v>
      </c>
      <c r="AO16" s="1">
        <f t="shared" si="21"/>
        <v>27.399999999999981</v>
      </c>
      <c r="AP16" s="1">
        <f t="shared" si="21"/>
        <v>36.066666666666656</v>
      </c>
      <c r="AQ16" s="1">
        <f t="shared" si="21"/>
        <v>34.066666666666649</v>
      </c>
      <c r="AR16" s="1">
        <f t="shared" si="21"/>
        <v>36.399999999999984</v>
      </c>
      <c r="AS16" s="1">
        <f t="shared" si="21"/>
        <v>41.066666666666656</v>
      </c>
    </row>
    <row r="17" spans="1:45" x14ac:dyDescent="0.35">
      <c r="A17" s="41">
        <f>IFERROR(INDEX('Date Key'!$B$2:$B$19, MATCH(F17,'Date Key'!$A$2:$A$19, 0)), "")</f>
        <v>45230</v>
      </c>
      <c r="B17" s="4">
        <f t="shared" si="15"/>
        <v>2</v>
      </c>
      <c r="C17" s="26" t="str">
        <f>IFERROR(INDEX('Date Key'!$G$57:$G$62, MATCH(B17,'Date Key'!$A$57:$A$62, 0)), "")</f>
        <v>Medium HLR, Lower Outlet Height, No Plants</v>
      </c>
      <c r="D17" s="4" t="str">
        <f>IFERROR(INDEX('Date Key'!$G$2:$G$19, MATCH(F17, 'Date Key'!$A$2:$A$19, 0)), "")</f>
        <v>Yes</v>
      </c>
      <c r="E17" s="4" t="str">
        <f t="shared" si="1"/>
        <v>tank 1</v>
      </c>
      <c r="F17" s="4">
        <f t="shared" si="2"/>
        <v>6</v>
      </c>
      <c r="G17" s="4">
        <f t="shared" ref="G17:G56" si="22">MOD(ROW(G17)-ROW($G$3), 3) + 1</f>
        <v>3</v>
      </c>
      <c r="H17" s="11" cm="1">
        <f t="array" ref="H17">IFERROR(INDEX('Master Data Sheet'!$1:$1048576, MATCH(1, ('Master Data Sheet'!$H:$H=H$2) * (INDEX('Master Data Sheet'!$1:$1, , MATCH($F$1, 'Master Data Sheet'!$1:$1, 0)) = $F$1) * ('Master Data Sheet'!$G:$G=$B17) * ('Master Data Sheet'!$F:$F=$E17) * ('Master Data Sheet'!$A:$A=$F17), 0), MATCH($F$1, 'Master Data Sheet'!$1:$1, 0)), "")</f>
        <v>23.733333333333309</v>
      </c>
      <c r="I17" s="11" cm="1">
        <f t="array" ref="I17">IFERROR(INDEX('Master Data Sheet'!$1:$1048576, MATCH(1, ('Master Data Sheet'!$H:$H=I$2) * (INDEX('Master Data Sheet'!$1:$1, , MATCH($F$1, 'Master Data Sheet'!$1:$1, 0)) = $F$1) * ('Master Data Sheet'!$G:$G=$B17) * ('Master Data Sheet'!$F:$F=$E17) * ('Master Data Sheet'!$A:$A=$F17), 0), MATCH($F$1, 'Master Data Sheet'!$1:$1, 0)), "")</f>
        <v>17.733333333333341</v>
      </c>
      <c r="J17" s="11" cm="1">
        <f t="array" ref="J17">IFERROR(INDEX('Master Data Sheet'!$1:$1048576, MATCH(1, ('Master Data Sheet'!$H:$H=J$2) * (INDEX('Master Data Sheet'!$1:$1, , MATCH($F$1, 'Master Data Sheet'!$1:$1, 0)) = $F$1) * ('Master Data Sheet'!$G:$G=$B17) * ('Master Data Sheet'!$F:$F=$E17) * ('Master Data Sheet'!$A:$A=$F17), 0), MATCH($F$1, 'Master Data Sheet'!$1:$1, 0)), "")</f>
        <v>27.399999999999981</v>
      </c>
      <c r="K17" s="11" cm="1">
        <f t="array" ref="K17">IFERROR(INDEX('Master Data Sheet'!$1:$1048576, MATCH(1, ('Master Data Sheet'!$H:$H=K$2) * (INDEX('Master Data Sheet'!$1:$1, , MATCH($F$1, 'Master Data Sheet'!$1:$1, 0)) = $F$1) * ('Master Data Sheet'!$G:$G=$B17) * ('Master Data Sheet'!$F:$F=$E17) * ('Master Data Sheet'!$A:$A=$F17), 0), MATCH($F$1, 'Master Data Sheet'!$1:$1, 0)), "")</f>
        <v>36.066666666666656</v>
      </c>
      <c r="L17" s="11" cm="1">
        <f t="array" ref="L17">IFERROR(INDEX('Master Data Sheet'!$1:$1048576, MATCH(1, ('Master Data Sheet'!$H:$H=L$2) * (INDEX('Master Data Sheet'!$1:$1, , MATCH($F$1, 'Master Data Sheet'!$1:$1, 0)) = $F$1) * ('Master Data Sheet'!$G:$G=$B17) * ('Master Data Sheet'!$F:$F=$E17) * ('Master Data Sheet'!$A:$A=$F17), 0), MATCH($F$1, 'Master Data Sheet'!$1:$1, 0)), "")</f>
        <v>34.066666666666649</v>
      </c>
      <c r="M17" s="11" cm="1">
        <f t="array" ref="M17">IFERROR(INDEX('Master Data Sheet'!$1:$1048576, MATCH(1, ('Master Data Sheet'!$H:$H=M$2) * (INDEX('Master Data Sheet'!$1:$1, , MATCH($F$1, 'Master Data Sheet'!$1:$1, 0)) = $F$1) * ('Master Data Sheet'!$G:$G=$B17) * ('Master Data Sheet'!$F:$F=$E17) * ('Master Data Sheet'!$A:$A=$F17), 0), MATCH($F$1, 'Master Data Sheet'!$1:$1, 0)), "")</f>
        <v>36.399999999999984</v>
      </c>
      <c r="N17" s="11" cm="1">
        <f t="array" ref="N17">IFERROR(INDEX('Master Data Sheet'!$1:$1048576, MATCH(1, ('Master Data Sheet'!$H:$H=N$2) * (INDEX('Master Data Sheet'!$1:$1, , MATCH($F$1, 'Master Data Sheet'!$1:$1, 0)) = $F$1) * ('Master Data Sheet'!$G:$G=$B17) * ('Master Data Sheet'!$F:$F=$E17) * ('Master Data Sheet'!$A:$A=$F17), 0), MATCH($F$1, 'Master Data Sheet'!$1:$1, 0)), "")</f>
        <v>41.066666666666656</v>
      </c>
      <c r="O17" s="11">
        <f t="shared" si="8"/>
        <v>30.923809523809513</v>
      </c>
      <c r="P17" s="11">
        <f t="shared" si="4"/>
        <v>8.2391503132057107</v>
      </c>
      <c r="Q17" s="11"/>
      <c r="R17" s="46">
        <f>(1-(O17/O14))*100</f>
        <v>36.358290866326946</v>
      </c>
      <c r="Y17" s="2"/>
      <c r="Z17" s="2"/>
      <c r="AA17" s="2"/>
      <c r="AB17" s="2"/>
      <c r="AC17" s="2"/>
      <c r="AD17" s="2"/>
      <c r="AE17" s="2"/>
      <c r="AF17" s="2"/>
      <c r="AG17" s="2"/>
    </row>
    <row r="18" spans="1:45" x14ac:dyDescent="0.35">
      <c r="A18" s="41">
        <f>IFERROR(INDEX('Date Key'!$B$2:$B$19, MATCH(F18,'Date Key'!$A$2:$A$19, 0)), "")</f>
        <v>45217</v>
      </c>
      <c r="B18" s="4">
        <f t="shared" si="15"/>
        <v>2</v>
      </c>
      <c r="C18" s="26" t="str">
        <f>IFERROR(INDEX('Date Key'!$G$57:$G$62, MATCH(B18,'Date Key'!$A$57:$A$62, 0)), "")</f>
        <v>Medium HLR, Lower Outlet Height, No Plants</v>
      </c>
      <c r="D18" s="4" t="str">
        <f>IFERROR(INDEX('Date Key'!$G$2:$G$19, MATCH(F18, 'Date Key'!$A$2:$A$19, 0)), "")</f>
        <v>No</v>
      </c>
      <c r="E18" s="4" t="str">
        <f t="shared" si="1"/>
        <v>tank 2</v>
      </c>
      <c r="F18" s="4">
        <f t="shared" si="2"/>
        <v>4</v>
      </c>
      <c r="G18" s="4">
        <f t="shared" si="22"/>
        <v>1</v>
      </c>
      <c r="H18" s="11" cm="1">
        <f t="array" ref="H18">IFERROR(INDEX('Master Data Sheet'!$1:$1048576, MATCH(1, ('Master Data Sheet'!$H:$H=H$2) * (INDEX('Master Data Sheet'!$1:$1, , MATCH($F$1, 'Master Data Sheet'!$1:$1, 0)) = $F$1) * ('Master Data Sheet'!$G:$G=$B18) * ('Master Data Sheet'!$F:$F=$E18) * ('Master Data Sheet'!$A:$A=$F18), 0), MATCH($F$1, 'Master Data Sheet'!$1:$1, 0)), "")</f>
        <v>91.733333333333334</v>
      </c>
      <c r="I18" s="11" cm="1">
        <f t="array" ref="I18">IFERROR(INDEX('Master Data Sheet'!$1:$1048576, MATCH(1, ('Master Data Sheet'!$H:$H=I$2) * (INDEX('Master Data Sheet'!$1:$1, , MATCH($F$1, 'Master Data Sheet'!$1:$1, 0)) = $F$1) * ('Master Data Sheet'!$G:$G=$B18) * ('Master Data Sheet'!$F:$F=$E18) * ('Master Data Sheet'!$A:$A=$F18), 0), MATCH($F$1, 'Master Data Sheet'!$1:$1, 0)), "")</f>
        <v>40.399999999999991</v>
      </c>
      <c r="J18" s="11" cm="1">
        <f t="array" ref="J18">IFERROR(INDEX('Master Data Sheet'!$1:$1048576, MATCH(1, ('Master Data Sheet'!$H:$H=J$2) * (INDEX('Master Data Sheet'!$1:$1, , MATCH($F$1, 'Master Data Sheet'!$1:$1, 0)) = $F$1) * ('Master Data Sheet'!$G:$G=$B18) * ('Master Data Sheet'!$F:$F=$E18) * ('Master Data Sheet'!$A:$A=$F18), 0), MATCH($F$1, 'Master Data Sheet'!$1:$1, 0)), "")</f>
        <v>84.066666666666663</v>
      </c>
      <c r="K18" s="11" cm="1">
        <f t="array" ref="K18">IFERROR(INDEX('Master Data Sheet'!$1:$1048576, MATCH(1, ('Master Data Sheet'!$H:$H=K$2) * (INDEX('Master Data Sheet'!$1:$1, , MATCH($F$1, 'Master Data Sheet'!$1:$1, 0)) = $F$1) * ('Master Data Sheet'!$G:$G=$B18) * ('Master Data Sheet'!$F:$F=$E18) * ('Master Data Sheet'!$A:$A=$F18), 0), MATCH($F$1, 'Master Data Sheet'!$1:$1, 0)), "")</f>
        <v>67.066666666666663</v>
      </c>
      <c r="L18" s="11" cm="1">
        <f t="array" ref="L18">IFERROR(INDEX('Master Data Sheet'!$1:$1048576, MATCH(1, ('Master Data Sheet'!$H:$H=L$2) * (INDEX('Master Data Sheet'!$1:$1, , MATCH($F$1, 'Master Data Sheet'!$1:$1, 0)) = $F$1) * ('Master Data Sheet'!$G:$G=$B18) * ('Master Data Sheet'!$F:$F=$E18) * ('Master Data Sheet'!$A:$A=$F18), 0), MATCH($F$1, 'Master Data Sheet'!$1:$1, 0)), "")</f>
        <v>38.066666666666656</v>
      </c>
      <c r="M18" s="11" cm="1">
        <f t="array" ref="M18">IFERROR(INDEX('Master Data Sheet'!$1:$1048576, MATCH(1, ('Master Data Sheet'!$H:$H=M$2) * (INDEX('Master Data Sheet'!$1:$1, , MATCH($F$1, 'Master Data Sheet'!$1:$1, 0)) = $F$1) * ('Master Data Sheet'!$G:$G=$B18) * ('Master Data Sheet'!$F:$F=$E18) * ('Master Data Sheet'!$A:$A=$F18), 0), MATCH($F$1, 'Master Data Sheet'!$1:$1, 0)), "")</f>
        <v>25.066666666666645</v>
      </c>
      <c r="N18" s="11" cm="1">
        <f t="array" ref="N18">IFERROR(INDEX('Master Data Sheet'!$1:$1048576, MATCH(1, ('Master Data Sheet'!$H:$H=N$2) * (INDEX('Master Data Sheet'!$1:$1, , MATCH($F$1, 'Master Data Sheet'!$1:$1, 0)) = $F$1) * ('Master Data Sheet'!$G:$G=$B18) * ('Master Data Sheet'!$F:$F=$E18) * ('Master Data Sheet'!$A:$A=$F18), 0), MATCH($F$1, 'Master Data Sheet'!$1:$1, 0)), "")</f>
        <v>66.399999999999991</v>
      </c>
      <c r="O18" s="11">
        <f t="shared" si="8"/>
        <v>58.971428571428568</v>
      </c>
      <c r="P18" s="11">
        <f t="shared" si="4"/>
        <v>25.017559970514835</v>
      </c>
      <c r="Q18" s="11">
        <f>AVERAGE(N18:N20)</f>
        <v>43.844444444444434</v>
      </c>
      <c r="R18" s="46">
        <f>(1-(O18/O12))*100</f>
        <v>-2.1445067634444426</v>
      </c>
      <c r="S18" s="46">
        <f>AVERAGE(R18:R20)</f>
        <v>-2.2957368355006715</v>
      </c>
      <c r="T18" s="46">
        <f>STDEV(R18:R20)</f>
        <v>30.399858220030072</v>
      </c>
      <c r="U18" s="47">
        <f>(1-(AVERAGE(H18:N20)/AVERAGE(H12:N14)))*100</f>
        <v>2.0356591323880457</v>
      </c>
      <c r="V18" s="47"/>
      <c r="Y18" s="2"/>
      <c r="Z18" s="2"/>
      <c r="AA18" s="2"/>
      <c r="AB18" s="2"/>
      <c r="AC18" s="2"/>
      <c r="AD18" s="2"/>
      <c r="AE18" s="2"/>
      <c r="AF18" s="2"/>
      <c r="AG18" s="2"/>
    </row>
    <row r="19" spans="1:45" x14ac:dyDescent="0.35">
      <c r="A19" s="41">
        <f>IFERROR(INDEX('Date Key'!$B$2:$B$19, MATCH(F19,'Date Key'!$A$2:$A$19, 0)), "")</f>
        <v>45224</v>
      </c>
      <c r="B19" s="4">
        <f t="shared" si="15"/>
        <v>2</v>
      </c>
      <c r="C19" s="26" t="str">
        <f>IFERROR(INDEX('Date Key'!$G$57:$G$62, MATCH(B19,'Date Key'!$A$57:$A$62, 0)), "")</f>
        <v>Medium HLR, Lower Outlet Height, No Plants</v>
      </c>
      <c r="D19" s="4" t="str">
        <f>IFERROR(INDEX('Date Key'!$G$2:$G$19, MATCH(F19, 'Date Key'!$A$2:$A$19, 0)), "")</f>
        <v>No</v>
      </c>
      <c r="E19" s="4" t="str">
        <f t="shared" si="1"/>
        <v>tank 2</v>
      </c>
      <c r="F19" s="4">
        <f t="shared" si="2"/>
        <v>5</v>
      </c>
      <c r="G19" s="4">
        <f t="shared" si="22"/>
        <v>2</v>
      </c>
      <c r="H19" s="11" cm="1">
        <f t="array" ref="H19">IFERROR(INDEX('Master Data Sheet'!$1:$1048576, MATCH(1, ('Master Data Sheet'!$H:$H=H$2) * (INDEX('Master Data Sheet'!$1:$1, , MATCH($F$1, 'Master Data Sheet'!$1:$1, 0)) = $F$1) * ('Master Data Sheet'!$G:$G=$B19) * ('Master Data Sheet'!$F:$F=$E19) * ('Master Data Sheet'!$A:$A=$F19), 0), MATCH($F$1, 'Master Data Sheet'!$1:$1, 0)), "")</f>
        <v>60.73333333333332</v>
      </c>
      <c r="I19" s="11" cm="1">
        <f t="array" ref="I19">IFERROR(INDEX('Master Data Sheet'!$1:$1048576, MATCH(1, ('Master Data Sheet'!$H:$H=I$2) * (INDEX('Master Data Sheet'!$1:$1, , MATCH($F$1, 'Master Data Sheet'!$1:$1, 0)) = $F$1) * ('Master Data Sheet'!$G:$G=$B19) * ('Master Data Sheet'!$F:$F=$E19) * ('Master Data Sheet'!$A:$A=$F19), 0), MATCH($F$1, 'Master Data Sheet'!$1:$1, 0)), "")</f>
        <v>65.733333333333334</v>
      </c>
      <c r="J19" s="11" cm="1">
        <f t="array" ref="J19">IFERROR(INDEX('Master Data Sheet'!$1:$1048576, MATCH(1, ('Master Data Sheet'!$H:$H=J$2) * (INDEX('Master Data Sheet'!$1:$1, , MATCH($F$1, 'Master Data Sheet'!$1:$1, 0)) = $F$1) * ('Master Data Sheet'!$G:$G=$B19) * ('Master Data Sheet'!$F:$F=$E19) * ('Master Data Sheet'!$A:$A=$F19), 0), MATCH($F$1, 'Master Data Sheet'!$1:$1, 0)), "")</f>
        <v>41.733333333333327</v>
      </c>
      <c r="K19" s="11" cm="1">
        <f t="array" ref="K19">IFERROR(INDEX('Master Data Sheet'!$1:$1048576, MATCH(1, ('Master Data Sheet'!$H:$H=K$2) * (INDEX('Master Data Sheet'!$1:$1, , MATCH($F$1, 'Master Data Sheet'!$1:$1, 0)) = $F$1) * ('Master Data Sheet'!$G:$G=$B19) * ('Master Data Sheet'!$F:$F=$E19) * ('Master Data Sheet'!$A:$A=$F19), 0), MATCH($F$1, 'Master Data Sheet'!$1:$1, 0)), "")</f>
        <v>26.399999999999977</v>
      </c>
      <c r="L19" s="11" cm="1">
        <f t="array" ref="L19">IFERROR(INDEX('Master Data Sheet'!$1:$1048576, MATCH(1, ('Master Data Sheet'!$H:$H=L$2) * (INDEX('Master Data Sheet'!$1:$1, , MATCH($F$1, 'Master Data Sheet'!$1:$1, 0)) = $F$1) * ('Master Data Sheet'!$G:$G=$B19) * ('Master Data Sheet'!$F:$F=$E19) * ('Master Data Sheet'!$A:$A=$F19), 0), MATCH($F$1, 'Master Data Sheet'!$1:$1, 0)), "")</f>
        <v>30.066666666666649</v>
      </c>
      <c r="M19" s="11" cm="1">
        <f t="array" ref="M19">IFERROR(INDEX('Master Data Sheet'!$1:$1048576, MATCH(1, ('Master Data Sheet'!$H:$H=M$2) * (INDEX('Master Data Sheet'!$1:$1, , MATCH($F$1, 'Master Data Sheet'!$1:$1, 0)) = $F$1) * ('Master Data Sheet'!$G:$G=$B19) * ('Master Data Sheet'!$F:$F=$E19) * ('Master Data Sheet'!$A:$A=$F19), 0), MATCH($F$1, 'Master Data Sheet'!$1:$1, 0)), "")</f>
        <v>24.399999999999977</v>
      </c>
      <c r="N19" s="11" cm="1">
        <f t="array" ref="N19">IFERROR(INDEX('Master Data Sheet'!$1:$1048576, MATCH(1, ('Master Data Sheet'!$H:$H=N$2) * (INDEX('Master Data Sheet'!$1:$1, , MATCH($F$1, 'Master Data Sheet'!$1:$1, 0)) = $F$1) * ('Master Data Sheet'!$G:$G=$B19) * ('Master Data Sheet'!$F:$F=$E19) * ('Master Data Sheet'!$A:$A=$F19), 0), MATCH($F$1, 'Master Data Sheet'!$1:$1, 0)), "")</f>
        <v>23.733333333333309</v>
      </c>
      <c r="O19" s="11">
        <f t="shared" si="8"/>
        <v>38.971428571428554</v>
      </c>
      <c r="P19" s="11">
        <f t="shared" si="4"/>
        <v>17.697786308226249</v>
      </c>
      <c r="Q19" s="11"/>
      <c r="R19" s="46">
        <f>(1-(O19/O13))*100</f>
        <v>-32.770927968851417</v>
      </c>
      <c r="X19" t="str">
        <f>IFERROR(INDEX('Date Key'!$G$57:$G$62, MATCH(B18,'Date Key'!$A$57:$A$62, 0)), "")</f>
        <v>Medium HLR, Lower Outlet Height, No Plants</v>
      </c>
      <c r="Y19" s="1">
        <f t="shared" ref="Y19:AE19" si="23">H18</f>
        <v>91.733333333333334</v>
      </c>
      <c r="Z19" s="1">
        <f t="shared" si="23"/>
        <v>40.399999999999991</v>
      </c>
      <c r="AA19" s="1">
        <f t="shared" si="23"/>
        <v>84.066666666666663</v>
      </c>
      <c r="AB19" s="1">
        <f t="shared" si="23"/>
        <v>67.066666666666663</v>
      </c>
      <c r="AC19" s="1">
        <f t="shared" si="23"/>
        <v>38.066666666666656</v>
      </c>
      <c r="AD19" s="1">
        <f t="shared" si="23"/>
        <v>25.066666666666645</v>
      </c>
      <c r="AE19" s="1">
        <f t="shared" si="23"/>
        <v>66.399999999999991</v>
      </c>
      <c r="AF19" s="1">
        <f t="shared" ref="AF19:AL19" si="24">H19</f>
        <v>60.73333333333332</v>
      </c>
      <c r="AG19" s="1">
        <f t="shared" si="24"/>
        <v>65.733333333333334</v>
      </c>
      <c r="AH19" s="1">
        <f t="shared" si="24"/>
        <v>41.733333333333327</v>
      </c>
      <c r="AI19" s="1">
        <f t="shared" si="24"/>
        <v>26.399999999999977</v>
      </c>
      <c r="AJ19" s="1">
        <f t="shared" si="24"/>
        <v>30.066666666666649</v>
      </c>
      <c r="AK19" s="1">
        <f t="shared" si="24"/>
        <v>24.399999999999977</v>
      </c>
      <c r="AL19" s="1">
        <f t="shared" si="24"/>
        <v>23.733333333333309</v>
      </c>
      <c r="AM19" s="1">
        <f t="shared" ref="AM19:AS19" si="25">H20</f>
        <v>32.399999999999984</v>
      </c>
      <c r="AN19" s="1">
        <f t="shared" si="25"/>
        <v>22.066666666666642</v>
      </c>
      <c r="AO19" s="1">
        <f t="shared" si="25"/>
        <v>31.066666666666649</v>
      </c>
      <c r="AP19" s="1">
        <f t="shared" si="25"/>
        <v>39.399999999999991</v>
      </c>
      <c r="AQ19" s="1">
        <f t="shared" si="25"/>
        <v>40.733333333333327</v>
      </c>
      <c r="AR19" s="1">
        <f t="shared" si="25"/>
        <v>37.73333333333332</v>
      </c>
      <c r="AS19" s="1">
        <f t="shared" si="25"/>
        <v>41.399999999999991</v>
      </c>
    </row>
    <row r="20" spans="1:45" x14ac:dyDescent="0.35">
      <c r="A20" s="42">
        <f>IFERROR(INDEX('Date Key'!$B$2:$B$19, MATCH(F20,'Date Key'!$A$2:$A$19, 0)), "")</f>
        <v>45230</v>
      </c>
      <c r="B20" s="27">
        <f t="shared" si="15"/>
        <v>2</v>
      </c>
      <c r="C20" s="51" t="str">
        <f>IFERROR(INDEX('Date Key'!$G$57:$G$62, MATCH(B20,'Date Key'!$A$57:$A$62, 0)), "")</f>
        <v>Medium HLR, Lower Outlet Height, No Plants</v>
      </c>
      <c r="D20" s="27" t="str">
        <f>IFERROR(INDEX('Date Key'!$G$2:$G$19, MATCH(F20, 'Date Key'!$A$2:$A$19, 0)), "")</f>
        <v>Yes</v>
      </c>
      <c r="E20" s="27" t="str">
        <f t="shared" si="1"/>
        <v>tank 2</v>
      </c>
      <c r="F20" s="27">
        <f t="shared" si="2"/>
        <v>6</v>
      </c>
      <c r="G20" s="27">
        <f t="shared" si="22"/>
        <v>3</v>
      </c>
      <c r="H20" s="28" cm="1">
        <f t="array" ref="H20">IFERROR(INDEX('Master Data Sheet'!$1:$1048576, MATCH(1, ('Master Data Sheet'!$H:$H=H$2) * (INDEX('Master Data Sheet'!$1:$1, , MATCH($F$1, 'Master Data Sheet'!$1:$1, 0)) = $F$1) * ('Master Data Sheet'!$G:$G=$B20) * ('Master Data Sheet'!$F:$F=$E20) * ('Master Data Sheet'!$A:$A=$F20), 0), MATCH($F$1, 'Master Data Sheet'!$1:$1, 0)), "")</f>
        <v>32.399999999999984</v>
      </c>
      <c r="I20" s="28" cm="1">
        <f t="array" ref="I20">IFERROR(INDEX('Master Data Sheet'!$1:$1048576, MATCH(1, ('Master Data Sheet'!$H:$H=I$2) * (INDEX('Master Data Sheet'!$1:$1, , MATCH($F$1, 'Master Data Sheet'!$1:$1, 0)) = $F$1) * ('Master Data Sheet'!$G:$G=$B20) * ('Master Data Sheet'!$F:$F=$E20) * ('Master Data Sheet'!$A:$A=$F20), 0), MATCH($F$1, 'Master Data Sheet'!$1:$1, 0)), "")</f>
        <v>22.066666666666642</v>
      </c>
      <c r="J20" s="28" cm="1">
        <f t="array" ref="J20">IFERROR(INDEX('Master Data Sheet'!$1:$1048576, MATCH(1, ('Master Data Sheet'!$H:$H=J$2) * (INDEX('Master Data Sheet'!$1:$1, , MATCH($F$1, 'Master Data Sheet'!$1:$1, 0)) = $F$1) * ('Master Data Sheet'!$G:$G=$B20) * ('Master Data Sheet'!$F:$F=$E20) * ('Master Data Sheet'!$A:$A=$F20), 0), MATCH($F$1, 'Master Data Sheet'!$1:$1, 0)), "")</f>
        <v>31.066666666666649</v>
      </c>
      <c r="K20" s="28" cm="1">
        <f t="array" ref="K20">IFERROR(INDEX('Master Data Sheet'!$1:$1048576, MATCH(1, ('Master Data Sheet'!$H:$H=K$2) * (INDEX('Master Data Sheet'!$1:$1, , MATCH($F$1, 'Master Data Sheet'!$1:$1, 0)) = $F$1) * ('Master Data Sheet'!$G:$G=$B20) * ('Master Data Sheet'!$F:$F=$E20) * ('Master Data Sheet'!$A:$A=$F20), 0), MATCH($F$1, 'Master Data Sheet'!$1:$1, 0)), "")</f>
        <v>39.399999999999991</v>
      </c>
      <c r="L20" s="28" cm="1">
        <f t="array" ref="L20">IFERROR(INDEX('Master Data Sheet'!$1:$1048576, MATCH(1, ('Master Data Sheet'!$H:$H=L$2) * (INDEX('Master Data Sheet'!$1:$1, , MATCH($F$1, 'Master Data Sheet'!$1:$1, 0)) = $F$1) * ('Master Data Sheet'!$G:$G=$B20) * ('Master Data Sheet'!$F:$F=$E20) * ('Master Data Sheet'!$A:$A=$F20), 0), MATCH($F$1, 'Master Data Sheet'!$1:$1, 0)), "")</f>
        <v>40.733333333333327</v>
      </c>
      <c r="M20" s="28" cm="1">
        <f t="array" ref="M20">IFERROR(INDEX('Master Data Sheet'!$1:$1048576, MATCH(1, ('Master Data Sheet'!$H:$H=M$2) * (INDEX('Master Data Sheet'!$1:$1, , MATCH($F$1, 'Master Data Sheet'!$1:$1, 0)) = $F$1) * ('Master Data Sheet'!$G:$G=$B20) * ('Master Data Sheet'!$F:$F=$E20) * ('Master Data Sheet'!$A:$A=$F20), 0), MATCH($F$1, 'Master Data Sheet'!$1:$1, 0)), "")</f>
        <v>37.73333333333332</v>
      </c>
      <c r="N20" s="28" cm="1">
        <f t="array" ref="N20">IFERROR(INDEX('Master Data Sheet'!$1:$1048576, MATCH(1, ('Master Data Sheet'!$H:$H=N$2) * (INDEX('Master Data Sheet'!$1:$1, , MATCH($F$1, 'Master Data Sheet'!$1:$1, 0)) = $F$1) * ('Master Data Sheet'!$G:$G=$B20) * ('Master Data Sheet'!$F:$F=$E20) * ('Master Data Sheet'!$A:$A=$F20), 0), MATCH($F$1, 'Master Data Sheet'!$1:$1, 0)), "")</f>
        <v>41.399999999999991</v>
      </c>
      <c r="O20" s="28">
        <f t="shared" si="8"/>
        <v>34.971428571428554</v>
      </c>
      <c r="P20" s="28">
        <f t="shared" si="4"/>
        <v>6.9541202434088145</v>
      </c>
      <c r="Q20" s="28"/>
      <c r="R20" s="48">
        <f>(1-(O20/O14))*100</f>
        <v>28.028224225793842</v>
      </c>
      <c r="S20" s="27"/>
      <c r="T20" s="27"/>
      <c r="U20" s="27"/>
      <c r="V20" s="27"/>
    </row>
    <row r="21" spans="1:45" x14ac:dyDescent="0.35">
      <c r="A21" s="41">
        <f>IFERROR(INDEX('Date Key'!$B$2:$B$19, MATCH(F21,'Date Key'!$A$2:$A$19, 0)), "")</f>
        <v>45233</v>
      </c>
      <c r="B21" s="4">
        <f t="shared" si="15"/>
        <v>3</v>
      </c>
      <c r="C21" s="26" t="str">
        <f>IFERROR(INDEX('Date Key'!$G$57:$G$62, MATCH(B21,'Date Key'!$A$57:$A$62, 0)), "")</f>
        <v>High HLR, Lower Outlet Height, No Plants</v>
      </c>
      <c r="D21" s="4" t="str">
        <f>IFERROR(INDEX('Date Key'!$G$2:$G$19, MATCH(F21, 'Date Key'!$A$2:$A$19, 0)), "")</f>
        <v>No</v>
      </c>
      <c r="E21" s="4" t="str">
        <f t="shared" si="1"/>
        <v>in</v>
      </c>
      <c r="F21" s="4">
        <f t="shared" si="2"/>
        <v>7</v>
      </c>
      <c r="G21" s="4">
        <f t="shared" si="22"/>
        <v>1</v>
      </c>
      <c r="H21" s="11" cm="1">
        <f t="array" ref="H21">IFERROR(INDEX('Master Data Sheet'!$1:$1048576, MATCH(1, ('Master Data Sheet'!$H:$H=H$2) * (INDEX('Master Data Sheet'!$1:$1, , MATCH($F$1, 'Master Data Sheet'!$1:$1, 0)) = $F$1) * ('Master Data Sheet'!$G:$G=$B21) * ('Master Data Sheet'!$F:$F=$E21) * ('Master Data Sheet'!$A:$A=$F21), 0), MATCH($F$1, 'Master Data Sheet'!$1:$1, 0)), "")</f>
        <v>30.066666666666649</v>
      </c>
      <c r="I21" s="11" cm="1">
        <f t="array" ref="I21">IFERROR(INDEX('Master Data Sheet'!$1:$1048576, MATCH(1, ('Master Data Sheet'!$H:$H=I$2) * (INDEX('Master Data Sheet'!$1:$1, , MATCH($F$1, 'Master Data Sheet'!$1:$1, 0)) = $F$1) * ('Master Data Sheet'!$G:$G=$B21) * ('Master Data Sheet'!$F:$F=$E21) * ('Master Data Sheet'!$A:$A=$F21), 0), MATCH($F$1, 'Master Data Sheet'!$1:$1, 0)), "")</f>
        <v>26.066666666666645</v>
      </c>
      <c r="J21" s="11" cm="1">
        <f t="array" ref="J21">IFERROR(INDEX('Master Data Sheet'!$1:$1048576, MATCH(1, ('Master Data Sheet'!$H:$H=J$2) * (INDEX('Master Data Sheet'!$1:$1, , MATCH($F$1, 'Master Data Sheet'!$1:$1, 0)) = $F$1) * ('Master Data Sheet'!$G:$G=$B21) * ('Master Data Sheet'!$F:$F=$E21) * ('Master Data Sheet'!$A:$A=$F21), 0), MATCH($F$1, 'Master Data Sheet'!$1:$1, 0)), "")</f>
        <v>21.399999999999974</v>
      </c>
      <c r="K21" s="11" cm="1">
        <f t="array" ref="K21">IFERROR(INDEX('Master Data Sheet'!$1:$1048576, MATCH(1, ('Master Data Sheet'!$H:$H=K$2) * (INDEX('Master Data Sheet'!$1:$1, , MATCH($F$1, 'Master Data Sheet'!$1:$1, 0)) = $F$1) * ('Master Data Sheet'!$G:$G=$B21) * ('Master Data Sheet'!$F:$F=$E21) * ('Master Data Sheet'!$A:$A=$F21), 0), MATCH($F$1, 'Master Data Sheet'!$1:$1, 0)), "")</f>
        <v>28.399999999999981</v>
      </c>
      <c r="L21" s="11" cm="1">
        <f t="array" ref="L21">IFERROR(INDEX('Master Data Sheet'!$1:$1048576, MATCH(1, ('Master Data Sheet'!$H:$H=L$2) * (INDEX('Master Data Sheet'!$1:$1, , MATCH($F$1, 'Master Data Sheet'!$1:$1, 0)) = $F$1) * ('Master Data Sheet'!$G:$G=$B21) * ('Master Data Sheet'!$F:$F=$E21) * ('Master Data Sheet'!$A:$A=$F21), 0), MATCH($F$1, 'Master Data Sheet'!$1:$1, 0)), "")</f>
        <v>30.733333333333317</v>
      </c>
      <c r="M21" s="11" cm="1">
        <f t="array" ref="M21">IFERROR(INDEX('Master Data Sheet'!$1:$1048576, MATCH(1, ('Master Data Sheet'!$H:$H=M$2) * (INDEX('Master Data Sheet'!$1:$1, , MATCH($F$1, 'Master Data Sheet'!$1:$1, 0)) = $F$1) * ('Master Data Sheet'!$G:$G=$B21) * ('Master Data Sheet'!$F:$F=$E21) * ('Master Data Sheet'!$A:$A=$F21), 0), MATCH($F$1, 'Master Data Sheet'!$1:$1, 0)), "")</f>
        <v>29.399999999999981</v>
      </c>
      <c r="N21" s="11" cm="1">
        <f t="array" ref="N21">IFERROR(INDEX('Master Data Sheet'!$1:$1048576, MATCH(1, ('Master Data Sheet'!$H:$H=N$2) * (INDEX('Master Data Sheet'!$1:$1, , MATCH($F$1, 'Master Data Sheet'!$1:$1, 0)) = $F$1) * ('Master Data Sheet'!$G:$G=$B21) * ('Master Data Sheet'!$F:$F=$E21) * ('Master Data Sheet'!$A:$A=$F21), 0), MATCH($F$1, 'Master Data Sheet'!$1:$1, 0)), "")</f>
        <v>32.73333333333332</v>
      </c>
      <c r="O21" s="11">
        <f t="shared" si="8"/>
        <v>28.399999999999981</v>
      </c>
      <c r="P21" s="11">
        <f t="shared" si="4"/>
        <v>3.7068505150249482</v>
      </c>
      <c r="Q21" s="11">
        <f>AVERAGE(O21:O23)</f>
        <v>29.542857142857127</v>
      </c>
      <c r="S21" s="11">
        <f>AVERAGE(O21:O23)</f>
        <v>29.542857142857127</v>
      </c>
      <c r="T21" s="11">
        <f>AVERAGE(P21:P23)</f>
        <v>4.2817219754310614</v>
      </c>
      <c r="V21" s="47">
        <f>AVERAGE(U24, U27)</f>
        <v>2.8207607994841846</v>
      </c>
      <c r="X21" t="s">
        <v>343</v>
      </c>
    </row>
    <row r="22" spans="1:45" x14ac:dyDescent="0.35">
      <c r="A22" s="41">
        <f>IFERROR(INDEX('Date Key'!$B$2:$B$19, MATCH(F22,'Date Key'!$A$2:$A$19, 0)), "")</f>
        <v>45238</v>
      </c>
      <c r="B22" s="4">
        <f t="shared" si="15"/>
        <v>3</v>
      </c>
      <c r="C22" s="26" t="str">
        <f>IFERROR(INDEX('Date Key'!$G$57:$G$62, MATCH(B22,'Date Key'!$A$57:$A$62, 0)), "")</f>
        <v>High HLR, Lower Outlet Height, No Plants</v>
      </c>
      <c r="D22" s="4" t="str">
        <f>IFERROR(INDEX('Date Key'!$G$2:$G$19, MATCH(F22, 'Date Key'!$A$2:$A$19, 0)), "")</f>
        <v>No</v>
      </c>
      <c r="E22" s="4" t="str">
        <f t="shared" si="1"/>
        <v>in</v>
      </c>
      <c r="F22" s="4">
        <f t="shared" si="2"/>
        <v>8</v>
      </c>
      <c r="G22" s="4">
        <f t="shared" si="22"/>
        <v>2</v>
      </c>
      <c r="H22" s="11" cm="1">
        <f t="array" ref="H22">IFERROR(INDEX('Master Data Sheet'!$1:$1048576, MATCH(1, ('Master Data Sheet'!$H:$H=H$2) * (INDEX('Master Data Sheet'!$1:$1, , MATCH($F$1, 'Master Data Sheet'!$1:$1, 0)) = $F$1) * ('Master Data Sheet'!$G:$G=$B22) * ('Master Data Sheet'!$F:$F=$E22) * ('Master Data Sheet'!$A:$A=$F22), 0), MATCH($F$1, 'Master Data Sheet'!$1:$1, 0)), "")</f>
        <v>13.06666666666667</v>
      </c>
      <c r="I22" s="11" cm="1">
        <f t="array" ref="I22">IFERROR(INDEX('Master Data Sheet'!$1:$1048576, MATCH(1, ('Master Data Sheet'!$H:$H=I$2) * (INDEX('Master Data Sheet'!$1:$1, , MATCH($F$1, 'Master Data Sheet'!$1:$1, 0)) = $F$1) * ('Master Data Sheet'!$G:$G=$B22) * ('Master Data Sheet'!$F:$F=$E22) * ('Master Data Sheet'!$A:$A=$F22), 0), MATCH($F$1, 'Master Data Sheet'!$1:$1, 0)), "")</f>
        <v>20.733333333333306</v>
      </c>
      <c r="J22" s="11" cm="1">
        <f t="array" ref="J22">IFERROR(INDEX('Master Data Sheet'!$1:$1048576, MATCH(1, ('Master Data Sheet'!$H:$H=J$2) * (INDEX('Master Data Sheet'!$1:$1, , MATCH($F$1, 'Master Data Sheet'!$1:$1, 0)) = $F$1) * ('Master Data Sheet'!$G:$G=$B22) * ('Master Data Sheet'!$F:$F=$E22) * ('Master Data Sheet'!$A:$A=$F22), 0), MATCH($F$1, 'Master Data Sheet'!$1:$1, 0)), "")</f>
        <v>21.066666666666642</v>
      </c>
      <c r="K22" s="11" cm="1">
        <f t="array" ref="K22">IFERROR(INDEX('Master Data Sheet'!$1:$1048576, MATCH(1, ('Master Data Sheet'!$H:$H=K$2) * (INDEX('Master Data Sheet'!$1:$1, , MATCH($F$1, 'Master Data Sheet'!$1:$1, 0)) = $F$1) * ('Master Data Sheet'!$G:$G=$B22) * ('Master Data Sheet'!$F:$F=$E22) * ('Master Data Sheet'!$A:$A=$F22), 0), MATCH($F$1, 'Master Data Sheet'!$1:$1, 0)), "")</f>
        <v>22.733333333333309</v>
      </c>
      <c r="L22" s="11" cm="1">
        <f t="array" ref="L22">IFERROR(INDEX('Master Data Sheet'!$1:$1048576, MATCH(1, ('Master Data Sheet'!$H:$H=L$2) * (INDEX('Master Data Sheet'!$1:$1, , MATCH($F$1, 'Master Data Sheet'!$1:$1, 0)) = $F$1) * ('Master Data Sheet'!$G:$G=$B22) * ('Master Data Sheet'!$F:$F=$E22) * ('Master Data Sheet'!$A:$A=$F22), 0), MATCH($F$1, 'Master Data Sheet'!$1:$1, 0)), "")</f>
        <v>28.733333333333313</v>
      </c>
      <c r="M22" s="11" cm="1">
        <f t="array" ref="M22">IFERROR(INDEX('Master Data Sheet'!$1:$1048576, MATCH(1, ('Master Data Sheet'!$H:$H=M$2) * (INDEX('Master Data Sheet'!$1:$1, , MATCH($F$1, 'Master Data Sheet'!$1:$1, 0)) = $F$1) * ('Master Data Sheet'!$G:$G=$B22) * ('Master Data Sheet'!$F:$F=$E22) * ('Master Data Sheet'!$A:$A=$F22), 0), MATCH($F$1, 'Master Data Sheet'!$1:$1, 0)), "")</f>
        <v>29.399999999999981</v>
      </c>
      <c r="N22" s="11" cm="1">
        <f t="array" ref="N22">IFERROR(INDEX('Master Data Sheet'!$1:$1048576, MATCH(1, ('Master Data Sheet'!$H:$H=N$2) * (INDEX('Master Data Sheet'!$1:$1, , MATCH($F$1, 'Master Data Sheet'!$1:$1, 0)) = $F$1) * ('Master Data Sheet'!$G:$G=$B22) * ('Master Data Sheet'!$F:$F=$E22) * ('Master Data Sheet'!$A:$A=$F22), 0), MATCH($F$1, 'Master Data Sheet'!$1:$1, 0)), "")</f>
        <v>36.066666666666656</v>
      </c>
      <c r="O22" s="11">
        <f t="shared" si="8"/>
        <v>24.542857142857123</v>
      </c>
      <c r="P22" s="11">
        <f t="shared" si="4"/>
        <v>7.4780100909690548</v>
      </c>
      <c r="Q22" s="11"/>
      <c r="X22" t="str">
        <f>IFERROR(INDEX('Date Key'!$G$57:$G$62, MATCH(B21,'Date Key'!$A$57:$A$62, 0)), "")</f>
        <v>High HLR, Lower Outlet Height, No Plants</v>
      </c>
      <c r="Y22" s="1">
        <f t="shared" ref="Y22:AE22" si="26">H21</f>
        <v>30.066666666666649</v>
      </c>
      <c r="Z22" s="1">
        <f t="shared" si="26"/>
        <v>26.066666666666645</v>
      </c>
      <c r="AA22" s="1">
        <f t="shared" si="26"/>
        <v>21.399999999999974</v>
      </c>
      <c r="AB22" s="1">
        <f t="shared" si="26"/>
        <v>28.399999999999981</v>
      </c>
      <c r="AC22" s="1">
        <f t="shared" si="26"/>
        <v>30.733333333333317</v>
      </c>
      <c r="AD22" s="1">
        <f t="shared" si="26"/>
        <v>29.399999999999981</v>
      </c>
      <c r="AE22" s="1">
        <f t="shared" si="26"/>
        <v>32.73333333333332</v>
      </c>
      <c r="AF22" s="1">
        <f t="shared" ref="AF22:AL22" si="27">H22</f>
        <v>13.06666666666667</v>
      </c>
      <c r="AG22" s="1">
        <f t="shared" si="27"/>
        <v>20.733333333333306</v>
      </c>
      <c r="AH22" s="1">
        <f t="shared" si="27"/>
        <v>21.066666666666642</v>
      </c>
      <c r="AI22" s="1">
        <f t="shared" si="27"/>
        <v>22.733333333333309</v>
      </c>
      <c r="AJ22" s="1">
        <f t="shared" si="27"/>
        <v>28.733333333333313</v>
      </c>
      <c r="AK22" s="1">
        <f t="shared" si="27"/>
        <v>29.399999999999981</v>
      </c>
      <c r="AL22" s="1">
        <f t="shared" si="27"/>
        <v>36.066666666666656</v>
      </c>
      <c r="AM22" s="1">
        <f t="shared" ref="AM22:AS22" si="28">H23</f>
        <v>38.73333333333332</v>
      </c>
      <c r="AN22" s="1">
        <f t="shared" si="28"/>
        <v>34.066666666666649</v>
      </c>
      <c r="AO22" s="1">
        <f t="shared" si="28"/>
        <v>34.73333333333332</v>
      </c>
      <c r="AP22" s="1">
        <f t="shared" si="28"/>
        <v>34.399999999999984</v>
      </c>
      <c r="AQ22" s="1">
        <f t="shared" si="28"/>
        <v>35.399999999999984</v>
      </c>
      <c r="AR22" s="1">
        <f t="shared" si="28"/>
        <v>35.399999999999984</v>
      </c>
      <c r="AS22" s="1">
        <f t="shared" si="28"/>
        <v>37.066666666666656</v>
      </c>
    </row>
    <row r="23" spans="1:45" x14ac:dyDescent="0.35">
      <c r="A23" s="41">
        <f>IFERROR(INDEX('Date Key'!$B$2:$B$19, MATCH(F23,'Date Key'!$A$2:$A$19, 0)), "")</f>
        <v>45246</v>
      </c>
      <c r="B23" s="4">
        <f t="shared" si="15"/>
        <v>3</v>
      </c>
      <c r="C23" s="26" t="str">
        <f>IFERROR(INDEX('Date Key'!$G$57:$G$62, MATCH(B23,'Date Key'!$A$57:$A$62, 0)), "")</f>
        <v>High HLR, Lower Outlet Height, No Plants</v>
      </c>
      <c r="D23" s="4" t="str">
        <f>IFERROR(INDEX('Date Key'!$G$2:$G$19, MATCH(F23, 'Date Key'!$A$2:$A$19, 0)), "")</f>
        <v>Yes</v>
      </c>
      <c r="E23" s="4" t="str">
        <f t="shared" si="1"/>
        <v>in</v>
      </c>
      <c r="F23" s="4">
        <f t="shared" si="2"/>
        <v>9</v>
      </c>
      <c r="G23" s="4">
        <f t="shared" si="22"/>
        <v>3</v>
      </c>
      <c r="H23" s="11" cm="1">
        <f t="array" ref="H23">IFERROR(INDEX('Master Data Sheet'!$1:$1048576, MATCH(1, ('Master Data Sheet'!$H:$H=H$2) * (INDEX('Master Data Sheet'!$1:$1, , MATCH($F$1, 'Master Data Sheet'!$1:$1, 0)) = $F$1) * ('Master Data Sheet'!$G:$G=$B23) * ('Master Data Sheet'!$F:$F=$E23) * ('Master Data Sheet'!$A:$A=$F23), 0), MATCH($F$1, 'Master Data Sheet'!$1:$1, 0)), "")</f>
        <v>38.73333333333332</v>
      </c>
      <c r="I23" s="11" cm="1">
        <f t="array" ref="I23">IFERROR(INDEX('Master Data Sheet'!$1:$1048576, MATCH(1, ('Master Data Sheet'!$H:$H=I$2) * (INDEX('Master Data Sheet'!$1:$1, , MATCH($F$1, 'Master Data Sheet'!$1:$1, 0)) = $F$1) * ('Master Data Sheet'!$G:$G=$B23) * ('Master Data Sheet'!$F:$F=$E23) * ('Master Data Sheet'!$A:$A=$F23), 0), MATCH($F$1, 'Master Data Sheet'!$1:$1, 0)), "")</f>
        <v>34.066666666666649</v>
      </c>
      <c r="J23" s="11" cm="1">
        <f t="array" ref="J23">IFERROR(INDEX('Master Data Sheet'!$1:$1048576, MATCH(1, ('Master Data Sheet'!$H:$H=J$2) * (INDEX('Master Data Sheet'!$1:$1, , MATCH($F$1, 'Master Data Sheet'!$1:$1, 0)) = $F$1) * ('Master Data Sheet'!$G:$G=$B23) * ('Master Data Sheet'!$F:$F=$E23) * ('Master Data Sheet'!$A:$A=$F23), 0), MATCH($F$1, 'Master Data Sheet'!$1:$1, 0)), "")</f>
        <v>34.73333333333332</v>
      </c>
      <c r="K23" s="11" cm="1">
        <f t="array" ref="K23">IFERROR(INDEX('Master Data Sheet'!$1:$1048576, MATCH(1, ('Master Data Sheet'!$H:$H=K$2) * (INDEX('Master Data Sheet'!$1:$1, , MATCH($F$1, 'Master Data Sheet'!$1:$1, 0)) = $F$1) * ('Master Data Sheet'!$G:$G=$B23) * ('Master Data Sheet'!$F:$F=$E23) * ('Master Data Sheet'!$A:$A=$F23), 0), MATCH($F$1, 'Master Data Sheet'!$1:$1, 0)), "")</f>
        <v>34.399999999999984</v>
      </c>
      <c r="L23" s="11" cm="1">
        <f t="array" ref="L23">IFERROR(INDEX('Master Data Sheet'!$1:$1048576, MATCH(1, ('Master Data Sheet'!$H:$H=L$2) * (INDEX('Master Data Sheet'!$1:$1, , MATCH($F$1, 'Master Data Sheet'!$1:$1, 0)) = $F$1) * ('Master Data Sheet'!$G:$G=$B23) * ('Master Data Sheet'!$F:$F=$E23) * ('Master Data Sheet'!$A:$A=$F23), 0), MATCH($F$1, 'Master Data Sheet'!$1:$1, 0)), "")</f>
        <v>35.399999999999984</v>
      </c>
      <c r="M23" s="11" cm="1">
        <f t="array" ref="M23">IFERROR(INDEX('Master Data Sheet'!$1:$1048576, MATCH(1, ('Master Data Sheet'!$H:$H=M$2) * (INDEX('Master Data Sheet'!$1:$1, , MATCH($F$1, 'Master Data Sheet'!$1:$1, 0)) = $F$1) * ('Master Data Sheet'!$G:$G=$B23) * ('Master Data Sheet'!$F:$F=$E23) * ('Master Data Sheet'!$A:$A=$F23), 0), MATCH($F$1, 'Master Data Sheet'!$1:$1, 0)), "")</f>
        <v>35.399999999999984</v>
      </c>
      <c r="N23" s="11" cm="1">
        <f t="array" ref="N23">IFERROR(INDEX('Master Data Sheet'!$1:$1048576, MATCH(1, ('Master Data Sheet'!$H:$H=N$2) * (INDEX('Master Data Sheet'!$1:$1, , MATCH($F$1, 'Master Data Sheet'!$1:$1, 0)) = $F$1) * ('Master Data Sheet'!$G:$G=$B23) * ('Master Data Sheet'!$F:$F=$E23) * ('Master Data Sheet'!$A:$A=$F23), 0), MATCH($F$1, 'Master Data Sheet'!$1:$1, 0)), "")</f>
        <v>37.066666666666656</v>
      </c>
      <c r="O23" s="11">
        <f t="shared" si="8"/>
        <v>35.685714285714269</v>
      </c>
      <c r="P23" s="11">
        <f t="shared" si="4"/>
        <v>1.6603053202991795</v>
      </c>
      <c r="Q23" s="11"/>
      <c r="Y23" s="1"/>
      <c r="Z23" s="1"/>
      <c r="AA23" s="1"/>
      <c r="AB23" s="1"/>
      <c r="AC23" s="1"/>
      <c r="AD23" s="1"/>
      <c r="AE23" s="1"/>
      <c r="AF23" s="1"/>
      <c r="AG23" s="1"/>
      <c r="AH23" s="1"/>
      <c r="AI23" s="1"/>
      <c r="AJ23" s="1"/>
      <c r="AK23" s="1"/>
      <c r="AL23" s="1"/>
      <c r="AM23" s="1"/>
      <c r="AN23" s="1"/>
      <c r="AO23" s="1"/>
      <c r="AP23" s="1"/>
      <c r="AQ23" s="1"/>
      <c r="AR23" s="1"/>
      <c r="AS23" s="1"/>
    </row>
    <row r="24" spans="1:45" x14ac:dyDescent="0.35">
      <c r="A24" s="41">
        <f>IFERROR(INDEX('Date Key'!$B$2:$B$19, MATCH(F24,'Date Key'!$A$2:$A$19, 0)), "")</f>
        <v>45233</v>
      </c>
      <c r="B24" s="4">
        <f t="shared" si="15"/>
        <v>3</v>
      </c>
      <c r="C24" s="26" t="str">
        <f>IFERROR(INDEX('Date Key'!$G$57:$G$62, MATCH(B24,'Date Key'!$A$57:$A$62, 0)), "")</f>
        <v>High HLR, Lower Outlet Height, No Plants</v>
      </c>
      <c r="D24" s="4" t="str">
        <f>IFERROR(INDEX('Date Key'!$G$2:$G$19, MATCH(F24, 'Date Key'!$A$2:$A$19, 0)), "")</f>
        <v>No</v>
      </c>
      <c r="E24" s="4" t="str">
        <f t="shared" si="1"/>
        <v>tank 1</v>
      </c>
      <c r="F24" s="4">
        <f t="shared" si="2"/>
        <v>7</v>
      </c>
      <c r="G24" s="4">
        <f t="shared" si="22"/>
        <v>1</v>
      </c>
      <c r="H24" s="11" cm="1">
        <f t="array" ref="H24">IFERROR(INDEX('Master Data Sheet'!$1:$1048576, MATCH(1, ('Master Data Sheet'!$H:$H=H$2) * (INDEX('Master Data Sheet'!$1:$1, , MATCH($F$1, 'Master Data Sheet'!$1:$1, 0)) = $F$1) * ('Master Data Sheet'!$G:$G=$B24) * ('Master Data Sheet'!$F:$F=$E24) * ('Master Data Sheet'!$A:$A=$F24), 0), MATCH($F$1, 'Master Data Sheet'!$1:$1, 0)), "")</f>
        <v>27.399999999999981</v>
      </c>
      <c r="I24" s="11" cm="1">
        <f t="array" ref="I24">IFERROR(INDEX('Master Data Sheet'!$1:$1048576, MATCH(1, ('Master Data Sheet'!$H:$H=I$2) * (INDEX('Master Data Sheet'!$1:$1, , MATCH($F$1, 'Master Data Sheet'!$1:$1, 0)) = $F$1) * ('Master Data Sheet'!$G:$G=$B24) * ('Master Data Sheet'!$F:$F=$E24) * ('Master Data Sheet'!$A:$A=$F24), 0), MATCH($F$1, 'Master Data Sheet'!$1:$1, 0)), "")</f>
        <v>22.399999999999974</v>
      </c>
      <c r="J24" s="11" cm="1">
        <f t="array" ref="J24">IFERROR(INDEX('Master Data Sheet'!$1:$1048576, MATCH(1, ('Master Data Sheet'!$H:$H=J$2) * (INDEX('Master Data Sheet'!$1:$1, , MATCH($F$1, 'Master Data Sheet'!$1:$1, 0)) = $F$1) * ('Master Data Sheet'!$G:$G=$B24) * ('Master Data Sheet'!$F:$F=$E24) * ('Master Data Sheet'!$A:$A=$F24), 0), MATCH($F$1, 'Master Data Sheet'!$1:$1, 0)), "")</f>
        <v>23.399999999999977</v>
      </c>
      <c r="K24" s="11" cm="1">
        <f t="array" ref="K24">IFERROR(INDEX('Master Data Sheet'!$1:$1048576, MATCH(1, ('Master Data Sheet'!$H:$H=K$2) * (INDEX('Master Data Sheet'!$1:$1, , MATCH($F$1, 'Master Data Sheet'!$1:$1, 0)) = $F$1) * ('Master Data Sheet'!$G:$G=$B24) * ('Master Data Sheet'!$F:$F=$E24) * ('Master Data Sheet'!$A:$A=$F24), 0), MATCH($F$1, 'Master Data Sheet'!$1:$1, 0)), "")</f>
        <v>21.4</v>
      </c>
      <c r="L24" s="11" cm="1">
        <f t="array" ref="L24">IFERROR(INDEX('Master Data Sheet'!$1:$1048576, MATCH(1, ('Master Data Sheet'!$H:$H=L$2) * (INDEX('Master Data Sheet'!$1:$1, , MATCH($F$1, 'Master Data Sheet'!$1:$1, 0)) = $F$1) * ('Master Data Sheet'!$G:$G=$B24) * ('Master Data Sheet'!$F:$F=$E24) * ('Master Data Sheet'!$A:$A=$F24), 0), MATCH($F$1, 'Master Data Sheet'!$1:$1, 0)), "")</f>
        <v>23.066666666666642</v>
      </c>
      <c r="M24" s="11" cm="1">
        <f t="array" ref="M24">IFERROR(INDEX('Master Data Sheet'!$1:$1048576, MATCH(1, ('Master Data Sheet'!$H:$H=M$2) * (INDEX('Master Data Sheet'!$1:$1, , MATCH($F$1, 'Master Data Sheet'!$1:$1, 0)) = $F$1) * ('Master Data Sheet'!$G:$G=$B24) * ('Master Data Sheet'!$F:$F=$E24) * ('Master Data Sheet'!$A:$A=$F24), 0), MATCH($F$1, 'Master Data Sheet'!$1:$1, 0)), "")</f>
        <v>25.733333333333313</v>
      </c>
      <c r="N24" s="11" cm="1">
        <f t="array" ref="N24">IFERROR(INDEX('Master Data Sheet'!$1:$1048576, MATCH(1, ('Master Data Sheet'!$H:$H=N$2) * (INDEX('Master Data Sheet'!$1:$1, , MATCH($F$1, 'Master Data Sheet'!$1:$1, 0)) = $F$1) * ('Master Data Sheet'!$G:$G=$B24) * ('Master Data Sheet'!$F:$F=$E24) * ('Master Data Sheet'!$A:$A=$F24), 0), MATCH($F$1, 'Master Data Sheet'!$1:$1, 0)), "")</f>
        <v>22.399999999999974</v>
      </c>
      <c r="O24" s="11">
        <f t="shared" si="8"/>
        <v>23.685714285714266</v>
      </c>
      <c r="P24" s="11">
        <f t="shared" si="4"/>
        <v>2.1206967009345044</v>
      </c>
      <c r="Q24" s="11">
        <f>AVERAGE(O24:O26)</f>
        <v>24.685714285714269</v>
      </c>
      <c r="R24" s="46">
        <f>(1-(O24/O21))*100</f>
        <v>16.599597585513092</v>
      </c>
      <c r="S24" s="46">
        <f>AVERAGE(R24:R26)</f>
        <v>15.629130033749538</v>
      </c>
      <c r="T24" s="46">
        <f>STDEV(R24:R26)</f>
        <v>6.6600795304369518</v>
      </c>
      <c r="U24" s="47">
        <f>(1-(AVERAGE(H24:N26)/AVERAGE(H21:N23)))*100</f>
        <v>16.44100580270792</v>
      </c>
      <c r="V24" s="47"/>
      <c r="Y24" s="2"/>
      <c r="Z24" s="2"/>
      <c r="AA24" s="2"/>
      <c r="AB24" s="2"/>
      <c r="AC24" s="2"/>
      <c r="AD24" s="2"/>
      <c r="AE24" s="2"/>
      <c r="AF24" s="2"/>
      <c r="AG24" s="2"/>
    </row>
    <row r="25" spans="1:45" x14ac:dyDescent="0.35">
      <c r="A25" s="41">
        <f>IFERROR(INDEX('Date Key'!$B$2:$B$19, MATCH(F25,'Date Key'!$A$2:$A$19, 0)), "")</f>
        <v>45238</v>
      </c>
      <c r="B25" s="4">
        <f t="shared" si="15"/>
        <v>3</v>
      </c>
      <c r="C25" s="26" t="str">
        <f>IFERROR(INDEX('Date Key'!$G$57:$G$62, MATCH(B25,'Date Key'!$A$57:$A$62, 0)), "")</f>
        <v>High HLR, Lower Outlet Height, No Plants</v>
      </c>
      <c r="D25" s="4" t="str">
        <f>IFERROR(INDEX('Date Key'!$G$2:$G$19, MATCH(F25, 'Date Key'!$A$2:$A$19, 0)), "")</f>
        <v>No</v>
      </c>
      <c r="E25" s="4" t="str">
        <f t="shared" si="1"/>
        <v>tank 1</v>
      </c>
      <c r="F25" s="4">
        <f t="shared" si="2"/>
        <v>8</v>
      </c>
      <c r="G25" s="4">
        <f t="shared" si="22"/>
        <v>2</v>
      </c>
      <c r="H25" s="11" cm="1">
        <f t="array" ref="H25">IFERROR(INDEX('Master Data Sheet'!$1:$1048576, MATCH(1, ('Master Data Sheet'!$H:$H=H$2) * (INDEX('Master Data Sheet'!$1:$1, , MATCH($F$1, 'Master Data Sheet'!$1:$1, 0)) = $F$1) * ('Master Data Sheet'!$G:$G=$B25) * ('Master Data Sheet'!$F:$F=$E25) * ('Master Data Sheet'!$A:$A=$F25), 0), MATCH($F$1, 'Master Data Sheet'!$1:$1, 0)), "")</f>
        <v>25.399999999999977</v>
      </c>
      <c r="I25" s="11" cm="1">
        <f t="array" ref="I25">IFERROR(INDEX('Master Data Sheet'!$1:$1048576, MATCH(1, ('Master Data Sheet'!$H:$H=I$2) * (INDEX('Master Data Sheet'!$1:$1, , MATCH($F$1, 'Master Data Sheet'!$1:$1, 0)) = $F$1) * ('Master Data Sheet'!$G:$G=$B25) * ('Master Data Sheet'!$F:$F=$E25) * ('Master Data Sheet'!$A:$A=$F25), 0), MATCH($F$1, 'Master Data Sheet'!$1:$1, 0)), "")</f>
        <v>18.400000000000009</v>
      </c>
      <c r="J25" s="11" cm="1">
        <f t="array" ref="J25">IFERROR(INDEX('Master Data Sheet'!$1:$1048576, MATCH(1, ('Master Data Sheet'!$H:$H=J$2) * (INDEX('Master Data Sheet'!$1:$1, , MATCH($F$1, 'Master Data Sheet'!$1:$1, 0)) = $F$1) * ('Master Data Sheet'!$G:$G=$B25) * ('Master Data Sheet'!$F:$F=$E25) * ('Master Data Sheet'!$A:$A=$F25), 0), MATCH($F$1, 'Master Data Sheet'!$1:$1, 0)), "")</f>
        <v>15.73333333333334</v>
      </c>
      <c r="K25" s="11" cm="1">
        <f t="array" ref="K25">IFERROR(INDEX('Master Data Sheet'!$1:$1048576, MATCH(1, ('Master Data Sheet'!$H:$H=K$2) * (INDEX('Master Data Sheet'!$1:$1, , MATCH($F$1, 'Master Data Sheet'!$1:$1, 0)) = $F$1) * ('Master Data Sheet'!$G:$G=$B25) * ('Master Data Sheet'!$F:$F=$E25) * ('Master Data Sheet'!$A:$A=$F25), 0), MATCH($F$1, 'Master Data Sheet'!$1:$1, 0)), "")</f>
        <v>20.066666666666638</v>
      </c>
      <c r="L25" s="11" cm="1">
        <f t="array" ref="L25">IFERROR(INDEX('Master Data Sheet'!$1:$1048576, MATCH(1, ('Master Data Sheet'!$H:$H=L$2) * (INDEX('Master Data Sheet'!$1:$1, , MATCH($F$1, 'Master Data Sheet'!$1:$1, 0)) = $F$1) * ('Master Data Sheet'!$G:$G=$B25) * ('Master Data Sheet'!$F:$F=$E25) * ('Master Data Sheet'!$A:$A=$F25), 0), MATCH($F$1, 'Master Data Sheet'!$1:$1, 0)), "")</f>
        <v>23.066666666666642</v>
      </c>
      <c r="M25" s="11" cm="1">
        <f t="array" ref="M25">IFERROR(INDEX('Master Data Sheet'!$1:$1048576, MATCH(1, ('Master Data Sheet'!$H:$H=M$2) * (INDEX('Master Data Sheet'!$1:$1, , MATCH($F$1, 'Master Data Sheet'!$1:$1, 0)) = $F$1) * ('Master Data Sheet'!$G:$G=$B25) * ('Master Data Sheet'!$F:$F=$E25) * ('Master Data Sheet'!$A:$A=$F25), 0), MATCH($F$1, 'Master Data Sheet'!$1:$1, 0)), "")</f>
        <v>24.733333333333309</v>
      </c>
      <c r="N25" s="11" cm="1">
        <f t="array" ref="N25">IFERROR(INDEX('Master Data Sheet'!$1:$1048576, MATCH(1, ('Master Data Sheet'!$H:$H=N$2) * (INDEX('Master Data Sheet'!$1:$1, , MATCH($F$1, 'Master Data Sheet'!$1:$1, 0)) = $F$1) * ('Master Data Sheet'!$G:$G=$B25) * ('Master Data Sheet'!$F:$F=$E25) * ('Master Data Sheet'!$A:$A=$F25), 0), MATCH($F$1, 'Master Data Sheet'!$1:$1, 0)), "")</f>
        <v>29.733333333333313</v>
      </c>
      <c r="O25" s="11">
        <f t="shared" si="8"/>
        <v>22.447619047619032</v>
      </c>
      <c r="P25" s="11">
        <f t="shared" si="4"/>
        <v>4.7353226313822034</v>
      </c>
      <c r="Q25" s="11"/>
      <c r="R25" s="46">
        <f>(1-(O25/O22))*100</f>
        <v>8.5370585952658011</v>
      </c>
      <c r="X25" t="str">
        <f>IFERROR(INDEX('Date Key'!$G$57:$G$62, MATCH(B24,'Date Key'!$A$57:$A$62, 0)), "")</f>
        <v>High HLR, Lower Outlet Height, No Plants</v>
      </c>
      <c r="Y25" s="1">
        <f t="shared" ref="Y25:AE25" si="29">H24</f>
        <v>27.399999999999981</v>
      </c>
      <c r="Z25" s="1">
        <f t="shared" si="29"/>
        <v>22.399999999999974</v>
      </c>
      <c r="AA25" s="1">
        <f t="shared" si="29"/>
        <v>23.399999999999977</v>
      </c>
      <c r="AB25" s="1">
        <f t="shared" si="29"/>
        <v>21.4</v>
      </c>
      <c r="AC25" s="1">
        <f t="shared" si="29"/>
        <v>23.066666666666642</v>
      </c>
      <c r="AD25" s="1">
        <f t="shared" si="29"/>
        <v>25.733333333333313</v>
      </c>
      <c r="AE25" s="1">
        <f t="shared" si="29"/>
        <v>22.399999999999974</v>
      </c>
      <c r="AF25" s="1">
        <f t="shared" ref="AF25:AL25" si="30">H25</f>
        <v>25.399999999999977</v>
      </c>
      <c r="AG25" s="1">
        <f t="shared" si="30"/>
        <v>18.400000000000009</v>
      </c>
      <c r="AH25" s="1">
        <f t="shared" si="30"/>
        <v>15.73333333333334</v>
      </c>
      <c r="AI25" s="1">
        <f t="shared" si="30"/>
        <v>20.066666666666638</v>
      </c>
      <c r="AJ25" s="1">
        <f t="shared" si="30"/>
        <v>23.066666666666642</v>
      </c>
      <c r="AK25" s="1">
        <f t="shared" si="30"/>
        <v>24.733333333333309</v>
      </c>
      <c r="AL25" s="1">
        <f t="shared" si="30"/>
        <v>29.733333333333313</v>
      </c>
      <c r="AM25" s="1">
        <f t="shared" ref="AM25:AS25" si="31">H26</f>
        <v>26.733333333333313</v>
      </c>
      <c r="AN25" s="1">
        <f t="shared" si="31"/>
        <v>29.399999999999981</v>
      </c>
      <c r="AO25" s="1">
        <f t="shared" si="31"/>
        <v>31.733333333333317</v>
      </c>
      <c r="AP25" s="1">
        <f t="shared" si="31"/>
        <v>34.73333333333332</v>
      </c>
      <c r="AQ25" s="1">
        <f t="shared" si="31"/>
        <v>6.7333333333333316</v>
      </c>
      <c r="AR25" s="1">
        <f t="shared" si="31"/>
        <v>31.399999999999984</v>
      </c>
      <c r="AS25" s="1">
        <f t="shared" si="31"/>
        <v>34.73333333333332</v>
      </c>
    </row>
    <row r="26" spans="1:45" x14ac:dyDescent="0.35">
      <c r="A26" s="41">
        <f>IFERROR(INDEX('Date Key'!$B$2:$B$19, MATCH(F26,'Date Key'!$A$2:$A$19, 0)), "")</f>
        <v>45246</v>
      </c>
      <c r="B26" s="4">
        <f t="shared" si="15"/>
        <v>3</v>
      </c>
      <c r="C26" s="26" t="str">
        <f>IFERROR(INDEX('Date Key'!$G$57:$G$62, MATCH(B26,'Date Key'!$A$57:$A$62, 0)), "")</f>
        <v>High HLR, Lower Outlet Height, No Plants</v>
      </c>
      <c r="D26" s="4" t="str">
        <f>IFERROR(INDEX('Date Key'!$G$2:$G$19, MATCH(F26, 'Date Key'!$A$2:$A$19, 0)), "")</f>
        <v>Yes</v>
      </c>
      <c r="E26" s="4" t="str">
        <f t="shared" si="1"/>
        <v>tank 1</v>
      </c>
      <c r="F26" s="4">
        <f t="shared" si="2"/>
        <v>9</v>
      </c>
      <c r="G26" s="4">
        <f t="shared" si="22"/>
        <v>3</v>
      </c>
      <c r="H26" s="11" cm="1">
        <f t="array" ref="H26">IFERROR(INDEX('Master Data Sheet'!$1:$1048576, MATCH(1, ('Master Data Sheet'!$H:$H=H$2) * (INDEX('Master Data Sheet'!$1:$1, , MATCH($F$1, 'Master Data Sheet'!$1:$1, 0)) = $F$1) * ('Master Data Sheet'!$G:$G=$B26) * ('Master Data Sheet'!$F:$F=$E26) * ('Master Data Sheet'!$A:$A=$F26), 0), MATCH($F$1, 'Master Data Sheet'!$1:$1, 0)), "")</f>
        <v>26.733333333333313</v>
      </c>
      <c r="I26" s="11" cm="1">
        <f t="array" ref="I26">IFERROR(INDEX('Master Data Sheet'!$1:$1048576, MATCH(1, ('Master Data Sheet'!$H:$H=I$2) * (INDEX('Master Data Sheet'!$1:$1, , MATCH($F$1, 'Master Data Sheet'!$1:$1, 0)) = $F$1) * ('Master Data Sheet'!$G:$G=$B26) * ('Master Data Sheet'!$F:$F=$E26) * ('Master Data Sheet'!$A:$A=$F26), 0), MATCH($F$1, 'Master Data Sheet'!$1:$1, 0)), "")</f>
        <v>29.399999999999981</v>
      </c>
      <c r="J26" s="11" cm="1">
        <f t="array" ref="J26">IFERROR(INDEX('Master Data Sheet'!$1:$1048576, MATCH(1, ('Master Data Sheet'!$H:$H=J$2) * (INDEX('Master Data Sheet'!$1:$1, , MATCH($F$1, 'Master Data Sheet'!$1:$1, 0)) = $F$1) * ('Master Data Sheet'!$G:$G=$B26) * ('Master Data Sheet'!$F:$F=$E26) * ('Master Data Sheet'!$A:$A=$F26), 0), MATCH($F$1, 'Master Data Sheet'!$1:$1, 0)), "")</f>
        <v>31.733333333333317</v>
      </c>
      <c r="K26" s="11" cm="1">
        <f t="array" ref="K26">IFERROR(INDEX('Master Data Sheet'!$1:$1048576, MATCH(1, ('Master Data Sheet'!$H:$H=K$2) * (INDEX('Master Data Sheet'!$1:$1, , MATCH($F$1, 'Master Data Sheet'!$1:$1, 0)) = $F$1) * ('Master Data Sheet'!$G:$G=$B26) * ('Master Data Sheet'!$F:$F=$E26) * ('Master Data Sheet'!$A:$A=$F26), 0), MATCH($F$1, 'Master Data Sheet'!$1:$1, 0)), "")</f>
        <v>34.73333333333332</v>
      </c>
      <c r="L26" s="11" cm="1">
        <f t="array" ref="L26">IFERROR(INDEX('Master Data Sheet'!$1:$1048576, MATCH(1, ('Master Data Sheet'!$H:$H=L$2) * (INDEX('Master Data Sheet'!$1:$1, , MATCH($F$1, 'Master Data Sheet'!$1:$1, 0)) = $F$1) * ('Master Data Sheet'!$G:$G=$B26) * ('Master Data Sheet'!$F:$F=$E26) * ('Master Data Sheet'!$A:$A=$F26), 0), MATCH($F$1, 'Master Data Sheet'!$1:$1, 0)), "")</f>
        <v>6.7333333333333316</v>
      </c>
      <c r="M26" s="11" cm="1">
        <f t="array" ref="M26">IFERROR(INDEX('Master Data Sheet'!$1:$1048576, MATCH(1, ('Master Data Sheet'!$H:$H=M$2) * (INDEX('Master Data Sheet'!$1:$1, , MATCH($F$1, 'Master Data Sheet'!$1:$1, 0)) = $F$1) * ('Master Data Sheet'!$G:$G=$B26) * ('Master Data Sheet'!$F:$F=$E26) * ('Master Data Sheet'!$A:$A=$F26), 0), MATCH($F$1, 'Master Data Sheet'!$1:$1, 0)), "")</f>
        <v>31.399999999999984</v>
      </c>
      <c r="N26" s="11" cm="1">
        <f t="array" ref="N26">IFERROR(INDEX('Master Data Sheet'!$1:$1048576, MATCH(1, ('Master Data Sheet'!$H:$H=N$2) * (INDEX('Master Data Sheet'!$1:$1, , MATCH($F$1, 'Master Data Sheet'!$1:$1, 0)) = $F$1) * ('Master Data Sheet'!$G:$G=$B26) * ('Master Data Sheet'!$F:$F=$E26) * ('Master Data Sheet'!$A:$A=$F26), 0), MATCH($F$1, 'Master Data Sheet'!$1:$1, 0)), "")</f>
        <v>34.73333333333332</v>
      </c>
      <c r="O26" s="11">
        <f t="shared" si="8"/>
        <v>27.923809523809506</v>
      </c>
      <c r="P26" s="11">
        <f t="shared" si="4"/>
        <v>9.7636080589115419</v>
      </c>
      <c r="Q26" s="11"/>
      <c r="R26" s="46">
        <f>(1-(O26/O23))*100</f>
        <v>21.750733920469724</v>
      </c>
      <c r="Y26" s="2"/>
      <c r="Z26" s="2"/>
      <c r="AA26" s="2"/>
      <c r="AB26" s="2"/>
      <c r="AC26" s="2"/>
      <c r="AD26" s="2"/>
      <c r="AE26" s="2"/>
      <c r="AF26" s="2"/>
      <c r="AG26" s="2"/>
    </row>
    <row r="27" spans="1:45" x14ac:dyDescent="0.35">
      <c r="A27" s="41">
        <f>IFERROR(INDEX('Date Key'!$B$2:$B$19, MATCH(F27,'Date Key'!$A$2:$A$19, 0)), "")</f>
        <v>45233</v>
      </c>
      <c r="B27" s="4">
        <f t="shared" si="15"/>
        <v>3</v>
      </c>
      <c r="C27" s="26" t="str">
        <f>IFERROR(INDEX('Date Key'!$G$57:$G$62, MATCH(B27,'Date Key'!$A$57:$A$62, 0)), "")</f>
        <v>High HLR, Lower Outlet Height, No Plants</v>
      </c>
      <c r="D27" s="4" t="str">
        <f>IFERROR(INDEX('Date Key'!$G$2:$G$19, MATCH(F27, 'Date Key'!$A$2:$A$19, 0)), "")</f>
        <v>No</v>
      </c>
      <c r="E27" s="4" t="str">
        <f t="shared" si="1"/>
        <v>tank 2</v>
      </c>
      <c r="F27" s="4">
        <f t="shared" si="2"/>
        <v>7</v>
      </c>
      <c r="G27" s="4">
        <f t="shared" si="22"/>
        <v>1</v>
      </c>
      <c r="H27" s="11" cm="1">
        <f t="array" ref="H27">IFERROR(INDEX('Master Data Sheet'!$1:$1048576, MATCH(1, ('Master Data Sheet'!$H:$H=H$2) * (INDEX('Master Data Sheet'!$1:$1, , MATCH($F$1, 'Master Data Sheet'!$1:$1, 0)) = $F$1) * ('Master Data Sheet'!$G:$G=$B27) * ('Master Data Sheet'!$F:$F=$E27) * ('Master Data Sheet'!$A:$A=$F27), 0), MATCH($F$1, 'Master Data Sheet'!$1:$1, 0)), "")</f>
        <v>48.4</v>
      </c>
      <c r="I27" s="11" cm="1">
        <f t="array" ref="I27">IFERROR(INDEX('Master Data Sheet'!$1:$1048576, MATCH(1, ('Master Data Sheet'!$H:$H=I$2) * (INDEX('Master Data Sheet'!$1:$1, , MATCH($F$1, 'Master Data Sheet'!$1:$1, 0)) = $F$1) * ('Master Data Sheet'!$G:$G=$B27) * ('Master Data Sheet'!$F:$F=$E27) * ('Master Data Sheet'!$A:$A=$F27), 0), MATCH($F$1, 'Master Data Sheet'!$1:$1, 0)), "")</f>
        <v>29.066666666666649</v>
      </c>
      <c r="J27" s="11" cm="1">
        <f t="array" ref="J27">IFERROR(INDEX('Master Data Sheet'!$1:$1048576, MATCH(1, ('Master Data Sheet'!$H:$H=J$2) * (INDEX('Master Data Sheet'!$1:$1, , MATCH($F$1, 'Master Data Sheet'!$1:$1, 0)) = $F$1) * ('Master Data Sheet'!$G:$G=$B27) * ('Master Data Sheet'!$F:$F=$E27) * ('Master Data Sheet'!$A:$A=$F27), 0), MATCH($F$1, 'Master Data Sheet'!$1:$1, 0)), "")</f>
        <v>21.733333333333309</v>
      </c>
      <c r="K27" s="11" cm="1">
        <f t="array" ref="K27">IFERROR(INDEX('Master Data Sheet'!$1:$1048576, MATCH(1, ('Master Data Sheet'!$H:$H=K$2) * (INDEX('Master Data Sheet'!$1:$1, , MATCH($F$1, 'Master Data Sheet'!$1:$1, 0)) = $F$1) * ('Master Data Sheet'!$G:$G=$B27) * ('Master Data Sheet'!$F:$F=$E27) * ('Master Data Sheet'!$A:$A=$F27), 0), MATCH($F$1, 'Master Data Sheet'!$1:$1, 0)), "")</f>
        <v>23.733333333333309</v>
      </c>
      <c r="L27" s="11" cm="1">
        <f t="array" ref="L27">IFERROR(INDEX('Master Data Sheet'!$1:$1048576, MATCH(1, ('Master Data Sheet'!$H:$H=L$2) * (INDEX('Master Data Sheet'!$1:$1, , MATCH($F$1, 'Master Data Sheet'!$1:$1, 0)) = $F$1) * ('Master Data Sheet'!$G:$G=$B27) * ('Master Data Sheet'!$F:$F=$E27) * ('Master Data Sheet'!$A:$A=$F27), 0), MATCH($F$1, 'Master Data Sheet'!$1:$1, 0)), "")</f>
        <v>22.066666666666642</v>
      </c>
      <c r="M27" s="11" cm="1">
        <f t="array" ref="M27">IFERROR(INDEX('Master Data Sheet'!$1:$1048576, MATCH(1, ('Master Data Sheet'!$H:$H=M$2) * (INDEX('Master Data Sheet'!$1:$1, , MATCH($F$1, 'Master Data Sheet'!$1:$1, 0)) = $F$1) * ('Master Data Sheet'!$G:$G=$B27) * ('Master Data Sheet'!$F:$F=$E27) * ('Master Data Sheet'!$A:$A=$F27), 0), MATCH($F$1, 'Master Data Sheet'!$1:$1, 0)), "")</f>
        <v>24.066666666666642</v>
      </c>
      <c r="N27" s="11" cm="1">
        <f t="array" ref="N27">IFERROR(INDEX('Master Data Sheet'!$1:$1048576, MATCH(1, ('Master Data Sheet'!$H:$H=N$2) * (INDEX('Master Data Sheet'!$1:$1, , MATCH($F$1, 'Master Data Sheet'!$1:$1, 0)) = $F$1) * ('Master Data Sheet'!$G:$G=$B27) * ('Master Data Sheet'!$F:$F=$E27) * ('Master Data Sheet'!$A:$A=$F27), 0), MATCH($F$1, 'Master Data Sheet'!$1:$1, 0)), "")</f>
        <v>29.399999999999981</v>
      </c>
      <c r="O27" s="11">
        <f t="shared" si="8"/>
        <v>28.35238095238093</v>
      </c>
      <c r="P27" s="11">
        <f t="shared" si="4"/>
        <v>9.3678500071582125</v>
      </c>
      <c r="Q27" s="11">
        <f>AVERAGE(N27:N29)</f>
        <v>31.511111111111092</v>
      </c>
      <c r="R27" s="46">
        <f>(1-(O27/O21))*100</f>
        <v>0.16767270288398084</v>
      </c>
      <c r="S27" s="46">
        <f>AVERAGE(R27:R29)</f>
        <v>-10.443674188958257</v>
      </c>
      <c r="T27" s="46">
        <f>STDEV(R27:R29)</f>
        <v>9.267395636681476</v>
      </c>
      <c r="U27" s="47">
        <f>(1-(AVERAGE(H27:N29)/AVERAGE(H21:N23)))*100</f>
        <v>-10.799484203739551</v>
      </c>
      <c r="V27" s="47"/>
      <c r="Y27" s="2"/>
      <c r="Z27" s="2"/>
      <c r="AA27" s="2"/>
      <c r="AB27" s="2"/>
      <c r="AC27" s="2"/>
      <c r="AD27" s="2"/>
      <c r="AE27" s="2"/>
      <c r="AF27" s="2"/>
      <c r="AG27" s="2"/>
    </row>
    <row r="28" spans="1:45" x14ac:dyDescent="0.35">
      <c r="A28" s="41">
        <f>IFERROR(INDEX('Date Key'!$B$2:$B$19, MATCH(F28,'Date Key'!$A$2:$A$19, 0)), "")</f>
        <v>45238</v>
      </c>
      <c r="B28" s="4">
        <f t="shared" si="15"/>
        <v>3</v>
      </c>
      <c r="C28" s="26" t="str">
        <f>IFERROR(INDEX('Date Key'!$G$57:$G$62, MATCH(B28,'Date Key'!$A$57:$A$62, 0)), "")</f>
        <v>High HLR, Lower Outlet Height, No Plants</v>
      </c>
      <c r="D28" s="4" t="str">
        <f>IFERROR(INDEX('Date Key'!$G$2:$G$19, MATCH(F28, 'Date Key'!$A$2:$A$19, 0)), "")</f>
        <v>No</v>
      </c>
      <c r="E28" s="4" t="str">
        <f t="shared" si="1"/>
        <v>tank 2</v>
      </c>
      <c r="F28" s="4">
        <f t="shared" si="2"/>
        <v>8</v>
      </c>
      <c r="G28" s="4">
        <f t="shared" si="22"/>
        <v>2</v>
      </c>
      <c r="H28" s="11" cm="1">
        <f t="array" ref="H28">IFERROR(INDEX('Master Data Sheet'!$1:$1048576, MATCH(1, ('Master Data Sheet'!$H:$H=H$2) * (INDEX('Master Data Sheet'!$1:$1, , MATCH($F$1, 'Master Data Sheet'!$1:$1, 0)) = $F$1) * ('Master Data Sheet'!$G:$G=$B28) * ('Master Data Sheet'!$F:$F=$E28) * ('Master Data Sheet'!$A:$A=$F28), 0), MATCH($F$1, 'Master Data Sheet'!$1:$1, 0)), "")</f>
        <v>50.4</v>
      </c>
      <c r="I28" s="11" cm="1">
        <f t="array" ref="I28">IFERROR(INDEX('Master Data Sheet'!$1:$1048576, MATCH(1, ('Master Data Sheet'!$H:$H=I$2) * (INDEX('Master Data Sheet'!$1:$1, , MATCH($F$1, 'Master Data Sheet'!$1:$1, 0)) = $F$1) * ('Master Data Sheet'!$G:$G=$B28) * ('Master Data Sheet'!$F:$F=$E28) * ('Master Data Sheet'!$A:$A=$F28), 0), MATCH($F$1, 'Master Data Sheet'!$1:$1, 0)), "")</f>
        <v>23.733333333333309</v>
      </c>
      <c r="J28" s="11" cm="1">
        <f t="array" ref="J28">IFERROR(INDEX('Master Data Sheet'!$1:$1048576, MATCH(1, ('Master Data Sheet'!$H:$H=J$2) * (INDEX('Master Data Sheet'!$1:$1, , MATCH($F$1, 'Master Data Sheet'!$1:$1, 0)) = $F$1) * ('Master Data Sheet'!$G:$G=$B28) * ('Master Data Sheet'!$F:$F=$E28) * ('Master Data Sheet'!$A:$A=$F28), 0), MATCH($F$1, 'Master Data Sheet'!$1:$1, 0)), "")</f>
        <v>18.733333333333341</v>
      </c>
      <c r="K28" s="11" cm="1">
        <f t="array" ref="K28">IFERROR(INDEX('Master Data Sheet'!$1:$1048576, MATCH(1, ('Master Data Sheet'!$H:$H=K$2) * (INDEX('Master Data Sheet'!$1:$1, , MATCH($F$1, 'Master Data Sheet'!$1:$1, 0)) = $F$1) * ('Master Data Sheet'!$G:$G=$B28) * ('Master Data Sheet'!$F:$F=$E28) * ('Master Data Sheet'!$A:$A=$F28), 0), MATCH($F$1, 'Master Data Sheet'!$1:$1, 0)), "")</f>
        <v>21.733333333333309</v>
      </c>
      <c r="L28" s="11" cm="1">
        <f t="array" ref="L28">IFERROR(INDEX('Master Data Sheet'!$1:$1048576, MATCH(1, ('Master Data Sheet'!$H:$H=L$2) * (INDEX('Master Data Sheet'!$1:$1, , MATCH($F$1, 'Master Data Sheet'!$1:$1, 0)) = $F$1) * ('Master Data Sheet'!$G:$G=$B28) * ('Master Data Sheet'!$F:$F=$E28) * ('Master Data Sheet'!$A:$A=$F28), 0), MATCH($F$1, 'Master Data Sheet'!$1:$1, 0)), "")</f>
        <v>23.399999999999977</v>
      </c>
      <c r="M28" s="11" cm="1">
        <f t="array" ref="M28">IFERROR(INDEX('Master Data Sheet'!$1:$1048576, MATCH(1, ('Master Data Sheet'!$H:$H=M$2) * (INDEX('Master Data Sheet'!$1:$1, , MATCH($F$1, 'Master Data Sheet'!$1:$1, 0)) = $F$1) * ('Master Data Sheet'!$G:$G=$B28) * ('Master Data Sheet'!$F:$F=$E28) * ('Master Data Sheet'!$A:$A=$F28), 0), MATCH($F$1, 'Master Data Sheet'!$1:$1, 0)), "")</f>
        <v>30.399999999999981</v>
      </c>
      <c r="N28" s="11" cm="1">
        <f t="array" ref="N28">IFERROR(INDEX('Master Data Sheet'!$1:$1048576, MATCH(1, ('Master Data Sheet'!$H:$H=N$2) * (INDEX('Master Data Sheet'!$1:$1, , MATCH($F$1, 'Master Data Sheet'!$1:$1, 0)) = $F$1) * ('Master Data Sheet'!$G:$G=$B28) * ('Master Data Sheet'!$F:$F=$E28) * ('Master Data Sheet'!$A:$A=$F28), 0), MATCH($F$1, 'Master Data Sheet'!$1:$1, 0)), "")</f>
        <v>28.399999999999981</v>
      </c>
      <c r="O28" s="11">
        <f t="shared" si="8"/>
        <v>28.1142857142857</v>
      </c>
      <c r="P28" s="11">
        <f t="shared" si="4"/>
        <v>10.583755147199556</v>
      </c>
      <c r="Q28" s="11"/>
      <c r="R28" s="46">
        <f>(1-(O28/O22))*100</f>
        <v>-14.551804423748571</v>
      </c>
      <c r="X28" t="str">
        <f>IFERROR(INDEX('Date Key'!$G$57:$G$62, MATCH(B27,'Date Key'!$A$57:$A$62, 0)), "")</f>
        <v>High HLR, Lower Outlet Height, No Plants</v>
      </c>
      <c r="Y28" s="1">
        <f t="shared" ref="Y28:AE28" si="32">H27</f>
        <v>48.4</v>
      </c>
      <c r="Z28" s="1">
        <f t="shared" si="32"/>
        <v>29.066666666666649</v>
      </c>
      <c r="AA28" s="1">
        <f t="shared" si="32"/>
        <v>21.733333333333309</v>
      </c>
      <c r="AB28" s="1">
        <f t="shared" si="32"/>
        <v>23.733333333333309</v>
      </c>
      <c r="AC28" s="1">
        <f t="shared" si="32"/>
        <v>22.066666666666642</v>
      </c>
      <c r="AD28" s="1">
        <f t="shared" si="32"/>
        <v>24.066666666666642</v>
      </c>
      <c r="AE28" s="1">
        <f t="shared" si="32"/>
        <v>29.399999999999981</v>
      </c>
      <c r="AF28" s="1">
        <f t="shared" ref="AF28:AL28" si="33">H28</f>
        <v>50.4</v>
      </c>
      <c r="AG28" s="1">
        <f t="shared" si="33"/>
        <v>23.733333333333309</v>
      </c>
      <c r="AH28" s="1">
        <f t="shared" si="33"/>
        <v>18.733333333333341</v>
      </c>
      <c r="AI28" s="1">
        <f t="shared" si="33"/>
        <v>21.733333333333309</v>
      </c>
      <c r="AJ28" s="1">
        <f t="shared" si="33"/>
        <v>23.399999999999977</v>
      </c>
      <c r="AK28" s="1">
        <f t="shared" si="33"/>
        <v>30.399999999999981</v>
      </c>
      <c r="AL28" s="1">
        <f t="shared" si="33"/>
        <v>28.399999999999981</v>
      </c>
      <c r="AM28" s="1">
        <f t="shared" ref="AM28:AS28" si="34">H29</f>
        <v>89.066666666666663</v>
      </c>
      <c r="AN28" s="1">
        <f t="shared" si="34"/>
        <v>39.399999999999991</v>
      </c>
      <c r="AO28" s="1">
        <f t="shared" si="34"/>
        <v>36.066666666666656</v>
      </c>
      <c r="AP28" s="1">
        <f t="shared" si="34"/>
        <v>35.066666666666656</v>
      </c>
      <c r="AQ28" s="1">
        <f t="shared" si="34"/>
        <v>34.066666666666649</v>
      </c>
      <c r="AR28" s="1">
        <f t="shared" si="34"/>
        <v>21.733333333333309</v>
      </c>
      <c r="AS28" s="1">
        <f t="shared" si="34"/>
        <v>36.73333333333332</v>
      </c>
    </row>
    <row r="29" spans="1:45" x14ac:dyDescent="0.35">
      <c r="A29" s="42">
        <f>IFERROR(INDEX('Date Key'!$B$2:$B$19, MATCH(F29,'Date Key'!$A$2:$A$19, 0)), "")</f>
        <v>45246</v>
      </c>
      <c r="B29" s="27">
        <f t="shared" si="15"/>
        <v>3</v>
      </c>
      <c r="C29" s="51" t="str">
        <f>IFERROR(INDEX('Date Key'!$G$57:$G$62, MATCH(B29,'Date Key'!$A$57:$A$62, 0)), "")</f>
        <v>High HLR, Lower Outlet Height, No Plants</v>
      </c>
      <c r="D29" s="27" t="str">
        <f>IFERROR(INDEX('Date Key'!$G$2:$G$19, MATCH(F29, 'Date Key'!$A$2:$A$19, 0)), "")</f>
        <v>Yes</v>
      </c>
      <c r="E29" s="27" t="str">
        <f t="shared" si="1"/>
        <v>tank 2</v>
      </c>
      <c r="F29" s="27">
        <f t="shared" si="2"/>
        <v>9</v>
      </c>
      <c r="G29" s="27">
        <f t="shared" si="22"/>
        <v>3</v>
      </c>
      <c r="H29" s="28" cm="1">
        <f t="array" ref="H29">IFERROR(INDEX('Master Data Sheet'!$1:$1048576, MATCH(1, ('Master Data Sheet'!$H:$H=H$2) * (INDEX('Master Data Sheet'!$1:$1, , MATCH($F$1, 'Master Data Sheet'!$1:$1, 0)) = $F$1) * ('Master Data Sheet'!$G:$G=$B29) * ('Master Data Sheet'!$F:$F=$E29) * ('Master Data Sheet'!$A:$A=$F29), 0), MATCH($F$1, 'Master Data Sheet'!$1:$1, 0)), "")</f>
        <v>89.066666666666663</v>
      </c>
      <c r="I29" s="28" cm="1">
        <f t="array" ref="I29">IFERROR(INDEX('Master Data Sheet'!$1:$1048576, MATCH(1, ('Master Data Sheet'!$H:$H=I$2) * (INDEX('Master Data Sheet'!$1:$1, , MATCH($F$1, 'Master Data Sheet'!$1:$1, 0)) = $F$1) * ('Master Data Sheet'!$G:$G=$B29) * ('Master Data Sheet'!$F:$F=$E29) * ('Master Data Sheet'!$A:$A=$F29), 0), MATCH($F$1, 'Master Data Sheet'!$1:$1, 0)), "")</f>
        <v>39.399999999999991</v>
      </c>
      <c r="J29" s="28" cm="1">
        <f t="array" ref="J29">IFERROR(INDEX('Master Data Sheet'!$1:$1048576, MATCH(1, ('Master Data Sheet'!$H:$H=J$2) * (INDEX('Master Data Sheet'!$1:$1, , MATCH($F$1, 'Master Data Sheet'!$1:$1, 0)) = $F$1) * ('Master Data Sheet'!$G:$G=$B29) * ('Master Data Sheet'!$F:$F=$E29) * ('Master Data Sheet'!$A:$A=$F29), 0), MATCH($F$1, 'Master Data Sheet'!$1:$1, 0)), "")</f>
        <v>36.066666666666656</v>
      </c>
      <c r="K29" s="28" cm="1">
        <f t="array" ref="K29">IFERROR(INDEX('Master Data Sheet'!$1:$1048576, MATCH(1, ('Master Data Sheet'!$H:$H=K$2) * (INDEX('Master Data Sheet'!$1:$1, , MATCH($F$1, 'Master Data Sheet'!$1:$1, 0)) = $F$1) * ('Master Data Sheet'!$G:$G=$B29) * ('Master Data Sheet'!$F:$F=$E29) * ('Master Data Sheet'!$A:$A=$F29), 0), MATCH($F$1, 'Master Data Sheet'!$1:$1, 0)), "")</f>
        <v>35.066666666666656</v>
      </c>
      <c r="L29" s="28" cm="1">
        <f t="array" ref="L29">IFERROR(INDEX('Master Data Sheet'!$1:$1048576, MATCH(1, ('Master Data Sheet'!$H:$H=L$2) * (INDEX('Master Data Sheet'!$1:$1, , MATCH($F$1, 'Master Data Sheet'!$1:$1, 0)) = $F$1) * ('Master Data Sheet'!$G:$G=$B29) * ('Master Data Sheet'!$F:$F=$E29) * ('Master Data Sheet'!$A:$A=$F29), 0), MATCH($F$1, 'Master Data Sheet'!$1:$1, 0)), "")</f>
        <v>34.066666666666649</v>
      </c>
      <c r="M29" s="28" cm="1">
        <f t="array" ref="M29">IFERROR(INDEX('Master Data Sheet'!$1:$1048576, MATCH(1, ('Master Data Sheet'!$H:$H=M$2) * (INDEX('Master Data Sheet'!$1:$1, , MATCH($F$1, 'Master Data Sheet'!$1:$1, 0)) = $F$1) * ('Master Data Sheet'!$G:$G=$B29) * ('Master Data Sheet'!$F:$F=$E29) * ('Master Data Sheet'!$A:$A=$F29), 0), MATCH($F$1, 'Master Data Sheet'!$1:$1, 0)), "")</f>
        <v>21.733333333333309</v>
      </c>
      <c r="N29" s="28" cm="1">
        <f t="array" ref="N29">IFERROR(INDEX('Master Data Sheet'!$1:$1048576, MATCH(1, ('Master Data Sheet'!$H:$H=N$2) * (INDEX('Master Data Sheet'!$1:$1, , MATCH($F$1, 'Master Data Sheet'!$1:$1, 0)) = $F$1) * ('Master Data Sheet'!$G:$G=$B29) * ('Master Data Sheet'!$F:$F=$E29) * ('Master Data Sheet'!$A:$A=$F29), 0), MATCH($F$1, 'Master Data Sheet'!$1:$1, 0)), "")</f>
        <v>36.73333333333332</v>
      </c>
      <c r="O29" s="28">
        <f t="shared" si="8"/>
        <v>41.733333333333327</v>
      </c>
      <c r="P29" s="28">
        <f t="shared" si="4"/>
        <v>21.626458417958855</v>
      </c>
      <c r="Q29" s="28"/>
      <c r="R29" s="48">
        <f>(1-(O29/O23))*100</f>
        <v>-16.946890846010177</v>
      </c>
      <c r="S29" s="27"/>
      <c r="T29" s="27"/>
      <c r="U29" s="27"/>
      <c r="V29" s="27"/>
    </row>
    <row r="30" spans="1:45" x14ac:dyDescent="0.35">
      <c r="A30" s="41">
        <f>IFERROR(INDEX('Date Key'!$B$2:$B$19, MATCH(F30,'Date Key'!$A$2:$A$19, 0)), "")</f>
        <v>45250</v>
      </c>
      <c r="B30" s="4">
        <f t="shared" si="15"/>
        <v>4</v>
      </c>
      <c r="C30" s="26" t="str">
        <f>IFERROR(INDEX('Date Key'!$G$57:$G$62, MATCH(B30,'Date Key'!$A$57:$A$62, 0)), "")</f>
        <v>High HLR, Upper Outlet Height, No Plants</v>
      </c>
      <c r="D30" s="4" t="str">
        <f>IFERROR(INDEX('Date Key'!$G$2:$G$19, MATCH(F30, 'Date Key'!$A$2:$A$19, 0)), "")</f>
        <v>Yes</v>
      </c>
      <c r="E30" s="4" t="str">
        <f t="shared" si="1"/>
        <v>in</v>
      </c>
      <c r="F30" s="4">
        <f t="shared" si="2"/>
        <v>10</v>
      </c>
      <c r="G30" s="4">
        <f t="shared" si="22"/>
        <v>1</v>
      </c>
      <c r="H30" s="11" cm="1">
        <f t="array" ref="H30">IFERROR(INDEX('Master Data Sheet'!$1:$1048576, MATCH(1, ('Master Data Sheet'!$H:$H=H$2) * (INDEX('Master Data Sheet'!$1:$1, , MATCH($F$1, 'Master Data Sheet'!$1:$1, 0)) = $F$1) * ('Master Data Sheet'!$G:$G=$B30) * ('Master Data Sheet'!$F:$F=$E30) * ('Master Data Sheet'!$A:$A=$F30), 0), MATCH($F$1, 'Master Data Sheet'!$1:$1, 0)), "")</f>
        <v>37.066666666666656</v>
      </c>
      <c r="I30" s="11" cm="1">
        <f t="array" ref="I30">IFERROR(INDEX('Master Data Sheet'!$1:$1048576, MATCH(1, ('Master Data Sheet'!$H:$H=I$2) * (INDEX('Master Data Sheet'!$1:$1, , MATCH($F$1, 'Master Data Sheet'!$1:$1, 0)) = $F$1) * ('Master Data Sheet'!$G:$G=$B30) * ('Master Data Sheet'!$F:$F=$E30) * ('Master Data Sheet'!$A:$A=$F30), 0), MATCH($F$1, 'Master Data Sheet'!$1:$1, 0)), "")</f>
        <v>37.066666666666656</v>
      </c>
      <c r="J30" s="11" cm="1">
        <f t="array" ref="J30">IFERROR(INDEX('Master Data Sheet'!$1:$1048576, MATCH(1, ('Master Data Sheet'!$H:$H=J$2) * (INDEX('Master Data Sheet'!$1:$1, , MATCH($F$1, 'Master Data Sheet'!$1:$1, 0)) = $F$1) * ('Master Data Sheet'!$G:$G=$B30) * ('Master Data Sheet'!$F:$F=$E30) * ('Master Data Sheet'!$A:$A=$F30), 0), MATCH($F$1, 'Master Data Sheet'!$1:$1, 0)), "")</f>
        <v>38.399999999999991</v>
      </c>
      <c r="K30" s="11" cm="1">
        <f t="array" ref="K30">IFERROR(INDEX('Master Data Sheet'!$1:$1048576, MATCH(1, ('Master Data Sheet'!$H:$H=K$2) * (INDEX('Master Data Sheet'!$1:$1, , MATCH($F$1, 'Master Data Sheet'!$1:$1, 0)) = $F$1) * ('Master Data Sheet'!$G:$G=$B30) * ('Master Data Sheet'!$F:$F=$E30) * ('Master Data Sheet'!$A:$A=$F30), 0), MATCH($F$1, 'Master Data Sheet'!$1:$1, 0)), "")</f>
        <v>36.73333333333332</v>
      </c>
      <c r="L30" s="11" cm="1">
        <f t="array" ref="L30">IFERROR(INDEX('Master Data Sheet'!$1:$1048576, MATCH(1, ('Master Data Sheet'!$H:$H=L$2) * (INDEX('Master Data Sheet'!$1:$1, , MATCH($F$1, 'Master Data Sheet'!$1:$1, 0)) = $F$1) * ('Master Data Sheet'!$G:$G=$B30) * ('Master Data Sheet'!$F:$F=$E30) * ('Master Data Sheet'!$A:$A=$F30), 0), MATCH($F$1, 'Master Data Sheet'!$1:$1, 0)), "")</f>
        <v>36.066666666666656</v>
      </c>
      <c r="M30" s="11" cm="1">
        <f t="array" ref="M30">IFERROR(INDEX('Master Data Sheet'!$1:$1048576, MATCH(1, ('Master Data Sheet'!$H:$H=M$2) * (INDEX('Master Data Sheet'!$1:$1, , MATCH($F$1, 'Master Data Sheet'!$1:$1, 0)) = $F$1) * ('Master Data Sheet'!$G:$G=$B30) * ('Master Data Sheet'!$F:$F=$E30) * ('Master Data Sheet'!$A:$A=$F30), 0), MATCH($F$1, 'Master Data Sheet'!$1:$1, 0)), "")</f>
        <v>34.73333333333332</v>
      </c>
      <c r="N30" s="11" cm="1">
        <f t="array" ref="N30">IFERROR(INDEX('Master Data Sheet'!$1:$1048576, MATCH(1, ('Master Data Sheet'!$H:$H=N$2) * (INDEX('Master Data Sheet'!$1:$1, , MATCH($F$1, 'Master Data Sheet'!$1:$1, 0)) = $F$1) * ('Master Data Sheet'!$G:$G=$B30) * ('Master Data Sheet'!$F:$F=$E30) * ('Master Data Sheet'!$A:$A=$F30), 0), MATCH($F$1, 'Master Data Sheet'!$1:$1, 0)), "")</f>
        <v>35.73333333333332</v>
      </c>
      <c r="O30" s="11">
        <f t="shared" si="8"/>
        <v>36.54285714285713</v>
      </c>
      <c r="P30" s="11">
        <f t="shared" si="4"/>
        <v>1.1683661091795536</v>
      </c>
      <c r="Q30" s="11">
        <f>AVERAGE(O30:O32)</f>
        <v>31.526984126984114</v>
      </c>
      <c r="S30" s="11">
        <f>AVERAGE(O30:O32)</f>
        <v>31.526984126984114</v>
      </c>
      <c r="T30" s="11">
        <f>AVERAGE(P30:P32)</f>
        <v>7.5586973546066831</v>
      </c>
      <c r="V30" s="47">
        <f>AVERAGE(U33, U36)</f>
        <v>25.375088107944819</v>
      </c>
      <c r="X30" t="s">
        <v>343</v>
      </c>
    </row>
    <row r="31" spans="1:45" x14ac:dyDescent="0.35">
      <c r="A31" s="41">
        <f>IFERROR(INDEX('Date Key'!$B$2:$B$19, MATCH(F31,'Date Key'!$A$2:$A$19, 0)), "")</f>
        <v>45259</v>
      </c>
      <c r="B31" s="4">
        <f t="shared" si="15"/>
        <v>4</v>
      </c>
      <c r="C31" s="26" t="str">
        <f>IFERROR(INDEX('Date Key'!$G$57:$G$62, MATCH(B31,'Date Key'!$A$57:$A$62, 0)), "")</f>
        <v>High HLR, Upper Outlet Height, No Plants</v>
      </c>
      <c r="D31" s="4" t="str">
        <f>IFERROR(INDEX('Date Key'!$G$2:$G$19, MATCH(F31, 'Date Key'!$A$2:$A$19, 0)), "")</f>
        <v>No</v>
      </c>
      <c r="E31" s="4" t="str">
        <f t="shared" si="1"/>
        <v>in</v>
      </c>
      <c r="F31" s="4">
        <f t="shared" si="2"/>
        <v>11</v>
      </c>
      <c r="G31" s="4">
        <f t="shared" si="22"/>
        <v>2</v>
      </c>
      <c r="H31" s="11" cm="1">
        <f t="array" ref="H31">IFERROR(INDEX('Master Data Sheet'!$1:$1048576, MATCH(1, ('Master Data Sheet'!$H:$H=H$2) * (INDEX('Master Data Sheet'!$1:$1, , MATCH($F$1, 'Master Data Sheet'!$1:$1, 0)) = $F$1) * ('Master Data Sheet'!$G:$G=$B31) * ('Master Data Sheet'!$F:$F=$E31) * ('Master Data Sheet'!$A:$A=$F31), 0), MATCH($F$1, 'Master Data Sheet'!$1:$1, 0)), "")</f>
        <v>3.733333333333329</v>
      </c>
      <c r="I31" s="11" cm="1">
        <f t="array" ref="I31">IFERROR(INDEX('Master Data Sheet'!$1:$1048576, MATCH(1, ('Master Data Sheet'!$H:$H=I$2) * (INDEX('Master Data Sheet'!$1:$1, , MATCH($F$1, 'Master Data Sheet'!$1:$1, 0)) = $F$1) * ('Master Data Sheet'!$G:$G=$B31) * ('Master Data Sheet'!$F:$F=$E31) * ('Master Data Sheet'!$A:$A=$F31), 0), MATCH($F$1, 'Master Data Sheet'!$1:$1, 0)), "")</f>
        <v>15.400000000000006</v>
      </c>
      <c r="J31" s="11" cm="1">
        <f t="array" ref="J31">IFERROR(INDEX('Master Data Sheet'!$1:$1048576, MATCH(1, ('Master Data Sheet'!$H:$H=J$2) * (INDEX('Master Data Sheet'!$1:$1, , MATCH($F$1, 'Master Data Sheet'!$1:$1, 0)) = $F$1) * ('Master Data Sheet'!$G:$G=$B31) * ('Master Data Sheet'!$F:$F=$E31) * ('Master Data Sheet'!$A:$A=$F31), 0), MATCH($F$1, 'Master Data Sheet'!$1:$1, 0)), "")</f>
        <v>18.733333333333341</v>
      </c>
      <c r="K31" s="11" cm="1">
        <f t="array" ref="K31">IFERROR(INDEX('Master Data Sheet'!$1:$1048576, MATCH(1, ('Master Data Sheet'!$H:$H=K$2) * (INDEX('Master Data Sheet'!$1:$1, , MATCH($F$1, 'Master Data Sheet'!$1:$1, 0)) = $F$1) * ('Master Data Sheet'!$G:$G=$B31) * ('Master Data Sheet'!$F:$F=$E31) * ('Master Data Sheet'!$A:$A=$F31), 0), MATCH($F$1, 'Master Data Sheet'!$1:$1, 0)), "")</f>
        <v>27.733333333333313</v>
      </c>
      <c r="L31" s="11" cm="1">
        <f t="array" ref="L31">IFERROR(INDEX('Master Data Sheet'!$1:$1048576, MATCH(1, ('Master Data Sheet'!$H:$H=L$2) * (INDEX('Master Data Sheet'!$1:$1, , MATCH($F$1, 'Master Data Sheet'!$1:$1, 0)) = $F$1) * ('Master Data Sheet'!$G:$G=$B31) * ('Master Data Sheet'!$F:$F=$E31) * ('Master Data Sheet'!$A:$A=$F31), 0), MATCH($F$1, 'Master Data Sheet'!$1:$1, 0)), "")</f>
        <v>30.399999999999981</v>
      </c>
      <c r="M31" s="11" cm="1">
        <f t="array" ref="M31">IFERROR(INDEX('Master Data Sheet'!$1:$1048576, MATCH(1, ('Master Data Sheet'!$H:$H=M$2) * (INDEX('Master Data Sheet'!$1:$1, , MATCH($F$1, 'Master Data Sheet'!$1:$1, 0)) = $F$1) * ('Master Data Sheet'!$G:$G=$B31) * ('Master Data Sheet'!$F:$F=$E31) * ('Master Data Sheet'!$A:$A=$F31), 0), MATCH($F$1, 'Master Data Sheet'!$1:$1, 0)), "")</f>
        <v>33.73333333333332</v>
      </c>
      <c r="N31" s="11" cm="1">
        <f t="array" ref="N31">IFERROR(INDEX('Master Data Sheet'!$1:$1048576, MATCH(1, ('Master Data Sheet'!$H:$H=N$2) * (INDEX('Master Data Sheet'!$1:$1, , MATCH($F$1, 'Master Data Sheet'!$1:$1, 0)) = $F$1) * ('Master Data Sheet'!$G:$G=$B31) * ('Master Data Sheet'!$F:$F=$E31) * ('Master Data Sheet'!$A:$A=$F31), 0), MATCH($F$1, 'Master Data Sheet'!$1:$1, 0)), "")</f>
        <v>38.399999999999991</v>
      </c>
      <c r="O31" s="11">
        <f t="shared" si="8"/>
        <v>24.019047619047608</v>
      </c>
      <c r="P31" s="11">
        <f t="shared" si="4"/>
        <v>12.037639382568404</v>
      </c>
      <c r="Q31" s="11"/>
      <c r="X31" t="str">
        <f>IFERROR(INDEX('Date Key'!$G$57:$G$62, MATCH(B30,'Date Key'!$A$57:$A$62, 0)), "")</f>
        <v>High HLR, Upper Outlet Height, No Plants</v>
      </c>
      <c r="Y31" s="1">
        <f t="shared" ref="Y31:AE31" si="35">H30</f>
        <v>37.066666666666656</v>
      </c>
      <c r="Z31" s="1">
        <f t="shared" si="35"/>
        <v>37.066666666666656</v>
      </c>
      <c r="AA31" s="1">
        <f t="shared" si="35"/>
        <v>38.399999999999991</v>
      </c>
      <c r="AB31" s="1">
        <f t="shared" si="35"/>
        <v>36.73333333333332</v>
      </c>
      <c r="AC31" s="1">
        <f t="shared" si="35"/>
        <v>36.066666666666656</v>
      </c>
      <c r="AD31" s="1">
        <f t="shared" si="35"/>
        <v>34.73333333333332</v>
      </c>
      <c r="AE31" s="1">
        <f t="shared" si="35"/>
        <v>35.73333333333332</v>
      </c>
      <c r="AF31" s="1">
        <f t="shared" ref="AF31:AL31" si="36">H31</f>
        <v>3.733333333333329</v>
      </c>
      <c r="AG31" s="1">
        <f t="shared" si="36"/>
        <v>15.400000000000006</v>
      </c>
      <c r="AH31" s="1">
        <f t="shared" si="36"/>
        <v>18.733333333333341</v>
      </c>
      <c r="AI31" s="1">
        <f t="shared" si="36"/>
        <v>27.733333333333313</v>
      </c>
      <c r="AJ31" s="1">
        <f t="shared" si="36"/>
        <v>30.399999999999981</v>
      </c>
      <c r="AK31" s="1">
        <f t="shared" si="36"/>
        <v>33.73333333333332</v>
      </c>
      <c r="AL31" s="1">
        <f t="shared" si="36"/>
        <v>38.399999999999991</v>
      </c>
      <c r="AM31" s="1">
        <f t="shared" ref="AM31:AS31" si="37">H32</f>
        <v>29.066666666666649</v>
      </c>
      <c r="AN31" s="1">
        <f t="shared" si="37"/>
        <v>22.066666666666642</v>
      </c>
      <c r="AO31" s="1">
        <f t="shared" si="37"/>
        <v>25.733333333333313</v>
      </c>
      <c r="AP31" s="1">
        <f t="shared" si="37"/>
        <v>32.066666666666649</v>
      </c>
      <c r="AQ31" s="1">
        <f t="shared" si="37"/>
        <v>38.73333333333332</v>
      </c>
      <c r="AR31" s="1">
        <f t="shared" si="37"/>
        <v>41.733333333333327</v>
      </c>
      <c r="AS31" s="1">
        <f t="shared" si="37"/>
        <v>48.733333333333334</v>
      </c>
    </row>
    <row r="32" spans="1:45" x14ac:dyDescent="0.35">
      <c r="A32" s="41">
        <f>IFERROR(INDEX('Date Key'!$B$2:$B$19, MATCH(F32,'Date Key'!$A$2:$A$19, 0)), "")</f>
        <v>45266</v>
      </c>
      <c r="B32" s="4">
        <f t="shared" si="15"/>
        <v>4</v>
      </c>
      <c r="C32" s="26" t="str">
        <f>IFERROR(INDEX('Date Key'!$G$57:$G$62, MATCH(B32,'Date Key'!$A$57:$A$62, 0)), "")</f>
        <v>High HLR, Upper Outlet Height, No Plants</v>
      </c>
      <c r="D32" s="4" t="str">
        <f>IFERROR(INDEX('Date Key'!$G$2:$G$19, MATCH(F32, 'Date Key'!$A$2:$A$19, 0)), "")</f>
        <v>No</v>
      </c>
      <c r="E32" s="4" t="str">
        <f t="shared" si="1"/>
        <v>in</v>
      </c>
      <c r="F32" s="4">
        <f t="shared" si="2"/>
        <v>12</v>
      </c>
      <c r="G32" s="4">
        <f t="shared" si="22"/>
        <v>3</v>
      </c>
      <c r="H32" s="11" cm="1">
        <f t="array" ref="H32">IFERROR(INDEX('Master Data Sheet'!$1:$1048576, MATCH(1, ('Master Data Sheet'!$H:$H=H$2) * (INDEX('Master Data Sheet'!$1:$1, , MATCH($F$1, 'Master Data Sheet'!$1:$1, 0)) = $F$1) * ('Master Data Sheet'!$G:$G=$B32) * ('Master Data Sheet'!$F:$F=$E32) * ('Master Data Sheet'!$A:$A=$F32), 0), MATCH($F$1, 'Master Data Sheet'!$1:$1, 0)), "")</f>
        <v>29.066666666666649</v>
      </c>
      <c r="I32" s="11" cm="1">
        <f t="array" ref="I32">IFERROR(INDEX('Master Data Sheet'!$1:$1048576, MATCH(1, ('Master Data Sheet'!$H:$H=I$2) * (INDEX('Master Data Sheet'!$1:$1, , MATCH($F$1, 'Master Data Sheet'!$1:$1, 0)) = $F$1) * ('Master Data Sheet'!$G:$G=$B32) * ('Master Data Sheet'!$F:$F=$E32) * ('Master Data Sheet'!$A:$A=$F32), 0), MATCH($F$1, 'Master Data Sheet'!$1:$1, 0)), "")</f>
        <v>22.066666666666642</v>
      </c>
      <c r="J32" s="11" cm="1">
        <f t="array" ref="J32">IFERROR(INDEX('Master Data Sheet'!$1:$1048576, MATCH(1, ('Master Data Sheet'!$H:$H=J$2) * (INDEX('Master Data Sheet'!$1:$1, , MATCH($F$1, 'Master Data Sheet'!$1:$1, 0)) = $F$1) * ('Master Data Sheet'!$G:$G=$B32) * ('Master Data Sheet'!$F:$F=$E32) * ('Master Data Sheet'!$A:$A=$F32), 0), MATCH($F$1, 'Master Data Sheet'!$1:$1, 0)), "")</f>
        <v>25.733333333333313</v>
      </c>
      <c r="K32" s="11" cm="1">
        <f t="array" ref="K32">IFERROR(INDEX('Master Data Sheet'!$1:$1048576, MATCH(1, ('Master Data Sheet'!$H:$H=K$2) * (INDEX('Master Data Sheet'!$1:$1, , MATCH($F$1, 'Master Data Sheet'!$1:$1, 0)) = $F$1) * ('Master Data Sheet'!$G:$G=$B32) * ('Master Data Sheet'!$F:$F=$E32) * ('Master Data Sheet'!$A:$A=$F32), 0), MATCH($F$1, 'Master Data Sheet'!$1:$1, 0)), "")</f>
        <v>32.066666666666649</v>
      </c>
      <c r="L32" s="11" cm="1">
        <f t="array" ref="L32">IFERROR(INDEX('Master Data Sheet'!$1:$1048576, MATCH(1, ('Master Data Sheet'!$H:$H=L$2) * (INDEX('Master Data Sheet'!$1:$1, , MATCH($F$1, 'Master Data Sheet'!$1:$1, 0)) = $F$1) * ('Master Data Sheet'!$G:$G=$B32) * ('Master Data Sheet'!$F:$F=$E32) * ('Master Data Sheet'!$A:$A=$F32), 0), MATCH($F$1, 'Master Data Sheet'!$1:$1, 0)), "")</f>
        <v>38.73333333333332</v>
      </c>
      <c r="M32" s="11" cm="1">
        <f t="array" ref="M32">IFERROR(INDEX('Master Data Sheet'!$1:$1048576, MATCH(1, ('Master Data Sheet'!$H:$H=M$2) * (INDEX('Master Data Sheet'!$1:$1, , MATCH($F$1, 'Master Data Sheet'!$1:$1, 0)) = $F$1) * ('Master Data Sheet'!$G:$G=$B32) * ('Master Data Sheet'!$F:$F=$E32) * ('Master Data Sheet'!$A:$A=$F32), 0), MATCH($F$1, 'Master Data Sheet'!$1:$1, 0)), "")</f>
        <v>41.733333333333327</v>
      </c>
      <c r="N32" s="11" cm="1">
        <f t="array" ref="N32">IFERROR(INDEX('Master Data Sheet'!$1:$1048576, MATCH(1, ('Master Data Sheet'!$H:$H=N$2) * (INDEX('Master Data Sheet'!$1:$1, , MATCH($F$1, 'Master Data Sheet'!$1:$1, 0)) = $F$1) * ('Master Data Sheet'!$G:$G=$B32) * ('Master Data Sheet'!$F:$F=$E32) * ('Master Data Sheet'!$A:$A=$F32), 0), MATCH($F$1, 'Master Data Sheet'!$1:$1, 0)), "")</f>
        <v>48.733333333333334</v>
      </c>
      <c r="O32" s="11">
        <f t="shared" si="8"/>
        <v>34.019047619047605</v>
      </c>
      <c r="P32" s="11">
        <f t="shared" si="4"/>
        <v>9.4700865720720948</v>
      </c>
      <c r="Q32" s="11"/>
      <c r="Y32" s="1"/>
      <c r="Z32" s="1"/>
      <c r="AA32" s="1"/>
      <c r="AB32" s="1"/>
      <c r="AC32" s="1"/>
      <c r="AD32" s="1"/>
      <c r="AE32" s="1"/>
      <c r="AF32" s="1"/>
      <c r="AG32" s="1"/>
      <c r="AH32" s="1"/>
      <c r="AI32" s="1"/>
      <c r="AJ32" s="1"/>
      <c r="AK32" s="1"/>
      <c r="AL32" s="1"/>
      <c r="AM32" s="1"/>
      <c r="AN32" s="1"/>
      <c r="AO32" s="1"/>
      <c r="AP32" s="1"/>
      <c r="AQ32" s="1"/>
      <c r="AR32" s="1"/>
      <c r="AS32" s="1"/>
    </row>
    <row r="33" spans="1:45" x14ac:dyDescent="0.35">
      <c r="A33" s="41">
        <f>IFERROR(INDEX('Date Key'!$B$2:$B$19, MATCH(F33,'Date Key'!$A$2:$A$19, 0)), "")</f>
        <v>45250</v>
      </c>
      <c r="B33" s="4">
        <f t="shared" si="15"/>
        <v>4</v>
      </c>
      <c r="C33" s="26" t="str">
        <f>IFERROR(INDEX('Date Key'!$G$57:$G$62, MATCH(B33,'Date Key'!$A$57:$A$62, 0)), "")</f>
        <v>High HLR, Upper Outlet Height, No Plants</v>
      </c>
      <c r="D33" s="4" t="str">
        <f>IFERROR(INDEX('Date Key'!$G$2:$G$19, MATCH(F33, 'Date Key'!$A$2:$A$19, 0)), "")</f>
        <v>Yes</v>
      </c>
      <c r="E33" s="4" t="str">
        <f t="shared" si="1"/>
        <v>tank 1</v>
      </c>
      <c r="F33" s="4">
        <f t="shared" si="2"/>
        <v>10</v>
      </c>
      <c r="G33" s="4">
        <f t="shared" si="22"/>
        <v>1</v>
      </c>
      <c r="H33" s="11" cm="1">
        <f t="array" ref="H33">IFERROR(INDEX('Master Data Sheet'!$1:$1048576, MATCH(1, ('Master Data Sheet'!$H:$H=H$2) * (INDEX('Master Data Sheet'!$1:$1, , MATCH($F$1, 'Master Data Sheet'!$1:$1, 0)) = $F$1) * ('Master Data Sheet'!$G:$G=$B33) * ('Master Data Sheet'!$F:$F=$E33) * ('Master Data Sheet'!$A:$A=$F33), 0), MATCH($F$1, 'Master Data Sheet'!$1:$1, 0)), "")</f>
        <v>17.400000000000009</v>
      </c>
      <c r="I33" s="11" cm="1">
        <f t="array" ref="I33">IFERROR(INDEX('Master Data Sheet'!$1:$1048576, MATCH(1, ('Master Data Sheet'!$H:$H=I$2) * (INDEX('Master Data Sheet'!$1:$1, , MATCH($F$1, 'Master Data Sheet'!$1:$1, 0)) = $F$1) * ('Master Data Sheet'!$G:$G=$B33) * ('Master Data Sheet'!$F:$F=$E33) * ('Master Data Sheet'!$A:$A=$F33), 0), MATCH($F$1, 'Master Data Sheet'!$1:$1, 0)), "")</f>
        <v>18.733333333333341</v>
      </c>
      <c r="J33" s="11" cm="1">
        <f t="array" ref="J33">IFERROR(INDEX('Master Data Sheet'!$1:$1048576, MATCH(1, ('Master Data Sheet'!$H:$H=J$2) * (INDEX('Master Data Sheet'!$1:$1, , MATCH($F$1, 'Master Data Sheet'!$1:$1, 0)) = $F$1) * ('Master Data Sheet'!$G:$G=$B33) * ('Master Data Sheet'!$F:$F=$E33) * ('Master Data Sheet'!$A:$A=$F33), 0), MATCH($F$1, 'Master Data Sheet'!$1:$1, 0)), "")</f>
        <v>29.066666666666649</v>
      </c>
      <c r="K33" s="11" cm="1">
        <f t="array" ref="K33">IFERROR(INDEX('Master Data Sheet'!$1:$1048576, MATCH(1, ('Master Data Sheet'!$H:$H=K$2) * (INDEX('Master Data Sheet'!$1:$1, , MATCH($F$1, 'Master Data Sheet'!$1:$1, 0)) = $F$1) * ('Master Data Sheet'!$G:$G=$B33) * ('Master Data Sheet'!$F:$F=$E33) * ('Master Data Sheet'!$A:$A=$F33), 0), MATCH($F$1, 'Master Data Sheet'!$1:$1, 0)), "")</f>
        <v>31.066666666666649</v>
      </c>
      <c r="L33" s="11" cm="1">
        <f t="array" ref="L33">IFERROR(INDEX('Master Data Sheet'!$1:$1048576, MATCH(1, ('Master Data Sheet'!$H:$H=L$2) * (INDEX('Master Data Sheet'!$1:$1, , MATCH($F$1, 'Master Data Sheet'!$1:$1, 0)) = $F$1) * ('Master Data Sheet'!$G:$G=$B33) * ('Master Data Sheet'!$F:$F=$E33) * ('Master Data Sheet'!$A:$A=$F33), 0), MATCH($F$1, 'Master Data Sheet'!$1:$1, 0)), "")</f>
        <v>32.066666666666649</v>
      </c>
      <c r="M33" s="11" cm="1">
        <f t="array" ref="M33">IFERROR(INDEX('Master Data Sheet'!$1:$1048576, MATCH(1, ('Master Data Sheet'!$H:$H=M$2) * (INDEX('Master Data Sheet'!$1:$1, , MATCH($F$1, 'Master Data Sheet'!$1:$1, 0)) = $F$1) * ('Master Data Sheet'!$G:$G=$B33) * ('Master Data Sheet'!$F:$F=$E33) * ('Master Data Sheet'!$A:$A=$F33), 0), MATCH($F$1, 'Master Data Sheet'!$1:$1, 0)), "")</f>
        <v>36.73333333333332</v>
      </c>
      <c r="N33" s="11" cm="1">
        <f t="array" ref="N33">IFERROR(INDEX('Master Data Sheet'!$1:$1048576, MATCH(1, ('Master Data Sheet'!$H:$H=N$2) * (INDEX('Master Data Sheet'!$1:$1, , MATCH($F$1, 'Master Data Sheet'!$1:$1, 0)) = $F$1) * ('Master Data Sheet'!$G:$G=$B33) * ('Master Data Sheet'!$F:$F=$E33) * ('Master Data Sheet'!$A:$A=$F33), 0), MATCH($F$1, 'Master Data Sheet'!$1:$1, 0)), "")</f>
        <v>31.066666666666649</v>
      </c>
      <c r="O33" s="11">
        <f t="shared" si="8"/>
        <v>28.019047619047608</v>
      </c>
      <c r="P33" s="11">
        <f t="shared" si="4"/>
        <v>7.1993532925317476</v>
      </c>
      <c r="Q33" s="11">
        <f>AVERAGE(O33:O35)</f>
        <v>22.590476190476181</v>
      </c>
      <c r="R33" s="46">
        <f>(1-(O33/O30))*100</f>
        <v>23.325514725045615</v>
      </c>
      <c r="S33" s="46">
        <f>AVERAGE(R33:R35)</f>
        <v>28.373081302004483</v>
      </c>
      <c r="T33" s="46">
        <f>STDEV(R33:R35)</f>
        <v>5.623454739443873</v>
      </c>
      <c r="U33" s="47">
        <f>(1-(AVERAGE(H33:N35)/AVERAGE(H30:N32)))*100</f>
        <v>28.34558453327962</v>
      </c>
      <c r="V33" s="47"/>
      <c r="Y33" s="2"/>
      <c r="Z33" s="2"/>
      <c r="AA33" s="2"/>
      <c r="AB33" s="2"/>
      <c r="AC33" s="2"/>
      <c r="AD33" s="2"/>
      <c r="AE33" s="2"/>
      <c r="AF33" s="2"/>
      <c r="AG33" s="2"/>
    </row>
    <row r="34" spans="1:45" x14ac:dyDescent="0.35">
      <c r="A34" s="41">
        <f>IFERROR(INDEX('Date Key'!$B$2:$B$19, MATCH(F34,'Date Key'!$A$2:$A$19, 0)), "")</f>
        <v>45259</v>
      </c>
      <c r="B34" s="4">
        <f t="shared" si="15"/>
        <v>4</v>
      </c>
      <c r="C34" s="26" t="str">
        <f>IFERROR(INDEX('Date Key'!$G$57:$G$62, MATCH(B34,'Date Key'!$A$57:$A$62, 0)), "")</f>
        <v>High HLR, Upper Outlet Height, No Plants</v>
      </c>
      <c r="D34" s="4" t="str">
        <f>IFERROR(INDEX('Date Key'!$G$2:$G$19, MATCH(F34, 'Date Key'!$A$2:$A$19, 0)), "")</f>
        <v>No</v>
      </c>
      <c r="E34" s="4" t="str">
        <f t="shared" si="1"/>
        <v>tank 1</v>
      </c>
      <c r="F34" s="4">
        <f t="shared" si="2"/>
        <v>11</v>
      </c>
      <c r="G34" s="4">
        <f t="shared" si="22"/>
        <v>2</v>
      </c>
      <c r="H34" s="11" cm="1">
        <f t="array" ref="H34">IFERROR(INDEX('Master Data Sheet'!$1:$1048576, MATCH(1, ('Master Data Sheet'!$H:$H=H$2) * (INDEX('Master Data Sheet'!$1:$1, , MATCH($F$1, 'Master Data Sheet'!$1:$1, 0)) = $F$1) * ('Master Data Sheet'!$G:$G=$B34) * ('Master Data Sheet'!$F:$F=$E34) * ('Master Data Sheet'!$A:$A=$F34), 0), MATCH($F$1, 'Master Data Sheet'!$1:$1, 0)), "")</f>
        <v>14.733333333333338</v>
      </c>
      <c r="I34" s="11" cm="1">
        <f t="array" ref="I34">IFERROR(INDEX('Master Data Sheet'!$1:$1048576, MATCH(1, ('Master Data Sheet'!$H:$H=I$2) * (INDEX('Master Data Sheet'!$1:$1, , MATCH($F$1, 'Master Data Sheet'!$1:$1, 0)) = $F$1) * ('Master Data Sheet'!$G:$G=$B34) * ('Master Data Sheet'!$F:$F=$E34) * ('Master Data Sheet'!$A:$A=$F34), 0), MATCH($F$1, 'Master Data Sheet'!$1:$1, 0)), "")</f>
        <v>15.066666666666672</v>
      </c>
      <c r="J34" s="11" cm="1">
        <f t="array" ref="J34">IFERROR(INDEX('Master Data Sheet'!$1:$1048576, MATCH(1, ('Master Data Sheet'!$H:$H=J$2) * (INDEX('Master Data Sheet'!$1:$1, , MATCH($F$1, 'Master Data Sheet'!$1:$1, 0)) = $F$1) * ('Master Data Sheet'!$G:$G=$B34) * ('Master Data Sheet'!$F:$F=$E34) * ('Master Data Sheet'!$A:$A=$F34), 0), MATCH($F$1, 'Master Data Sheet'!$1:$1, 0)), "")</f>
        <v>9.4</v>
      </c>
      <c r="K34" s="11" cm="1">
        <f t="array" ref="K34">IFERROR(INDEX('Master Data Sheet'!$1:$1048576, MATCH(1, ('Master Data Sheet'!$H:$H=K$2) * (INDEX('Master Data Sheet'!$1:$1, , MATCH($F$1, 'Master Data Sheet'!$1:$1, 0)) = $F$1) * ('Master Data Sheet'!$G:$G=$B34) * ('Master Data Sheet'!$F:$F=$E34) * ('Master Data Sheet'!$A:$A=$F34), 0), MATCH($F$1, 'Master Data Sheet'!$1:$1, 0)), "")</f>
        <v>11.400000000000002</v>
      </c>
      <c r="L34" s="11" cm="1">
        <f t="array" ref="L34">IFERROR(INDEX('Master Data Sheet'!$1:$1048576, MATCH(1, ('Master Data Sheet'!$H:$H=L$2) * (INDEX('Master Data Sheet'!$1:$1, , MATCH($F$1, 'Master Data Sheet'!$1:$1, 0)) = $F$1) * ('Master Data Sheet'!$G:$G=$B34) * ('Master Data Sheet'!$F:$F=$E34) * ('Master Data Sheet'!$A:$A=$F34), 0), MATCH($F$1, 'Master Data Sheet'!$1:$1, 0)), "")</f>
        <v>18.733333333333341</v>
      </c>
      <c r="M34" s="11" cm="1">
        <f t="array" ref="M34">IFERROR(INDEX('Master Data Sheet'!$1:$1048576, MATCH(1, ('Master Data Sheet'!$H:$H=M$2) * (INDEX('Master Data Sheet'!$1:$1, , MATCH($F$1, 'Master Data Sheet'!$1:$1, 0)) = $F$1) * ('Master Data Sheet'!$G:$G=$B34) * ('Master Data Sheet'!$F:$F=$E34) * ('Master Data Sheet'!$A:$A=$F34), 0), MATCH($F$1, 'Master Data Sheet'!$1:$1, 0)), "")</f>
        <v>22.733333333333309</v>
      </c>
      <c r="N34" s="11" cm="1">
        <f t="array" ref="N34">IFERROR(INDEX('Master Data Sheet'!$1:$1048576, MATCH(1, ('Master Data Sheet'!$H:$H=N$2) * (INDEX('Master Data Sheet'!$1:$1, , MATCH($F$1, 'Master Data Sheet'!$1:$1, 0)) = $F$1) * ('Master Data Sheet'!$G:$G=$B34) * ('Master Data Sheet'!$F:$F=$E34) * ('Master Data Sheet'!$A:$A=$F34), 0), MATCH($F$1, 'Master Data Sheet'!$1:$1, 0)), "")</f>
        <v>30.066666666666649</v>
      </c>
      <c r="O34" s="11">
        <f t="shared" si="8"/>
        <v>17.447619047619042</v>
      </c>
      <c r="P34" s="11">
        <f t="shared" si="4"/>
        <v>7.1087545698519854</v>
      </c>
      <c r="Q34" s="11"/>
      <c r="R34" s="46">
        <f>(1-(O34/O31))*100</f>
        <v>27.359238699444877</v>
      </c>
      <c r="X34" t="str">
        <f>IFERROR(INDEX('Date Key'!$G$57:$G$62, MATCH(B33,'Date Key'!$A$57:$A$62, 0)), "")</f>
        <v>High HLR, Upper Outlet Height, No Plants</v>
      </c>
      <c r="Y34" s="1">
        <f t="shared" ref="Y34:AE34" si="38">H33</f>
        <v>17.400000000000009</v>
      </c>
      <c r="Z34" s="1">
        <f t="shared" si="38"/>
        <v>18.733333333333341</v>
      </c>
      <c r="AA34" s="1">
        <f t="shared" si="38"/>
        <v>29.066666666666649</v>
      </c>
      <c r="AB34" s="1">
        <f t="shared" si="38"/>
        <v>31.066666666666649</v>
      </c>
      <c r="AC34" s="1">
        <f t="shared" si="38"/>
        <v>32.066666666666649</v>
      </c>
      <c r="AD34" s="1">
        <f t="shared" si="38"/>
        <v>36.73333333333332</v>
      </c>
      <c r="AE34" s="1">
        <f t="shared" si="38"/>
        <v>31.066666666666649</v>
      </c>
      <c r="AF34" s="1">
        <f t="shared" ref="AF34:AL34" si="39">H34</f>
        <v>14.733333333333338</v>
      </c>
      <c r="AG34" s="1">
        <f t="shared" si="39"/>
        <v>15.066666666666672</v>
      </c>
      <c r="AH34" s="1">
        <f t="shared" si="39"/>
        <v>9.4</v>
      </c>
      <c r="AI34" s="1">
        <f t="shared" si="39"/>
        <v>11.400000000000002</v>
      </c>
      <c r="AJ34" s="1">
        <f t="shared" si="39"/>
        <v>18.733333333333341</v>
      </c>
      <c r="AK34" s="1">
        <f t="shared" si="39"/>
        <v>22.733333333333309</v>
      </c>
      <c r="AL34" s="1">
        <f t="shared" si="39"/>
        <v>30.066666666666649</v>
      </c>
      <c r="AM34" s="1">
        <f t="shared" ref="AM34:AS34" si="40">H35</f>
        <v>21.399999999999974</v>
      </c>
      <c r="AN34" s="1">
        <f t="shared" si="40"/>
        <v>19.400000000000009</v>
      </c>
      <c r="AO34" s="1">
        <f t="shared" si="40"/>
        <v>18.733333333333341</v>
      </c>
      <c r="AP34" s="1">
        <f t="shared" si="40"/>
        <v>18.066666666666674</v>
      </c>
      <c r="AQ34" s="1">
        <f t="shared" si="40"/>
        <v>20.399999999999974</v>
      </c>
      <c r="AR34" s="1">
        <f t="shared" si="40"/>
        <v>26.399999999999977</v>
      </c>
      <c r="AS34" s="1">
        <f t="shared" si="40"/>
        <v>31.733333333333317</v>
      </c>
    </row>
    <row r="35" spans="1:45" x14ac:dyDescent="0.35">
      <c r="A35" s="41">
        <f>IFERROR(INDEX('Date Key'!$B$2:$B$19, MATCH(F35,'Date Key'!$A$2:$A$19, 0)), "")</f>
        <v>45266</v>
      </c>
      <c r="B35" s="4">
        <f t="shared" si="15"/>
        <v>4</v>
      </c>
      <c r="C35" s="26" t="str">
        <f>IFERROR(INDEX('Date Key'!$G$57:$G$62, MATCH(B35,'Date Key'!$A$57:$A$62, 0)), "")</f>
        <v>High HLR, Upper Outlet Height, No Plants</v>
      </c>
      <c r="D35" s="4" t="str">
        <f>IFERROR(INDEX('Date Key'!$G$2:$G$19, MATCH(F35, 'Date Key'!$A$2:$A$19, 0)), "")</f>
        <v>No</v>
      </c>
      <c r="E35" s="4" t="str">
        <f t="shared" si="1"/>
        <v>tank 1</v>
      </c>
      <c r="F35" s="4">
        <f t="shared" si="2"/>
        <v>12</v>
      </c>
      <c r="G35" s="4">
        <f t="shared" si="22"/>
        <v>3</v>
      </c>
      <c r="H35" s="11" cm="1">
        <f t="array" ref="H35">IFERROR(INDEX('Master Data Sheet'!$1:$1048576, MATCH(1, ('Master Data Sheet'!$H:$H=H$2) * (INDEX('Master Data Sheet'!$1:$1, , MATCH($F$1, 'Master Data Sheet'!$1:$1, 0)) = $F$1) * ('Master Data Sheet'!$G:$G=$B35) * ('Master Data Sheet'!$F:$F=$E35) * ('Master Data Sheet'!$A:$A=$F35), 0), MATCH($F$1, 'Master Data Sheet'!$1:$1, 0)), "")</f>
        <v>21.399999999999974</v>
      </c>
      <c r="I35" s="11" cm="1">
        <f t="array" ref="I35">IFERROR(INDEX('Master Data Sheet'!$1:$1048576, MATCH(1, ('Master Data Sheet'!$H:$H=I$2) * (INDEX('Master Data Sheet'!$1:$1, , MATCH($F$1, 'Master Data Sheet'!$1:$1, 0)) = $F$1) * ('Master Data Sheet'!$G:$G=$B35) * ('Master Data Sheet'!$F:$F=$E35) * ('Master Data Sheet'!$A:$A=$F35), 0), MATCH($F$1, 'Master Data Sheet'!$1:$1, 0)), "")</f>
        <v>19.400000000000009</v>
      </c>
      <c r="J35" s="11" cm="1">
        <f t="array" ref="J35">IFERROR(INDEX('Master Data Sheet'!$1:$1048576, MATCH(1, ('Master Data Sheet'!$H:$H=J$2) * (INDEX('Master Data Sheet'!$1:$1, , MATCH($F$1, 'Master Data Sheet'!$1:$1, 0)) = $F$1) * ('Master Data Sheet'!$G:$G=$B35) * ('Master Data Sheet'!$F:$F=$E35) * ('Master Data Sheet'!$A:$A=$F35), 0), MATCH($F$1, 'Master Data Sheet'!$1:$1, 0)), "")</f>
        <v>18.733333333333341</v>
      </c>
      <c r="K35" s="11" cm="1">
        <f t="array" ref="K35">IFERROR(INDEX('Master Data Sheet'!$1:$1048576, MATCH(1, ('Master Data Sheet'!$H:$H=K$2) * (INDEX('Master Data Sheet'!$1:$1, , MATCH($F$1, 'Master Data Sheet'!$1:$1, 0)) = $F$1) * ('Master Data Sheet'!$G:$G=$B35) * ('Master Data Sheet'!$F:$F=$E35) * ('Master Data Sheet'!$A:$A=$F35), 0), MATCH($F$1, 'Master Data Sheet'!$1:$1, 0)), "")</f>
        <v>18.066666666666674</v>
      </c>
      <c r="L35" s="11" cm="1">
        <f t="array" ref="L35">IFERROR(INDEX('Master Data Sheet'!$1:$1048576, MATCH(1, ('Master Data Sheet'!$H:$H=L$2) * (INDEX('Master Data Sheet'!$1:$1, , MATCH($F$1, 'Master Data Sheet'!$1:$1, 0)) = $F$1) * ('Master Data Sheet'!$G:$G=$B35) * ('Master Data Sheet'!$F:$F=$E35) * ('Master Data Sheet'!$A:$A=$F35), 0), MATCH($F$1, 'Master Data Sheet'!$1:$1, 0)), "")</f>
        <v>20.399999999999974</v>
      </c>
      <c r="M35" s="11" cm="1">
        <f t="array" ref="M35">IFERROR(INDEX('Master Data Sheet'!$1:$1048576, MATCH(1, ('Master Data Sheet'!$H:$H=M$2) * (INDEX('Master Data Sheet'!$1:$1, , MATCH($F$1, 'Master Data Sheet'!$1:$1, 0)) = $F$1) * ('Master Data Sheet'!$G:$G=$B35) * ('Master Data Sheet'!$F:$F=$E35) * ('Master Data Sheet'!$A:$A=$F35), 0), MATCH($F$1, 'Master Data Sheet'!$1:$1, 0)), "")</f>
        <v>26.399999999999977</v>
      </c>
      <c r="N35" s="11" cm="1">
        <f t="array" ref="N35">IFERROR(INDEX('Master Data Sheet'!$1:$1048576, MATCH(1, ('Master Data Sheet'!$H:$H=N$2) * (INDEX('Master Data Sheet'!$1:$1, , MATCH($F$1, 'Master Data Sheet'!$1:$1, 0)) = $F$1) * ('Master Data Sheet'!$G:$G=$B35) * ('Master Data Sheet'!$F:$F=$E35) * ('Master Data Sheet'!$A:$A=$F35), 0), MATCH($F$1, 'Master Data Sheet'!$1:$1, 0)), "")</f>
        <v>31.733333333333317</v>
      </c>
      <c r="O35" s="11">
        <f t="shared" si="8"/>
        <v>22.304761904761897</v>
      </c>
      <c r="P35" s="11">
        <f t="shared" si="4"/>
        <v>4.9878158424611829</v>
      </c>
      <c r="Q35" s="11"/>
      <c r="R35" s="46">
        <f>(1-(O35/O32))*100</f>
        <v>34.43449048152295</v>
      </c>
      <c r="Y35" s="2"/>
      <c r="Z35" s="2"/>
      <c r="AA35" s="2"/>
      <c r="AB35" s="2"/>
      <c r="AC35" s="2"/>
      <c r="AD35" s="2"/>
      <c r="AE35" s="2"/>
      <c r="AF35" s="2"/>
      <c r="AG35" s="2"/>
    </row>
    <row r="36" spans="1:45" x14ac:dyDescent="0.35">
      <c r="A36" s="41">
        <f>IFERROR(INDEX('Date Key'!$B$2:$B$19, MATCH(F36,'Date Key'!$A$2:$A$19, 0)), "")</f>
        <v>45250</v>
      </c>
      <c r="B36" s="4">
        <f t="shared" si="15"/>
        <v>4</v>
      </c>
      <c r="C36" s="26" t="str">
        <f>IFERROR(INDEX('Date Key'!$G$57:$G$62, MATCH(B36,'Date Key'!$A$57:$A$62, 0)), "")</f>
        <v>High HLR, Upper Outlet Height, No Plants</v>
      </c>
      <c r="D36" s="4" t="str">
        <f>IFERROR(INDEX('Date Key'!$G$2:$G$19, MATCH(F36, 'Date Key'!$A$2:$A$19, 0)), "")</f>
        <v>Yes</v>
      </c>
      <c r="E36" s="4" t="str">
        <f t="shared" si="1"/>
        <v>tank 2</v>
      </c>
      <c r="F36" s="4">
        <f t="shared" si="2"/>
        <v>10</v>
      </c>
      <c r="G36" s="4">
        <f t="shared" si="22"/>
        <v>1</v>
      </c>
      <c r="H36" s="11" cm="1">
        <f t="array" ref="H36">IFERROR(INDEX('Master Data Sheet'!$1:$1048576, MATCH(1, ('Master Data Sheet'!$H:$H=H$2) * (INDEX('Master Data Sheet'!$1:$1, , MATCH($F$1, 'Master Data Sheet'!$1:$1, 0)) = $F$1) * ('Master Data Sheet'!$G:$G=$B36) * ('Master Data Sheet'!$F:$F=$E36) * ('Master Data Sheet'!$A:$A=$F36), 0), MATCH($F$1, 'Master Data Sheet'!$1:$1, 0)), "")</f>
        <v>21.733333333333309</v>
      </c>
      <c r="I36" s="11" cm="1">
        <f t="array" ref="I36">IFERROR(INDEX('Master Data Sheet'!$1:$1048576, MATCH(1, ('Master Data Sheet'!$H:$H=I$2) * (INDEX('Master Data Sheet'!$1:$1, , MATCH($F$1, 'Master Data Sheet'!$1:$1, 0)) = $F$1) * ('Master Data Sheet'!$G:$G=$B36) * ('Master Data Sheet'!$F:$F=$E36) * ('Master Data Sheet'!$A:$A=$F36), 0), MATCH($F$1, 'Master Data Sheet'!$1:$1, 0)), "")</f>
        <v>23.399999999999977</v>
      </c>
      <c r="J36" s="11" cm="1">
        <f t="array" ref="J36">IFERROR(INDEX('Master Data Sheet'!$1:$1048576, MATCH(1, ('Master Data Sheet'!$H:$H=J$2) * (INDEX('Master Data Sheet'!$1:$1, , MATCH($F$1, 'Master Data Sheet'!$1:$1, 0)) = $F$1) * ('Master Data Sheet'!$G:$G=$B36) * ('Master Data Sheet'!$F:$F=$E36) * ('Master Data Sheet'!$A:$A=$F36), 0), MATCH($F$1, 'Master Data Sheet'!$1:$1, 0)), "")</f>
        <v>30.733333333333317</v>
      </c>
      <c r="K36" s="11" cm="1">
        <f t="array" ref="K36">IFERROR(INDEX('Master Data Sheet'!$1:$1048576, MATCH(1, ('Master Data Sheet'!$H:$H=K$2) * (INDEX('Master Data Sheet'!$1:$1, , MATCH($F$1, 'Master Data Sheet'!$1:$1, 0)) = $F$1) * ('Master Data Sheet'!$G:$G=$B36) * ('Master Data Sheet'!$F:$F=$E36) * ('Master Data Sheet'!$A:$A=$F36), 0), MATCH($F$1, 'Master Data Sheet'!$1:$1, 0)), "")</f>
        <v>33.73333333333332</v>
      </c>
      <c r="L36" s="11" cm="1">
        <f t="array" ref="L36">IFERROR(INDEX('Master Data Sheet'!$1:$1048576, MATCH(1, ('Master Data Sheet'!$H:$H=L$2) * (INDEX('Master Data Sheet'!$1:$1, , MATCH($F$1, 'Master Data Sheet'!$1:$1, 0)) = $F$1) * ('Master Data Sheet'!$G:$G=$B36) * ('Master Data Sheet'!$F:$F=$E36) * ('Master Data Sheet'!$A:$A=$F36), 0), MATCH($F$1, 'Master Data Sheet'!$1:$1, 0)), "")</f>
        <v>33.73333333333332</v>
      </c>
      <c r="M36" s="11" cm="1">
        <f t="array" ref="M36">IFERROR(INDEX('Master Data Sheet'!$1:$1048576, MATCH(1, ('Master Data Sheet'!$H:$H=M$2) * (INDEX('Master Data Sheet'!$1:$1, , MATCH($F$1, 'Master Data Sheet'!$1:$1, 0)) = $F$1) * ('Master Data Sheet'!$G:$G=$B36) * ('Master Data Sheet'!$F:$F=$E36) * ('Master Data Sheet'!$A:$A=$F36), 0), MATCH($F$1, 'Master Data Sheet'!$1:$1, 0)), "")</f>
        <v>31.066666666666649</v>
      </c>
      <c r="N36" s="11" cm="1">
        <f t="array" ref="N36">IFERROR(INDEX('Master Data Sheet'!$1:$1048576, MATCH(1, ('Master Data Sheet'!$H:$H=N$2) * (INDEX('Master Data Sheet'!$1:$1, , MATCH($F$1, 'Master Data Sheet'!$1:$1, 0)) = $F$1) * ('Master Data Sheet'!$G:$G=$B36) * ('Master Data Sheet'!$F:$F=$E36) * ('Master Data Sheet'!$A:$A=$F36), 0), MATCH($F$1, 'Master Data Sheet'!$1:$1, 0)), "")</f>
        <v>34.066666666666649</v>
      </c>
      <c r="O36" s="11">
        <f t="shared" si="8"/>
        <v>29.780952380952368</v>
      </c>
      <c r="P36" s="11">
        <f t="shared" si="4"/>
        <v>5.1259274551179574</v>
      </c>
      <c r="Q36" s="11">
        <f>AVERAGE(N36:N38)</f>
        <v>30.955555555555538</v>
      </c>
      <c r="R36" s="46">
        <f>(1-(O36/O30))*100</f>
        <v>18.504039614281997</v>
      </c>
      <c r="S36" s="46">
        <f>AVERAGE(R36:R38)</f>
        <v>22.636861139130804</v>
      </c>
      <c r="T36" s="46">
        <f>STDEV(R36:R38)</f>
        <v>3.693650365209328</v>
      </c>
      <c r="U36" s="47">
        <f>(1-(AVERAGE(H36:N38)/AVERAGE(H30:N32)))*100</f>
        <v>22.404591682610018</v>
      </c>
      <c r="V36" s="47"/>
      <c r="Y36" s="2"/>
      <c r="Z36" s="2"/>
      <c r="AA36" s="2"/>
      <c r="AB36" s="2"/>
      <c r="AC36" s="2"/>
      <c r="AD36" s="2"/>
      <c r="AE36" s="2"/>
      <c r="AF36" s="2"/>
      <c r="AG36" s="2"/>
    </row>
    <row r="37" spans="1:45" x14ac:dyDescent="0.35">
      <c r="A37" s="41">
        <f>IFERROR(INDEX('Date Key'!$B$2:$B$19, MATCH(F37,'Date Key'!$A$2:$A$19, 0)), "")</f>
        <v>45259</v>
      </c>
      <c r="B37" s="4">
        <f t="shared" si="15"/>
        <v>4</v>
      </c>
      <c r="C37" s="26" t="str">
        <f>IFERROR(INDEX('Date Key'!$G$57:$G$62, MATCH(B37,'Date Key'!$A$57:$A$62, 0)), "")</f>
        <v>High HLR, Upper Outlet Height, No Plants</v>
      </c>
      <c r="D37" s="4" t="str">
        <f>IFERROR(INDEX('Date Key'!$G$2:$G$19, MATCH(F37, 'Date Key'!$A$2:$A$19, 0)), "")</f>
        <v>No</v>
      </c>
      <c r="E37" s="4" t="str">
        <f t="shared" si="1"/>
        <v>tank 2</v>
      </c>
      <c r="F37" s="4">
        <f t="shared" si="2"/>
        <v>11</v>
      </c>
      <c r="G37" s="4">
        <f t="shared" si="22"/>
        <v>2</v>
      </c>
      <c r="H37" s="11" cm="1">
        <f t="array" ref="H37">IFERROR(INDEX('Master Data Sheet'!$1:$1048576, MATCH(1, ('Master Data Sheet'!$H:$H=H$2) * (INDEX('Master Data Sheet'!$1:$1, , MATCH($F$1, 'Master Data Sheet'!$1:$1, 0)) = $F$1) * ('Master Data Sheet'!$G:$G=$B37) * ('Master Data Sheet'!$F:$F=$E37) * ('Master Data Sheet'!$A:$A=$F37), 0), MATCH($F$1, 'Master Data Sheet'!$1:$1, 0)), "")</f>
        <v>17.400000000000009</v>
      </c>
      <c r="I37" s="11" cm="1">
        <f t="array" ref="I37">IFERROR(INDEX('Master Data Sheet'!$1:$1048576, MATCH(1, ('Master Data Sheet'!$H:$H=I$2) * (INDEX('Master Data Sheet'!$1:$1, , MATCH($F$1, 'Master Data Sheet'!$1:$1, 0)) = $F$1) * ('Master Data Sheet'!$G:$G=$B37) * ('Master Data Sheet'!$F:$F=$E37) * ('Master Data Sheet'!$A:$A=$F37), 0), MATCH($F$1, 'Master Data Sheet'!$1:$1, 0)), "")</f>
        <v>17.733333333333341</v>
      </c>
      <c r="J37" s="11" cm="1">
        <f t="array" ref="J37">IFERROR(INDEX('Master Data Sheet'!$1:$1048576, MATCH(1, ('Master Data Sheet'!$H:$H=J$2) * (INDEX('Master Data Sheet'!$1:$1, , MATCH($F$1, 'Master Data Sheet'!$1:$1, 0)) = $F$1) * ('Master Data Sheet'!$G:$G=$B37) * ('Master Data Sheet'!$F:$F=$E37) * ('Master Data Sheet'!$A:$A=$F37), 0), MATCH($F$1, 'Master Data Sheet'!$1:$1, 0)), "")</f>
        <v>10.066666666666668</v>
      </c>
      <c r="K37" s="11" cm="1">
        <f t="array" ref="K37">IFERROR(INDEX('Master Data Sheet'!$1:$1048576, MATCH(1, ('Master Data Sheet'!$H:$H=K$2) * (INDEX('Master Data Sheet'!$1:$1, , MATCH($F$1, 'Master Data Sheet'!$1:$1, 0)) = $F$1) * ('Master Data Sheet'!$G:$G=$B37) * ('Master Data Sheet'!$F:$F=$E37) * ('Master Data Sheet'!$A:$A=$F37), 0), MATCH($F$1, 'Master Data Sheet'!$1:$1, 0)), "")</f>
        <v>19.400000000000009</v>
      </c>
      <c r="L37" s="11" cm="1">
        <f t="array" ref="L37">IFERROR(INDEX('Master Data Sheet'!$1:$1048576, MATCH(1, ('Master Data Sheet'!$H:$H=L$2) * (INDEX('Master Data Sheet'!$1:$1, , MATCH($F$1, 'Master Data Sheet'!$1:$1, 0)) = $F$1) * ('Master Data Sheet'!$G:$G=$B37) * ('Master Data Sheet'!$F:$F=$E37) * ('Master Data Sheet'!$A:$A=$F37), 0), MATCH($F$1, 'Master Data Sheet'!$1:$1, 0)), "")</f>
        <v>17.733333333333341</v>
      </c>
      <c r="M37" s="11" cm="1">
        <f t="array" ref="M37">IFERROR(INDEX('Master Data Sheet'!$1:$1048576, MATCH(1, ('Master Data Sheet'!$H:$H=M$2) * (INDEX('Master Data Sheet'!$1:$1, , MATCH($F$1, 'Master Data Sheet'!$1:$1, 0)) = $F$1) * ('Master Data Sheet'!$G:$G=$B37) * ('Master Data Sheet'!$F:$F=$E37) * ('Master Data Sheet'!$A:$A=$F37), 0), MATCH($F$1, 'Master Data Sheet'!$1:$1, 0)), "")</f>
        <v>20.066666666666638</v>
      </c>
      <c r="N37" s="11" cm="1">
        <f t="array" ref="N37">IFERROR(INDEX('Master Data Sheet'!$1:$1048576, MATCH(1, ('Master Data Sheet'!$H:$H=N$2) * (INDEX('Master Data Sheet'!$1:$1, , MATCH($F$1, 'Master Data Sheet'!$1:$1, 0)) = $F$1) * ('Master Data Sheet'!$G:$G=$B37) * ('Master Data Sheet'!$F:$F=$E37) * ('Master Data Sheet'!$A:$A=$F37), 0), MATCH($F$1, 'Master Data Sheet'!$1:$1, 0)), "")</f>
        <v>25.733333333333313</v>
      </c>
      <c r="O37" s="11">
        <f t="shared" si="8"/>
        <v>18.304761904761904</v>
      </c>
      <c r="P37" s="11">
        <f t="shared" si="4"/>
        <v>4.6336701944462222</v>
      </c>
      <c r="Q37" s="11"/>
      <c r="R37" s="46">
        <f>(1-(O37/O31))*100</f>
        <v>23.790642347343351</v>
      </c>
      <c r="X37" t="str">
        <f>IFERROR(INDEX('Date Key'!$G$57:$G$62, MATCH(B36,'Date Key'!$A$57:$A$62, 0)), "")</f>
        <v>High HLR, Upper Outlet Height, No Plants</v>
      </c>
      <c r="Y37" s="1">
        <f t="shared" ref="Y37:AE37" si="41">H36</f>
        <v>21.733333333333309</v>
      </c>
      <c r="Z37" s="1">
        <f t="shared" si="41"/>
        <v>23.399999999999977</v>
      </c>
      <c r="AA37" s="1">
        <f t="shared" si="41"/>
        <v>30.733333333333317</v>
      </c>
      <c r="AB37" s="1">
        <f t="shared" si="41"/>
        <v>33.73333333333332</v>
      </c>
      <c r="AC37" s="1">
        <f t="shared" si="41"/>
        <v>33.73333333333332</v>
      </c>
      <c r="AD37" s="1">
        <f t="shared" si="41"/>
        <v>31.066666666666649</v>
      </c>
      <c r="AE37" s="1">
        <f t="shared" si="41"/>
        <v>34.066666666666649</v>
      </c>
      <c r="AF37" s="1">
        <f t="shared" ref="AF37:AL37" si="42">H37</f>
        <v>17.400000000000009</v>
      </c>
      <c r="AG37" s="1">
        <f t="shared" si="42"/>
        <v>17.733333333333341</v>
      </c>
      <c r="AH37" s="1">
        <f t="shared" si="42"/>
        <v>10.066666666666668</v>
      </c>
      <c r="AI37" s="1">
        <f t="shared" si="42"/>
        <v>19.400000000000009</v>
      </c>
      <c r="AJ37" s="1">
        <f t="shared" si="42"/>
        <v>17.733333333333341</v>
      </c>
      <c r="AK37" s="1">
        <f t="shared" si="42"/>
        <v>20.066666666666638</v>
      </c>
      <c r="AL37" s="1">
        <f t="shared" si="42"/>
        <v>25.733333333333313</v>
      </c>
      <c r="AM37" s="1">
        <f t="shared" ref="AM37:AS37" si="43">H38</f>
        <v>22.733333333333309</v>
      </c>
      <c r="AN37" s="1">
        <f t="shared" si="43"/>
        <v>30.066666666666649</v>
      </c>
      <c r="AO37" s="1">
        <f t="shared" si="43"/>
        <v>19.733333333333341</v>
      </c>
      <c r="AP37" s="1">
        <f t="shared" si="43"/>
        <v>19.066666666666677</v>
      </c>
      <c r="AQ37" s="1">
        <f t="shared" si="43"/>
        <v>23.399999999999977</v>
      </c>
      <c r="AR37" s="1">
        <f t="shared" si="43"/>
        <v>29.066666666666649</v>
      </c>
      <c r="AS37" s="1">
        <f t="shared" si="43"/>
        <v>33.066666666666649</v>
      </c>
    </row>
    <row r="38" spans="1:45" x14ac:dyDescent="0.35">
      <c r="A38" s="42">
        <f>IFERROR(INDEX('Date Key'!$B$2:$B$19, MATCH(F38,'Date Key'!$A$2:$A$19, 0)), "")</f>
        <v>45266</v>
      </c>
      <c r="B38" s="27">
        <f t="shared" si="15"/>
        <v>4</v>
      </c>
      <c r="C38" s="51" t="str">
        <f>IFERROR(INDEX('Date Key'!$G$57:$G$62, MATCH(B38,'Date Key'!$A$57:$A$62, 0)), "")</f>
        <v>High HLR, Upper Outlet Height, No Plants</v>
      </c>
      <c r="D38" s="27" t="str">
        <f>IFERROR(INDEX('Date Key'!$G$2:$G$19, MATCH(F38, 'Date Key'!$A$2:$A$19, 0)), "")</f>
        <v>No</v>
      </c>
      <c r="E38" s="27" t="str">
        <f t="shared" si="1"/>
        <v>tank 2</v>
      </c>
      <c r="F38" s="27">
        <f t="shared" si="2"/>
        <v>12</v>
      </c>
      <c r="G38" s="27">
        <f t="shared" si="22"/>
        <v>3</v>
      </c>
      <c r="H38" s="28" cm="1">
        <f t="array" ref="H38">IFERROR(INDEX('Master Data Sheet'!$1:$1048576, MATCH(1, ('Master Data Sheet'!$H:$H=H$2) * (INDEX('Master Data Sheet'!$1:$1, , MATCH($F$1, 'Master Data Sheet'!$1:$1, 0)) = $F$1) * ('Master Data Sheet'!$G:$G=$B38) * ('Master Data Sheet'!$F:$F=$E38) * ('Master Data Sheet'!$A:$A=$F38), 0), MATCH($F$1, 'Master Data Sheet'!$1:$1, 0)), "")</f>
        <v>22.733333333333309</v>
      </c>
      <c r="I38" s="28" cm="1">
        <f t="array" ref="I38">IFERROR(INDEX('Master Data Sheet'!$1:$1048576, MATCH(1, ('Master Data Sheet'!$H:$H=I$2) * (INDEX('Master Data Sheet'!$1:$1, , MATCH($F$1, 'Master Data Sheet'!$1:$1, 0)) = $F$1) * ('Master Data Sheet'!$G:$G=$B38) * ('Master Data Sheet'!$F:$F=$E38) * ('Master Data Sheet'!$A:$A=$F38), 0), MATCH($F$1, 'Master Data Sheet'!$1:$1, 0)), "")</f>
        <v>30.066666666666649</v>
      </c>
      <c r="J38" s="28" cm="1">
        <f t="array" ref="J38">IFERROR(INDEX('Master Data Sheet'!$1:$1048576, MATCH(1, ('Master Data Sheet'!$H:$H=J$2) * (INDEX('Master Data Sheet'!$1:$1, , MATCH($F$1, 'Master Data Sheet'!$1:$1, 0)) = $F$1) * ('Master Data Sheet'!$G:$G=$B38) * ('Master Data Sheet'!$F:$F=$E38) * ('Master Data Sheet'!$A:$A=$F38), 0), MATCH($F$1, 'Master Data Sheet'!$1:$1, 0)), "")</f>
        <v>19.733333333333341</v>
      </c>
      <c r="K38" s="28" cm="1">
        <f t="array" ref="K38">IFERROR(INDEX('Master Data Sheet'!$1:$1048576, MATCH(1, ('Master Data Sheet'!$H:$H=K$2) * (INDEX('Master Data Sheet'!$1:$1, , MATCH($F$1, 'Master Data Sheet'!$1:$1, 0)) = $F$1) * ('Master Data Sheet'!$G:$G=$B38) * ('Master Data Sheet'!$F:$F=$E38) * ('Master Data Sheet'!$A:$A=$F38), 0), MATCH($F$1, 'Master Data Sheet'!$1:$1, 0)), "")</f>
        <v>19.066666666666677</v>
      </c>
      <c r="L38" s="28" cm="1">
        <f t="array" ref="L38">IFERROR(INDEX('Master Data Sheet'!$1:$1048576, MATCH(1, ('Master Data Sheet'!$H:$H=L$2) * (INDEX('Master Data Sheet'!$1:$1, , MATCH($F$1, 'Master Data Sheet'!$1:$1, 0)) = $F$1) * ('Master Data Sheet'!$G:$G=$B38) * ('Master Data Sheet'!$F:$F=$E38) * ('Master Data Sheet'!$A:$A=$F38), 0), MATCH($F$1, 'Master Data Sheet'!$1:$1, 0)), "")</f>
        <v>23.399999999999977</v>
      </c>
      <c r="M38" s="28" cm="1">
        <f t="array" ref="M38">IFERROR(INDEX('Master Data Sheet'!$1:$1048576, MATCH(1, ('Master Data Sheet'!$H:$H=M$2) * (INDEX('Master Data Sheet'!$1:$1, , MATCH($F$1, 'Master Data Sheet'!$1:$1, 0)) = $F$1) * ('Master Data Sheet'!$G:$G=$B38) * ('Master Data Sheet'!$F:$F=$E38) * ('Master Data Sheet'!$A:$A=$F38), 0), MATCH($F$1, 'Master Data Sheet'!$1:$1, 0)), "")</f>
        <v>29.066666666666649</v>
      </c>
      <c r="N38" s="28" cm="1">
        <f t="array" ref="N38">IFERROR(INDEX('Master Data Sheet'!$1:$1048576, MATCH(1, ('Master Data Sheet'!$H:$H=N$2) * (INDEX('Master Data Sheet'!$1:$1, , MATCH($F$1, 'Master Data Sheet'!$1:$1, 0)) = $F$1) * ('Master Data Sheet'!$G:$G=$B38) * ('Master Data Sheet'!$F:$F=$E38) * ('Master Data Sheet'!$A:$A=$F38), 0), MATCH($F$1, 'Master Data Sheet'!$1:$1, 0)), "")</f>
        <v>33.066666666666649</v>
      </c>
      <c r="O38" s="28">
        <f t="shared" si="8"/>
        <v>25.304761904761897</v>
      </c>
      <c r="P38" s="28">
        <f t="shared" si="4"/>
        <v>5.4355288192569953</v>
      </c>
      <c r="Q38" s="28"/>
      <c r="R38" s="48">
        <f>(1-(O38/O32))*100</f>
        <v>25.615901455767066</v>
      </c>
      <c r="S38" s="27"/>
      <c r="T38" s="27"/>
      <c r="U38" s="27"/>
      <c r="V38" s="27"/>
    </row>
    <row r="39" spans="1:45" x14ac:dyDescent="0.35">
      <c r="A39" s="41">
        <f>IFERROR(INDEX('Date Key'!$B$2:$B$19, MATCH(F39,'Date Key'!$A$2:$A$19, 0)), "")</f>
        <v>45313</v>
      </c>
      <c r="B39" s="4">
        <f t="shared" si="15"/>
        <v>5</v>
      </c>
      <c r="C39" s="26" t="str">
        <f>IFERROR(INDEX('Date Key'!$G$57:$G$62, MATCH(B39,'Date Key'!$A$57:$A$62, 0)), "")</f>
        <v>High HLR, Lower Outlet Height, Yes Plants</v>
      </c>
      <c r="D39" s="4" t="str">
        <f>IFERROR(INDEX('Date Key'!$G$2:$G$19, MATCH(F39, 'Date Key'!$A$2:$A$19, 0)), "")</f>
        <v>Yes</v>
      </c>
      <c r="E39" s="4" t="str">
        <f t="shared" si="1"/>
        <v>in</v>
      </c>
      <c r="F39" s="4">
        <f t="shared" si="2"/>
        <v>13</v>
      </c>
      <c r="G39" s="4">
        <f t="shared" si="22"/>
        <v>1</v>
      </c>
      <c r="H39" s="11" cm="1">
        <f t="array" ref="H39">IFERROR(INDEX('Master Data Sheet'!$1:$1048576, MATCH(1, ('Master Data Sheet'!$H:$H=H$2) * (INDEX('Master Data Sheet'!$1:$1, , MATCH($F$1, 'Master Data Sheet'!$1:$1, 0)) = $F$1) * ('Master Data Sheet'!$G:$G=$B39) * ('Master Data Sheet'!$F:$F=$E39) * ('Master Data Sheet'!$A:$A=$F39), 0), MATCH($F$1, 'Master Data Sheet'!$1:$1, 0)), "")</f>
        <v>33.73333333333332</v>
      </c>
      <c r="I39" s="11" cm="1">
        <f t="array" ref="I39">IFERROR(INDEX('Master Data Sheet'!$1:$1048576, MATCH(1, ('Master Data Sheet'!$H:$H=I$2) * (INDEX('Master Data Sheet'!$1:$1, , MATCH($F$1, 'Master Data Sheet'!$1:$1, 0)) = $F$1) * ('Master Data Sheet'!$G:$G=$B39) * ('Master Data Sheet'!$F:$F=$E39) * ('Master Data Sheet'!$A:$A=$F39), 0), MATCH($F$1, 'Master Data Sheet'!$1:$1, 0)), "")</f>
        <v>31.066666666666649</v>
      </c>
      <c r="J39" s="11" cm="1">
        <f t="array" ref="J39">IFERROR(INDEX('Master Data Sheet'!$1:$1048576, MATCH(1, ('Master Data Sheet'!$H:$H=J$2) * (INDEX('Master Data Sheet'!$1:$1, , MATCH($F$1, 'Master Data Sheet'!$1:$1, 0)) = $F$1) * ('Master Data Sheet'!$G:$G=$B39) * ('Master Data Sheet'!$F:$F=$E39) * ('Master Data Sheet'!$A:$A=$F39), 0), MATCH($F$1, 'Master Data Sheet'!$1:$1, 0)), "")</f>
        <v>32.066666666666649</v>
      </c>
      <c r="K39" s="11" cm="1">
        <f t="array" ref="K39">IFERROR(INDEX('Master Data Sheet'!$1:$1048576, MATCH(1, ('Master Data Sheet'!$H:$H=K$2) * (INDEX('Master Data Sheet'!$1:$1, , MATCH($F$1, 'Master Data Sheet'!$1:$1, 0)) = $F$1) * ('Master Data Sheet'!$G:$G=$B39) * ('Master Data Sheet'!$F:$F=$E39) * ('Master Data Sheet'!$A:$A=$F39), 0), MATCH($F$1, 'Master Data Sheet'!$1:$1, 0)), "")</f>
        <v>23.066666666666642</v>
      </c>
      <c r="L39" s="11" cm="1">
        <f t="array" ref="L39">IFERROR(INDEX('Master Data Sheet'!$1:$1048576, MATCH(1, ('Master Data Sheet'!$H:$H=L$2) * (INDEX('Master Data Sheet'!$1:$1, , MATCH($F$1, 'Master Data Sheet'!$1:$1, 0)) = $F$1) * ('Master Data Sheet'!$G:$G=$B39) * ('Master Data Sheet'!$F:$F=$E39) * ('Master Data Sheet'!$A:$A=$F39), 0), MATCH($F$1, 'Master Data Sheet'!$1:$1, 0)), "")</f>
        <v>36.73333333333332</v>
      </c>
      <c r="M39" s="11" cm="1">
        <f t="array" ref="M39">IFERROR(INDEX('Master Data Sheet'!$1:$1048576, MATCH(1, ('Master Data Sheet'!$H:$H=M$2) * (INDEX('Master Data Sheet'!$1:$1, , MATCH($F$1, 'Master Data Sheet'!$1:$1, 0)) = $F$1) * ('Master Data Sheet'!$G:$G=$B39) * ('Master Data Sheet'!$F:$F=$E39) * ('Master Data Sheet'!$A:$A=$F39), 0), MATCH($F$1, 'Master Data Sheet'!$1:$1, 0)), "")</f>
        <v>34.399999999999984</v>
      </c>
      <c r="N39" s="11" cm="1">
        <f t="array" ref="N39">IFERROR(INDEX('Master Data Sheet'!$1:$1048576, MATCH(1, ('Master Data Sheet'!$H:$H=N$2) * (INDEX('Master Data Sheet'!$1:$1, , MATCH($F$1, 'Master Data Sheet'!$1:$1, 0)) = $F$1) * ('Master Data Sheet'!$G:$G=$B39) * ('Master Data Sheet'!$F:$F=$E39) * ('Master Data Sheet'!$A:$A=$F39), 0), MATCH($F$1, 'Master Data Sheet'!$1:$1, 0)), "")</f>
        <v>31.066666666666649</v>
      </c>
      <c r="O39" s="11">
        <f t="shared" si="8"/>
        <v>31.733333333333317</v>
      </c>
      <c r="P39" s="11">
        <f t="shared" si="4"/>
        <v>4.324777879117466</v>
      </c>
      <c r="Q39" s="11">
        <f>AVERAGE(O39:O41)</f>
        <v>29.923809523809506</v>
      </c>
      <c r="S39" s="11">
        <f>AVERAGE(O39:O41)</f>
        <v>29.923809523809506</v>
      </c>
      <c r="T39" s="11">
        <f>AVERAGE(P39:P41)</f>
        <v>5.2584898088861216</v>
      </c>
      <c r="V39" s="47">
        <f>AVERAGE(U42, U45)</f>
        <v>-7.426267769997879</v>
      </c>
      <c r="X39" t="s">
        <v>343</v>
      </c>
    </row>
    <row r="40" spans="1:45" x14ac:dyDescent="0.35">
      <c r="A40" s="41">
        <f>IFERROR(INDEX('Date Key'!$B$2:$B$19, MATCH(F40,'Date Key'!$A$2:$A$19, 0)), "")</f>
        <v>45322</v>
      </c>
      <c r="B40" s="4">
        <f t="shared" si="15"/>
        <v>5</v>
      </c>
      <c r="C40" s="26" t="str">
        <f>IFERROR(INDEX('Date Key'!$G$57:$G$62, MATCH(B40,'Date Key'!$A$57:$A$62, 0)), "")</f>
        <v>High HLR, Lower Outlet Height, Yes Plants</v>
      </c>
      <c r="D40" s="4" t="str">
        <f>IFERROR(INDEX('Date Key'!$G$2:$G$19, MATCH(F40, 'Date Key'!$A$2:$A$19, 0)), "")</f>
        <v>No</v>
      </c>
      <c r="E40" s="4" t="str">
        <f t="shared" si="1"/>
        <v>in</v>
      </c>
      <c r="F40" s="4">
        <f t="shared" si="2"/>
        <v>14</v>
      </c>
      <c r="G40" s="4">
        <f t="shared" si="22"/>
        <v>2</v>
      </c>
      <c r="H40" s="11" cm="1">
        <f t="array" ref="H40">IFERROR(INDEX('Master Data Sheet'!$1:$1048576, MATCH(1, ('Master Data Sheet'!$H:$H=H$2) * (INDEX('Master Data Sheet'!$1:$1, , MATCH($F$1, 'Master Data Sheet'!$1:$1, 0)) = $F$1) * ('Master Data Sheet'!$G:$G=$B40) * ('Master Data Sheet'!$F:$F=$E40) * ('Master Data Sheet'!$A:$A=$F40), 0), MATCH($F$1, 'Master Data Sheet'!$1:$1, 0)), "")</f>
        <v>26.066666666666645</v>
      </c>
      <c r="I40" s="11" cm="1">
        <f t="array" ref="I40">IFERROR(INDEX('Master Data Sheet'!$1:$1048576, MATCH(1, ('Master Data Sheet'!$H:$H=I$2) * (INDEX('Master Data Sheet'!$1:$1, , MATCH($F$1, 'Master Data Sheet'!$1:$1, 0)) = $F$1) * ('Master Data Sheet'!$G:$G=$B40) * ('Master Data Sheet'!$F:$F=$E40) * ('Master Data Sheet'!$A:$A=$F40), 0), MATCH($F$1, 'Master Data Sheet'!$1:$1, 0)), "")</f>
        <v>22.399999999999974</v>
      </c>
      <c r="J40" s="11" cm="1">
        <f t="array" ref="J40">IFERROR(INDEX('Master Data Sheet'!$1:$1048576, MATCH(1, ('Master Data Sheet'!$H:$H=J$2) * (INDEX('Master Data Sheet'!$1:$1, , MATCH($F$1, 'Master Data Sheet'!$1:$1, 0)) = $F$1) * ('Master Data Sheet'!$G:$G=$B40) * ('Master Data Sheet'!$F:$F=$E40) * ('Master Data Sheet'!$A:$A=$F40), 0), MATCH($F$1, 'Master Data Sheet'!$1:$1, 0)), "")</f>
        <v>29.399999999999981</v>
      </c>
      <c r="K40" s="11" cm="1">
        <f t="array" ref="K40">IFERROR(INDEX('Master Data Sheet'!$1:$1048576, MATCH(1, ('Master Data Sheet'!$H:$H=K$2) * (INDEX('Master Data Sheet'!$1:$1, , MATCH($F$1, 'Master Data Sheet'!$1:$1, 0)) = $F$1) * ('Master Data Sheet'!$G:$G=$B40) * ('Master Data Sheet'!$F:$F=$E40) * ('Master Data Sheet'!$A:$A=$F40), 0), MATCH($F$1, 'Master Data Sheet'!$1:$1, 0)), "")</f>
        <v>32.066666666666649</v>
      </c>
      <c r="L40" s="11" cm="1">
        <f t="array" ref="L40">IFERROR(INDEX('Master Data Sheet'!$1:$1048576, MATCH(1, ('Master Data Sheet'!$H:$H=L$2) * (INDEX('Master Data Sheet'!$1:$1, , MATCH($F$1, 'Master Data Sheet'!$1:$1, 0)) = $F$1) * ('Master Data Sheet'!$G:$G=$B40) * ('Master Data Sheet'!$F:$F=$E40) * ('Master Data Sheet'!$A:$A=$F40), 0), MATCH($F$1, 'Master Data Sheet'!$1:$1, 0)), "")</f>
        <v>32.066666666666649</v>
      </c>
      <c r="M40" s="11" cm="1">
        <f t="array" ref="M40">IFERROR(INDEX('Master Data Sheet'!$1:$1048576, MATCH(1, ('Master Data Sheet'!$H:$H=M$2) * (INDEX('Master Data Sheet'!$1:$1, , MATCH($F$1, 'Master Data Sheet'!$1:$1, 0)) = $F$1) * ('Master Data Sheet'!$G:$G=$B40) * ('Master Data Sheet'!$F:$F=$E40) * ('Master Data Sheet'!$A:$A=$F40), 0), MATCH($F$1, 'Master Data Sheet'!$1:$1, 0)), "")</f>
        <v>30.733333333333317</v>
      </c>
      <c r="N40" s="11" cm="1">
        <f t="array" ref="N40">IFERROR(INDEX('Master Data Sheet'!$1:$1048576, MATCH(1, ('Master Data Sheet'!$H:$H=N$2) * (INDEX('Master Data Sheet'!$1:$1, , MATCH($F$1, 'Master Data Sheet'!$1:$1, 0)) = $F$1) * ('Master Data Sheet'!$G:$G=$B40) * ('Master Data Sheet'!$F:$F=$E40) * ('Master Data Sheet'!$A:$A=$F40), 0), MATCH($F$1, 'Master Data Sheet'!$1:$1, 0)), "")</f>
        <v>36.73333333333332</v>
      </c>
      <c r="O40" s="11">
        <f t="shared" si="8"/>
        <v>29.923809523809503</v>
      </c>
      <c r="P40" s="11">
        <f t="shared" si="4"/>
        <v>4.6182293498745333</v>
      </c>
      <c r="Q40" s="11"/>
      <c r="X40" t="str">
        <f>IFERROR(INDEX('Date Key'!$G$57:$G$62, MATCH(B39,'Date Key'!$A$57:$A$62, 0)), "")</f>
        <v>High HLR, Lower Outlet Height, Yes Plants</v>
      </c>
      <c r="Y40" s="1">
        <f t="shared" ref="Y40:AE40" si="44">H39</f>
        <v>33.73333333333332</v>
      </c>
      <c r="Z40" s="1">
        <f t="shared" si="44"/>
        <v>31.066666666666649</v>
      </c>
      <c r="AA40" s="1">
        <f t="shared" si="44"/>
        <v>32.066666666666649</v>
      </c>
      <c r="AB40" s="1">
        <f t="shared" si="44"/>
        <v>23.066666666666642</v>
      </c>
      <c r="AC40" s="1">
        <f t="shared" si="44"/>
        <v>36.73333333333332</v>
      </c>
      <c r="AD40" s="1">
        <f t="shared" si="44"/>
        <v>34.399999999999984</v>
      </c>
      <c r="AE40" s="1">
        <f t="shared" si="44"/>
        <v>31.066666666666649</v>
      </c>
      <c r="AF40" s="1">
        <f t="shared" ref="AF40:AL40" si="45">H40</f>
        <v>26.066666666666645</v>
      </c>
      <c r="AG40" s="1">
        <f t="shared" si="45"/>
        <v>22.399999999999974</v>
      </c>
      <c r="AH40" s="1">
        <f t="shared" si="45"/>
        <v>29.399999999999981</v>
      </c>
      <c r="AI40" s="1">
        <f t="shared" si="45"/>
        <v>32.066666666666649</v>
      </c>
      <c r="AJ40" s="1">
        <f t="shared" si="45"/>
        <v>32.066666666666649</v>
      </c>
      <c r="AK40" s="1">
        <f t="shared" si="45"/>
        <v>30.733333333333317</v>
      </c>
      <c r="AL40" s="1">
        <f t="shared" si="45"/>
        <v>36.73333333333332</v>
      </c>
      <c r="AM40" s="1">
        <f t="shared" ref="AM40:AS40" si="46">H41</f>
        <v>37.066666666666656</v>
      </c>
      <c r="AN40" s="1">
        <f t="shared" si="46"/>
        <v>37.066666666666656</v>
      </c>
      <c r="AO40" s="1">
        <f t="shared" si="46"/>
        <v>28.733333333333313</v>
      </c>
      <c r="AP40" s="1">
        <f t="shared" si="46"/>
        <v>21.733333333333309</v>
      </c>
      <c r="AQ40" s="1">
        <f t="shared" si="46"/>
        <v>22.733333333333309</v>
      </c>
      <c r="AR40" s="1">
        <f t="shared" si="46"/>
        <v>21.066666666666642</v>
      </c>
      <c r="AS40" s="1">
        <f t="shared" si="46"/>
        <v>28.399999999999981</v>
      </c>
    </row>
    <row r="41" spans="1:45" x14ac:dyDescent="0.35">
      <c r="A41" s="41">
        <f>IFERROR(INDEX('Date Key'!$B$2:$B$19, MATCH(F41,'Date Key'!$A$2:$A$19, 0)), "")</f>
        <v>45330</v>
      </c>
      <c r="B41" s="4">
        <f t="shared" si="15"/>
        <v>5</v>
      </c>
      <c r="C41" s="26" t="str">
        <f>IFERROR(INDEX('Date Key'!$G$57:$G$62, MATCH(B41,'Date Key'!$A$57:$A$62, 0)), "")</f>
        <v>High HLR, Lower Outlet Height, Yes Plants</v>
      </c>
      <c r="D41" s="4" t="str">
        <f>IFERROR(INDEX('Date Key'!$G$2:$G$19, MATCH(F41, 'Date Key'!$A$2:$A$19, 0)), "")</f>
        <v>No</v>
      </c>
      <c r="E41" s="4" t="str">
        <f t="shared" si="1"/>
        <v>in</v>
      </c>
      <c r="F41" s="4">
        <f t="shared" si="2"/>
        <v>15</v>
      </c>
      <c r="G41" s="4">
        <f t="shared" si="22"/>
        <v>3</v>
      </c>
      <c r="H41" s="11" cm="1">
        <f t="array" ref="H41">IFERROR(INDEX('Master Data Sheet'!$1:$1048576, MATCH(1, ('Master Data Sheet'!$H:$H=H$2) * (INDEX('Master Data Sheet'!$1:$1, , MATCH($F$1, 'Master Data Sheet'!$1:$1, 0)) = $F$1) * ('Master Data Sheet'!$G:$G=$B41) * ('Master Data Sheet'!$F:$F=$E41) * ('Master Data Sheet'!$A:$A=$F41), 0), MATCH($F$1, 'Master Data Sheet'!$1:$1, 0)), "")</f>
        <v>37.066666666666656</v>
      </c>
      <c r="I41" s="11" cm="1">
        <f t="array" ref="I41">IFERROR(INDEX('Master Data Sheet'!$1:$1048576, MATCH(1, ('Master Data Sheet'!$H:$H=I$2) * (INDEX('Master Data Sheet'!$1:$1, , MATCH($F$1, 'Master Data Sheet'!$1:$1, 0)) = $F$1) * ('Master Data Sheet'!$G:$G=$B41) * ('Master Data Sheet'!$F:$F=$E41) * ('Master Data Sheet'!$A:$A=$F41), 0), MATCH($F$1, 'Master Data Sheet'!$1:$1, 0)), "")</f>
        <v>37.066666666666656</v>
      </c>
      <c r="J41" s="11" cm="1">
        <f t="array" ref="J41">IFERROR(INDEX('Master Data Sheet'!$1:$1048576, MATCH(1, ('Master Data Sheet'!$H:$H=J$2) * (INDEX('Master Data Sheet'!$1:$1, , MATCH($F$1, 'Master Data Sheet'!$1:$1, 0)) = $F$1) * ('Master Data Sheet'!$G:$G=$B41) * ('Master Data Sheet'!$F:$F=$E41) * ('Master Data Sheet'!$A:$A=$F41), 0), MATCH($F$1, 'Master Data Sheet'!$1:$1, 0)), "")</f>
        <v>28.733333333333313</v>
      </c>
      <c r="K41" s="11" cm="1">
        <f t="array" ref="K41">IFERROR(INDEX('Master Data Sheet'!$1:$1048576, MATCH(1, ('Master Data Sheet'!$H:$H=K$2) * (INDEX('Master Data Sheet'!$1:$1, , MATCH($F$1, 'Master Data Sheet'!$1:$1, 0)) = $F$1) * ('Master Data Sheet'!$G:$G=$B41) * ('Master Data Sheet'!$F:$F=$E41) * ('Master Data Sheet'!$A:$A=$F41), 0), MATCH($F$1, 'Master Data Sheet'!$1:$1, 0)), "")</f>
        <v>21.733333333333309</v>
      </c>
      <c r="L41" s="11" cm="1">
        <f t="array" ref="L41">IFERROR(INDEX('Master Data Sheet'!$1:$1048576, MATCH(1, ('Master Data Sheet'!$H:$H=L$2) * (INDEX('Master Data Sheet'!$1:$1, , MATCH($F$1, 'Master Data Sheet'!$1:$1, 0)) = $F$1) * ('Master Data Sheet'!$G:$G=$B41) * ('Master Data Sheet'!$F:$F=$E41) * ('Master Data Sheet'!$A:$A=$F41), 0), MATCH($F$1, 'Master Data Sheet'!$1:$1, 0)), "")</f>
        <v>22.733333333333309</v>
      </c>
      <c r="M41" s="11" cm="1">
        <f t="array" ref="M41">IFERROR(INDEX('Master Data Sheet'!$1:$1048576, MATCH(1, ('Master Data Sheet'!$H:$H=M$2) * (INDEX('Master Data Sheet'!$1:$1, , MATCH($F$1, 'Master Data Sheet'!$1:$1, 0)) = $F$1) * ('Master Data Sheet'!$G:$G=$B41) * ('Master Data Sheet'!$F:$F=$E41) * ('Master Data Sheet'!$A:$A=$F41), 0), MATCH($F$1, 'Master Data Sheet'!$1:$1, 0)), "")</f>
        <v>21.066666666666642</v>
      </c>
      <c r="N41" s="11" cm="1">
        <f t="array" ref="N41">IFERROR(INDEX('Master Data Sheet'!$1:$1048576, MATCH(1, ('Master Data Sheet'!$H:$H=N$2) * (INDEX('Master Data Sheet'!$1:$1, , MATCH($F$1, 'Master Data Sheet'!$1:$1, 0)) = $F$1) * ('Master Data Sheet'!$G:$G=$B41) * ('Master Data Sheet'!$F:$F=$E41) * ('Master Data Sheet'!$A:$A=$F41), 0), MATCH($F$1, 'Master Data Sheet'!$1:$1, 0)), "")</f>
        <v>28.399999999999981</v>
      </c>
      <c r="O41" s="11">
        <f t="shared" si="8"/>
        <v>28.114285714285693</v>
      </c>
      <c r="P41" s="11">
        <f t="shared" si="4"/>
        <v>6.8324621976663655</v>
      </c>
      <c r="Q41" s="11"/>
      <c r="Y41" s="1"/>
      <c r="Z41" s="1"/>
      <c r="AA41" s="1"/>
      <c r="AB41" s="1"/>
      <c r="AC41" s="1"/>
      <c r="AD41" s="1"/>
      <c r="AE41" s="1"/>
      <c r="AF41" s="1"/>
      <c r="AG41" s="1"/>
      <c r="AH41" s="1"/>
      <c r="AI41" s="1"/>
      <c r="AJ41" s="1"/>
      <c r="AK41" s="1"/>
      <c r="AL41" s="1"/>
      <c r="AM41" s="1"/>
      <c r="AN41" s="1"/>
      <c r="AO41" s="1"/>
      <c r="AP41" s="1"/>
      <c r="AQ41" s="1"/>
      <c r="AR41" s="1"/>
      <c r="AS41" s="1"/>
    </row>
    <row r="42" spans="1:45" x14ac:dyDescent="0.35">
      <c r="A42" s="41">
        <f>IFERROR(INDEX('Date Key'!$B$2:$B$19, MATCH(F42,'Date Key'!$A$2:$A$19, 0)), "")</f>
        <v>45313</v>
      </c>
      <c r="B42" s="4">
        <f t="shared" si="15"/>
        <v>5</v>
      </c>
      <c r="C42" s="26" t="str">
        <f>IFERROR(INDEX('Date Key'!$G$57:$G$62, MATCH(B42,'Date Key'!$A$57:$A$62, 0)), "")</f>
        <v>High HLR, Lower Outlet Height, Yes Plants</v>
      </c>
      <c r="D42" s="4" t="str">
        <f>IFERROR(INDEX('Date Key'!$G$2:$G$19, MATCH(F42, 'Date Key'!$A$2:$A$19, 0)), "")</f>
        <v>Yes</v>
      </c>
      <c r="E42" s="4" t="str">
        <f t="shared" si="1"/>
        <v>tank 1</v>
      </c>
      <c r="F42" s="4">
        <f t="shared" si="2"/>
        <v>13</v>
      </c>
      <c r="G42" s="4">
        <f t="shared" si="22"/>
        <v>1</v>
      </c>
      <c r="H42" s="11" cm="1">
        <f t="array" ref="H42">IFERROR(INDEX('Master Data Sheet'!$1:$1048576, MATCH(1, ('Master Data Sheet'!$H:$H=H$2) * (INDEX('Master Data Sheet'!$1:$1, , MATCH($F$1, 'Master Data Sheet'!$1:$1, 0)) = $F$1) * ('Master Data Sheet'!$G:$G=$B42) * ('Master Data Sheet'!$F:$F=$E42) * ('Master Data Sheet'!$A:$A=$F42), 0), MATCH($F$1, 'Master Data Sheet'!$1:$1, 0)), "")</f>
        <v>21.733333333333309</v>
      </c>
      <c r="I42" s="11" cm="1">
        <f t="array" ref="I42">IFERROR(INDEX('Master Data Sheet'!$1:$1048576, MATCH(1, ('Master Data Sheet'!$H:$H=I$2) * (INDEX('Master Data Sheet'!$1:$1, , MATCH($F$1, 'Master Data Sheet'!$1:$1, 0)) = $F$1) * ('Master Data Sheet'!$G:$G=$B42) * ('Master Data Sheet'!$F:$F=$E42) * ('Master Data Sheet'!$A:$A=$F42), 0), MATCH($F$1, 'Master Data Sheet'!$1:$1, 0)), "")</f>
        <v>27.399999999999981</v>
      </c>
      <c r="J42" s="11" cm="1">
        <f t="array" ref="J42">IFERROR(INDEX('Master Data Sheet'!$1:$1048576, MATCH(1, ('Master Data Sheet'!$H:$H=J$2) * (INDEX('Master Data Sheet'!$1:$1, , MATCH($F$1, 'Master Data Sheet'!$1:$1, 0)) = $F$1) * ('Master Data Sheet'!$G:$G=$B42) * ('Master Data Sheet'!$F:$F=$E42) * ('Master Data Sheet'!$A:$A=$F42), 0), MATCH($F$1, 'Master Data Sheet'!$1:$1, 0)), "")</f>
        <v>33.73333333333332</v>
      </c>
      <c r="K42" s="11" cm="1">
        <f t="array" ref="K42">IFERROR(INDEX('Master Data Sheet'!$1:$1048576, MATCH(1, ('Master Data Sheet'!$H:$H=K$2) * (INDEX('Master Data Sheet'!$1:$1, , MATCH($F$1, 'Master Data Sheet'!$1:$1, 0)) = $F$1) * ('Master Data Sheet'!$G:$G=$B42) * ('Master Data Sheet'!$F:$F=$E42) * ('Master Data Sheet'!$A:$A=$F42), 0), MATCH($F$1, 'Master Data Sheet'!$1:$1, 0)), "")</f>
        <v>38.399999999999991</v>
      </c>
      <c r="L42" s="11" cm="1">
        <f t="array" ref="L42">IFERROR(INDEX('Master Data Sheet'!$1:$1048576, MATCH(1, ('Master Data Sheet'!$H:$H=L$2) * (INDEX('Master Data Sheet'!$1:$1, , MATCH($F$1, 'Master Data Sheet'!$1:$1, 0)) = $F$1) * ('Master Data Sheet'!$G:$G=$B42) * ('Master Data Sheet'!$F:$F=$E42) * ('Master Data Sheet'!$A:$A=$F42), 0), MATCH($F$1, 'Master Data Sheet'!$1:$1, 0)), "")</f>
        <v>42.733333333333327</v>
      </c>
      <c r="M42" s="11" cm="1">
        <f t="array" ref="M42">IFERROR(INDEX('Master Data Sheet'!$1:$1048576, MATCH(1, ('Master Data Sheet'!$H:$H=M$2) * (INDEX('Master Data Sheet'!$1:$1, , MATCH($F$1, 'Master Data Sheet'!$1:$1, 0)) = $F$1) * ('Master Data Sheet'!$G:$G=$B42) * ('Master Data Sheet'!$F:$F=$E42) * ('Master Data Sheet'!$A:$A=$F42), 0), MATCH($F$1, 'Master Data Sheet'!$1:$1, 0)), "")</f>
        <v>43.399999999999991</v>
      </c>
      <c r="N42" s="11" cm="1">
        <f t="array" ref="N42">IFERROR(INDEX('Master Data Sheet'!$1:$1048576, MATCH(1, ('Master Data Sheet'!$H:$H=N$2) * (INDEX('Master Data Sheet'!$1:$1, , MATCH($F$1, 'Master Data Sheet'!$1:$1, 0)) = $F$1) * ('Master Data Sheet'!$G:$G=$B42) * ('Master Data Sheet'!$F:$F=$E42) * ('Master Data Sheet'!$A:$A=$F42), 0), MATCH($F$1, 'Master Data Sheet'!$1:$1, 0)), "")</f>
        <v>39.066666666666656</v>
      </c>
      <c r="O42" s="11">
        <f t="shared" si="8"/>
        <v>35.209523809523795</v>
      </c>
      <c r="P42" s="11">
        <f t="shared" si="4"/>
        <v>8.0985987422085266</v>
      </c>
      <c r="Q42" s="11">
        <f>AVERAGE(O42:O44)</f>
        <v>28.749206349206332</v>
      </c>
      <c r="R42" s="46">
        <f>(1-(O42/O39))*100</f>
        <v>-10.954381752701092</v>
      </c>
      <c r="S42" s="46">
        <f>AVERAGE(R42:R44)</f>
        <v>4.42949320960299</v>
      </c>
      <c r="T42" s="46">
        <f>STDEV(R42:R44)</f>
        <v>13.46287621722562</v>
      </c>
      <c r="U42" s="47">
        <f>(1-(AVERAGE(H42:N44)/AVERAGE(H39:N41)))*100</f>
        <v>3.9253129641417472</v>
      </c>
      <c r="V42" s="47"/>
      <c r="Y42" s="2"/>
      <c r="Z42" s="2"/>
      <c r="AA42" s="2"/>
      <c r="AB42" s="2"/>
      <c r="AC42" s="2"/>
      <c r="AD42" s="2"/>
      <c r="AE42" s="2"/>
      <c r="AF42" s="2"/>
      <c r="AG42" s="2"/>
    </row>
    <row r="43" spans="1:45" x14ac:dyDescent="0.35">
      <c r="A43" s="41">
        <f>IFERROR(INDEX('Date Key'!$B$2:$B$19, MATCH(F43,'Date Key'!$A$2:$A$19, 0)), "")</f>
        <v>45322</v>
      </c>
      <c r="B43" s="4">
        <f t="shared" si="15"/>
        <v>5</v>
      </c>
      <c r="C43" s="26" t="str">
        <f>IFERROR(INDEX('Date Key'!$G$57:$G$62, MATCH(B43,'Date Key'!$A$57:$A$62, 0)), "")</f>
        <v>High HLR, Lower Outlet Height, Yes Plants</v>
      </c>
      <c r="D43" s="4" t="str">
        <f>IFERROR(INDEX('Date Key'!$G$2:$G$19, MATCH(F43, 'Date Key'!$A$2:$A$19, 0)), "")</f>
        <v>No</v>
      </c>
      <c r="E43" s="4" t="str">
        <f t="shared" si="1"/>
        <v>tank 1</v>
      </c>
      <c r="F43" s="4">
        <f t="shared" si="2"/>
        <v>14</v>
      </c>
      <c r="G43" s="4">
        <f t="shared" si="22"/>
        <v>2</v>
      </c>
      <c r="H43" s="11" cm="1">
        <f t="array" ref="H43">IFERROR(INDEX('Master Data Sheet'!$1:$1048576, MATCH(1, ('Master Data Sheet'!$H:$H=H$2) * (INDEX('Master Data Sheet'!$1:$1, , MATCH($F$1, 'Master Data Sheet'!$1:$1, 0)) = $F$1) * ('Master Data Sheet'!$G:$G=$B43) * ('Master Data Sheet'!$F:$F=$E43) * ('Master Data Sheet'!$A:$A=$F43), 0), MATCH($F$1, 'Master Data Sheet'!$1:$1, 0)), "")</f>
        <v>23.066666666666642</v>
      </c>
      <c r="I43" s="11" cm="1">
        <f t="array" ref="I43">IFERROR(INDEX('Master Data Sheet'!$1:$1048576, MATCH(1, ('Master Data Sheet'!$H:$H=I$2) * (INDEX('Master Data Sheet'!$1:$1, , MATCH($F$1, 'Master Data Sheet'!$1:$1, 0)) = $F$1) * ('Master Data Sheet'!$G:$G=$B43) * ('Master Data Sheet'!$F:$F=$E43) * ('Master Data Sheet'!$A:$A=$F43), 0), MATCH($F$1, 'Master Data Sheet'!$1:$1, 0)), "")</f>
        <v>22.066666666666642</v>
      </c>
      <c r="J43" s="11" cm="1">
        <f t="array" ref="J43">IFERROR(INDEX('Master Data Sheet'!$1:$1048576, MATCH(1, ('Master Data Sheet'!$H:$H=J$2) * (INDEX('Master Data Sheet'!$1:$1, , MATCH($F$1, 'Master Data Sheet'!$1:$1, 0)) = $F$1) * ('Master Data Sheet'!$G:$G=$B43) * ('Master Data Sheet'!$F:$F=$E43) * ('Master Data Sheet'!$A:$A=$F43), 0), MATCH($F$1, 'Master Data Sheet'!$1:$1, 0)), "")</f>
        <v>24.733333333333309</v>
      </c>
      <c r="K43" s="11" cm="1">
        <f t="array" ref="K43">IFERROR(INDEX('Master Data Sheet'!$1:$1048576, MATCH(1, ('Master Data Sheet'!$H:$H=K$2) * (INDEX('Master Data Sheet'!$1:$1, , MATCH($F$1, 'Master Data Sheet'!$1:$1, 0)) = $F$1) * ('Master Data Sheet'!$G:$G=$B43) * ('Master Data Sheet'!$F:$F=$E43) * ('Master Data Sheet'!$A:$A=$F43), 0), MATCH($F$1, 'Master Data Sheet'!$1:$1, 0)), "")</f>
        <v>26.733333333333313</v>
      </c>
      <c r="L43" s="11" cm="1">
        <f t="array" ref="L43">IFERROR(INDEX('Master Data Sheet'!$1:$1048576, MATCH(1, ('Master Data Sheet'!$H:$H=L$2) * (INDEX('Master Data Sheet'!$1:$1, , MATCH($F$1, 'Master Data Sheet'!$1:$1, 0)) = $F$1) * ('Master Data Sheet'!$G:$G=$B43) * ('Master Data Sheet'!$F:$F=$E43) * ('Master Data Sheet'!$A:$A=$F43), 0), MATCH($F$1, 'Master Data Sheet'!$1:$1, 0)), "")</f>
        <v>28.733333333333313</v>
      </c>
      <c r="M43" s="11" cm="1">
        <f t="array" ref="M43">IFERROR(INDEX('Master Data Sheet'!$1:$1048576, MATCH(1, ('Master Data Sheet'!$H:$H=M$2) * (INDEX('Master Data Sheet'!$1:$1, , MATCH($F$1, 'Master Data Sheet'!$1:$1, 0)) = $F$1) * ('Master Data Sheet'!$G:$G=$B43) * ('Master Data Sheet'!$F:$F=$E43) * ('Master Data Sheet'!$A:$A=$F43), 0), MATCH($F$1, 'Master Data Sheet'!$1:$1, 0)), "")</f>
        <v>29.733333333333313</v>
      </c>
      <c r="N43" s="11" cm="1">
        <f t="array" ref="N43">IFERROR(INDEX('Master Data Sheet'!$1:$1048576, MATCH(1, ('Master Data Sheet'!$H:$H=N$2) * (INDEX('Master Data Sheet'!$1:$1, , MATCH($F$1, 'Master Data Sheet'!$1:$1, 0)) = $F$1) * ('Master Data Sheet'!$G:$G=$B43) * ('Master Data Sheet'!$F:$F=$E43) * ('Master Data Sheet'!$A:$A=$F43), 0), MATCH($F$1, 'Master Data Sheet'!$1:$1, 0)), "")</f>
        <v>33.066666666666649</v>
      </c>
      <c r="O43" s="11">
        <f t="shared" si="8"/>
        <v>26.876190476190459</v>
      </c>
      <c r="P43" s="11">
        <f t="shared" si="4"/>
        <v>3.9198315480488515</v>
      </c>
      <c r="Q43" s="11"/>
      <c r="R43" s="46">
        <f>(1-(O43/O40))*100</f>
        <v>10.184595798854224</v>
      </c>
      <c r="X43" t="str">
        <f>IFERROR(INDEX('Date Key'!$G$57:$G$62, MATCH(B42,'Date Key'!$A$57:$A$62, 0)), "")</f>
        <v>High HLR, Lower Outlet Height, Yes Plants</v>
      </c>
      <c r="Y43" s="1">
        <f t="shared" ref="Y43:AE43" si="47">H42</f>
        <v>21.733333333333309</v>
      </c>
      <c r="Z43" s="1">
        <f t="shared" si="47"/>
        <v>27.399999999999981</v>
      </c>
      <c r="AA43" s="1">
        <f t="shared" si="47"/>
        <v>33.73333333333332</v>
      </c>
      <c r="AB43" s="1">
        <f t="shared" si="47"/>
        <v>38.399999999999991</v>
      </c>
      <c r="AC43" s="1">
        <f t="shared" si="47"/>
        <v>42.733333333333327</v>
      </c>
      <c r="AD43" s="1">
        <f t="shared" si="47"/>
        <v>43.399999999999991</v>
      </c>
      <c r="AE43" s="1">
        <f t="shared" si="47"/>
        <v>39.066666666666656</v>
      </c>
      <c r="AF43" s="1">
        <f t="shared" ref="AF43:AL43" si="48">H43</f>
        <v>23.066666666666642</v>
      </c>
      <c r="AG43" s="1">
        <f t="shared" si="48"/>
        <v>22.066666666666642</v>
      </c>
      <c r="AH43" s="1">
        <f t="shared" si="48"/>
        <v>24.733333333333309</v>
      </c>
      <c r="AI43" s="1">
        <f t="shared" si="48"/>
        <v>26.733333333333313</v>
      </c>
      <c r="AJ43" s="1">
        <f t="shared" si="48"/>
        <v>28.733333333333313</v>
      </c>
      <c r="AK43" s="1">
        <f t="shared" si="48"/>
        <v>29.733333333333313</v>
      </c>
      <c r="AL43" s="1">
        <f t="shared" si="48"/>
        <v>33.066666666666649</v>
      </c>
      <c r="AM43" s="1">
        <f t="shared" ref="AM43:AS43" si="49">H44</f>
        <v>20.733333333333306</v>
      </c>
      <c r="AN43" s="1">
        <f t="shared" si="49"/>
        <v>29.733333333333313</v>
      </c>
      <c r="AO43" s="1">
        <f t="shared" si="49"/>
        <v>27.066666666666645</v>
      </c>
      <c r="AP43" s="1">
        <f t="shared" si="49"/>
        <v>25.066666666666645</v>
      </c>
      <c r="AQ43" s="1">
        <f t="shared" si="49"/>
        <v>23.733333333333309</v>
      </c>
      <c r="AR43" s="1">
        <f t="shared" si="49"/>
        <v>20.066666666666638</v>
      </c>
      <c r="AS43" s="1">
        <f t="shared" si="49"/>
        <v>22.733333333333309</v>
      </c>
    </row>
    <row r="44" spans="1:45" x14ac:dyDescent="0.35">
      <c r="A44" s="41">
        <f>IFERROR(INDEX('Date Key'!$B$2:$B$19, MATCH(F44,'Date Key'!$A$2:$A$19, 0)), "")</f>
        <v>45330</v>
      </c>
      <c r="B44" s="4">
        <f t="shared" si="15"/>
        <v>5</v>
      </c>
      <c r="C44" s="26" t="str">
        <f>IFERROR(INDEX('Date Key'!$G$57:$G$62, MATCH(B44,'Date Key'!$A$57:$A$62, 0)), "")</f>
        <v>High HLR, Lower Outlet Height, Yes Plants</v>
      </c>
      <c r="D44" s="4" t="str">
        <f>IFERROR(INDEX('Date Key'!$G$2:$G$19, MATCH(F44, 'Date Key'!$A$2:$A$19, 0)), "")</f>
        <v>No</v>
      </c>
      <c r="E44" s="4" t="str">
        <f t="shared" si="1"/>
        <v>tank 1</v>
      </c>
      <c r="F44" s="4">
        <f t="shared" si="2"/>
        <v>15</v>
      </c>
      <c r="G44" s="4">
        <f t="shared" si="22"/>
        <v>3</v>
      </c>
      <c r="H44" s="11" cm="1">
        <f t="array" ref="H44">IFERROR(INDEX('Master Data Sheet'!$1:$1048576, MATCH(1, ('Master Data Sheet'!$H:$H=H$2) * (INDEX('Master Data Sheet'!$1:$1, , MATCH($F$1, 'Master Data Sheet'!$1:$1, 0)) = $F$1) * ('Master Data Sheet'!$G:$G=$B44) * ('Master Data Sheet'!$F:$F=$E44) * ('Master Data Sheet'!$A:$A=$F44), 0), MATCH($F$1, 'Master Data Sheet'!$1:$1, 0)), "")</f>
        <v>20.733333333333306</v>
      </c>
      <c r="I44" s="11" cm="1">
        <f t="array" ref="I44">IFERROR(INDEX('Master Data Sheet'!$1:$1048576, MATCH(1, ('Master Data Sheet'!$H:$H=I$2) * (INDEX('Master Data Sheet'!$1:$1, , MATCH($F$1, 'Master Data Sheet'!$1:$1, 0)) = $F$1) * ('Master Data Sheet'!$G:$G=$B44) * ('Master Data Sheet'!$F:$F=$E44) * ('Master Data Sheet'!$A:$A=$F44), 0), MATCH($F$1, 'Master Data Sheet'!$1:$1, 0)), "")</f>
        <v>29.733333333333313</v>
      </c>
      <c r="J44" s="11" cm="1">
        <f t="array" ref="J44">IFERROR(INDEX('Master Data Sheet'!$1:$1048576, MATCH(1, ('Master Data Sheet'!$H:$H=J$2) * (INDEX('Master Data Sheet'!$1:$1, , MATCH($F$1, 'Master Data Sheet'!$1:$1, 0)) = $F$1) * ('Master Data Sheet'!$G:$G=$B44) * ('Master Data Sheet'!$F:$F=$E44) * ('Master Data Sheet'!$A:$A=$F44), 0), MATCH($F$1, 'Master Data Sheet'!$1:$1, 0)), "")</f>
        <v>27.066666666666645</v>
      </c>
      <c r="K44" s="11" cm="1">
        <f t="array" ref="K44">IFERROR(INDEX('Master Data Sheet'!$1:$1048576, MATCH(1, ('Master Data Sheet'!$H:$H=K$2) * (INDEX('Master Data Sheet'!$1:$1, , MATCH($F$1, 'Master Data Sheet'!$1:$1, 0)) = $F$1) * ('Master Data Sheet'!$G:$G=$B44) * ('Master Data Sheet'!$F:$F=$E44) * ('Master Data Sheet'!$A:$A=$F44), 0), MATCH($F$1, 'Master Data Sheet'!$1:$1, 0)), "")</f>
        <v>25.066666666666645</v>
      </c>
      <c r="L44" s="11" cm="1">
        <f t="array" ref="L44">IFERROR(INDEX('Master Data Sheet'!$1:$1048576, MATCH(1, ('Master Data Sheet'!$H:$H=L$2) * (INDEX('Master Data Sheet'!$1:$1, , MATCH($F$1, 'Master Data Sheet'!$1:$1, 0)) = $F$1) * ('Master Data Sheet'!$G:$G=$B44) * ('Master Data Sheet'!$F:$F=$E44) * ('Master Data Sheet'!$A:$A=$F44), 0), MATCH($F$1, 'Master Data Sheet'!$1:$1, 0)), "")</f>
        <v>23.733333333333309</v>
      </c>
      <c r="M44" s="11" cm="1">
        <f t="array" ref="M44">IFERROR(INDEX('Master Data Sheet'!$1:$1048576, MATCH(1, ('Master Data Sheet'!$H:$H=M$2) * (INDEX('Master Data Sheet'!$1:$1, , MATCH($F$1, 'Master Data Sheet'!$1:$1, 0)) = $F$1) * ('Master Data Sheet'!$G:$G=$B44) * ('Master Data Sheet'!$F:$F=$E44) * ('Master Data Sheet'!$A:$A=$F44), 0), MATCH($F$1, 'Master Data Sheet'!$1:$1, 0)), "")</f>
        <v>20.066666666666638</v>
      </c>
      <c r="N44" s="11" cm="1">
        <f t="array" ref="N44">IFERROR(INDEX('Master Data Sheet'!$1:$1048576, MATCH(1, ('Master Data Sheet'!$H:$H=N$2) * (INDEX('Master Data Sheet'!$1:$1, , MATCH($F$1, 'Master Data Sheet'!$1:$1, 0)) = $F$1) * ('Master Data Sheet'!$G:$G=$B44) * ('Master Data Sheet'!$F:$F=$E44) * ('Master Data Sheet'!$A:$A=$F44), 0), MATCH($F$1, 'Master Data Sheet'!$1:$1, 0)), "")</f>
        <v>22.733333333333309</v>
      </c>
      <c r="O44" s="11">
        <f t="shared" si="8"/>
        <v>24.16190476190474</v>
      </c>
      <c r="P44" s="11">
        <f t="shared" si="4"/>
        <v>3.4411146219313373</v>
      </c>
      <c r="Q44" s="11"/>
      <c r="R44" s="46">
        <f>(1-(O44/O41))*100</f>
        <v>14.058265582655839</v>
      </c>
      <c r="Y44" s="2"/>
      <c r="Z44" s="2"/>
      <c r="AA44" s="2"/>
      <c r="AB44" s="2"/>
      <c r="AC44" s="2"/>
      <c r="AD44" s="2"/>
      <c r="AE44" s="2"/>
      <c r="AF44" s="2"/>
      <c r="AG44" s="2"/>
    </row>
    <row r="45" spans="1:45" x14ac:dyDescent="0.35">
      <c r="A45" s="41">
        <f>IFERROR(INDEX('Date Key'!$B$2:$B$19, MATCH(F45,'Date Key'!$A$2:$A$19, 0)), "")</f>
        <v>45313</v>
      </c>
      <c r="B45" s="4">
        <f t="shared" si="15"/>
        <v>5</v>
      </c>
      <c r="C45" s="26" t="str">
        <f>IFERROR(INDEX('Date Key'!$G$57:$G$62, MATCH(B45,'Date Key'!$A$57:$A$62, 0)), "")</f>
        <v>High HLR, Lower Outlet Height, Yes Plants</v>
      </c>
      <c r="D45" s="4" t="str">
        <f>IFERROR(INDEX('Date Key'!$G$2:$G$19, MATCH(F45, 'Date Key'!$A$2:$A$19, 0)), "")</f>
        <v>Yes</v>
      </c>
      <c r="E45" s="4" t="str">
        <f t="shared" si="1"/>
        <v>tank 2</v>
      </c>
      <c r="F45" s="4">
        <f t="shared" si="2"/>
        <v>13</v>
      </c>
      <c r="G45" s="4">
        <f t="shared" si="22"/>
        <v>1</v>
      </c>
      <c r="H45" s="11" cm="1">
        <f t="array" ref="H45">IFERROR(INDEX('Master Data Sheet'!$1:$1048576, MATCH(1, ('Master Data Sheet'!$H:$H=H$2) * (INDEX('Master Data Sheet'!$1:$1, , MATCH($F$1, 'Master Data Sheet'!$1:$1, 0)) = $F$1) * ('Master Data Sheet'!$G:$G=$B45) * ('Master Data Sheet'!$F:$F=$E45) * ('Master Data Sheet'!$A:$A=$F45), 0), MATCH($F$1, 'Master Data Sheet'!$1:$1, 0)), "")</f>
        <v>82.73333333333332</v>
      </c>
      <c r="I45" s="11" cm="1">
        <f t="array" ref="I45">IFERROR(INDEX('Master Data Sheet'!$1:$1048576, MATCH(1, ('Master Data Sheet'!$H:$H=I$2) * (INDEX('Master Data Sheet'!$1:$1, , MATCH($F$1, 'Master Data Sheet'!$1:$1, 0)) = $F$1) * ('Master Data Sheet'!$G:$G=$B45) * ('Master Data Sheet'!$F:$F=$E45) * ('Master Data Sheet'!$A:$A=$F45), 0), MATCH($F$1, 'Master Data Sheet'!$1:$1, 0)), "")</f>
        <v>45.399999999999991</v>
      </c>
      <c r="J45" s="11" cm="1">
        <f t="array" ref="J45">IFERROR(INDEX('Master Data Sheet'!$1:$1048576, MATCH(1, ('Master Data Sheet'!$H:$H=J$2) * (INDEX('Master Data Sheet'!$1:$1, , MATCH($F$1, 'Master Data Sheet'!$1:$1, 0)) = $F$1) * ('Master Data Sheet'!$G:$G=$B45) * ('Master Data Sheet'!$F:$F=$E45) * ('Master Data Sheet'!$A:$A=$F45), 0), MATCH($F$1, 'Master Data Sheet'!$1:$1, 0)), "")</f>
        <v>36.73333333333332</v>
      </c>
      <c r="K45" s="11" cm="1">
        <f t="array" ref="K45">IFERROR(INDEX('Master Data Sheet'!$1:$1048576, MATCH(1, ('Master Data Sheet'!$H:$H=K$2) * (INDEX('Master Data Sheet'!$1:$1, , MATCH($F$1, 'Master Data Sheet'!$1:$1, 0)) = $F$1) * ('Master Data Sheet'!$G:$G=$B45) * ('Master Data Sheet'!$F:$F=$E45) * ('Master Data Sheet'!$A:$A=$F45), 0), MATCH($F$1, 'Master Data Sheet'!$1:$1, 0)), "")</f>
        <v>34.399999999999984</v>
      </c>
      <c r="L45" s="11" cm="1">
        <f t="array" ref="L45">IFERROR(INDEX('Master Data Sheet'!$1:$1048576, MATCH(1, ('Master Data Sheet'!$H:$H=L$2) * (INDEX('Master Data Sheet'!$1:$1, , MATCH($F$1, 'Master Data Sheet'!$1:$1, 0)) = $F$1) * ('Master Data Sheet'!$G:$G=$B45) * ('Master Data Sheet'!$F:$F=$E45) * ('Master Data Sheet'!$A:$A=$F45), 0), MATCH($F$1, 'Master Data Sheet'!$1:$1, 0)), "")</f>
        <v>33.399999999999984</v>
      </c>
      <c r="M45" s="11" cm="1">
        <f t="array" ref="M45">IFERROR(INDEX('Master Data Sheet'!$1:$1048576, MATCH(1, ('Master Data Sheet'!$H:$H=M$2) * (INDEX('Master Data Sheet'!$1:$1, , MATCH($F$1, 'Master Data Sheet'!$1:$1, 0)) = $F$1) * ('Master Data Sheet'!$G:$G=$B45) * ('Master Data Sheet'!$F:$F=$E45) * ('Master Data Sheet'!$A:$A=$F45), 0), MATCH($F$1, 'Master Data Sheet'!$1:$1, 0)), "")</f>
        <v>30.733333333333317</v>
      </c>
      <c r="N45" s="11" cm="1">
        <f t="array" ref="N45">IFERROR(INDEX('Master Data Sheet'!$1:$1048576, MATCH(1, ('Master Data Sheet'!$H:$H=N$2) * (INDEX('Master Data Sheet'!$1:$1, , MATCH($F$1, 'Master Data Sheet'!$1:$1, 0)) = $F$1) * ('Master Data Sheet'!$G:$G=$B45) * ('Master Data Sheet'!$F:$F=$E45) * ('Master Data Sheet'!$A:$A=$F45), 0), MATCH($F$1, 'Master Data Sheet'!$1:$1, 0)), "")</f>
        <v>32.066666666666649</v>
      </c>
      <c r="O45" s="11">
        <f t="shared" si="8"/>
        <v>42.209523809523795</v>
      </c>
      <c r="P45" s="11">
        <f t="shared" si="4"/>
        <v>18.509114014109414</v>
      </c>
      <c r="Q45" s="11">
        <f>AVERAGE(N45:N47)</f>
        <v>32.511111111111092</v>
      </c>
      <c r="R45" s="46">
        <f>(1-(O45/O39))*100</f>
        <v>-33.013205282112864</v>
      </c>
      <c r="S45" s="46">
        <f>AVERAGE(R45:R47)</f>
        <v>-18.218238884223002</v>
      </c>
      <c r="T45" s="46">
        <f>STDEV(R45:R47)</f>
        <v>13.971186204136451</v>
      </c>
      <c r="U45" s="47">
        <f>(1-(AVERAGE(H45:N47)/AVERAGE(H39:N41)))*100</f>
        <v>-18.777848504137506</v>
      </c>
      <c r="V45" s="47"/>
      <c r="Y45" s="2"/>
      <c r="Z45" s="2"/>
      <c r="AA45" s="2"/>
      <c r="AB45" s="2"/>
      <c r="AC45" s="2"/>
      <c r="AD45" s="2"/>
      <c r="AE45" s="2"/>
      <c r="AF45" s="2"/>
      <c r="AG45" s="2"/>
    </row>
    <row r="46" spans="1:45" x14ac:dyDescent="0.35">
      <c r="A46" s="41">
        <f>IFERROR(INDEX('Date Key'!$B$2:$B$19, MATCH(F46,'Date Key'!$A$2:$A$19, 0)), "")</f>
        <v>45322</v>
      </c>
      <c r="B46" s="4">
        <f t="shared" si="15"/>
        <v>5</v>
      </c>
      <c r="C46" s="26" t="str">
        <f>IFERROR(INDEX('Date Key'!$G$57:$G$62, MATCH(B46,'Date Key'!$A$57:$A$62, 0)), "")</f>
        <v>High HLR, Lower Outlet Height, Yes Plants</v>
      </c>
      <c r="D46" s="4" t="str">
        <f>IFERROR(INDEX('Date Key'!$G$2:$G$19, MATCH(F46, 'Date Key'!$A$2:$A$19, 0)), "")</f>
        <v>No</v>
      </c>
      <c r="E46" s="4" t="str">
        <f t="shared" si="1"/>
        <v>tank 2</v>
      </c>
      <c r="F46" s="4">
        <f t="shared" si="2"/>
        <v>14</v>
      </c>
      <c r="G46" s="4">
        <f t="shared" si="22"/>
        <v>2</v>
      </c>
      <c r="H46" s="11" cm="1">
        <f t="array" ref="H46">IFERROR(INDEX('Master Data Sheet'!$1:$1048576, MATCH(1, ('Master Data Sheet'!$H:$H=H$2) * (INDEX('Master Data Sheet'!$1:$1, , MATCH($F$1, 'Master Data Sheet'!$1:$1, 0)) = $F$1) * ('Master Data Sheet'!$G:$G=$B46) * ('Master Data Sheet'!$F:$F=$E46) * ('Master Data Sheet'!$A:$A=$F46), 0), MATCH($F$1, 'Master Data Sheet'!$1:$1, 0)), "")</f>
        <v>59.066666666666656</v>
      </c>
      <c r="I46" s="11" cm="1">
        <f t="array" ref="I46">IFERROR(INDEX('Master Data Sheet'!$1:$1048576, MATCH(1, ('Master Data Sheet'!$H:$H=I$2) * (INDEX('Master Data Sheet'!$1:$1, , MATCH($F$1, 'Master Data Sheet'!$1:$1, 0)) = $F$1) * ('Master Data Sheet'!$G:$G=$B46) * ('Master Data Sheet'!$F:$F=$E46) * ('Master Data Sheet'!$A:$A=$F46), 0), MATCH($F$1, 'Master Data Sheet'!$1:$1, 0)), "")</f>
        <v>38.066666666666656</v>
      </c>
      <c r="J46" s="11" cm="1">
        <f t="array" ref="J46">IFERROR(INDEX('Master Data Sheet'!$1:$1048576, MATCH(1, ('Master Data Sheet'!$H:$H=J$2) * (INDEX('Master Data Sheet'!$1:$1, , MATCH($F$1, 'Master Data Sheet'!$1:$1, 0)) = $F$1) * ('Master Data Sheet'!$G:$G=$B46) * ('Master Data Sheet'!$F:$F=$E46) * ('Master Data Sheet'!$A:$A=$F46), 0), MATCH($F$1, 'Master Data Sheet'!$1:$1, 0)), "")</f>
        <v>24.733333333333309</v>
      </c>
      <c r="K46" s="11" cm="1">
        <f t="array" ref="K46">IFERROR(INDEX('Master Data Sheet'!$1:$1048576, MATCH(1, ('Master Data Sheet'!$H:$H=K$2) * (INDEX('Master Data Sheet'!$1:$1, , MATCH($F$1, 'Master Data Sheet'!$1:$1, 0)) = $F$1) * ('Master Data Sheet'!$G:$G=$B46) * ('Master Data Sheet'!$F:$F=$E46) * ('Master Data Sheet'!$A:$A=$F46), 0), MATCH($F$1, 'Master Data Sheet'!$1:$1, 0)), "")</f>
        <v>24.066666666666642</v>
      </c>
      <c r="L46" s="11" cm="1">
        <f t="array" ref="L46">IFERROR(INDEX('Master Data Sheet'!$1:$1048576, MATCH(1, ('Master Data Sheet'!$H:$H=L$2) * (INDEX('Master Data Sheet'!$1:$1, , MATCH($F$1, 'Master Data Sheet'!$1:$1, 0)) = $F$1) * ('Master Data Sheet'!$G:$G=$B46) * ('Master Data Sheet'!$F:$F=$E46) * ('Master Data Sheet'!$A:$A=$F46), 0), MATCH($F$1, 'Master Data Sheet'!$1:$1, 0)), "")</f>
        <v>30.733333333333317</v>
      </c>
      <c r="M46" s="11" cm="1">
        <f t="array" ref="M46">IFERROR(INDEX('Master Data Sheet'!$1:$1048576, MATCH(1, ('Master Data Sheet'!$H:$H=M$2) * (INDEX('Master Data Sheet'!$1:$1, , MATCH($F$1, 'Master Data Sheet'!$1:$1, 0)) = $F$1) * ('Master Data Sheet'!$G:$G=$B46) * ('Master Data Sheet'!$F:$F=$E46) * ('Master Data Sheet'!$A:$A=$F46), 0), MATCH($F$1, 'Master Data Sheet'!$1:$1, 0)), "")</f>
        <v>34.066666666666649</v>
      </c>
      <c r="N46" s="11" cm="1">
        <f t="array" ref="N46">IFERROR(INDEX('Master Data Sheet'!$1:$1048576, MATCH(1, ('Master Data Sheet'!$H:$H=N$2) * (INDEX('Master Data Sheet'!$1:$1, , MATCH($F$1, 'Master Data Sheet'!$1:$1, 0)) = $F$1) * ('Master Data Sheet'!$G:$G=$B46) * ('Master Data Sheet'!$F:$F=$E46) * ('Master Data Sheet'!$A:$A=$F46), 0), MATCH($F$1, 'Master Data Sheet'!$1:$1, 0)), "")</f>
        <v>33.066666666666649</v>
      </c>
      <c r="O46" s="11">
        <f t="shared" si="8"/>
        <v>34.828571428571415</v>
      </c>
      <c r="P46" s="11">
        <f t="shared" si="4"/>
        <v>11.805074686751807</v>
      </c>
      <c r="Q46" s="11"/>
      <c r="R46" s="46">
        <f>(1-(O46/O40))*100</f>
        <v>-16.390833863781062</v>
      </c>
      <c r="X46" t="str">
        <f>IFERROR(INDEX('Date Key'!$G$57:$G$62, MATCH(B45,'Date Key'!$A$57:$A$62, 0)), "")</f>
        <v>High HLR, Lower Outlet Height, Yes Plants</v>
      </c>
      <c r="Y46" s="1">
        <f t="shared" ref="Y46:AE46" si="50">H45</f>
        <v>82.73333333333332</v>
      </c>
      <c r="Z46" s="1">
        <f t="shared" si="50"/>
        <v>45.399999999999991</v>
      </c>
      <c r="AA46" s="1">
        <f t="shared" si="50"/>
        <v>36.73333333333332</v>
      </c>
      <c r="AB46" s="1">
        <f t="shared" si="50"/>
        <v>34.399999999999984</v>
      </c>
      <c r="AC46" s="1">
        <f t="shared" si="50"/>
        <v>33.399999999999984</v>
      </c>
      <c r="AD46" s="1">
        <f t="shared" si="50"/>
        <v>30.733333333333317</v>
      </c>
      <c r="AE46" s="1">
        <f t="shared" si="50"/>
        <v>32.066666666666649</v>
      </c>
      <c r="AF46" s="1">
        <f t="shared" ref="AF46:AL46" si="51">H46</f>
        <v>59.066666666666656</v>
      </c>
      <c r="AG46" s="1">
        <f t="shared" si="51"/>
        <v>38.066666666666656</v>
      </c>
      <c r="AH46" s="1">
        <f t="shared" si="51"/>
        <v>24.733333333333309</v>
      </c>
      <c r="AI46" s="1">
        <f t="shared" si="51"/>
        <v>24.066666666666642</v>
      </c>
      <c r="AJ46" s="1">
        <f t="shared" si="51"/>
        <v>30.733333333333317</v>
      </c>
      <c r="AK46" s="1">
        <f t="shared" si="51"/>
        <v>34.066666666666649</v>
      </c>
      <c r="AL46" s="1">
        <f t="shared" si="51"/>
        <v>33.066666666666649</v>
      </c>
      <c r="AM46" s="1">
        <f t="shared" ref="AM46:AS46" si="52">H47</f>
        <v>42.066666666666656</v>
      </c>
      <c r="AN46" s="1">
        <f t="shared" si="52"/>
        <v>34.066666666666649</v>
      </c>
      <c r="AO46" s="1">
        <f t="shared" si="52"/>
        <v>34.73333333333332</v>
      </c>
      <c r="AP46" s="1">
        <f t="shared" si="52"/>
        <v>24.066666666666642</v>
      </c>
      <c r="AQ46" s="1">
        <f t="shared" si="52"/>
        <v>19.066666666666677</v>
      </c>
      <c r="AR46" s="1">
        <f t="shared" si="52"/>
        <v>20.733333333333306</v>
      </c>
      <c r="AS46" s="1">
        <f t="shared" si="52"/>
        <v>32.399999999999984</v>
      </c>
    </row>
    <row r="47" spans="1:45" x14ac:dyDescent="0.35">
      <c r="A47" s="42">
        <f>IFERROR(INDEX('Date Key'!$B$2:$B$19, MATCH(F47,'Date Key'!$A$2:$A$19, 0)), "")</f>
        <v>45330</v>
      </c>
      <c r="B47" s="27">
        <f t="shared" si="15"/>
        <v>5</v>
      </c>
      <c r="C47" s="51" t="str">
        <f>IFERROR(INDEX('Date Key'!$G$57:$G$62, MATCH(B47,'Date Key'!$A$57:$A$62, 0)), "")</f>
        <v>High HLR, Lower Outlet Height, Yes Plants</v>
      </c>
      <c r="D47" s="27" t="str">
        <f>IFERROR(INDEX('Date Key'!$G$2:$G$19, MATCH(F47, 'Date Key'!$A$2:$A$19, 0)), "")</f>
        <v>No</v>
      </c>
      <c r="E47" s="27" t="str">
        <f t="shared" si="1"/>
        <v>tank 2</v>
      </c>
      <c r="F47" s="27">
        <f t="shared" si="2"/>
        <v>15</v>
      </c>
      <c r="G47" s="27">
        <f t="shared" si="22"/>
        <v>3</v>
      </c>
      <c r="H47" s="28" cm="1">
        <f t="array" ref="H47">IFERROR(INDEX('Master Data Sheet'!$1:$1048576, MATCH(1, ('Master Data Sheet'!$H:$H=H$2) * (INDEX('Master Data Sheet'!$1:$1, , MATCH($F$1, 'Master Data Sheet'!$1:$1, 0)) = $F$1) * ('Master Data Sheet'!$G:$G=$B47) * ('Master Data Sheet'!$F:$F=$E47) * ('Master Data Sheet'!$A:$A=$F47), 0), MATCH($F$1, 'Master Data Sheet'!$1:$1, 0)), "")</f>
        <v>42.066666666666656</v>
      </c>
      <c r="I47" s="28" cm="1">
        <f t="array" ref="I47">IFERROR(INDEX('Master Data Sheet'!$1:$1048576, MATCH(1, ('Master Data Sheet'!$H:$H=I$2) * (INDEX('Master Data Sheet'!$1:$1, , MATCH($F$1, 'Master Data Sheet'!$1:$1, 0)) = $F$1) * ('Master Data Sheet'!$G:$G=$B47) * ('Master Data Sheet'!$F:$F=$E47) * ('Master Data Sheet'!$A:$A=$F47), 0), MATCH($F$1, 'Master Data Sheet'!$1:$1, 0)), "")</f>
        <v>34.066666666666649</v>
      </c>
      <c r="J47" s="28" cm="1">
        <f t="array" ref="J47">IFERROR(INDEX('Master Data Sheet'!$1:$1048576, MATCH(1, ('Master Data Sheet'!$H:$H=J$2) * (INDEX('Master Data Sheet'!$1:$1, , MATCH($F$1, 'Master Data Sheet'!$1:$1, 0)) = $F$1) * ('Master Data Sheet'!$G:$G=$B47) * ('Master Data Sheet'!$F:$F=$E47) * ('Master Data Sheet'!$A:$A=$F47), 0), MATCH($F$1, 'Master Data Sheet'!$1:$1, 0)), "")</f>
        <v>34.73333333333332</v>
      </c>
      <c r="K47" s="28" cm="1">
        <f t="array" ref="K47">IFERROR(INDEX('Master Data Sheet'!$1:$1048576, MATCH(1, ('Master Data Sheet'!$H:$H=K$2) * (INDEX('Master Data Sheet'!$1:$1, , MATCH($F$1, 'Master Data Sheet'!$1:$1, 0)) = $F$1) * ('Master Data Sheet'!$G:$G=$B47) * ('Master Data Sheet'!$F:$F=$E47) * ('Master Data Sheet'!$A:$A=$F47), 0), MATCH($F$1, 'Master Data Sheet'!$1:$1, 0)), "")</f>
        <v>24.066666666666642</v>
      </c>
      <c r="L47" s="28" cm="1">
        <f t="array" ref="L47">IFERROR(INDEX('Master Data Sheet'!$1:$1048576, MATCH(1, ('Master Data Sheet'!$H:$H=L$2) * (INDEX('Master Data Sheet'!$1:$1, , MATCH($F$1, 'Master Data Sheet'!$1:$1, 0)) = $F$1) * ('Master Data Sheet'!$G:$G=$B47) * ('Master Data Sheet'!$F:$F=$E47) * ('Master Data Sheet'!$A:$A=$F47), 0), MATCH($F$1, 'Master Data Sheet'!$1:$1, 0)), "")</f>
        <v>19.066666666666677</v>
      </c>
      <c r="M47" s="28" cm="1">
        <f t="array" ref="M47">IFERROR(INDEX('Master Data Sheet'!$1:$1048576, MATCH(1, ('Master Data Sheet'!$H:$H=M$2) * (INDEX('Master Data Sheet'!$1:$1, , MATCH($F$1, 'Master Data Sheet'!$1:$1, 0)) = $F$1) * ('Master Data Sheet'!$G:$G=$B47) * ('Master Data Sheet'!$F:$F=$E47) * ('Master Data Sheet'!$A:$A=$F47), 0), MATCH($F$1, 'Master Data Sheet'!$1:$1, 0)), "")</f>
        <v>20.733333333333306</v>
      </c>
      <c r="N47" s="28" cm="1">
        <f t="array" ref="N47">IFERROR(INDEX('Master Data Sheet'!$1:$1048576, MATCH(1, ('Master Data Sheet'!$H:$H=N$2) * (INDEX('Master Data Sheet'!$1:$1, , MATCH($F$1, 'Master Data Sheet'!$1:$1, 0)) = $F$1) * ('Master Data Sheet'!$G:$G=$B47) * ('Master Data Sheet'!$F:$F=$E47) * ('Master Data Sheet'!$A:$A=$F47), 0), MATCH($F$1, 'Master Data Sheet'!$1:$1, 0)), "")</f>
        <v>32.399999999999984</v>
      </c>
      <c r="O47" s="28">
        <f t="shared" si="8"/>
        <v>29.590476190476174</v>
      </c>
      <c r="P47" s="28">
        <f t="shared" si="4"/>
        <v>8.463116365993022</v>
      </c>
      <c r="Q47" s="28"/>
      <c r="R47" s="48">
        <f>(1-(O47/O41))*100</f>
        <v>-5.250677506775081</v>
      </c>
      <c r="S47" s="27"/>
      <c r="T47" s="27"/>
      <c r="U47" s="27"/>
      <c r="V47" s="27"/>
    </row>
    <row r="48" spans="1:45" x14ac:dyDescent="0.35">
      <c r="A48" s="41">
        <f>IFERROR(INDEX('Date Key'!$B$2:$B$19, MATCH(F48,'Date Key'!$A$2:$A$19, 0)), "")</f>
        <v>45371</v>
      </c>
      <c r="B48" s="4">
        <f t="shared" si="15"/>
        <v>6</v>
      </c>
      <c r="C48" s="26" t="str">
        <f>IFERROR(INDEX('Date Key'!$G$57:$G$62, MATCH(B48,'Date Key'!$A$57:$A$62, 0)), "")</f>
        <v>Medium HLR, Upper Outlet Height, Yes Plants</v>
      </c>
      <c r="D48" s="4" t="str">
        <f>IFERROR(INDEX('Date Key'!$G$2:$G$19, MATCH(F48, 'Date Key'!$A$2:$A$19, 0)), "")</f>
        <v>No</v>
      </c>
      <c r="E48" s="4" t="str">
        <f t="shared" si="1"/>
        <v>in</v>
      </c>
      <c r="F48" s="4">
        <f t="shared" si="2"/>
        <v>16</v>
      </c>
      <c r="G48" s="4">
        <f t="shared" si="22"/>
        <v>1</v>
      </c>
      <c r="H48" s="11" cm="1">
        <f t="array" ref="H48">IFERROR(INDEX('Master Data Sheet'!$1:$1048576, MATCH(1, ('Master Data Sheet'!$H:$H=H$2) * (INDEX('Master Data Sheet'!$1:$1, , MATCH($F$1, 'Master Data Sheet'!$1:$1, 0)) = $F$1) * ('Master Data Sheet'!$G:$G=$B48) * ('Master Data Sheet'!$F:$F=$E48) * ('Master Data Sheet'!$A:$A=$F48), 0), MATCH($F$1, 'Master Data Sheet'!$1:$1, 0)), "")</f>
        <v>44.066666666666663</v>
      </c>
      <c r="I48" s="11" cm="1">
        <f t="array" ref="I48">IFERROR(INDEX('Master Data Sheet'!$1:$1048576, MATCH(1, ('Master Data Sheet'!$H:$H=I$2) * (INDEX('Master Data Sheet'!$1:$1, , MATCH($F$1, 'Master Data Sheet'!$1:$1, 0)) = $F$1) * ('Master Data Sheet'!$G:$G=$B48) * ('Master Data Sheet'!$F:$F=$E48) * ('Master Data Sheet'!$A:$A=$F48), 0), MATCH($F$1, 'Master Data Sheet'!$1:$1, 0)), "")</f>
        <v>24.733333333333309</v>
      </c>
      <c r="J48" s="11" cm="1">
        <f t="array" ref="J48">IFERROR(INDEX('Master Data Sheet'!$1:$1048576, MATCH(1, ('Master Data Sheet'!$H:$H=J$2) * (INDEX('Master Data Sheet'!$1:$1, , MATCH($F$1, 'Master Data Sheet'!$1:$1, 0)) = $F$1) * ('Master Data Sheet'!$G:$G=$B48) * ('Master Data Sheet'!$F:$F=$E48) * ('Master Data Sheet'!$A:$A=$F48), 0), MATCH($F$1, 'Master Data Sheet'!$1:$1, 0)), "")</f>
        <v>21.733333333333309</v>
      </c>
      <c r="K48" s="11" cm="1">
        <f t="array" ref="K48">IFERROR(INDEX('Master Data Sheet'!$1:$1048576, MATCH(1, ('Master Data Sheet'!$H:$H=K$2) * (INDEX('Master Data Sheet'!$1:$1, , MATCH($F$1, 'Master Data Sheet'!$1:$1, 0)) = $F$1) * ('Master Data Sheet'!$G:$G=$B48) * ('Master Data Sheet'!$F:$F=$E48) * ('Master Data Sheet'!$A:$A=$F48), 0), MATCH($F$1, 'Master Data Sheet'!$1:$1, 0)), "")</f>
        <v>21.399999999999974</v>
      </c>
      <c r="L48" s="11" cm="1">
        <f t="array" ref="L48">IFERROR(INDEX('Master Data Sheet'!$1:$1048576, MATCH(1, ('Master Data Sheet'!$H:$H=L$2) * (INDEX('Master Data Sheet'!$1:$1, , MATCH($F$1, 'Master Data Sheet'!$1:$1, 0)) = $F$1) * ('Master Data Sheet'!$G:$G=$B48) * ('Master Data Sheet'!$F:$F=$E48) * ('Master Data Sheet'!$A:$A=$F48), 0), MATCH($F$1, 'Master Data Sheet'!$1:$1, 0)), "")</f>
        <v>28.733333333333313</v>
      </c>
      <c r="M48" s="11" cm="1">
        <f t="array" ref="M48">IFERROR(INDEX('Master Data Sheet'!$1:$1048576, MATCH(1, ('Master Data Sheet'!$H:$H=M$2) * (INDEX('Master Data Sheet'!$1:$1, , MATCH($F$1, 'Master Data Sheet'!$1:$1, 0)) = $F$1) * ('Master Data Sheet'!$G:$G=$B48) * ('Master Data Sheet'!$F:$F=$E48) * ('Master Data Sheet'!$A:$A=$F48), 0), MATCH($F$1, 'Master Data Sheet'!$1:$1, 0)), "")</f>
        <v>28.399999999999981</v>
      </c>
      <c r="N48" s="11" cm="1">
        <f t="array" ref="N48">IFERROR(INDEX('Master Data Sheet'!$1:$1048576, MATCH(1, ('Master Data Sheet'!$H:$H=N$2) * (INDEX('Master Data Sheet'!$1:$1, , MATCH($F$1, 'Master Data Sheet'!$1:$1, 0)) = $F$1) * ('Master Data Sheet'!$G:$G=$B48) * ('Master Data Sheet'!$F:$F=$E48) * ('Master Data Sheet'!$A:$A=$F48), 0), MATCH($F$1, 'Master Data Sheet'!$1:$1, 0)), "")</f>
        <v>31.066666666666649</v>
      </c>
      <c r="O48" s="11">
        <f t="shared" si="8"/>
        <v>28.590476190476174</v>
      </c>
      <c r="P48" s="11">
        <f t="shared" si="4"/>
        <v>7.7384493203482254</v>
      </c>
      <c r="Q48" s="11">
        <f>AVERAGE(O48:O50)</f>
        <v>31.431746031746016</v>
      </c>
      <c r="S48" s="11">
        <f>AVERAGE(O48:O50)</f>
        <v>31.431746031746016</v>
      </c>
      <c r="T48" s="11">
        <f>AVERAGE(P48:P50)</f>
        <v>3.5106850066133268</v>
      </c>
      <c r="V48" s="47">
        <f>AVERAGE(U51, U54)</f>
        <v>-8.2567417432582886</v>
      </c>
      <c r="X48" t="s">
        <v>343</v>
      </c>
    </row>
    <row r="49" spans="1:46" x14ac:dyDescent="0.35">
      <c r="A49" s="41">
        <f>IFERROR(INDEX('Date Key'!$B$2:$B$19, MATCH(F49,'Date Key'!$A$2:$A$19, 0)), "")</f>
        <v>45392</v>
      </c>
      <c r="B49" s="4">
        <f t="shared" si="15"/>
        <v>6</v>
      </c>
      <c r="C49" s="26" t="str">
        <f>IFERROR(INDEX('Date Key'!$G$57:$G$62, MATCH(B49,'Date Key'!$A$57:$A$62, 0)), "")</f>
        <v>Medium HLR, Upper Outlet Height, Yes Plants</v>
      </c>
      <c r="D49" s="4" t="str">
        <f>IFERROR(INDEX('Date Key'!$G$2:$G$19, MATCH(F49, 'Date Key'!$A$2:$A$19, 0)), "")</f>
        <v>No</v>
      </c>
      <c r="E49" s="4" t="str">
        <f t="shared" si="1"/>
        <v>in</v>
      </c>
      <c r="F49" s="4">
        <f t="shared" si="2"/>
        <v>17</v>
      </c>
      <c r="G49" s="4">
        <f t="shared" si="22"/>
        <v>2</v>
      </c>
      <c r="H49" s="11" cm="1">
        <f t="array" ref="H49">IFERROR(INDEX('Master Data Sheet'!$1:$1048576, MATCH(1, ('Master Data Sheet'!$H:$H=H$2) * (INDEX('Master Data Sheet'!$1:$1, , MATCH($F$1, 'Master Data Sheet'!$1:$1, 0)) = $F$1) * ('Master Data Sheet'!$G:$G=$B49) * ('Master Data Sheet'!$F:$F=$E49) * ('Master Data Sheet'!$A:$A=$F49), 0), MATCH($F$1, 'Master Data Sheet'!$1:$1, 0)), "")</f>
        <v>32.399999999999984</v>
      </c>
      <c r="I49" s="11" cm="1">
        <f t="array" ref="I49">IFERROR(INDEX('Master Data Sheet'!$1:$1048576, MATCH(1, ('Master Data Sheet'!$H:$H=I$2) * (INDEX('Master Data Sheet'!$1:$1, , MATCH($F$1, 'Master Data Sheet'!$1:$1, 0)) = $F$1) * ('Master Data Sheet'!$G:$G=$B49) * ('Master Data Sheet'!$F:$F=$E49) * ('Master Data Sheet'!$A:$A=$F49), 0), MATCH($F$1, 'Master Data Sheet'!$1:$1, 0)), "")</f>
        <v>27.399999999999981</v>
      </c>
      <c r="J49" s="11" cm="1">
        <f t="array" ref="J49">IFERROR(INDEX('Master Data Sheet'!$1:$1048576, MATCH(1, ('Master Data Sheet'!$H:$H=J$2) * (INDEX('Master Data Sheet'!$1:$1, , MATCH($F$1, 'Master Data Sheet'!$1:$1, 0)) = $F$1) * ('Master Data Sheet'!$G:$G=$B49) * ('Master Data Sheet'!$F:$F=$E49) * ('Master Data Sheet'!$A:$A=$F49), 0), MATCH($F$1, 'Master Data Sheet'!$1:$1, 0)), "")</f>
        <v>28.066666666666645</v>
      </c>
      <c r="K49" s="11" cm="1">
        <f t="array" ref="K49">IFERROR(INDEX('Master Data Sheet'!$1:$1048576, MATCH(1, ('Master Data Sheet'!$H:$H=K$2) * (INDEX('Master Data Sheet'!$1:$1, , MATCH($F$1, 'Master Data Sheet'!$1:$1, 0)) = $F$1) * ('Master Data Sheet'!$G:$G=$B49) * ('Master Data Sheet'!$F:$F=$E49) * ('Master Data Sheet'!$A:$A=$F49), 0), MATCH($F$1, 'Master Data Sheet'!$1:$1, 0)), "")</f>
        <v>28.066666666666645</v>
      </c>
      <c r="L49" s="11" cm="1">
        <f t="array" ref="L49">IFERROR(INDEX('Master Data Sheet'!$1:$1048576, MATCH(1, ('Master Data Sheet'!$H:$H=L$2) * (INDEX('Master Data Sheet'!$1:$1, , MATCH($F$1, 'Master Data Sheet'!$1:$1, 0)) = $F$1) * ('Master Data Sheet'!$G:$G=$B49) * ('Master Data Sheet'!$F:$F=$E49) * ('Master Data Sheet'!$A:$A=$F49), 0), MATCH($F$1, 'Master Data Sheet'!$1:$1, 0)), "")</f>
        <v>28.066666666666645</v>
      </c>
      <c r="M49" s="11" cm="1">
        <f t="array" ref="M49">IFERROR(INDEX('Master Data Sheet'!$1:$1048576, MATCH(1, ('Master Data Sheet'!$H:$H=M$2) * (INDEX('Master Data Sheet'!$1:$1, , MATCH($F$1, 'Master Data Sheet'!$1:$1, 0)) = $F$1) * ('Master Data Sheet'!$G:$G=$B49) * ('Master Data Sheet'!$F:$F=$E49) * ('Master Data Sheet'!$A:$A=$F49), 0), MATCH($F$1, 'Master Data Sheet'!$1:$1, 0)), "")</f>
        <v>29.399999999999981</v>
      </c>
      <c r="N49" s="11" cm="1">
        <f t="array" ref="N49">IFERROR(INDEX('Master Data Sheet'!$1:$1048576, MATCH(1, ('Master Data Sheet'!$H:$H=N$2) * (INDEX('Master Data Sheet'!$1:$1, , MATCH($F$1, 'Master Data Sheet'!$1:$1, 0)) = $F$1) * ('Master Data Sheet'!$G:$G=$B49) * ('Master Data Sheet'!$F:$F=$E49) * ('Master Data Sheet'!$A:$A=$F49), 0), MATCH($F$1, 'Master Data Sheet'!$1:$1, 0)), "")</f>
        <v>28.733333333333313</v>
      </c>
      <c r="O49" s="11">
        <f t="shared" si="8"/>
        <v>28.876190476190459</v>
      </c>
      <c r="P49" s="11">
        <f t="shared" si="4"/>
        <v>1.6761634196950534</v>
      </c>
      <c r="Q49" s="11"/>
      <c r="X49" t="str">
        <f>IFERROR(INDEX('Date Key'!$G$57:$G$62, MATCH(B48,'Date Key'!$A$57:$A$62, 0)), "")</f>
        <v>Medium HLR, Upper Outlet Height, Yes Plants</v>
      </c>
      <c r="Y49" s="1">
        <f t="shared" ref="Y49:AE49" si="53">H48</f>
        <v>44.066666666666663</v>
      </c>
      <c r="Z49" s="1">
        <f t="shared" si="53"/>
        <v>24.733333333333309</v>
      </c>
      <c r="AA49" s="1">
        <f t="shared" si="53"/>
        <v>21.733333333333309</v>
      </c>
      <c r="AB49" s="1">
        <f t="shared" si="53"/>
        <v>21.399999999999974</v>
      </c>
      <c r="AC49" s="1">
        <f t="shared" si="53"/>
        <v>28.733333333333313</v>
      </c>
      <c r="AD49" s="1">
        <f t="shared" si="53"/>
        <v>28.399999999999981</v>
      </c>
      <c r="AE49" s="1">
        <f t="shared" si="53"/>
        <v>31.066666666666649</v>
      </c>
      <c r="AF49" s="1">
        <f t="shared" ref="AF49:AL49" si="54">H49</f>
        <v>32.399999999999984</v>
      </c>
      <c r="AG49" s="1">
        <f t="shared" si="54"/>
        <v>27.399999999999981</v>
      </c>
      <c r="AH49" s="1">
        <f t="shared" si="54"/>
        <v>28.066666666666645</v>
      </c>
      <c r="AI49" s="1">
        <f t="shared" si="54"/>
        <v>28.066666666666645</v>
      </c>
      <c r="AJ49" s="1">
        <f t="shared" si="54"/>
        <v>28.066666666666645</v>
      </c>
      <c r="AK49" s="1">
        <f t="shared" si="54"/>
        <v>29.399999999999981</v>
      </c>
      <c r="AL49" s="1">
        <f t="shared" si="54"/>
        <v>28.733333333333313</v>
      </c>
      <c r="AM49" s="1">
        <f t="shared" ref="AM49:AS49" si="55">H50</f>
        <v>37.73333333333332</v>
      </c>
      <c r="AN49" s="1">
        <f t="shared" si="55"/>
        <v>38.399999999999991</v>
      </c>
      <c r="AO49" s="1">
        <f t="shared" si="55"/>
        <v>35.73333333333332</v>
      </c>
      <c r="AP49" s="1">
        <f t="shared" si="55"/>
        <v>37.399999999999991</v>
      </c>
      <c r="AQ49" s="1">
        <f t="shared" si="55"/>
        <v>35.399999999999984</v>
      </c>
      <c r="AR49" s="1">
        <f t="shared" si="55"/>
        <v>37.066666666666656</v>
      </c>
      <c r="AS49" s="1">
        <f t="shared" si="55"/>
        <v>36.066666666666656</v>
      </c>
    </row>
    <row r="50" spans="1:46" x14ac:dyDescent="0.35">
      <c r="A50" s="41">
        <f>IFERROR(INDEX('Date Key'!$B$2:$B$19, MATCH(F50,'Date Key'!$A$2:$A$19, 0)), "")</f>
        <v>45400</v>
      </c>
      <c r="B50" s="4">
        <f t="shared" si="15"/>
        <v>6</v>
      </c>
      <c r="C50" s="26" t="str">
        <f>IFERROR(INDEX('Date Key'!$G$57:$G$62, MATCH(B50,'Date Key'!$A$57:$A$62, 0)), "")</f>
        <v>Medium HLR, Upper Outlet Height, Yes Plants</v>
      </c>
      <c r="D50" s="4" t="str">
        <f>IFERROR(INDEX('Date Key'!$G$2:$G$19, MATCH(F50, 'Date Key'!$A$2:$A$19, 0)), "")</f>
        <v>Yes</v>
      </c>
      <c r="E50" s="4" t="str">
        <f t="shared" si="1"/>
        <v>in</v>
      </c>
      <c r="F50" s="4">
        <f t="shared" si="2"/>
        <v>18</v>
      </c>
      <c r="G50" s="4">
        <f t="shared" si="22"/>
        <v>3</v>
      </c>
      <c r="H50" s="11" cm="1">
        <f t="array" ref="H50">IFERROR(INDEX('Master Data Sheet'!$1:$1048576, MATCH(1, ('Master Data Sheet'!$H:$H=H$2) * (INDEX('Master Data Sheet'!$1:$1, , MATCH($F$1, 'Master Data Sheet'!$1:$1, 0)) = $F$1) * ('Master Data Sheet'!$G:$G=$B50) * ('Master Data Sheet'!$F:$F=$E50) * ('Master Data Sheet'!$A:$A=$F50), 0), MATCH($F$1, 'Master Data Sheet'!$1:$1, 0)), "")</f>
        <v>37.73333333333332</v>
      </c>
      <c r="I50" s="11" cm="1">
        <f t="array" ref="I50">IFERROR(INDEX('Master Data Sheet'!$1:$1048576, MATCH(1, ('Master Data Sheet'!$H:$H=I$2) * (INDEX('Master Data Sheet'!$1:$1, , MATCH($F$1, 'Master Data Sheet'!$1:$1, 0)) = $F$1) * ('Master Data Sheet'!$G:$G=$B50) * ('Master Data Sheet'!$F:$F=$E50) * ('Master Data Sheet'!$A:$A=$F50), 0), MATCH($F$1, 'Master Data Sheet'!$1:$1, 0)), "")</f>
        <v>38.399999999999991</v>
      </c>
      <c r="J50" s="11" cm="1">
        <f t="array" ref="J50">IFERROR(INDEX('Master Data Sheet'!$1:$1048576, MATCH(1, ('Master Data Sheet'!$H:$H=J$2) * (INDEX('Master Data Sheet'!$1:$1, , MATCH($F$1, 'Master Data Sheet'!$1:$1, 0)) = $F$1) * ('Master Data Sheet'!$G:$G=$B50) * ('Master Data Sheet'!$F:$F=$E50) * ('Master Data Sheet'!$A:$A=$F50), 0), MATCH($F$1, 'Master Data Sheet'!$1:$1, 0)), "")</f>
        <v>35.73333333333332</v>
      </c>
      <c r="K50" s="11" cm="1">
        <f t="array" ref="K50">IFERROR(INDEX('Master Data Sheet'!$1:$1048576, MATCH(1, ('Master Data Sheet'!$H:$H=K$2) * (INDEX('Master Data Sheet'!$1:$1, , MATCH($F$1, 'Master Data Sheet'!$1:$1, 0)) = $F$1) * ('Master Data Sheet'!$G:$G=$B50) * ('Master Data Sheet'!$F:$F=$E50) * ('Master Data Sheet'!$A:$A=$F50), 0), MATCH($F$1, 'Master Data Sheet'!$1:$1, 0)), "")</f>
        <v>37.399999999999991</v>
      </c>
      <c r="L50" s="11" cm="1">
        <f t="array" ref="L50">IFERROR(INDEX('Master Data Sheet'!$1:$1048576, MATCH(1, ('Master Data Sheet'!$H:$H=L$2) * (INDEX('Master Data Sheet'!$1:$1, , MATCH($F$1, 'Master Data Sheet'!$1:$1, 0)) = $F$1) * ('Master Data Sheet'!$G:$G=$B50) * ('Master Data Sheet'!$F:$F=$E50) * ('Master Data Sheet'!$A:$A=$F50), 0), MATCH($F$1, 'Master Data Sheet'!$1:$1, 0)), "")</f>
        <v>35.399999999999984</v>
      </c>
      <c r="M50" s="11" cm="1">
        <f t="array" ref="M50">IFERROR(INDEX('Master Data Sheet'!$1:$1048576, MATCH(1, ('Master Data Sheet'!$H:$H=M$2) * (INDEX('Master Data Sheet'!$1:$1, , MATCH($F$1, 'Master Data Sheet'!$1:$1, 0)) = $F$1) * ('Master Data Sheet'!$G:$G=$B50) * ('Master Data Sheet'!$F:$F=$E50) * ('Master Data Sheet'!$A:$A=$F50), 0), MATCH($F$1, 'Master Data Sheet'!$1:$1, 0)), "")</f>
        <v>37.066666666666656</v>
      </c>
      <c r="N50" s="11" cm="1">
        <f t="array" ref="N50">IFERROR(INDEX('Master Data Sheet'!$1:$1048576, MATCH(1, ('Master Data Sheet'!$H:$H=N$2) * (INDEX('Master Data Sheet'!$1:$1, , MATCH($F$1, 'Master Data Sheet'!$1:$1, 0)) = $F$1) * ('Master Data Sheet'!$G:$G=$B50) * ('Master Data Sheet'!$F:$F=$E50) * ('Master Data Sheet'!$A:$A=$F50), 0), MATCH($F$1, 'Master Data Sheet'!$1:$1, 0)), "")</f>
        <v>36.066666666666656</v>
      </c>
      <c r="O50" s="11">
        <f t="shared" si="8"/>
        <v>36.828571428571415</v>
      </c>
      <c r="P50" s="11">
        <f t="shared" si="4"/>
        <v>1.1174422797967027</v>
      </c>
      <c r="Q50" s="11"/>
      <c r="Y50" s="1"/>
      <c r="Z50" s="1"/>
      <c r="AA50" s="1"/>
      <c r="AB50" s="1"/>
      <c r="AC50" s="1"/>
      <c r="AD50" s="1"/>
      <c r="AE50" s="1"/>
      <c r="AF50" s="1"/>
      <c r="AG50" s="1"/>
      <c r="AH50" s="1"/>
      <c r="AI50" s="1"/>
      <c r="AJ50" s="1"/>
      <c r="AK50" s="1"/>
      <c r="AL50" s="1"/>
      <c r="AM50" s="1"/>
      <c r="AN50" s="1"/>
      <c r="AO50" s="1"/>
      <c r="AP50" s="1"/>
      <c r="AQ50" s="1"/>
      <c r="AR50" s="1"/>
      <c r="AS50" s="1"/>
    </row>
    <row r="51" spans="1:46" x14ac:dyDescent="0.35">
      <c r="A51" s="41">
        <f>IFERROR(INDEX('Date Key'!$B$2:$B$19, MATCH(F51,'Date Key'!$A$2:$A$19, 0)), "")</f>
        <v>45371</v>
      </c>
      <c r="B51" s="4">
        <f t="shared" si="15"/>
        <v>6</v>
      </c>
      <c r="C51" s="26" t="str">
        <f>IFERROR(INDEX('Date Key'!$G$57:$G$62, MATCH(B51,'Date Key'!$A$57:$A$62, 0)), "")</f>
        <v>Medium HLR, Upper Outlet Height, Yes Plants</v>
      </c>
      <c r="D51" s="4" t="str">
        <f>IFERROR(INDEX('Date Key'!$G$2:$G$19, MATCH(F51, 'Date Key'!$A$2:$A$19, 0)), "")</f>
        <v>No</v>
      </c>
      <c r="E51" s="4" t="str">
        <f t="shared" si="1"/>
        <v>tank 1</v>
      </c>
      <c r="F51" s="4">
        <f t="shared" si="2"/>
        <v>16</v>
      </c>
      <c r="G51" s="4">
        <f t="shared" si="22"/>
        <v>1</v>
      </c>
      <c r="H51" s="11" cm="1">
        <f t="array" ref="H51">IFERROR(INDEX('Master Data Sheet'!$1:$1048576, MATCH(1, ('Master Data Sheet'!$H:$H=H$2) * (INDEX('Master Data Sheet'!$1:$1, , MATCH($F$1, 'Master Data Sheet'!$1:$1, 0)) = $F$1) * ('Master Data Sheet'!$G:$G=$B51) * ('Master Data Sheet'!$F:$F=$E51) * ('Master Data Sheet'!$A:$A=$F51), 0), MATCH($F$1, 'Master Data Sheet'!$1:$1, 0)), "")</f>
        <v>37.399999999999991</v>
      </c>
      <c r="I51" s="11" cm="1">
        <f t="array" ref="I51">IFERROR(INDEX('Master Data Sheet'!$1:$1048576, MATCH(1, ('Master Data Sheet'!$H:$H=I$2) * (INDEX('Master Data Sheet'!$1:$1, , MATCH($F$1, 'Master Data Sheet'!$1:$1, 0)) = $F$1) * ('Master Data Sheet'!$G:$G=$B51) * ('Master Data Sheet'!$F:$F=$E51) * ('Master Data Sheet'!$A:$A=$F51), 0), MATCH($F$1, 'Master Data Sheet'!$1:$1, 0)), "")</f>
        <v>33.066666666666649</v>
      </c>
      <c r="J51" s="11" cm="1">
        <f t="array" ref="J51">IFERROR(INDEX('Master Data Sheet'!$1:$1048576, MATCH(1, ('Master Data Sheet'!$H:$H=J$2) * (INDEX('Master Data Sheet'!$1:$1, , MATCH($F$1, 'Master Data Sheet'!$1:$1, 0)) = $F$1) * ('Master Data Sheet'!$G:$G=$B51) * ('Master Data Sheet'!$F:$F=$E51) * ('Master Data Sheet'!$A:$A=$F51), 0), MATCH($F$1, 'Master Data Sheet'!$1:$1, 0)), "")</f>
        <v>27.733333333333313</v>
      </c>
      <c r="K51" s="11" cm="1">
        <f t="array" ref="K51">IFERROR(INDEX('Master Data Sheet'!$1:$1048576, MATCH(1, ('Master Data Sheet'!$H:$H=K$2) * (INDEX('Master Data Sheet'!$1:$1, , MATCH($F$1, 'Master Data Sheet'!$1:$1, 0)) = $F$1) * ('Master Data Sheet'!$G:$G=$B51) * ('Master Data Sheet'!$F:$F=$E51) * ('Master Data Sheet'!$A:$A=$F51), 0), MATCH($F$1, 'Master Data Sheet'!$1:$1, 0)), "")</f>
        <v>31.733333333333317</v>
      </c>
      <c r="L51" s="11" cm="1">
        <f t="array" ref="L51">IFERROR(INDEX('Master Data Sheet'!$1:$1048576, MATCH(1, ('Master Data Sheet'!$H:$H=L$2) * (INDEX('Master Data Sheet'!$1:$1, , MATCH($F$1, 'Master Data Sheet'!$1:$1, 0)) = $F$1) * ('Master Data Sheet'!$G:$G=$B51) * ('Master Data Sheet'!$F:$F=$E51) * ('Master Data Sheet'!$A:$A=$F51), 0), MATCH($F$1, 'Master Data Sheet'!$1:$1, 0)), "")</f>
        <v>35.066666666666656</v>
      </c>
      <c r="M51" s="11" cm="1">
        <f t="array" ref="M51">IFERROR(INDEX('Master Data Sheet'!$1:$1048576, MATCH(1, ('Master Data Sheet'!$H:$H=M$2) * (INDEX('Master Data Sheet'!$1:$1, , MATCH($F$1, 'Master Data Sheet'!$1:$1, 0)) = $F$1) * ('Master Data Sheet'!$G:$G=$B51) * ('Master Data Sheet'!$F:$F=$E51) * ('Master Data Sheet'!$A:$A=$F51), 0), MATCH($F$1, 'Master Data Sheet'!$1:$1, 0)), "")</f>
        <v>32.399999999999984</v>
      </c>
      <c r="N51" s="11" cm="1">
        <f t="array" ref="N51">IFERROR(INDEX('Master Data Sheet'!$1:$1048576, MATCH(1, ('Master Data Sheet'!$H:$H=N$2) * (INDEX('Master Data Sheet'!$1:$1, , MATCH($F$1, 'Master Data Sheet'!$1:$1, 0)) = $F$1) * ('Master Data Sheet'!$G:$G=$B51) * ('Master Data Sheet'!$F:$F=$E51) * ('Master Data Sheet'!$A:$A=$F51), 0), MATCH($F$1, 'Master Data Sheet'!$1:$1, 0)), "")</f>
        <v>30.399999999999981</v>
      </c>
      <c r="O51" s="11">
        <f t="shared" si="8"/>
        <v>32.54285714285713</v>
      </c>
      <c r="P51" s="11">
        <f t="shared" si="4"/>
        <v>3.1260976908098694</v>
      </c>
      <c r="Q51" s="11">
        <f>AVERAGE(O51:O53)</f>
        <v>32.28888888888887</v>
      </c>
      <c r="R51" s="46">
        <f>(1-(O51/O48))*100</f>
        <v>-13.824117255163237</v>
      </c>
      <c r="S51" s="46">
        <f>AVERAGE(R51:R53)</f>
        <v>-3.2157130209060818</v>
      </c>
      <c r="T51" s="46">
        <f>STDEV(R51:R53)</f>
        <v>9.1878012527961239</v>
      </c>
      <c r="U51" s="47">
        <f>(1-(AVERAGE(H51:N53)/AVERAGE(H48:N50)))*100</f>
        <v>-2.7269972730027625</v>
      </c>
      <c r="V51" s="47"/>
      <c r="Y51" s="2"/>
      <c r="Z51" s="2"/>
      <c r="AA51" s="2"/>
      <c r="AB51" s="2"/>
      <c r="AC51" s="2"/>
      <c r="AD51" s="2"/>
      <c r="AE51" s="2"/>
      <c r="AF51" s="2"/>
      <c r="AG51" s="2"/>
    </row>
    <row r="52" spans="1:46" x14ac:dyDescent="0.35">
      <c r="A52" s="41">
        <f>IFERROR(INDEX('Date Key'!$B$2:$B$19, MATCH(F52,'Date Key'!$A$2:$A$19, 0)), "")</f>
        <v>45392</v>
      </c>
      <c r="B52" s="4">
        <f t="shared" si="15"/>
        <v>6</v>
      </c>
      <c r="C52" s="26" t="str">
        <f>IFERROR(INDEX('Date Key'!$G$57:$G$62, MATCH(B52,'Date Key'!$A$57:$A$62, 0)), "")</f>
        <v>Medium HLR, Upper Outlet Height, Yes Plants</v>
      </c>
      <c r="D52" s="4" t="str">
        <f>IFERROR(INDEX('Date Key'!$G$2:$G$19, MATCH(F52, 'Date Key'!$A$2:$A$19, 0)), "")</f>
        <v>No</v>
      </c>
      <c r="E52" s="4" t="str">
        <f t="shared" si="1"/>
        <v>tank 1</v>
      </c>
      <c r="F52" s="4">
        <f t="shared" si="2"/>
        <v>17</v>
      </c>
      <c r="G52" s="4">
        <f t="shared" si="22"/>
        <v>2</v>
      </c>
      <c r="H52" s="11" cm="1">
        <f t="array" ref="H52">IFERROR(INDEX('Master Data Sheet'!$1:$1048576, MATCH(1, ('Master Data Sheet'!$H:$H=H$2) * (INDEX('Master Data Sheet'!$1:$1, , MATCH($F$1, 'Master Data Sheet'!$1:$1, 0)) = $F$1) * ('Master Data Sheet'!$G:$G=$B52) * ('Master Data Sheet'!$F:$F=$E52) * ('Master Data Sheet'!$A:$A=$F52), 0), MATCH($F$1, 'Master Data Sheet'!$1:$1, 0)), "")</f>
        <v>29.733333333333313</v>
      </c>
      <c r="I52" s="11" cm="1">
        <f t="array" ref="I52">IFERROR(INDEX('Master Data Sheet'!$1:$1048576, MATCH(1, ('Master Data Sheet'!$H:$H=I$2) * (INDEX('Master Data Sheet'!$1:$1, , MATCH($F$1, 'Master Data Sheet'!$1:$1, 0)) = $F$1) * ('Master Data Sheet'!$G:$G=$B52) * ('Master Data Sheet'!$F:$F=$E52) * ('Master Data Sheet'!$A:$A=$F52), 0), MATCH($F$1, 'Master Data Sheet'!$1:$1, 0)), "")</f>
        <v>31.066666666666649</v>
      </c>
      <c r="J52" s="11" cm="1">
        <f t="array" ref="J52">IFERROR(INDEX('Master Data Sheet'!$1:$1048576, MATCH(1, ('Master Data Sheet'!$H:$H=J$2) * (INDEX('Master Data Sheet'!$1:$1, , MATCH($F$1, 'Master Data Sheet'!$1:$1, 0)) = $F$1) * ('Master Data Sheet'!$G:$G=$B52) * ('Master Data Sheet'!$F:$F=$E52) * ('Master Data Sheet'!$A:$A=$F52), 0), MATCH($F$1, 'Master Data Sheet'!$1:$1, 0)), "")</f>
        <v>30.066666666666649</v>
      </c>
      <c r="K52" s="11" cm="1">
        <f t="array" ref="K52">IFERROR(INDEX('Master Data Sheet'!$1:$1048576, MATCH(1, ('Master Data Sheet'!$H:$H=K$2) * (INDEX('Master Data Sheet'!$1:$1, , MATCH($F$1, 'Master Data Sheet'!$1:$1, 0)) = $F$1) * ('Master Data Sheet'!$G:$G=$B52) * ('Master Data Sheet'!$F:$F=$E52) * ('Master Data Sheet'!$A:$A=$F52), 0), MATCH($F$1, 'Master Data Sheet'!$1:$1, 0)), "")</f>
        <v>28.066666666666645</v>
      </c>
      <c r="L52" s="11" cm="1">
        <f t="array" ref="L52">IFERROR(INDEX('Master Data Sheet'!$1:$1048576, MATCH(1, ('Master Data Sheet'!$H:$H=L$2) * (INDEX('Master Data Sheet'!$1:$1, , MATCH($F$1, 'Master Data Sheet'!$1:$1, 0)) = $F$1) * ('Master Data Sheet'!$G:$G=$B52) * ('Master Data Sheet'!$F:$F=$E52) * ('Master Data Sheet'!$A:$A=$F52), 0), MATCH($F$1, 'Master Data Sheet'!$1:$1, 0)), "")</f>
        <v>26.733333333333313</v>
      </c>
      <c r="M52" s="11" cm="1">
        <f t="array" ref="M52">IFERROR(INDEX('Master Data Sheet'!$1:$1048576, MATCH(1, ('Master Data Sheet'!$H:$H=M$2) * (INDEX('Master Data Sheet'!$1:$1, , MATCH($F$1, 'Master Data Sheet'!$1:$1, 0)) = $F$1) * ('Master Data Sheet'!$G:$G=$B52) * ('Master Data Sheet'!$F:$F=$E52) * ('Master Data Sheet'!$A:$A=$F52), 0), MATCH($F$1, 'Master Data Sheet'!$1:$1, 0)), "")</f>
        <v>24.399999999999977</v>
      </c>
      <c r="N52" s="11" cm="1">
        <f t="array" ref="N52">IFERROR(INDEX('Master Data Sheet'!$1:$1048576, MATCH(1, ('Master Data Sheet'!$H:$H=N$2) * (INDEX('Master Data Sheet'!$1:$1, , MATCH($F$1, 'Master Data Sheet'!$1:$1, 0)) = $F$1) * ('Master Data Sheet'!$G:$G=$B52) * ('Master Data Sheet'!$F:$F=$E52) * ('Master Data Sheet'!$A:$A=$F52), 0), MATCH($F$1, 'Master Data Sheet'!$1:$1, 0)), "")</f>
        <v>28.066666666666645</v>
      </c>
      <c r="O52" s="11">
        <f t="shared" si="8"/>
        <v>28.304761904761882</v>
      </c>
      <c r="P52" s="11">
        <f t="shared" si="4"/>
        <v>2.2584350999152285</v>
      </c>
      <c r="Q52" s="11"/>
      <c r="R52" s="46">
        <f>(1-(O52/O49))*100</f>
        <v>1.9788918205804973</v>
      </c>
      <c r="X52" t="str">
        <f>IFERROR(INDEX('Date Key'!$G$57:$G$62, MATCH(B51,'Date Key'!$A$57:$A$62, 0)), "")</f>
        <v>Medium HLR, Upper Outlet Height, Yes Plants</v>
      </c>
      <c r="Y52" s="1">
        <f t="shared" ref="Y52:AE52" si="56">H51</f>
        <v>37.399999999999991</v>
      </c>
      <c r="Z52" s="1">
        <f t="shared" si="56"/>
        <v>33.066666666666649</v>
      </c>
      <c r="AA52" s="1">
        <f t="shared" si="56"/>
        <v>27.733333333333313</v>
      </c>
      <c r="AB52" s="1">
        <f t="shared" si="56"/>
        <v>31.733333333333317</v>
      </c>
      <c r="AC52" s="1">
        <f t="shared" si="56"/>
        <v>35.066666666666656</v>
      </c>
      <c r="AD52" s="1">
        <f t="shared" si="56"/>
        <v>32.399999999999984</v>
      </c>
      <c r="AE52" s="1">
        <f t="shared" si="56"/>
        <v>30.399999999999981</v>
      </c>
      <c r="AF52" s="1">
        <f t="shared" ref="AF52:AL52" si="57">H52</f>
        <v>29.733333333333313</v>
      </c>
      <c r="AG52" s="1">
        <f t="shared" si="57"/>
        <v>31.066666666666649</v>
      </c>
      <c r="AH52" s="1">
        <f t="shared" si="57"/>
        <v>30.066666666666649</v>
      </c>
      <c r="AI52" s="1">
        <f t="shared" si="57"/>
        <v>28.066666666666645</v>
      </c>
      <c r="AJ52" s="1">
        <f t="shared" si="57"/>
        <v>26.733333333333313</v>
      </c>
      <c r="AK52" s="1">
        <f t="shared" si="57"/>
        <v>24.399999999999977</v>
      </c>
      <c r="AL52" s="1">
        <f t="shared" si="57"/>
        <v>28.066666666666645</v>
      </c>
      <c r="AM52" s="1">
        <f t="shared" ref="AM52:AS52" si="58">H53</f>
        <v>34.399999999999984</v>
      </c>
      <c r="AN52" s="1">
        <f t="shared" si="58"/>
        <v>45.066666666666663</v>
      </c>
      <c r="AO52" s="1">
        <f t="shared" si="58"/>
        <v>34.399999999999984</v>
      </c>
      <c r="AP52" s="1">
        <f t="shared" si="58"/>
        <v>32.399999999999984</v>
      </c>
      <c r="AQ52" s="1">
        <f t="shared" si="58"/>
        <v>37.73333333333332</v>
      </c>
      <c r="AR52" s="1">
        <f t="shared" si="58"/>
        <v>32.73333333333332</v>
      </c>
      <c r="AS52" s="1">
        <f t="shared" si="58"/>
        <v>35.399999999999984</v>
      </c>
    </row>
    <row r="53" spans="1:46" x14ac:dyDescent="0.35">
      <c r="A53" s="41">
        <f>IFERROR(INDEX('Date Key'!$B$2:$B$19, MATCH(F53,'Date Key'!$A$2:$A$19, 0)), "")</f>
        <v>45400</v>
      </c>
      <c r="B53" s="4">
        <f t="shared" si="15"/>
        <v>6</v>
      </c>
      <c r="C53" s="26" t="str">
        <f>IFERROR(INDEX('Date Key'!$G$57:$G$62, MATCH(B53,'Date Key'!$A$57:$A$62, 0)), "")</f>
        <v>Medium HLR, Upper Outlet Height, Yes Plants</v>
      </c>
      <c r="D53" s="4" t="str">
        <f>IFERROR(INDEX('Date Key'!$G$2:$G$19, MATCH(F53, 'Date Key'!$A$2:$A$19, 0)), "")</f>
        <v>Yes</v>
      </c>
      <c r="E53" s="4" t="str">
        <f t="shared" si="1"/>
        <v>tank 1</v>
      </c>
      <c r="F53" s="4">
        <f t="shared" si="2"/>
        <v>18</v>
      </c>
      <c r="G53" s="4">
        <f t="shared" si="22"/>
        <v>3</v>
      </c>
      <c r="H53" s="11" cm="1">
        <f t="array" ref="H53">IFERROR(INDEX('Master Data Sheet'!$1:$1048576, MATCH(1, ('Master Data Sheet'!$H:$H=H$2) * (INDEX('Master Data Sheet'!$1:$1, , MATCH($F$1, 'Master Data Sheet'!$1:$1, 0)) = $F$1) * ('Master Data Sheet'!$G:$G=$B53) * ('Master Data Sheet'!$F:$F=$E53) * ('Master Data Sheet'!$A:$A=$F53), 0), MATCH($F$1, 'Master Data Sheet'!$1:$1, 0)), "")</f>
        <v>34.399999999999984</v>
      </c>
      <c r="I53" s="11" cm="1">
        <f t="array" ref="I53">IFERROR(INDEX('Master Data Sheet'!$1:$1048576, MATCH(1, ('Master Data Sheet'!$H:$H=I$2) * (INDEX('Master Data Sheet'!$1:$1, , MATCH($F$1, 'Master Data Sheet'!$1:$1, 0)) = $F$1) * ('Master Data Sheet'!$G:$G=$B53) * ('Master Data Sheet'!$F:$F=$E53) * ('Master Data Sheet'!$A:$A=$F53), 0), MATCH($F$1, 'Master Data Sheet'!$1:$1, 0)), "")</f>
        <v>45.066666666666663</v>
      </c>
      <c r="J53" s="11" cm="1">
        <f t="array" ref="J53">IFERROR(INDEX('Master Data Sheet'!$1:$1048576, MATCH(1, ('Master Data Sheet'!$H:$H=J$2) * (INDEX('Master Data Sheet'!$1:$1, , MATCH($F$1, 'Master Data Sheet'!$1:$1, 0)) = $F$1) * ('Master Data Sheet'!$G:$G=$B53) * ('Master Data Sheet'!$F:$F=$E53) * ('Master Data Sheet'!$A:$A=$F53), 0), MATCH($F$1, 'Master Data Sheet'!$1:$1, 0)), "")</f>
        <v>34.399999999999984</v>
      </c>
      <c r="K53" s="11" cm="1">
        <f t="array" ref="K53">IFERROR(INDEX('Master Data Sheet'!$1:$1048576, MATCH(1, ('Master Data Sheet'!$H:$H=K$2) * (INDEX('Master Data Sheet'!$1:$1, , MATCH($F$1, 'Master Data Sheet'!$1:$1, 0)) = $F$1) * ('Master Data Sheet'!$G:$G=$B53) * ('Master Data Sheet'!$F:$F=$E53) * ('Master Data Sheet'!$A:$A=$F53), 0), MATCH($F$1, 'Master Data Sheet'!$1:$1, 0)), "")</f>
        <v>32.399999999999984</v>
      </c>
      <c r="L53" s="11" cm="1">
        <f t="array" ref="L53">IFERROR(INDEX('Master Data Sheet'!$1:$1048576, MATCH(1, ('Master Data Sheet'!$H:$H=L$2) * (INDEX('Master Data Sheet'!$1:$1, , MATCH($F$1, 'Master Data Sheet'!$1:$1, 0)) = $F$1) * ('Master Data Sheet'!$G:$G=$B53) * ('Master Data Sheet'!$F:$F=$E53) * ('Master Data Sheet'!$A:$A=$F53), 0), MATCH($F$1, 'Master Data Sheet'!$1:$1, 0)), "")</f>
        <v>37.73333333333332</v>
      </c>
      <c r="M53" s="11" cm="1">
        <f t="array" ref="M53">IFERROR(INDEX('Master Data Sheet'!$1:$1048576, MATCH(1, ('Master Data Sheet'!$H:$H=M$2) * (INDEX('Master Data Sheet'!$1:$1, , MATCH($F$1, 'Master Data Sheet'!$1:$1, 0)) = $F$1) * ('Master Data Sheet'!$G:$G=$B53) * ('Master Data Sheet'!$F:$F=$E53) * ('Master Data Sheet'!$A:$A=$F53), 0), MATCH($F$1, 'Master Data Sheet'!$1:$1, 0)), "")</f>
        <v>32.73333333333332</v>
      </c>
      <c r="N53" s="11" cm="1">
        <f t="array" ref="N53">IFERROR(INDEX('Master Data Sheet'!$1:$1048576, MATCH(1, ('Master Data Sheet'!$H:$H=N$2) * (INDEX('Master Data Sheet'!$1:$1, , MATCH($F$1, 'Master Data Sheet'!$1:$1, 0)) = $F$1) * ('Master Data Sheet'!$G:$G=$B53) * ('Master Data Sheet'!$F:$F=$E53) * ('Master Data Sheet'!$A:$A=$F53), 0), MATCH($F$1, 'Master Data Sheet'!$1:$1, 0)), "")</f>
        <v>35.399999999999984</v>
      </c>
      <c r="O53" s="11">
        <f t="shared" si="8"/>
        <v>36.019047619047605</v>
      </c>
      <c r="P53" s="11">
        <f t="shared" si="4"/>
        <v>4.364963923437454</v>
      </c>
      <c r="Q53" s="11"/>
      <c r="R53" s="46">
        <f>(1-(O53/O50))*100</f>
        <v>2.1980863718644938</v>
      </c>
      <c r="Y53" s="2"/>
      <c r="Z53" s="2"/>
      <c r="AA53" s="2"/>
      <c r="AB53" s="2"/>
      <c r="AC53" s="2"/>
      <c r="AD53" s="2"/>
      <c r="AE53" s="2"/>
      <c r="AF53" s="2"/>
      <c r="AG53" s="2"/>
    </row>
    <row r="54" spans="1:46" x14ac:dyDescent="0.35">
      <c r="A54" s="41">
        <f>IFERROR(INDEX('Date Key'!$B$2:$B$19, MATCH(F54,'Date Key'!$A$2:$A$19, 0)), "")</f>
        <v>45371</v>
      </c>
      <c r="B54" s="4">
        <f t="shared" si="15"/>
        <v>6</v>
      </c>
      <c r="C54" s="26" t="str">
        <f>IFERROR(INDEX('Date Key'!$G$57:$G$62, MATCH(B54,'Date Key'!$A$57:$A$62, 0)), "")</f>
        <v>Medium HLR, Upper Outlet Height, Yes Plants</v>
      </c>
      <c r="D54" s="4" t="str">
        <f>IFERROR(INDEX('Date Key'!$G$2:$G$19, MATCH(F54, 'Date Key'!$A$2:$A$19, 0)), "")</f>
        <v>No</v>
      </c>
      <c r="E54" s="4" t="str">
        <f t="shared" si="1"/>
        <v>tank 2</v>
      </c>
      <c r="F54" s="4">
        <f t="shared" si="2"/>
        <v>16</v>
      </c>
      <c r="G54" s="4">
        <f t="shared" si="22"/>
        <v>1</v>
      </c>
      <c r="H54" s="11" cm="1">
        <f t="array" ref="H54">IFERROR(INDEX('Master Data Sheet'!$1:$1048576, MATCH(1, ('Master Data Sheet'!$H:$H=H$2) * (INDEX('Master Data Sheet'!$1:$1, , MATCH($F$1, 'Master Data Sheet'!$1:$1, 0)) = $F$1) * ('Master Data Sheet'!$G:$G=$B54) * ('Master Data Sheet'!$F:$F=$E54) * ('Master Data Sheet'!$A:$A=$F54), 0), MATCH($F$1, 'Master Data Sheet'!$1:$1, 0)), "")</f>
        <v>43.066666666666663</v>
      </c>
      <c r="I54" s="11" cm="1">
        <f t="array" ref="I54">IFERROR(INDEX('Master Data Sheet'!$1:$1048576, MATCH(1, ('Master Data Sheet'!$H:$H=I$2) * (INDEX('Master Data Sheet'!$1:$1, , MATCH($F$1, 'Master Data Sheet'!$1:$1, 0)) = $F$1) * ('Master Data Sheet'!$G:$G=$B54) * ('Master Data Sheet'!$F:$F=$E54) * ('Master Data Sheet'!$A:$A=$F54), 0), MATCH($F$1, 'Master Data Sheet'!$1:$1, 0)), "")</f>
        <v>39.399999999999991</v>
      </c>
      <c r="J54" s="11" cm="1">
        <f t="array" ref="J54">IFERROR(INDEX('Master Data Sheet'!$1:$1048576, MATCH(1, ('Master Data Sheet'!$H:$H=J$2) * (INDEX('Master Data Sheet'!$1:$1, , MATCH($F$1, 'Master Data Sheet'!$1:$1, 0)) = $F$1) * ('Master Data Sheet'!$G:$G=$B54) * ('Master Data Sheet'!$F:$F=$E54) * ('Master Data Sheet'!$A:$A=$F54), 0), MATCH($F$1, 'Master Data Sheet'!$1:$1, 0)), "")</f>
        <v>40.733333333333327</v>
      </c>
      <c r="K54" s="11" cm="1">
        <f t="array" ref="K54">IFERROR(INDEX('Master Data Sheet'!$1:$1048576, MATCH(1, ('Master Data Sheet'!$H:$H=K$2) * (INDEX('Master Data Sheet'!$1:$1, , MATCH($F$1, 'Master Data Sheet'!$1:$1, 0)) = $F$1) * ('Master Data Sheet'!$G:$G=$B54) * ('Master Data Sheet'!$F:$F=$E54) * ('Master Data Sheet'!$A:$A=$F54), 0), MATCH($F$1, 'Master Data Sheet'!$1:$1, 0)), "")</f>
        <v>39.399999999999991</v>
      </c>
      <c r="L54" s="11" cm="1">
        <f t="array" ref="L54">IFERROR(INDEX('Master Data Sheet'!$1:$1048576, MATCH(1, ('Master Data Sheet'!$H:$H=L$2) * (INDEX('Master Data Sheet'!$1:$1, , MATCH($F$1, 'Master Data Sheet'!$1:$1, 0)) = $F$1) * ('Master Data Sheet'!$G:$G=$B54) * ('Master Data Sheet'!$F:$F=$E54) * ('Master Data Sheet'!$A:$A=$F54), 0), MATCH($F$1, 'Master Data Sheet'!$1:$1, 0)), "")</f>
        <v>35.73333333333332</v>
      </c>
      <c r="M54" s="11" cm="1">
        <f t="array" ref="M54">IFERROR(INDEX('Master Data Sheet'!$1:$1048576, MATCH(1, ('Master Data Sheet'!$H:$H=M$2) * (INDEX('Master Data Sheet'!$1:$1, , MATCH($F$1, 'Master Data Sheet'!$1:$1, 0)) = $F$1) * ('Master Data Sheet'!$G:$G=$B54) * ('Master Data Sheet'!$F:$F=$E54) * ('Master Data Sheet'!$A:$A=$F54), 0), MATCH($F$1, 'Master Data Sheet'!$1:$1, 0)), "")</f>
        <v>34.73333333333332</v>
      </c>
      <c r="N54" s="11" cm="1">
        <f t="array" ref="N54">IFERROR(INDEX('Master Data Sheet'!$1:$1048576, MATCH(1, ('Master Data Sheet'!$H:$H=N$2) * (INDEX('Master Data Sheet'!$1:$1, , MATCH($F$1, 'Master Data Sheet'!$1:$1, 0)) = $F$1) * ('Master Data Sheet'!$G:$G=$B54) * ('Master Data Sheet'!$F:$F=$E54) * ('Master Data Sheet'!$A:$A=$F54), 0), MATCH($F$1, 'Master Data Sheet'!$1:$1, 0)), "")</f>
        <v>33.73333333333332</v>
      </c>
      <c r="O54" s="11">
        <f t="shared" si="8"/>
        <v>38.114285714285707</v>
      </c>
      <c r="P54" s="11">
        <f t="shared" si="4"/>
        <v>3.4395766935319028</v>
      </c>
      <c r="Q54" s="11">
        <f>AVERAGE(N54:N56)</f>
        <v>32.399999999999984</v>
      </c>
      <c r="R54" s="46">
        <f>(1-(O54/O48))*100</f>
        <v>-33.311125916056007</v>
      </c>
      <c r="S54" s="46">
        <f>AVERAGE(R54:R56)</f>
        <v>-14.879071807950844</v>
      </c>
      <c r="T54" s="46">
        <f>STDEV(R54:R56)</f>
        <v>16.256499225539713</v>
      </c>
      <c r="U54" s="47">
        <f>(1-(AVERAGE(H54:N56)/AVERAGE(H48:N50)))*100</f>
        <v>-13.786486213513815</v>
      </c>
      <c r="Y54" s="2"/>
      <c r="Z54" s="2"/>
      <c r="AA54" s="2"/>
      <c r="AB54" s="2"/>
      <c r="AC54" s="2"/>
      <c r="AD54" s="2"/>
      <c r="AE54" s="2"/>
      <c r="AF54" s="2"/>
      <c r="AG54" s="2"/>
    </row>
    <row r="55" spans="1:46" x14ac:dyDescent="0.35">
      <c r="A55" s="41">
        <f>IFERROR(INDEX('Date Key'!$B$2:$B$19, MATCH(F55,'Date Key'!$A$2:$A$19, 0)), "")</f>
        <v>45392</v>
      </c>
      <c r="B55" s="4">
        <f t="shared" si="15"/>
        <v>6</v>
      </c>
      <c r="C55" s="26" t="str">
        <f>IFERROR(INDEX('Date Key'!$G$57:$G$62, MATCH(B55,'Date Key'!$A$57:$A$62, 0)), "")</f>
        <v>Medium HLR, Upper Outlet Height, Yes Plants</v>
      </c>
      <c r="D55" s="4" t="str">
        <f>IFERROR(INDEX('Date Key'!$G$2:$G$19, MATCH(F55, 'Date Key'!$A$2:$A$19, 0)), "")</f>
        <v>No</v>
      </c>
      <c r="E55" s="4" t="str">
        <f t="shared" si="1"/>
        <v>tank 2</v>
      </c>
      <c r="F55" s="4">
        <f t="shared" si="2"/>
        <v>17</v>
      </c>
      <c r="G55" s="4">
        <f t="shared" si="22"/>
        <v>2</v>
      </c>
      <c r="H55" s="11" cm="1">
        <f t="array" ref="H55">IFERROR(INDEX('Master Data Sheet'!$1:$1048576, MATCH(1, ('Master Data Sheet'!$H:$H=H$2) * (INDEX('Master Data Sheet'!$1:$1, , MATCH($F$1, 'Master Data Sheet'!$1:$1, 0)) = $F$1) * ('Master Data Sheet'!$G:$G=$B55) * ('Master Data Sheet'!$F:$F=$E55) * ('Master Data Sheet'!$A:$A=$F55), 0), MATCH($F$1, 'Master Data Sheet'!$1:$1, 0)), "")</f>
        <v>34.73333333333332</v>
      </c>
      <c r="I55" s="11" cm="1">
        <f t="array" ref="I55">IFERROR(INDEX('Master Data Sheet'!$1:$1048576, MATCH(1, ('Master Data Sheet'!$H:$H=I$2) * (INDEX('Master Data Sheet'!$1:$1, , MATCH($F$1, 'Master Data Sheet'!$1:$1, 0)) = $F$1) * ('Master Data Sheet'!$G:$G=$B55) * ('Master Data Sheet'!$F:$F=$E55) * ('Master Data Sheet'!$A:$A=$F55), 0), MATCH($F$1, 'Master Data Sheet'!$1:$1, 0)), "")</f>
        <v>34.73333333333332</v>
      </c>
      <c r="J55" s="11" cm="1">
        <f t="array" ref="J55">IFERROR(INDEX('Master Data Sheet'!$1:$1048576, MATCH(1, ('Master Data Sheet'!$H:$H=J$2) * (INDEX('Master Data Sheet'!$1:$1, , MATCH($F$1, 'Master Data Sheet'!$1:$1, 0)) = $F$1) * ('Master Data Sheet'!$G:$G=$B55) * ('Master Data Sheet'!$F:$F=$E55) * ('Master Data Sheet'!$A:$A=$F55), 0), MATCH($F$1, 'Master Data Sheet'!$1:$1, 0)), "")</f>
        <v>34.73333333333332</v>
      </c>
      <c r="K55" s="11" cm="1">
        <f t="array" ref="K55">IFERROR(INDEX('Master Data Sheet'!$1:$1048576, MATCH(1, ('Master Data Sheet'!$H:$H=K$2) * (INDEX('Master Data Sheet'!$1:$1, , MATCH($F$1, 'Master Data Sheet'!$1:$1, 0)) = $F$1) * ('Master Data Sheet'!$G:$G=$B55) * ('Master Data Sheet'!$F:$F=$E55) * ('Master Data Sheet'!$A:$A=$F55), 0), MATCH($F$1, 'Master Data Sheet'!$1:$1, 0)), "")</f>
        <v>33.399999999999984</v>
      </c>
      <c r="L55" s="11" cm="1">
        <f t="array" ref="L55">IFERROR(INDEX('Master Data Sheet'!$1:$1048576, MATCH(1, ('Master Data Sheet'!$H:$H=L$2) * (INDEX('Master Data Sheet'!$1:$1, , MATCH($F$1, 'Master Data Sheet'!$1:$1, 0)) = $F$1) * ('Master Data Sheet'!$G:$G=$B55) * ('Master Data Sheet'!$F:$F=$E55) * ('Master Data Sheet'!$A:$A=$F55), 0), MATCH($F$1, 'Master Data Sheet'!$1:$1, 0)), "")</f>
        <v>29.733333333333313</v>
      </c>
      <c r="M55" s="11" cm="1">
        <f t="array" ref="M55">IFERROR(INDEX('Master Data Sheet'!$1:$1048576, MATCH(1, ('Master Data Sheet'!$H:$H=M$2) * (INDEX('Master Data Sheet'!$1:$1, , MATCH($F$1, 'Master Data Sheet'!$1:$1, 0)) = $F$1) * ('Master Data Sheet'!$G:$G=$B55) * ('Master Data Sheet'!$F:$F=$E55) * ('Master Data Sheet'!$A:$A=$F55), 0), MATCH($F$1, 'Master Data Sheet'!$1:$1, 0)), "")</f>
        <v>26.399999999999977</v>
      </c>
      <c r="N55" s="11" cm="1">
        <f t="array" ref="N55">IFERROR(INDEX('Master Data Sheet'!$1:$1048576, MATCH(1, ('Master Data Sheet'!$H:$H=N$2) * (INDEX('Master Data Sheet'!$1:$1, , MATCH($F$1, 'Master Data Sheet'!$1:$1, 0)) = $F$1) * ('Master Data Sheet'!$G:$G=$B55) * ('Master Data Sheet'!$F:$F=$E55) * ('Master Data Sheet'!$A:$A=$F55), 0), MATCH($F$1, 'Master Data Sheet'!$1:$1, 0)), "")</f>
        <v>26.066666666666645</v>
      </c>
      <c r="O55" s="11">
        <f t="shared" si="8"/>
        <v>31.399999999999981</v>
      </c>
      <c r="P55" s="11">
        <f t="shared" si="4"/>
        <v>3.9487456986481932</v>
      </c>
      <c r="Q55" s="11"/>
      <c r="R55" s="46">
        <f>(1-(O55/O49))*100</f>
        <v>-8.7401055408971029</v>
      </c>
      <c r="X55" t="str">
        <f>IFERROR(INDEX('Date Key'!$G$57:$G$62, MATCH(B54,'Date Key'!$A$57:$A$62, 0)), "")</f>
        <v>Medium HLR, Upper Outlet Height, Yes Plants</v>
      </c>
      <c r="Y55" s="1">
        <f t="shared" ref="Y55:AE55" si="59">H54</f>
        <v>43.066666666666663</v>
      </c>
      <c r="Z55" s="1">
        <f t="shared" si="59"/>
        <v>39.399999999999991</v>
      </c>
      <c r="AA55" s="1">
        <f t="shared" si="59"/>
        <v>40.733333333333327</v>
      </c>
      <c r="AB55" s="1">
        <f t="shared" si="59"/>
        <v>39.399999999999991</v>
      </c>
      <c r="AC55" s="1">
        <f t="shared" si="59"/>
        <v>35.73333333333332</v>
      </c>
      <c r="AD55" s="1">
        <f t="shared" si="59"/>
        <v>34.73333333333332</v>
      </c>
      <c r="AE55" s="1">
        <f t="shared" si="59"/>
        <v>33.73333333333332</v>
      </c>
      <c r="AF55" s="1">
        <f t="shared" ref="AF55:AL55" si="60">H55</f>
        <v>34.73333333333332</v>
      </c>
      <c r="AG55" s="1">
        <f t="shared" si="60"/>
        <v>34.73333333333332</v>
      </c>
      <c r="AH55" s="1">
        <f t="shared" si="60"/>
        <v>34.73333333333332</v>
      </c>
      <c r="AI55" s="1">
        <f t="shared" si="60"/>
        <v>33.399999999999984</v>
      </c>
      <c r="AJ55" s="1">
        <f t="shared" si="60"/>
        <v>29.733333333333313</v>
      </c>
      <c r="AK55" s="1">
        <f t="shared" si="60"/>
        <v>26.399999999999977</v>
      </c>
      <c r="AL55" s="1">
        <f t="shared" si="60"/>
        <v>26.066666666666645</v>
      </c>
      <c r="AM55" s="1">
        <f t="shared" ref="AM55:AS55" si="61">H56</f>
        <v>37.73333333333332</v>
      </c>
      <c r="AN55" s="1">
        <f t="shared" si="61"/>
        <v>44.066666666666663</v>
      </c>
      <c r="AO55" s="1">
        <f t="shared" si="61"/>
        <v>38.399999999999991</v>
      </c>
      <c r="AP55" s="1">
        <f t="shared" si="61"/>
        <v>35.73333333333332</v>
      </c>
      <c r="AQ55" s="1">
        <f t="shared" si="61"/>
        <v>37.066666666666656</v>
      </c>
      <c r="AR55" s="1">
        <f t="shared" si="61"/>
        <v>34.066666666666649</v>
      </c>
      <c r="AS55" s="1">
        <f t="shared" si="61"/>
        <v>37.399999999999991</v>
      </c>
    </row>
    <row r="56" spans="1:46" x14ac:dyDescent="0.35">
      <c r="A56" s="42">
        <f>IFERROR(INDEX('Date Key'!$B$2:$B$19, MATCH(F56,'Date Key'!$A$2:$A$19, 0)), "")</f>
        <v>45400</v>
      </c>
      <c r="B56" s="27">
        <f t="shared" si="15"/>
        <v>6</v>
      </c>
      <c r="C56" s="51" t="str">
        <f>IFERROR(INDEX('Date Key'!$G$57:$G$62, MATCH(B56,'Date Key'!$A$57:$A$62, 0)), "")</f>
        <v>Medium HLR, Upper Outlet Height, Yes Plants</v>
      </c>
      <c r="D56" s="27" t="str">
        <f>IFERROR(INDEX('Date Key'!$G$2:$G$19, MATCH(F56, 'Date Key'!$A$2:$A$19, 0)), "")</f>
        <v>Yes</v>
      </c>
      <c r="E56" s="27" t="str">
        <f t="shared" si="1"/>
        <v>tank 2</v>
      </c>
      <c r="F56" s="27">
        <f t="shared" si="2"/>
        <v>18</v>
      </c>
      <c r="G56" s="27">
        <f t="shared" si="22"/>
        <v>3</v>
      </c>
      <c r="H56" s="28" cm="1">
        <f t="array" ref="H56">IFERROR(INDEX('Master Data Sheet'!$1:$1048576, MATCH(1, ('Master Data Sheet'!$H:$H=H$2) * (INDEX('Master Data Sheet'!$1:$1, , MATCH($F$1, 'Master Data Sheet'!$1:$1, 0)) = $F$1) * ('Master Data Sheet'!$G:$G=$B56) * ('Master Data Sheet'!$F:$F=$E56) * ('Master Data Sheet'!$A:$A=$F56), 0), MATCH($F$1, 'Master Data Sheet'!$1:$1, 0)), "")</f>
        <v>37.73333333333332</v>
      </c>
      <c r="I56" s="28" cm="1">
        <f t="array" ref="I56">IFERROR(INDEX('Master Data Sheet'!$1:$1048576, MATCH(1, ('Master Data Sheet'!$H:$H=I$2) * (INDEX('Master Data Sheet'!$1:$1, , MATCH($F$1, 'Master Data Sheet'!$1:$1, 0)) = $F$1) * ('Master Data Sheet'!$G:$G=$B56) * ('Master Data Sheet'!$F:$F=$E56) * ('Master Data Sheet'!$A:$A=$F56), 0), MATCH($F$1, 'Master Data Sheet'!$1:$1, 0)), "")</f>
        <v>44.066666666666663</v>
      </c>
      <c r="J56" s="28" cm="1">
        <f t="array" ref="J56">IFERROR(INDEX('Master Data Sheet'!$1:$1048576, MATCH(1, ('Master Data Sheet'!$H:$H=J$2) * (INDEX('Master Data Sheet'!$1:$1, , MATCH($F$1, 'Master Data Sheet'!$1:$1, 0)) = $F$1) * ('Master Data Sheet'!$G:$G=$B56) * ('Master Data Sheet'!$F:$F=$E56) * ('Master Data Sheet'!$A:$A=$F56), 0), MATCH($F$1, 'Master Data Sheet'!$1:$1, 0)), "")</f>
        <v>38.399999999999991</v>
      </c>
      <c r="K56" s="28" cm="1">
        <f t="array" ref="K56">IFERROR(INDEX('Master Data Sheet'!$1:$1048576, MATCH(1, ('Master Data Sheet'!$H:$H=K$2) * (INDEX('Master Data Sheet'!$1:$1, , MATCH($F$1, 'Master Data Sheet'!$1:$1, 0)) = $F$1) * ('Master Data Sheet'!$G:$G=$B56) * ('Master Data Sheet'!$F:$F=$E56) * ('Master Data Sheet'!$A:$A=$F56), 0), MATCH($F$1, 'Master Data Sheet'!$1:$1, 0)), "")</f>
        <v>35.73333333333332</v>
      </c>
      <c r="L56" s="28" cm="1">
        <f t="array" ref="L56">IFERROR(INDEX('Master Data Sheet'!$1:$1048576, MATCH(1, ('Master Data Sheet'!$H:$H=L$2) * (INDEX('Master Data Sheet'!$1:$1, , MATCH($F$1, 'Master Data Sheet'!$1:$1, 0)) = $F$1) * ('Master Data Sheet'!$G:$G=$B56) * ('Master Data Sheet'!$F:$F=$E56) * ('Master Data Sheet'!$A:$A=$F56), 0), MATCH($F$1, 'Master Data Sheet'!$1:$1, 0)), "")</f>
        <v>37.066666666666656</v>
      </c>
      <c r="M56" s="28" cm="1">
        <f t="array" ref="M56">IFERROR(INDEX('Master Data Sheet'!$1:$1048576, MATCH(1, ('Master Data Sheet'!$H:$H=M$2) * (INDEX('Master Data Sheet'!$1:$1, , MATCH($F$1, 'Master Data Sheet'!$1:$1, 0)) = $F$1) * ('Master Data Sheet'!$G:$G=$B56) * ('Master Data Sheet'!$F:$F=$E56) * ('Master Data Sheet'!$A:$A=$F56), 0), MATCH($F$1, 'Master Data Sheet'!$1:$1, 0)), "")</f>
        <v>34.066666666666649</v>
      </c>
      <c r="N56" s="28" cm="1">
        <f t="array" ref="N56">IFERROR(INDEX('Master Data Sheet'!$1:$1048576, MATCH(1, ('Master Data Sheet'!$H:$H=N$2) * (INDEX('Master Data Sheet'!$1:$1, , MATCH($F$1, 'Master Data Sheet'!$1:$1, 0)) = $F$1) * ('Master Data Sheet'!$G:$G=$B56) * ('Master Data Sheet'!$F:$F=$E56) * ('Master Data Sheet'!$A:$A=$F56), 0), MATCH($F$1, 'Master Data Sheet'!$1:$1, 0)), "")</f>
        <v>37.399999999999991</v>
      </c>
      <c r="O56" s="28">
        <f t="shared" si="8"/>
        <v>37.780952380952371</v>
      </c>
      <c r="P56" s="28">
        <f t="shared" si="4"/>
        <v>3.1235578682991907</v>
      </c>
      <c r="Q56" s="28"/>
      <c r="R56" s="48">
        <f>(1-(O56/O50))*100</f>
        <v>-2.5859839668994189</v>
      </c>
      <c r="S56" s="27"/>
      <c r="T56" s="27"/>
      <c r="U56" s="27"/>
      <c r="V56" s="27"/>
    </row>
    <row r="58" spans="1:46" x14ac:dyDescent="0.35">
      <c r="X58" t="s">
        <v>456</v>
      </c>
      <c r="Y58" t="s">
        <v>465</v>
      </c>
    </row>
    <row r="59" spans="1:46" x14ac:dyDescent="0.35">
      <c r="X59" t="s">
        <v>344</v>
      </c>
      <c r="Y59" s="30" t="s">
        <v>457</v>
      </c>
      <c r="Z59" s="1">
        <f t="shared" ref="Z59:AT59" si="62">Y4</f>
        <v>40.733333333333327</v>
      </c>
      <c r="AA59" s="1">
        <f t="shared" si="62"/>
        <v>30.733333333333317</v>
      </c>
      <c r="AB59" s="1">
        <f t="shared" si="62"/>
        <v>27.399999999999981</v>
      </c>
      <c r="AC59" s="1">
        <f t="shared" si="62"/>
        <v>29.399999999999981</v>
      </c>
      <c r="AD59" s="1">
        <f t="shared" si="62"/>
        <v>33.399999999999984</v>
      </c>
      <c r="AE59" s="1">
        <f t="shared" si="62"/>
        <v>31.399999999999984</v>
      </c>
      <c r="AF59" s="1">
        <f t="shared" si="62"/>
        <v>36.066666666666656</v>
      </c>
      <c r="AG59" s="1">
        <f t="shared" si="62"/>
        <v>40.066666666666656</v>
      </c>
      <c r="AH59" s="1">
        <f t="shared" si="62"/>
        <v>26.733333333333313</v>
      </c>
      <c r="AI59" s="1">
        <f t="shared" si="62"/>
        <v>21.733333333333309</v>
      </c>
      <c r="AJ59" s="1">
        <f t="shared" si="62"/>
        <v>29.399999999999981</v>
      </c>
      <c r="AK59" s="1">
        <f t="shared" si="62"/>
        <v>31.399999999999984</v>
      </c>
      <c r="AL59" s="1">
        <f t="shared" si="62"/>
        <v>35.399999999999984</v>
      </c>
      <c r="AM59" s="1">
        <f t="shared" si="62"/>
        <v>38.066666666666656</v>
      </c>
      <c r="AN59" s="1">
        <f t="shared" si="62"/>
        <v>35.066666666666656</v>
      </c>
      <c r="AO59" s="1">
        <f t="shared" si="62"/>
        <v>26.066666666666645</v>
      </c>
      <c r="AP59" s="1">
        <f t="shared" si="62"/>
        <v>19.733333333333341</v>
      </c>
      <c r="AQ59" s="1">
        <f t="shared" si="62"/>
        <v>18.066666666666674</v>
      </c>
      <c r="AR59" s="1">
        <f t="shared" si="62"/>
        <v>19.733333333333341</v>
      </c>
      <c r="AS59" s="1">
        <f t="shared" si="62"/>
        <v>20.066666666666638</v>
      </c>
      <c r="AT59" s="1">
        <f t="shared" si="62"/>
        <v>19.400000000000009</v>
      </c>
    </row>
    <row r="60" spans="1:46" x14ac:dyDescent="0.35">
      <c r="X60" t="s">
        <v>345</v>
      </c>
      <c r="Y60" s="30" t="s">
        <v>457</v>
      </c>
      <c r="Z60" s="1">
        <f t="shared" ref="Z60:AT60" si="63">Y7</f>
        <v>22.066666666666642</v>
      </c>
      <c r="AA60" s="1">
        <f t="shared" si="63"/>
        <v>16.733333333333341</v>
      </c>
      <c r="AB60" s="1">
        <f t="shared" si="63"/>
        <v>14.733333333333338</v>
      </c>
      <c r="AC60" s="1">
        <f t="shared" si="63"/>
        <v>19.066666666666677</v>
      </c>
      <c r="AD60" s="1">
        <f t="shared" si="63"/>
        <v>17.066666666666674</v>
      </c>
      <c r="AE60" s="1">
        <f t="shared" si="63"/>
        <v>19.733333333333341</v>
      </c>
      <c r="AF60" s="1">
        <f t="shared" si="63"/>
        <v>22.733333333333309</v>
      </c>
      <c r="AG60" s="1">
        <f t="shared" si="63"/>
        <v>27.733333333333313</v>
      </c>
      <c r="AH60" s="1">
        <f t="shared" si="63"/>
        <v>26.733333333333313</v>
      </c>
      <c r="AI60" s="1">
        <f t="shared" si="63"/>
        <v>35.399999999999984</v>
      </c>
      <c r="AJ60" s="1">
        <f t="shared" si="63"/>
        <v>30.066666666666649</v>
      </c>
      <c r="AK60" s="1">
        <f t="shared" si="63"/>
        <v>28.399999999999981</v>
      </c>
      <c r="AL60" s="1">
        <f t="shared" si="63"/>
        <v>27.066666666666645</v>
      </c>
      <c r="AM60" s="1">
        <f t="shared" si="63"/>
        <v>32.399999999999984</v>
      </c>
      <c r="AN60" s="1">
        <f t="shared" si="63"/>
        <v>21.733333333333309</v>
      </c>
      <c r="AO60" s="1">
        <f t="shared" si="63"/>
        <v>29.733333333333313</v>
      </c>
      <c r="AP60" s="1">
        <f t="shared" si="63"/>
        <v>29.399999999999981</v>
      </c>
      <c r="AQ60" s="1">
        <f t="shared" si="63"/>
        <v>27.066666666666645</v>
      </c>
      <c r="AR60" s="1">
        <f t="shared" si="63"/>
        <v>28.399999999999981</v>
      </c>
      <c r="AS60" s="1">
        <f t="shared" si="63"/>
        <v>26.733333333333313</v>
      </c>
      <c r="AT60" s="1">
        <f t="shared" si="63"/>
        <v>23.733333333333309</v>
      </c>
    </row>
    <row r="61" spans="1:46" x14ac:dyDescent="0.35">
      <c r="X61" t="s">
        <v>346</v>
      </c>
      <c r="Y61" s="30" t="s">
        <v>457</v>
      </c>
      <c r="Z61" s="1">
        <f t="shared" ref="Z61:AT61" si="64">Y10</f>
        <v>86.73333333333332</v>
      </c>
      <c r="AA61" s="1">
        <f t="shared" si="64"/>
        <v>88.399999999999991</v>
      </c>
      <c r="AB61" s="1">
        <f t="shared" si="64"/>
        <v>80.399999999999991</v>
      </c>
      <c r="AC61" s="1">
        <f t="shared" si="64"/>
        <v>60.399999999999991</v>
      </c>
      <c r="AD61" s="1">
        <f t="shared" si="64"/>
        <v>46.4</v>
      </c>
      <c r="AE61" s="1">
        <f t="shared" si="64"/>
        <v>36.399999999999984</v>
      </c>
      <c r="AF61" s="1">
        <f t="shared" si="64"/>
        <v>33.399999999999984</v>
      </c>
      <c r="AG61" s="1">
        <f t="shared" si="64"/>
        <v>49.066666666666663</v>
      </c>
      <c r="AH61" s="1">
        <f t="shared" si="64"/>
        <v>43.733333333333327</v>
      </c>
      <c r="AI61" s="1">
        <f t="shared" si="64"/>
        <v>44.399999999999991</v>
      </c>
      <c r="AJ61" s="1">
        <f t="shared" si="64"/>
        <v>41.399999999999991</v>
      </c>
      <c r="AK61" s="1">
        <f t="shared" si="64"/>
        <v>37.399999999999991</v>
      </c>
      <c r="AL61" s="1">
        <f t="shared" si="64"/>
        <v>30.733333333333317</v>
      </c>
      <c r="AM61" s="1">
        <f t="shared" si="64"/>
        <v>32.73333333333332</v>
      </c>
      <c r="AN61" s="1">
        <f t="shared" si="64"/>
        <v>79.73333333333332</v>
      </c>
      <c r="AO61" s="1">
        <f t="shared" si="64"/>
        <v>90.733333333333334</v>
      </c>
      <c r="AP61" s="1">
        <f t="shared" si="64"/>
        <v>90.399999999999991</v>
      </c>
      <c r="AQ61" s="1">
        <f t="shared" si="64"/>
        <v>79.399999999999991</v>
      </c>
      <c r="AR61" s="1">
        <f t="shared" si="64"/>
        <v>62.066666666666656</v>
      </c>
      <c r="AS61" s="1">
        <f t="shared" si="64"/>
        <v>48.4</v>
      </c>
      <c r="AT61" s="1">
        <f t="shared" si="64"/>
        <v>40.066666666666656</v>
      </c>
    </row>
    <row r="62" spans="1:46" x14ac:dyDescent="0.35">
      <c r="X62" t="s">
        <v>344</v>
      </c>
      <c r="Y62" s="30" t="s">
        <v>458</v>
      </c>
      <c r="Z62" s="1">
        <f t="shared" ref="Z62:AT62" si="65">Y13</f>
        <v>79.73333333333332</v>
      </c>
      <c r="AA62" s="1">
        <f t="shared" si="65"/>
        <v>81.066666666666649</v>
      </c>
      <c r="AB62" s="1">
        <f t="shared" si="65"/>
        <v>69.066666666666663</v>
      </c>
      <c r="AC62" s="1">
        <f t="shared" si="65"/>
        <v>64.73333333333332</v>
      </c>
      <c r="AD62" s="1">
        <f t="shared" si="65"/>
        <v>6.6666666666659324E-2</v>
      </c>
      <c r="AE62" s="1">
        <f t="shared" si="65"/>
        <v>63.066666666666656</v>
      </c>
      <c r="AF62" s="1">
        <f t="shared" si="65"/>
        <v>46.4</v>
      </c>
      <c r="AG62" s="1">
        <f t="shared" si="65"/>
        <v>35.73333333333332</v>
      </c>
      <c r="AH62" s="1">
        <f t="shared" si="65"/>
        <v>29.733333333333313</v>
      </c>
      <c r="AI62" s="1">
        <f t="shared" si="65"/>
        <v>28.066666666666645</v>
      </c>
      <c r="AJ62" s="1">
        <f t="shared" si="65"/>
        <v>22.733333333333309</v>
      </c>
      <c r="AK62" s="1">
        <f t="shared" si="65"/>
        <v>27.066666666666645</v>
      </c>
      <c r="AL62" s="1">
        <f t="shared" si="65"/>
        <v>30.733333333333317</v>
      </c>
      <c r="AM62" s="1">
        <f t="shared" si="65"/>
        <v>31.399999999999984</v>
      </c>
      <c r="AN62" s="1">
        <f t="shared" si="65"/>
        <v>43.066666666666663</v>
      </c>
      <c r="AO62" s="1">
        <f t="shared" si="65"/>
        <v>53.066666666666649</v>
      </c>
      <c r="AP62" s="1">
        <f t="shared" si="65"/>
        <v>49.4</v>
      </c>
      <c r="AQ62" s="1">
        <f t="shared" si="65"/>
        <v>48.733333333333334</v>
      </c>
      <c r="AR62" s="1">
        <f t="shared" si="65"/>
        <v>50.066666666666663</v>
      </c>
      <c r="AS62" s="1">
        <f t="shared" si="65"/>
        <v>45.733333333333327</v>
      </c>
      <c r="AT62" s="1">
        <f t="shared" si="65"/>
        <v>50.066666666666663</v>
      </c>
    </row>
    <row r="63" spans="1:46" x14ac:dyDescent="0.35">
      <c r="X63" t="s">
        <v>345</v>
      </c>
      <c r="Y63" s="30" t="s">
        <v>458</v>
      </c>
      <c r="Z63" s="1">
        <f t="shared" ref="Z63:AT63" si="66">Y16</f>
        <v>0</v>
      </c>
      <c r="AA63" s="1">
        <f t="shared" si="66"/>
        <v>61.733333333333327</v>
      </c>
      <c r="AB63" s="1">
        <f t="shared" si="66"/>
        <v>61.399999999999991</v>
      </c>
      <c r="AC63" s="1">
        <f t="shared" si="66"/>
        <v>76.399999999999991</v>
      </c>
      <c r="AD63" s="1">
        <f t="shared" si="66"/>
        <v>70.733333333333334</v>
      </c>
      <c r="AE63" s="1">
        <f t="shared" si="66"/>
        <v>42.399999999999991</v>
      </c>
      <c r="AF63" s="1">
        <f t="shared" si="66"/>
        <v>29.399999999999981</v>
      </c>
      <c r="AG63" s="1">
        <f t="shared" si="66"/>
        <v>20.399999999999974</v>
      </c>
      <c r="AH63" s="1">
        <f t="shared" si="66"/>
        <v>21.399999999999974</v>
      </c>
      <c r="AI63" s="1">
        <f t="shared" si="66"/>
        <v>25.399999999999977</v>
      </c>
      <c r="AJ63" s="1">
        <f t="shared" si="66"/>
        <v>24.733333333333309</v>
      </c>
      <c r="AK63" s="1">
        <f t="shared" si="66"/>
        <v>23.733333333333309</v>
      </c>
      <c r="AL63" s="1">
        <f t="shared" si="66"/>
        <v>25.399999999999977</v>
      </c>
      <c r="AM63" s="1">
        <f t="shared" si="66"/>
        <v>26.066666666666645</v>
      </c>
      <c r="AN63" s="1">
        <f t="shared" si="66"/>
        <v>23.733333333333309</v>
      </c>
      <c r="AO63" s="1">
        <f t="shared" si="66"/>
        <v>17.733333333333341</v>
      </c>
      <c r="AP63" s="1">
        <f t="shared" si="66"/>
        <v>27.399999999999981</v>
      </c>
      <c r="AQ63" s="1">
        <f t="shared" si="66"/>
        <v>36.066666666666656</v>
      </c>
      <c r="AR63" s="1">
        <f t="shared" si="66"/>
        <v>34.066666666666649</v>
      </c>
      <c r="AS63" s="1">
        <f t="shared" si="66"/>
        <v>36.399999999999984</v>
      </c>
      <c r="AT63" s="1">
        <f t="shared" si="66"/>
        <v>41.066666666666656</v>
      </c>
    </row>
    <row r="64" spans="1:46" x14ac:dyDescent="0.35">
      <c r="X64" t="s">
        <v>346</v>
      </c>
      <c r="Y64" s="30" t="s">
        <v>458</v>
      </c>
      <c r="Z64" s="1">
        <f t="shared" ref="Z64:AT64" si="67">Y19</f>
        <v>91.733333333333334</v>
      </c>
      <c r="AA64" s="1">
        <f t="shared" si="67"/>
        <v>40.399999999999991</v>
      </c>
      <c r="AB64" s="1">
        <f t="shared" si="67"/>
        <v>84.066666666666663</v>
      </c>
      <c r="AC64" s="1">
        <f t="shared" si="67"/>
        <v>67.066666666666663</v>
      </c>
      <c r="AD64" s="1">
        <f t="shared" si="67"/>
        <v>38.066666666666656</v>
      </c>
      <c r="AE64" s="1">
        <f t="shared" si="67"/>
        <v>25.066666666666645</v>
      </c>
      <c r="AF64" s="1">
        <f t="shared" si="67"/>
        <v>66.399999999999991</v>
      </c>
      <c r="AG64" s="1">
        <f t="shared" si="67"/>
        <v>60.73333333333332</v>
      </c>
      <c r="AH64" s="1">
        <f t="shared" si="67"/>
        <v>65.733333333333334</v>
      </c>
      <c r="AI64" s="1">
        <f t="shared" si="67"/>
        <v>41.733333333333327</v>
      </c>
      <c r="AJ64" s="1">
        <f t="shared" si="67"/>
        <v>26.399999999999977</v>
      </c>
      <c r="AK64" s="1">
        <f t="shared" si="67"/>
        <v>30.066666666666649</v>
      </c>
      <c r="AL64" s="1">
        <f t="shared" si="67"/>
        <v>24.399999999999977</v>
      </c>
      <c r="AM64" s="1">
        <f t="shared" si="67"/>
        <v>23.733333333333309</v>
      </c>
      <c r="AN64" s="1">
        <f t="shared" si="67"/>
        <v>32.399999999999984</v>
      </c>
      <c r="AO64" s="1">
        <f t="shared" si="67"/>
        <v>22.066666666666642</v>
      </c>
      <c r="AP64" s="1">
        <f t="shared" si="67"/>
        <v>31.066666666666649</v>
      </c>
      <c r="AQ64" s="1">
        <f t="shared" si="67"/>
        <v>39.399999999999991</v>
      </c>
      <c r="AR64" s="1">
        <f t="shared" si="67"/>
        <v>40.733333333333327</v>
      </c>
      <c r="AS64" s="1">
        <f t="shared" si="67"/>
        <v>37.73333333333332</v>
      </c>
      <c r="AT64" s="1">
        <f t="shared" si="67"/>
        <v>41.399999999999991</v>
      </c>
    </row>
    <row r="65" spans="24:46" x14ac:dyDescent="0.35">
      <c r="X65" t="s">
        <v>344</v>
      </c>
      <c r="Y65" s="30" t="s">
        <v>459</v>
      </c>
      <c r="Z65" s="1">
        <f t="shared" ref="Z65:AT65" si="68">Y22</f>
        <v>30.066666666666649</v>
      </c>
      <c r="AA65" s="1">
        <f t="shared" si="68"/>
        <v>26.066666666666645</v>
      </c>
      <c r="AB65" s="1">
        <f t="shared" si="68"/>
        <v>21.399999999999974</v>
      </c>
      <c r="AC65" s="1">
        <f t="shared" si="68"/>
        <v>28.399999999999981</v>
      </c>
      <c r="AD65" s="1">
        <f t="shared" si="68"/>
        <v>30.733333333333317</v>
      </c>
      <c r="AE65" s="1">
        <f t="shared" si="68"/>
        <v>29.399999999999981</v>
      </c>
      <c r="AF65" s="1">
        <f t="shared" si="68"/>
        <v>32.73333333333332</v>
      </c>
      <c r="AG65" s="1">
        <f t="shared" si="68"/>
        <v>13.06666666666667</v>
      </c>
      <c r="AH65" s="1">
        <f t="shared" si="68"/>
        <v>20.733333333333306</v>
      </c>
      <c r="AI65" s="1">
        <f t="shared" si="68"/>
        <v>21.066666666666642</v>
      </c>
      <c r="AJ65" s="1">
        <f t="shared" si="68"/>
        <v>22.733333333333309</v>
      </c>
      <c r="AK65" s="1">
        <f t="shared" si="68"/>
        <v>28.733333333333313</v>
      </c>
      <c r="AL65" s="1">
        <f t="shared" si="68"/>
        <v>29.399999999999981</v>
      </c>
      <c r="AM65" s="1">
        <f t="shared" si="68"/>
        <v>36.066666666666656</v>
      </c>
      <c r="AN65" s="1">
        <f t="shared" si="68"/>
        <v>38.73333333333332</v>
      </c>
      <c r="AO65" s="1">
        <f t="shared" si="68"/>
        <v>34.066666666666649</v>
      </c>
      <c r="AP65" s="1">
        <f t="shared" si="68"/>
        <v>34.73333333333332</v>
      </c>
      <c r="AQ65" s="1">
        <f t="shared" si="68"/>
        <v>34.399999999999984</v>
      </c>
      <c r="AR65" s="1">
        <f t="shared" si="68"/>
        <v>35.399999999999984</v>
      </c>
      <c r="AS65" s="1">
        <f t="shared" si="68"/>
        <v>35.399999999999984</v>
      </c>
      <c r="AT65" s="1">
        <f t="shared" si="68"/>
        <v>37.066666666666656</v>
      </c>
    </row>
    <row r="66" spans="24:46" x14ac:dyDescent="0.35">
      <c r="X66" t="s">
        <v>345</v>
      </c>
      <c r="Y66" s="30" t="s">
        <v>459</v>
      </c>
      <c r="Z66" s="1">
        <f t="shared" ref="Z66:AT66" si="69">Y25</f>
        <v>27.399999999999981</v>
      </c>
      <c r="AA66" s="1">
        <f t="shared" si="69"/>
        <v>22.399999999999974</v>
      </c>
      <c r="AB66" s="1">
        <f t="shared" si="69"/>
        <v>23.399999999999977</v>
      </c>
      <c r="AC66" s="1">
        <f t="shared" si="69"/>
        <v>21.4</v>
      </c>
      <c r="AD66" s="1">
        <f t="shared" si="69"/>
        <v>23.066666666666642</v>
      </c>
      <c r="AE66" s="1">
        <f t="shared" si="69"/>
        <v>25.733333333333313</v>
      </c>
      <c r="AF66" s="1">
        <f t="shared" si="69"/>
        <v>22.399999999999974</v>
      </c>
      <c r="AG66" s="1">
        <f t="shared" si="69"/>
        <v>25.399999999999977</v>
      </c>
      <c r="AH66" s="1">
        <f t="shared" si="69"/>
        <v>18.400000000000009</v>
      </c>
      <c r="AI66" s="1">
        <f t="shared" si="69"/>
        <v>15.73333333333334</v>
      </c>
      <c r="AJ66" s="1">
        <f t="shared" si="69"/>
        <v>20.066666666666638</v>
      </c>
      <c r="AK66" s="1">
        <f t="shared" si="69"/>
        <v>23.066666666666642</v>
      </c>
      <c r="AL66" s="1">
        <f t="shared" si="69"/>
        <v>24.733333333333309</v>
      </c>
      <c r="AM66" s="1">
        <f t="shared" si="69"/>
        <v>29.733333333333313</v>
      </c>
      <c r="AN66" s="1">
        <f t="shared" si="69"/>
        <v>26.733333333333313</v>
      </c>
      <c r="AO66" s="1">
        <f t="shared" si="69"/>
        <v>29.399999999999981</v>
      </c>
      <c r="AP66" s="1">
        <f t="shared" si="69"/>
        <v>31.733333333333317</v>
      </c>
      <c r="AQ66" s="1">
        <f t="shared" si="69"/>
        <v>34.73333333333332</v>
      </c>
      <c r="AR66" s="1">
        <f t="shared" si="69"/>
        <v>6.7333333333333316</v>
      </c>
      <c r="AS66" s="1">
        <f t="shared" si="69"/>
        <v>31.399999999999984</v>
      </c>
      <c r="AT66" s="1">
        <f t="shared" si="69"/>
        <v>34.73333333333332</v>
      </c>
    </row>
    <row r="67" spans="24:46" x14ac:dyDescent="0.35">
      <c r="X67" t="s">
        <v>346</v>
      </c>
      <c r="Y67" s="30" t="s">
        <v>459</v>
      </c>
      <c r="Z67" s="1">
        <f t="shared" ref="Z67:AT67" si="70">Y28</f>
        <v>48.4</v>
      </c>
      <c r="AA67" s="1">
        <f t="shared" si="70"/>
        <v>29.066666666666649</v>
      </c>
      <c r="AB67" s="1">
        <f t="shared" si="70"/>
        <v>21.733333333333309</v>
      </c>
      <c r="AC67" s="1">
        <f t="shared" si="70"/>
        <v>23.733333333333309</v>
      </c>
      <c r="AD67" s="1">
        <f t="shared" si="70"/>
        <v>22.066666666666642</v>
      </c>
      <c r="AE67" s="1">
        <f t="shared" si="70"/>
        <v>24.066666666666642</v>
      </c>
      <c r="AF67" s="1">
        <f t="shared" si="70"/>
        <v>29.399999999999981</v>
      </c>
      <c r="AG67" s="1">
        <f t="shared" si="70"/>
        <v>50.4</v>
      </c>
      <c r="AH67" s="1">
        <f t="shared" si="70"/>
        <v>23.733333333333309</v>
      </c>
      <c r="AI67" s="1">
        <f t="shared" si="70"/>
        <v>18.733333333333341</v>
      </c>
      <c r="AJ67" s="1">
        <f t="shared" si="70"/>
        <v>21.733333333333309</v>
      </c>
      <c r="AK67" s="1">
        <f t="shared" si="70"/>
        <v>23.399999999999977</v>
      </c>
      <c r="AL67" s="1">
        <f t="shared" si="70"/>
        <v>30.399999999999981</v>
      </c>
      <c r="AM67" s="1">
        <f t="shared" si="70"/>
        <v>28.399999999999981</v>
      </c>
      <c r="AN67" s="1">
        <f t="shared" si="70"/>
        <v>89.066666666666663</v>
      </c>
      <c r="AO67" s="1">
        <f t="shared" si="70"/>
        <v>39.399999999999991</v>
      </c>
      <c r="AP67" s="1">
        <f t="shared" si="70"/>
        <v>36.066666666666656</v>
      </c>
      <c r="AQ67" s="1">
        <f t="shared" si="70"/>
        <v>35.066666666666656</v>
      </c>
      <c r="AR67" s="1">
        <f t="shared" si="70"/>
        <v>34.066666666666649</v>
      </c>
      <c r="AS67" s="1">
        <f t="shared" si="70"/>
        <v>21.733333333333309</v>
      </c>
      <c r="AT67" s="1">
        <f t="shared" si="70"/>
        <v>36.73333333333332</v>
      </c>
    </row>
    <row r="68" spans="24:46" x14ac:dyDescent="0.35">
      <c r="X68" t="s">
        <v>344</v>
      </c>
      <c r="Y68" s="30" t="s">
        <v>460</v>
      </c>
      <c r="Z68" s="1">
        <f t="shared" ref="Z68:AT68" si="71">Y31</f>
        <v>37.066666666666656</v>
      </c>
      <c r="AA68" s="1">
        <f t="shared" si="71"/>
        <v>37.066666666666656</v>
      </c>
      <c r="AB68" s="1">
        <f t="shared" si="71"/>
        <v>38.399999999999991</v>
      </c>
      <c r="AC68" s="1">
        <f t="shared" si="71"/>
        <v>36.73333333333332</v>
      </c>
      <c r="AD68" s="1">
        <f t="shared" si="71"/>
        <v>36.066666666666656</v>
      </c>
      <c r="AE68" s="1">
        <f t="shared" si="71"/>
        <v>34.73333333333332</v>
      </c>
      <c r="AF68" s="1">
        <f t="shared" si="71"/>
        <v>35.73333333333332</v>
      </c>
      <c r="AG68" s="1">
        <f t="shared" si="71"/>
        <v>3.733333333333329</v>
      </c>
      <c r="AH68" s="1">
        <f t="shared" si="71"/>
        <v>15.400000000000006</v>
      </c>
      <c r="AI68" s="1">
        <f t="shared" si="71"/>
        <v>18.733333333333341</v>
      </c>
      <c r="AJ68" s="1">
        <f t="shared" si="71"/>
        <v>27.733333333333313</v>
      </c>
      <c r="AK68" s="1">
        <f t="shared" si="71"/>
        <v>30.399999999999981</v>
      </c>
      <c r="AL68" s="1">
        <f t="shared" si="71"/>
        <v>33.73333333333332</v>
      </c>
      <c r="AM68" s="1">
        <f t="shared" si="71"/>
        <v>38.399999999999991</v>
      </c>
      <c r="AN68" s="1">
        <f t="shared" si="71"/>
        <v>29.066666666666649</v>
      </c>
      <c r="AO68" s="1">
        <f t="shared" si="71"/>
        <v>22.066666666666642</v>
      </c>
      <c r="AP68" s="1">
        <f t="shared" si="71"/>
        <v>25.733333333333313</v>
      </c>
      <c r="AQ68" s="1">
        <f t="shared" si="71"/>
        <v>32.066666666666649</v>
      </c>
      <c r="AR68" s="1">
        <f t="shared" si="71"/>
        <v>38.73333333333332</v>
      </c>
      <c r="AS68" s="1">
        <f t="shared" si="71"/>
        <v>41.733333333333327</v>
      </c>
      <c r="AT68" s="1">
        <f t="shared" si="71"/>
        <v>48.733333333333334</v>
      </c>
    </row>
    <row r="69" spans="24:46" x14ac:dyDescent="0.35">
      <c r="X69" t="s">
        <v>345</v>
      </c>
      <c r="Y69" s="30" t="s">
        <v>460</v>
      </c>
      <c r="Z69" s="1">
        <f t="shared" ref="Z69:AT69" si="72">Y34</f>
        <v>17.400000000000009</v>
      </c>
      <c r="AA69" s="1">
        <f t="shared" si="72"/>
        <v>18.733333333333341</v>
      </c>
      <c r="AB69" s="1">
        <f t="shared" si="72"/>
        <v>29.066666666666649</v>
      </c>
      <c r="AC69" s="1">
        <f t="shared" si="72"/>
        <v>31.066666666666649</v>
      </c>
      <c r="AD69" s="1">
        <f t="shared" si="72"/>
        <v>32.066666666666649</v>
      </c>
      <c r="AE69" s="1">
        <f t="shared" si="72"/>
        <v>36.73333333333332</v>
      </c>
      <c r="AF69" s="1">
        <f t="shared" si="72"/>
        <v>31.066666666666649</v>
      </c>
      <c r="AG69" s="1">
        <f t="shared" si="72"/>
        <v>14.733333333333338</v>
      </c>
      <c r="AH69" s="1">
        <f t="shared" si="72"/>
        <v>15.066666666666672</v>
      </c>
      <c r="AI69" s="1">
        <f t="shared" si="72"/>
        <v>9.4</v>
      </c>
      <c r="AJ69" s="1">
        <f t="shared" si="72"/>
        <v>11.400000000000002</v>
      </c>
      <c r="AK69" s="1">
        <f t="shared" si="72"/>
        <v>18.733333333333341</v>
      </c>
      <c r="AL69" s="1">
        <f t="shared" si="72"/>
        <v>22.733333333333309</v>
      </c>
      <c r="AM69" s="1">
        <f t="shared" si="72"/>
        <v>30.066666666666649</v>
      </c>
      <c r="AN69" s="1">
        <f t="shared" si="72"/>
        <v>21.399999999999974</v>
      </c>
      <c r="AO69" s="1">
        <f t="shared" si="72"/>
        <v>19.400000000000009</v>
      </c>
      <c r="AP69" s="1">
        <f t="shared" si="72"/>
        <v>18.733333333333341</v>
      </c>
      <c r="AQ69" s="1">
        <f t="shared" si="72"/>
        <v>18.066666666666674</v>
      </c>
      <c r="AR69" s="1">
        <f t="shared" si="72"/>
        <v>20.399999999999974</v>
      </c>
      <c r="AS69" s="1">
        <f t="shared" si="72"/>
        <v>26.399999999999977</v>
      </c>
      <c r="AT69" s="1">
        <f t="shared" si="72"/>
        <v>31.733333333333317</v>
      </c>
    </row>
    <row r="70" spans="24:46" x14ac:dyDescent="0.35">
      <c r="X70" t="s">
        <v>346</v>
      </c>
      <c r="Y70" s="30" t="s">
        <v>460</v>
      </c>
      <c r="Z70" s="1">
        <f t="shared" ref="Z70:AT70" si="73">Y37</f>
        <v>21.733333333333309</v>
      </c>
      <c r="AA70" s="1">
        <f t="shared" si="73"/>
        <v>23.399999999999977</v>
      </c>
      <c r="AB70" s="1">
        <f t="shared" si="73"/>
        <v>30.733333333333317</v>
      </c>
      <c r="AC70" s="1">
        <f t="shared" si="73"/>
        <v>33.73333333333332</v>
      </c>
      <c r="AD70" s="1">
        <f t="shared" si="73"/>
        <v>33.73333333333332</v>
      </c>
      <c r="AE70" s="1">
        <f t="shared" si="73"/>
        <v>31.066666666666649</v>
      </c>
      <c r="AF70" s="1">
        <f t="shared" si="73"/>
        <v>34.066666666666649</v>
      </c>
      <c r="AG70" s="1">
        <f t="shared" si="73"/>
        <v>17.400000000000009</v>
      </c>
      <c r="AH70" s="1">
        <f t="shared" si="73"/>
        <v>17.733333333333341</v>
      </c>
      <c r="AI70" s="1">
        <f t="shared" si="73"/>
        <v>10.066666666666668</v>
      </c>
      <c r="AJ70" s="1">
        <f t="shared" si="73"/>
        <v>19.400000000000009</v>
      </c>
      <c r="AK70" s="1">
        <f t="shared" si="73"/>
        <v>17.733333333333341</v>
      </c>
      <c r="AL70" s="1">
        <f t="shared" si="73"/>
        <v>20.066666666666638</v>
      </c>
      <c r="AM70" s="1">
        <f t="shared" si="73"/>
        <v>25.733333333333313</v>
      </c>
      <c r="AN70" s="1">
        <f t="shared" si="73"/>
        <v>22.733333333333309</v>
      </c>
      <c r="AO70" s="1">
        <f t="shared" si="73"/>
        <v>30.066666666666649</v>
      </c>
      <c r="AP70" s="1">
        <f t="shared" si="73"/>
        <v>19.733333333333341</v>
      </c>
      <c r="AQ70" s="1">
        <f t="shared" si="73"/>
        <v>19.066666666666677</v>
      </c>
      <c r="AR70" s="1">
        <f t="shared" si="73"/>
        <v>23.399999999999977</v>
      </c>
      <c r="AS70" s="1">
        <f t="shared" si="73"/>
        <v>29.066666666666649</v>
      </c>
      <c r="AT70" s="1">
        <f t="shared" si="73"/>
        <v>33.066666666666649</v>
      </c>
    </row>
    <row r="71" spans="24:46" x14ac:dyDescent="0.35">
      <c r="X71" t="s">
        <v>344</v>
      </c>
      <c r="Y71" s="30" t="s">
        <v>461</v>
      </c>
      <c r="Z71" s="1">
        <f t="shared" ref="Z71:AT71" si="74">Y40</f>
        <v>33.73333333333332</v>
      </c>
      <c r="AA71" s="1">
        <f t="shared" si="74"/>
        <v>31.066666666666649</v>
      </c>
      <c r="AB71" s="1">
        <f t="shared" si="74"/>
        <v>32.066666666666649</v>
      </c>
      <c r="AC71" s="1">
        <f t="shared" si="74"/>
        <v>23.066666666666642</v>
      </c>
      <c r="AD71" s="1">
        <f t="shared" si="74"/>
        <v>36.73333333333332</v>
      </c>
      <c r="AE71" s="1">
        <f t="shared" si="74"/>
        <v>34.399999999999984</v>
      </c>
      <c r="AF71" s="1">
        <f t="shared" si="74"/>
        <v>31.066666666666649</v>
      </c>
      <c r="AG71" s="1">
        <f t="shared" si="74"/>
        <v>26.066666666666645</v>
      </c>
      <c r="AH71" s="1">
        <f t="shared" si="74"/>
        <v>22.399999999999974</v>
      </c>
      <c r="AI71" s="1">
        <f t="shared" si="74"/>
        <v>29.399999999999981</v>
      </c>
      <c r="AJ71" s="1">
        <f t="shared" si="74"/>
        <v>32.066666666666649</v>
      </c>
      <c r="AK71" s="1">
        <f t="shared" si="74"/>
        <v>32.066666666666649</v>
      </c>
      <c r="AL71" s="1">
        <f t="shared" si="74"/>
        <v>30.733333333333317</v>
      </c>
      <c r="AM71" s="1">
        <f t="shared" si="74"/>
        <v>36.73333333333332</v>
      </c>
      <c r="AN71" s="1">
        <f t="shared" si="74"/>
        <v>37.066666666666656</v>
      </c>
      <c r="AO71" s="1">
        <f t="shared" si="74"/>
        <v>37.066666666666656</v>
      </c>
      <c r="AP71" s="1">
        <f t="shared" si="74"/>
        <v>28.733333333333313</v>
      </c>
      <c r="AQ71" s="1">
        <f t="shared" si="74"/>
        <v>21.733333333333309</v>
      </c>
      <c r="AR71" s="1">
        <f t="shared" si="74"/>
        <v>22.733333333333309</v>
      </c>
      <c r="AS71" s="1">
        <f t="shared" si="74"/>
        <v>21.066666666666642</v>
      </c>
      <c r="AT71" s="1">
        <f t="shared" si="74"/>
        <v>28.399999999999981</v>
      </c>
    </row>
    <row r="72" spans="24:46" x14ac:dyDescent="0.35">
      <c r="X72" t="s">
        <v>345</v>
      </c>
      <c r="Y72" s="30" t="s">
        <v>461</v>
      </c>
      <c r="Z72" s="1">
        <f t="shared" ref="Z72:AT72" si="75">Y43</f>
        <v>21.733333333333309</v>
      </c>
      <c r="AA72" s="1">
        <f t="shared" si="75"/>
        <v>27.399999999999981</v>
      </c>
      <c r="AB72" s="1">
        <f t="shared" si="75"/>
        <v>33.73333333333332</v>
      </c>
      <c r="AC72" s="1">
        <f t="shared" si="75"/>
        <v>38.399999999999991</v>
      </c>
      <c r="AD72" s="1">
        <f t="shared" si="75"/>
        <v>42.733333333333327</v>
      </c>
      <c r="AE72" s="1">
        <f t="shared" si="75"/>
        <v>43.399999999999991</v>
      </c>
      <c r="AF72" s="1">
        <f t="shared" si="75"/>
        <v>39.066666666666656</v>
      </c>
      <c r="AG72" s="1">
        <f t="shared" si="75"/>
        <v>23.066666666666642</v>
      </c>
      <c r="AH72" s="1">
        <f t="shared" si="75"/>
        <v>22.066666666666642</v>
      </c>
      <c r="AI72" s="1">
        <f t="shared" si="75"/>
        <v>24.733333333333309</v>
      </c>
      <c r="AJ72" s="1">
        <f t="shared" si="75"/>
        <v>26.733333333333313</v>
      </c>
      <c r="AK72" s="1">
        <f t="shared" si="75"/>
        <v>28.733333333333313</v>
      </c>
      <c r="AL72" s="1">
        <f t="shared" si="75"/>
        <v>29.733333333333313</v>
      </c>
      <c r="AM72" s="1">
        <f t="shared" si="75"/>
        <v>33.066666666666649</v>
      </c>
      <c r="AN72" s="1">
        <f t="shared" si="75"/>
        <v>20.733333333333306</v>
      </c>
      <c r="AO72" s="1">
        <f t="shared" si="75"/>
        <v>29.733333333333313</v>
      </c>
      <c r="AP72" s="1">
        <f t="shared" si="75"/>
        <v>27.066666666666645</v>
      </c>
      <c r="AQ72" s="1">
        <f t="shared" si="75"/>
        <v>25.066666666666645</v>
      </c>
      <c r="AR72" s="1">
        <f t="shared" si="75"/>
        <v>23.733333333333309</v>
      </c>
      <c r="AS72" s="1">
        <f t="shared" si="75"/>
        <v>20.066666666666638</v>
      </c>
      <c r="AT72" s="1">
        <f t="shared" si="75"/>
        <v>22.733333333333309</v>
      </c>
    </row>
    <row r="73" spans="24:46" x14ac:dyDescent="0.35">
      <c r="X73" t="s">
        <v>346</v>
      </c>
      <c r="Y73" s="30" t="s">
        <v>461</v>
      </c>
      <c r="Z73" s="1">
        <f t="shared" ref="Z73:AT73" si="76">Y46</f>
        <v>82.73333333333332</v>
      </c>
      <c r="AA73" s="1">
        <f t="shared" si="76"/>
        <v>45.399999999999991</v>
      </c>
      <c r="AB73" s="1">
        <f t="shared" si="76"/>
        <v>36.73333333333332</v>
      </c>
      <c r="AC73" s="1">
        <f t="shared" si="76"/>
        <v>34.399999999999984</v>
      </c>
      <c r="AD73" s="1">
        <f t="shared" si="76"/>
        <v>33.399999999999984</v>
      </c>
      <c r="AE73" s="1">
        <f t="shared" si="76"/>
        <v>30.733333333333317</v>
      </c>
      <c r="AF73" s="1">
        <f t="shared" si="76"/>
        <v>32.066666666666649</v>
      </c>
      <c r="AG73" s="1">
        <f t="shared" si="76"/>
        <v>59.066666666666656</v>
      </c>
      <c r="AH73" s="1">
        <f t="shared" si="76"/>
        <v>38.066666666666656</v>
      </c>
      <c r="AI73" s="1">
        <f t="shared" si="76"/>
        <v>24.733333333333309</v>
      </c>
      <c r="AJ73" s="1">
        <f t="shared" si="76"/>
        <v>24.066666666666642</v>
      </c>
      <c r="AK73" s="1">
        <f t="shared" si="76"/>
        <v>30.733333333333317</v>
      </c>
      <c r="AL73" s="1">
        <f t="shared" si="76"/>
        <v>34.066666666666649</v>
      </c>
      <c r="AM73" s="1">
        <f t="shared" si="76"/>
        <v>33.066666666666649</v>
      </c>
      <c r="AN73" s="1">
        <f t="shared" si="76"/>
        <v>42.066666666666656</v>
      </c>
      <c r="AO73" s="1">
        <f t="shared" si="76"/>
        <v>34.066666666666649</v>
      </c>
      <c r="AP73" s="1">
        <f t="shared" si="76"/>
        <v>34.73333333333332</v>
      </c>
      <c r="AQ73" s="1">
        <f t="shared" si="76"/>
        <v>24.066666666666642</v>
      </c>
      <c r="AR73" s="1">
        <f t="shared" si="76"/>
        <v>19.066666666666677</v>
      </c>
      <c r="AS73" s="1">
        <f t="shared" si="76"/>
        <v>20.733333333333306</v>
      </c>
      <c r="AT73" s="1">
        <f t="shared" si="76"/>
        <v>32.399999999999984</v>
      </c>
    </row>
    <row r="74" spans="24:46" x14ac:dyDescent="0.35">
      <c r="X74" t="s">
        <v>344</v>
      </c>
      <c r="Y74" s="30" t="s">
        <v>462</v>
      </c>
      <c r="Z74" s="1">
        <f t="shared" ref="Z74:AT74" si="77">Y49</f>
        <v>44.066666666666663</v>
      </c>
      <c r="AA74" s="1">
        <f t="shared" si="77"/>
        <v>24.733333333333309</v>
      </c>
      <c r="AB74" s="1">
        <f t="shared" si="77"/>
        <v>21.733333333333309</v>
      </c>
      <c r="AC74" s="1">
        <f t="shared" si="77"/>
        <v>21.399999999999974</v>
      </c>
      <c r="AD74" s="1">
        <f t="shared" si="77"/>
        <v>28.733333333333313</v>
      </c>
      <c r="AE74" s="1">
        <f t="shared" si="77"/>
        <v>28.399999999999981</v>
      </c>
      <c r="AF74" s="1">
        <f t="shared" si="77"/>
        <v>31.066666666666649</v>
      </c>
      <c r="AG74" s="1">
        <f t="shared" si="77"/>
        <v>32.399999999999984</v>
      </c>
      <c r="AH74" s="1">
        <f t="shared" si="77"/>
        <v>27.399999999999981</v>
      </c>
      <c r="AI74" s="1">
        <f t="shared" si="77"/>
        <v>28.066666666666645</v>
      </c>
      <c r="AJ74" s="1">
        <f t="shared" si="77"/>
        <v>28.066666666666645</v>
      </c>
      <c r="AK74" s="1">
        <f t="shared" si="77"/>
        <v>28.066666666666645</v>
      </c>
      <c r="AL74" s="1">
        <f t="shared" si="77"/>
        <v>29.399999999999981</v>
      </c>
      <c r="AM74" s="1">
        <f t="shared" si="77"/>
        <v>28.733333333333313</v>
      </c>
      <c r="AN74" s="1">
        <f t="shared" si="77"/>
        <v>37.73333333333332</v>
      </c>
      <c r="AO74" s="1">
        <f t="shared" si="77"/>
        <v>38.399999999999991</v>
      </c>
      <c r="AP74" s="1">
        <f t="shared" si="77"/>
        <v>35.73333333333332</v>
      </c>
      <c r="AQ74" s="1">
        <f t="shared" si="77"/>
        <v>37.399999999999991</v>
      </c>
      <c r="AR74" s="1">
        <f t="shared" si="77"/>
        <v>35.399999999999984</v>
      </c>
      <c r="AS74" s="1">
        <f t="shared" si="77"/>
        <v>37.066666666666656</v>
      </c>
      <c r="AT74" s="1">
        <f t="shared" si="77"/>
        <v>36.066666666666656</v>
      </c>
    </row>
    <row r="75" spans="24:46" x14ac:dyDescent="0.35">
      <c r="X75" t="s">
        <v>345</v>
      </c>
      <c r="Y75" s="30" t="s">
        <v>462</v>
      </c>
      <c r="Z75" s="1">
        <f t="shared" ref="Z75:AT75" si="78">Y52</f>
        <v>37.399999999999991</v>
      </c>
      <c r="AA75" s="1">
        <f t="shared" si="78"/>
        <v>33.066666666666649</v>
      </c>
      <c r="AB75" s="1">
        <f t="shared" si="78"/>
        <v>27.733333333333313</v>
      </c>
      <c r="AC75" s="1">
        <f t="shared" si="78"/>
        <v>31.733333333333317</v>
      </c>
      <c r="AD75" s="1">
        <f t="shared" si="78"/>
        <v>35.066666666666656</v>
      </c>
      <c r="AE75" s="1">
        <f t="shared" si="78"/>
        <v>32.399999999999984</v>
      </c>
      <c r="AF75" s="1">
        <f t="shared" si="78"/>
        <v>30.399999999999981</v>
      </c>
      <c r="AG75" s="1">
        <f t="shared" si="78"/>
        <v>29.733333333333313</v>
      </c>
      <c r="AH75" s="1">
        <f t="shared" si="78"/>
        <v>31.066666666666649</v>
      </c>
      <c r="AI75" s="1">
        <f t="shared" si="78"/>
        <v>30.066666666666649</v>
      </c>
      <c r="AJ75" s="1">
        <f t="shared" si="78"/>
        <v>28.066666666666645</v>
      </c>
      <c r="AK75" s="1">
        <f t="shared" si="78"/>
        <v>26.733333333333313</v>
      </c>
      <c r="AL75" s="1">
        <f t="shared" si="78"/>
        <v>24.399999999999977</v>
      </c>
      <c r="AM75" s="1">
        <f t="shared" si="78"/>
        <v>28.066666666666645</v>
      </c>
      <c r="AN75" s="1">
        <f t="shared" si="78"/>
        <v>34.399999999999984</v>
      </c>
      <c r="AO75" s="1">
        <f t="shared" si="78"/>
        <v>45.066666666666663</v>
      </c>
      <c r="AP75" s="1">
        <f t="shared" si="78"/>
        <v>34.399999999999984</v>
      </c>
      <c r="AQ75" s="1">
        <f t="shared" si="78"/>
        <v>32.399999999999984</v>
      </c>
      <c r="AR75" s="1">
        <f t="shared" si="78"/>
        <v>37.73333333333332</v>
      </c>
      <c r="AS75" s="1">
        <f t="shared" si="78"/>
        <v>32.73333333333332</v>
      </c>
      <c r="AT75" s="1">
        <f t="shared" si="78"/>
        <v>35.399999999999984</v>
      </c>
    </row>
    <row r="76" spans="24:46" x14ac:dyDescent="0.35">
      <c r="X76" t="s">
        <v>346</v>
      </c>
      <c r="Y76" s="30" t="s">
        <v>462</v>
      </c>
      <c r="Z76" s="1">
        <f t="shared" ref="Z76:AT76" si="79">Y55</f>
        <v>43.066666666666663</v>
      </c>
      <c r="AA76" s="1">
        <f t="shared" si="79"/>
        <v>39.399999999999991</v>
      </c>
      <c r="AB76" s="1">
        <f t="shared" si="79"/>
        <v>40.733333333333327</v>
      </c>
      <c r="AC76" s="1">
        <f t="shared" si="79"/>
        <v>39.399999999999991</v>
      </c>
      <c r="AD76" s="1">
        <f t="shared" si="79"/>
        <v>35.73333333333332</v>
      </c>
      <c r="AE76" s="1">
        <f t="shared" si="79"/>
        <v>34.73333333333332</v>
      </c>
      <c r="AF76" s="1">
        <f t="shared" si="79"/>
        <v>33.73333333333332</v>
      </c>
      <c r="AG76" s="1">
        <f t="shared" si="79"/>
        <v>34.73333333333332</v>
      </c>
      <c r="AH76" s="1">
        <f t="shared" si="79"/>
        <v>34.73333333333332</v>
      </c>
      <c r="AI76" s="1">
        <f t="shared" si="79"/>
        <v>34.73333333333332</v>
      </c>
      <c r="AJ76" s="1">
        <f t="shared" si="79"/>
        <v>33.399999999999984</v>
      </c>
      <c r="AK76" s="1">
        <f t="shared" si="79"/>
        <v>29.733333333333313</v>
      </c>
      <c r="AL76" s="1">
        <f t="shared" si="79"/>
        <v>26.399999999999977</v>
      </c>
      <c r="AM76" s="1">
        <f t="shared" si="79"/>
        <v>26.066666666666645</v>
      </c>
      <c r="AN76" s="1">
        <f t="shared" si="79"/>
        <v>37.73333333333332</v>
      </c>
      <c r="AO76" s="1">
        <f t="shared" si="79"/>
        <v>44.066666666666663</v>
      </c>
      <c r="AP76" s="1">
        <f t="shared" si="79"/>
        <v>38.399999999999991</v>
      </c>
      <c r="AQ76" s="1">
        <f t="shared" si="79"/>
        <v>35.73333333333332</v>
      </c>
      <c r="AR76" s="1">
        <f t="shared" si="79"/>
        <v>37.066666666666656</v>
      </c>
      <c r="AS76" s="1">
        <f t="shared" si="79"/>
        <v>34.066666666666649</v>
      </c>
      <c r="AT76" s="1">
        <f t="shared" si="79"/>
        <v>37.399999999999991</v>
      </c>
    </row>
    <row r="79" spans="24:46" x14ac:dyDescent="0.35">
      <c r="X79" t="s">
        <v>530</v>
      </c>
    </row>
    <row r="80" spans="24:46" x14ac:dyDescent="0.35">
      <c r="X80" t="s">
        <v>529</v>
      </c>
      <c r="Y80" t="s">
        <v>528</v>
      </c>
    </row>
    <row r="81" spans="24:25" x14ac:dyDescent="0.35">
      <c r="X81">
        <v>0</v>
      </c>
      <c r="Y81" s="1">
        <f>AVERAGE(H52:H53)</f>
        <v>32.066666666666649</v>
      </c>
    </row>
    <row r="82" spans="24:25" x14ac:dyDescent="0.35">
      <c r="X82">
        <f t="shared" ref="X82:X87" si="80">X81+30</f>
        <v>30</v>
      </c>
      <c r="Y82" s="1">
        <f>AVERAGE(I51:I53)</f>
        <v>36.399999999999984</v>
      </c>
    </row>
    <row r="83" spans="24:25" x14ac:dyDescent="0.35">
      <c r="X83">
        <f t="shared" si="80"/>
        <v>60</v>
      </c>
      <c r="Y83" s="1">
        <f>AVERAGE(J51:J53)</f>
        <v>30.733333333333317</v>
      </c>
    </row>
    <row r="84" spans="24:25" x14ac:dyDescent="0.35">
      <c r="X84">
        <f t="shared" si="80"/>
        <v>90</v>
      </c>
      <c r="Y84" s="1">
        <f>AVERAGE(K51:K53)</f>
        <v>30.733333333333317</v>
      </c>
    </row>
    <row r="85" spans="24:25" x14ac:dyDescent="0.35">
      <c r="X85">
        <f t="shared" si="80"/>
        <v>120</v>
      </c>
      <c r="Y85" s="1">
        <f>AVERAGE(L51:L53)</f>
        <v>33.177777777777763</v>
      </c>
    </row>
    <row r="86" spans="24:25" x14ac:dyDescent="0.35">
      <c r="X86">
        <f t="shared" si="80"/>
        <v>150</v>
      </c>
      <c r="Y86" s="1">
        <f>AVERAGE(M51:M53)</f>
        <v>29.844444444444424</v>
      </c>
    </row>
    <row r="87" spans="24:25" x14ac:dyDescent="0.35">
      <c r="X87">
        <f t="shared" si="80"/>
        <v>180</v>
      </c>
      <c r="Y87" s="1">
        <f>AVERAGE(N51:N53)</f>
        <v>31.288888888888874</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BAF5B-31B5-4DAE-86B5-166930F1553B}">
  <sheetPr codeName="Sheet25">
    <tabColor theme="8" tint="0.39997558519241921"/>
  </sheetPr>
  <dimension ref="A1:AW87"/>
  <sheetViews>
    <sheetView zoomScale="75" zoomScaleNormal="75" workbookViewId="0">
      <selection activeCell="J29" sqref="J29"/>
    </sheetView>
  </sheetViews>
  <sheetFormatPr defaultColWidth="11" defaultRowHeight="15.5" x14ac:dyDescent="0.35"/>
  <cols>
    <col min="1" max="1" width="14.6640625" style="65" customWidth="1"/>
    <col min="2" max="2" width="12.08203125" style="4" customWidth="1"/>
    <col min="3" max="3" width="41.33203125" style="4" customWidth="1"/>
    <col min="4" max="4" width="8.5" style="4" customWidth="1"/>
    <col min="5" max="25" width="11" style="4"/>
    <col min="27" max="27" width="17" customWidth="1"/>
  </cols>
  <sheetData>
    <row r="1" spans="1:48" ht="23.5" x14ac:dyDescent="0.35">
      <c r="A1" s="50" t="s">
        <v>467</v>
      </c>
      <c r="C1" s="26" t="s">
        <v>468</v>
      </c>
      <c r="F1" s="70" t="s">
        <v>27</v>
      </c>
      <c r="G1" s="26" t="s">
        <v>527</v>
      </c>
    </row>
    <row r="2" spans="1:48" ht="49.5" customHeight="1" x14ac:dyDescent="0.35">
      <c r="A2" s="18"/>
      <c r="B2" s="18" t="s">
        <v>433</v>
      </c>
      <c r="C2" s="18" t="s">
        <v>466</v>
      </c>
      <c r="D2" s="18" t="s">
        <v>497</v>
      </c>
      <c r="E2" s="18" t="s">
        <v>387</v>
      </c>
      <c r="F2" s="18" t="s">
        <v>404</v>
      </c>
      <c r="G2" s="18" t="s">
        <v>454</v>
      </c>
      <c r="H2" s="18">
        <v>0</v>
      </c>
      <c r="I2" s="18">
        <v>30</v>
      </c>
      <c r="J2" s="18">
        <v>60</v>
      </c>
      <c r="K2" s="18">
        <v>90</v>
      </c>
      <c r="L2" s="18">
        <v>120</v>
      </c>
      <c r="M2" s="18">
        <v>150</v>
      </c>
      <c r="N2" s="18">
        <v>180</v>
      </c>
      <c r="O2" s="19" t="s">
        <v>340</v>
      </c>
      <c r="P2" s="19" t="s">
        <v>547</v>
      </c>
      <c r="Q2" s="19" t="s">
        <v>340</v>
      </c>
      <c r="R2" s="19" t="s">
        <v>341</v>
      </c>
      <c r="S2" s="19" t="s">
        <v>342</v>
      </c>
      <c r="T2" s="19" t="s">
        <v>547</v>
      </c>
      <c r="U2" s="19" t="s">
        <v>475</v>
      </c>
      <c r="V2" s="19" t="s">
        <v>533</v>
      </c>
      <c r="W2" s="19" t="s">
        <v>547</v>
      </c>
      <c r="X2" s="19" t="s">
        <v>579</v>
      </c>
      <c r="Y2" s="19" t="s">
        <v>580</v>
      </c>
    </row>
    <row r="3" spans="1:48" x14ac:dyDescent="0.35">
      <c r="A3" s="41">
        <f>IFERROR(INDEX('Date Key'!$B$2:$B$19, MATCH(F3,'Date Key'!$A$2:$A$19, 0)), "")</f>
        <v>45175</v>
      </c>
      <c r="B3" s="4">
        <f>INT((ROW(A1)-1)/9)+1</f>
        <v>1</v>
      </c>
      <c r="C3" s="26" t="str">
        <f>IFERROR(INDEX('Date Key'!$G$57:$G$62, MATCH(B3,'Date Key'!$A$57:$A$62, 0)), "")</f>
        <v>Low HLR, Lower Outlet Height, No Plants</v>
      </c>
      <c r="D3" s="4" t="str">
        <f>IFERROR(INDEX('Date Key'!$G$2:$G$19, MATCH(F3, 'Date Key'!$A$2:$A$19, 0)), "")</f>
        <v>No</v>
      </c>
      <c r="E3" s="4" t="str">
        <f>CHOOSE(MOD(ROW(G3)-ROW($G$3), 9) + 1, "in", "in", "in", "tank 1", "tank 1", "tank 1", "tank 2", "tank 2", "tank 2")</f>
        <v>in</v>
      </c>
      <c r="F3" s="4">
        <f>MOD(ROW(G3)-ROW($G$3), 3) + 1 + 3 * INT((ROW(G3)-ROW($G$3))/9)</f>
        <v>1</v>
      </c>
      <c r="G3" s="4">
        <f>MOD(ROW(G3)-ROW($G$3), 3) + 1</f>
        <v>1</v>
      </c>
      <c r="H3" s="11" cm="1">
        <f t="array" ref="H3">IFERROR(INDEX('Master Data Sheet'!$1:$1048576, MATCH(1, ('Master Data Sheet'!$H:$H=H$2) * (INDEX('Master Data Sheet'!$1:$1, , MATCH($F$1, 'Master Data Sheet'!$1:$1, 0)) = $F$1) * ('Master Data Sheet'!$G:$G=$B3) * ('Master Data Sheet'!$F:$F=$E3) * ('Master Data Sheet'!$A:$A=$F3), 0), MATCH($F$1, 'Master Data Sheet'!$1:$1, 0)), "")</f>
        <v>0.38935286935286934</v>
      </c>
      <c r="I3" s="11" cm="1">
        <f t="array" ref="I3">IFERROR(INDEX('Master Data Sheet'!$1:$1048576, MATCH(1, ('Master Data Sheet'!$H:$H=I$2) * (INDEX('Master Data Sheet'!$1:$1, , MATCH($F$1, 'Master Data Sheet'!$1:$1, 0)) = $F$1) * ('Master Data Sheet'!$G:$G=$B3) * ('Master Data Sheet'!$F:$F=$E3) * ('Master Data Sheet'!$A:$A=$F3), 0), MATCH($F$1, 'Master Data Sheet'!$1:$1, 0)), "")</f>
        <v>1.2013186813186811</v>
      </c>
      <c r="J3" s="11" cm="1">
        <f t="array" ref="J3">IFERROR(INDEX('Master Data Sheet'!$1:$1048576, MATCH(1, ('Master Data Sheet'!$H:$H=J$2) * (INDEX('Master Data Sheet'!$1:$1, , MATCH($F$1, 'Master Data Sheet'!$1:$1, 0)) = $F$1) * ('Master Data Sheet'!$G:$G=$B3) * ('Master Data Sheet'!$F:$F=$E3) * ('Master Data Sheet'!$A:$A=$F3), 0), MATCH($F$1, 'Master Data Sheet'!$1:$1, 0)), "")</f>
        <v>1.6164590964590961</v>
      </c>
      <c r="K3" s="11" cm="1">
        <f t="array" ref="K3">IFERROR(INDEX('Master Data Sheet'!$1:$1048576, MATCH(1, ('Master Data Sheet'!$H:$H=K$2) * (INDEX('Master Data Sheet'!$1:$1, , MATCH($F$1, 'Master Data Sheet'!$1:$1, 0)) = $F$1) * ('Master Data Sheet'!$G:$G=$B3) * ('Master Data Sheet'!$F:$F=$E3) * ('Master Data Sheet'!$A:$A=$F3), 0), MATCH($F$1, 'Master Data Sheet'!$1:$1, 0)), "")</f>
        <v>1.6958241758241757</v>
      </c>
      <c r="L3" s="11" cm="1">
        <f t="array" ref="L3">IFERROR(INDEX('Master Data Sheet'!$1:$1048576, MATCH(1, ('Master Data Sheet'!$H:$H=L$2) * (INDEX('Master Data Sheet'!$1:$1, , MATCH($F$1, 'Master Data Sheet'!$1:$1, 0)) = $F$1) * ('Master Data Sheet'!$G:$G=$B3) * ('Master Data Sheet'!$F:$F=$E3) * ('Master Data Sheet'!$A:$A=$F3), 0), MATCH($F$1, 'Master Data Sheet'!$1:$1, 0)), "")</f>
        <v>2.0254945054945055</v>
      </c>
      <c r="M3" s="11" cm="1">
        <f t="array" ref="M3">IFERROR(INDEX('Master Data Sheet'!$1:$1048576, MATCH(1, ('Master Data Sheet'!$H:$H=M$2) * (INDEX('Master Data Sheet'!$1:$1, , MATCH($F$1, 'Master Data Sheet'!$1:$1, 0)) = $F$1) * ('Master Data Sheet'!$G:$G=$B3) * ('Master Data Sheet'!$F:$F=$E3) * ('Master Data Sheet'!$A:$A=$F3), 0), MATCH($F$1, 'Master Data Sheet'!$1:$1, 0)), "")</f>
        <v>2.361269841269841</v>
      </c>
      <c r="N3" s="11" cm="1">
        <f t="array" ref="N3">IFERROR(INDEX('Master Data Sheet'!$1:$1048576, MATCH(1, ('Master Data Sheet'!$H:$H=N$2) * (INDEX('Master Data Sheet'!$1:$1, , MATCH($F$1, 'Master Data Sheet'!$1:$1, 0)) = $F$1) * ('Master Data Sheet'!$G:$G=$B3) * ('Master Data Sheet'!$F:$F=$E3) * ('Master Data Sheet'!$A:$A=$F3), 0), MATCH($F$1, 'Master Data Sheet'!$1:$1, 0)), "")</f>
        <v>2.6421001221001221</v>
      </c>
      <c r="O3" s="11">
        <f>AVERAGE(H3:N3)</f>
        <v>1.7045456131170416</v>
      </c>
      <c r="P3" s="11">
        <f>STDEV(H3:N3)</f>
        <v>0.75322727387978394</v>
      </c>
      <c r="Q3" s="11">
        <f>AVERAGE(O3,O5)</f>
        <v>1.1790790162218734</v>
      </c>
      <c r="S3" s="46">
        <f>AVERAGE(O3:O5)</f>
        <v>1.3030687830687828</v>
      </c>
      <c r="T3" s="46">
        <f>AVERAGE(P3:P5)</f>
        <v>0.57636034286690963</v>
      </c>
      <c r="V3" s="47">
        <f>AVERAGE(U6, U9)</f>
        <v>62.151794616889013</v>
      </c>
      <c r="W3" s="47">
        <f>_xlfn.STDEV.S(U6,U9)</f>
        <v>38.207654205742067</v>
      </c>
      <c r="X3" s="47"/>
      <c r="Y3" s="47"/>
      <c r="AA3" t="s">
        <v>343</v>
      </c>
    </row>
    <row r="4" spans="1:48" x14ac:dyDescent="0.35">
      <c r="A4" s="41">
        <f>IFERROR(INDEX('Date Key'!$B$2:$B$19, MATCH(F4,'Date Key'!$A$2:$A$19, 0)), "")</f>
        <v>45181</v>
      </c>
      <c r="B4" s="4">
        <f t="shared" ref="B4:B11" si="0">INT((ROW(B2)-1)/9)+1</f>
        <v>1</v>
      </c>
      <c r="C4" s="26" t="str">
        <f>IFERROR(INDEX('Date Key'!$G$57:$G$62, MATCH(B4,'Date Key'!$A$57:$A$62, 0)), "")</f>
        <v>Low HLR, Lower Outlet Height, No Plants</v>
      </c>
      <c r="D4" s="4" t="str">
        <f>IFERROR(INDEX('Date Key'!$G$2:$G$19, MATCH(F4, 'Date Key'!$A$2:$A$19, 0)), "")</f>
        <v>No</v>
      </c>
      <c r="E4" s="4" t="str">
        <f t="shared" ref="E4:E56" si="1">CHOOSE(MOD(ROW(G4)-ROW($G$3), 9) + 1, "in", "in", "in", "tank 1", "tank 1", "tank 1", "tank 2", "tank 2", "tank 2")</f>
        <v>in</v>
      </c>
      <c r="F4" s="4">
        <f t="shared" ref="F4:F56" si="2">MOD(ROW(G4)-ROW($G$3), 3) + 1 + 3 * INT((ROW(G4)-ROW($G$3))/9)</f>
        <v>2</v>
      </c>
      <c r="G4" s="4">
        <f t="shared" ref="G4:G15" si="3">MOD(ROW(G4)-ROW($G$3), 3) + 1</f>
        <v>2</v>
      </c>
      <c r="H4" s="11" cm="1">
        <f t="array" ref="H4">IFERROR(INDEX('Master Data Sheet'!$1:$1048576, MATCH(1, ('Master Data Sheet'!$H:$H=H$2) * (INDEX('Master Data Sheet'!$1:$1, , MATCH($F$1, 'Master Data Sheet'!$1:$1, 0)) = $F$1) * ('Master Data Sheet'!$G:$G=$B4) * ('Master Data Sheet'!$F:$F=$E4) * ('Master Data Sheet'!$A:$A=$F4), 0), MATCH($F$1, 'Master Data Sheet'!$1:$1, 0)), "")</f>
        <v>0.27335775335775342</v>
      </c>
      <c r="I4" s="11" cm="1">
        <f t="array" ref="I4">IFERROR(INDEX('Master Data Sheet'!$1:$1048576, MATCH(1, ('Master Data Sheet'!$H:$H=I$2) * (INDEX('Master Data Sheet'!$1:$1, , MATCH($F$1, 'Master Data Sheet'!$1:$1, 0)) = $F$1) * ('Master Data Sheet'!$G:$G=$B4) * ('Master Data Sheet'!$F:$F=$E4) * ('Master Data Sheet'!$A:$A=$F4), 0), MATCH($F$1, 'Master Data Sheet'!$1:$1, 0)), "")</f>
        <v>0.91438339438339433</v>
      </c>
      <c r="J4" s="11" cm="1">
        <f t="array" ref="J4">IFERROR(INDEX('Master Data Sheet'!$1:$1048576, MATCH(1, ('Master Data Sheet'!$H:$H=J$2) * (INDEX('Master Data Sheet'!$1:$1, , MATCH($F$1, 'Master Data Sheet'!$1:$1, 0)) = $F$1) * ('Master Data Sheet'!$G:$G=$B4) * ('Master Data Sheet'!$F:$F=$E4) * ('Master Data Sheet'!$A:$A=$F4), 0), MATCH($F$1, 'Master Data Sheet'!$1:$1, 0)), "")</f>
        <v>1.2196336996336996</v>
      </c>
      <c r="K4" s="11" cm="1">
        <f t="array" ref="K4">IFERROR(INDEX('Master Data Sheet'!$1:$1048576, MATCH(1, ('Master Data Sheet'!$H:$H=K$2) * (INDEX('Master Data Sheet'!$1:$1, , MATCH($F$1, 'Master Data Sheet'!$1:$1, 0)) = $F$1) * ('Master Data Sheet'!$G:$G=$B4) * ('Master Data Sheet'!$F:$F=$E4) * ('Master Data Sheet'!$A:$A=$F4), 0), MATCH($F$1, 'Master Data Sheet'!$1:$1, 0)), "")</f>
        <v>1.7019291819291817</v>
      </c>
      <c r="L4" s="11" cm="1">
        <f t="array" ref="L4">IFERROR(INDEX('Master Data Sheet'!$1:$1048576, MATCH(1, ('Master Data Sheet'!$H:$H=L$2) * (INDEX('Master Data Sheet'!$1:$1, , MATCH($F$1, 'Master Data Sheet'!$1:$1, 0)) = $F$1) * ('Master Data Sheet'!$G:$G=$B4) * ('Master Data Sheet'!$F:$F=$E4) * ('Master Data Sheet'!$A:$A=$F4), 0), MATCH($F$1, 'Master Data Sheet'!$1:$1, 0)), "")</f>
        <v>1.9522344322344323</v>
      </c>
      <c r="M4" s="11" cm="1">
        <f t="array" ref="M4">IFERROR(INDEX('Master Data Sheet'!$1:$1048576, MATCH(1, ('Master Data Sheet'!$H:$H=M$2) * (INDEX('Master Data Sheet'!$1:$1, , MATCH($F$1, 'Master Data Sheet'!$1:$1, 0)) = $F$1) * ('Master Data Sheet'!$G:$G=$B4) * ('Master Data Sheet'!$F:$F=$E4) * ('Master Data Sheet'!$A:$A=$F4), 0), MATCH($F$1, 'Master Data Sheet'!$1:$1, 0)), "")</f>
        <v>2.2941147741147745</v>
      </c>
      <c r="N4" s="11" cm="1">
        <f t="array" ref="N4">IFERROR(INDEX('Master Data Sheet'!$1:$1048576, MATCH(1, ('Master Data Sheet'!$H:$H=N$2) * (INDEX('Master Data Sheet'!$1:$1, , MATCH($F$1, 'Master Data Sheet'!$1:$1, 0)) = $F$1) * ('Master Data Sheet'!$G:$G=$B4) * ('Master Data Sheet'!$F:$F=$E4) * ('Master Data Sheet'!$A:$A=$F4), 0), MATCH($F$1, 'Master Data Sheet'!$1:$1, 0)), "")</f>
        <v>2.5016849816849813</v>
      </c>
      <c r="O4" s="11">
        <f>AVERAGE(H4:N4)</f>
        <v>1.5510483167626024</v>
      </c>
      <c r="P4" s="11">
        <f t="shared" ref="P4:P56" si="4">STDEV(H4:N4)</f>
        <v>0.79448559994355927</v>
      </c>
      <c r="Q4" s="11"/>
      <c r="W4" s="47"/>
      <c r="AA4" t="str">
        <f>IFERROR(INDEX('Date Key'!$G$57:$G$62, MATCH(B3,'Date Key'!$A$57:$A$62, 0)), "")</f>
        <v>Low HLR, Lower Outlet Height, No Plants</v>
      </c>
      <c r="AB4" s="1">
        <f t="shared" ref="AB4:AH4" si="5">H3</f>
        <v>0.38935286935286934</v>
      </c>
      <c r="AC4" s="1">
        <f t="shared" si="5"/>
        <v>1.2013186813186811</v>
      </c>
      <c r="AD4" s="1">
        <f t="shared" si="5"/>
        <v>1.6164590964590961</v>
      </c>
      <c r="AE4" s="1">
        <f t="shared" si="5"/>
        <v>1.6958241758241757</v>
      </c>
      <c r="AF4" s="1">
        <f t="shared" si="5"/>
        <v>2.0254945054945055</v>
      </c>
      <c r="AG4" s="1">
        <f t="shared" si="5"/>
        <v>2.361269841269841</v>
      </c>
      <c r="AH4" s="1">
        <f t="shared" si="5"/>
        <v>2.6421001221001221</v>
      </c>
      <c r="AI4" s="1">
        <f t="shared" ref="AI4:AO4" si="6">H4</f>
        <v>0.27335775335775342</v>
      </c>
      <c r="AJ4" s="1">
        <f t="shared" si="6"/>
        <v>0.91438339438339433</v>
      </c>
      <c r="AK4" s="1">
        <f t="shared" si="6"/>
        <v>1.2196336996336996</v>
      </c>
      <c r="AL4" s="1">
        <f t="shared" si="6"/>
        <v>1.7019291819291817</v>
      </c>
      <c r="AM4" s="1">
        <f t="shared" si="6"/>
        <v>1.9522344322344323</v>
      </c>
      <c r="AN4" s="1">
        <f t="shared" si="6"/>
        <v>2.2941147741147745</v>
      </c>
      <c r="AO4" s="1">
        <f t="shared" si="6"/>
        <v>2.5016849816849813</v>
      </c>
      <c r="AP4" s="1">
        <f t="shared" ref="AP4:AV4" si="7">H5</f>
        <v>0.25504273504273506</v>
      </c>
      <c r="AQ4" s="1">
        <f t="shared" si="7"/>
        <v>0.69460317460317456</v>
      </c>
      <c r="AR4" s="1">
        <f t="shared" si="7"/>
        <v>0.6823931623931625</v>
      </c>
      <c r="AS4" s="1">
        <f t="shared" si="7"/>
        <v>0.67628815628815642</v>
      </c>
      <c r="AT4" s="1">
        <f t="shared" si="7"/>
        <v>0.71291819291819292</v>
      </c>
      <c r="AU4" s="1">
        <f t="shared" si="7"/>
        <v>0.8044932844932845</v>
      </c>
      <c r="AV4" s="1">
        <f t="shared" si="7"/>
        <v>0.74954822954822953</v>
      </c>
    </row>
    <row r="5" spans="1:48" x14ac:dyDescent="0.35">
      <c r="A5" s="41">
        <f>IFERROR(INDEX('Date Key'!$B$2:$B$19, MATCH(F5,'Date Key'!$A$2:$A$19, 0)), "")</f>
        <v>45195</v>
      </c>
      <c r="B5" s="4">
        <f t="shared" si="0"/>
        <v>1</v>
      </c>
      <c r="C5" s="26" t="str">
        <f>IFERROR(INDEX('Date Key'!$G$57:$G$62, MATCH(B5,'Date Key'!$A$57:$A$62, 0)), "")</f>
        <v>Low HLR, Lower Outlet Height, No Plants</v>
      </c>
      <c r="D5" s="4" t="str">
        <f>IFERROR(INDEX('Date Key'!$G$2:$G$19, MATCH(F5, 'Date Key'!$A$2:$A$19, 0)), "")</f>
        <v>No</v>
      </c>
      <c r="E5" s="4" t="str">
        <f t="shared" si="1"/>
        <v>in</v>
      </c>
      <c r="F5" s="4">
        <f t="shared" si="2"/>
        <v>3</v>
      </c>
      <c r="G5" s="4">
        <f t="shared" si="3"/>
        <v>3</v>
      </c>
      <c r="H5" s="11" cm="1">
        <f t="array" ref="H5">IFERROR(INDEX('Master Data Sheet'!$1:$1048576, MATCH(1, ('Master Data Sheet'!$H:$H=H$2) * (INDEX('Master Data Sheet'!$1:$1, , MATCH($F$1, 'Master Data Sheet'!$1:$1, 0)) = $F$1) * ('Master Data Sheet'!$G:$G=$B5) * ('Master Data Sheet'!$F:$F=$E5) * ('Master Data Sheet'!$A:$A=$F5), 0), MATCH($F$1, 'Master Data Sheet'!$1:$1, 0)), "")</f>
        <v>0.25504273504273506</v>
      </c>
      <c r="I5" s="11" cm="1">
        <f t="array" ref="I5">IFERROR(INDEX('Master Data Sheet'!$1:$1048576, MATCH(1, ('Master Data Sheet'!$H:$H=I$2) * (INDEX('Master Data Sheet'!$1:$1, , MATCH($F$1, 'Master Data Sheet'!$1:$1, 0)) = $F$1) * ('Master Data Sheet'!$G:$G=$B5) * ('Master Data Sheet'!$F:$F=$E5) * ('Master Data Sheet'!$A:$A=$F5), 0), MATCH($F$1, 'Master Data Sheet'!$1:$1, 0)), "")</f>
        <v>0.69460317460317456</v>
      </c>
      <c r="J5" s="11" cm="1">
        <f t="array" ref="J5">IFERROR(INDEX('Master Data Sheet'!$1:$1048576, MATCH(1, ('Master Data Sheet'!$H:$H=J$2) * (INDEX('Master Data Sheet'!$1:$1, , MATCH($F$1, 'Master Data Sheet'!$1:$1, 0)) = $F$1) * ('Master Data Sheet'!$G:$G=$B5) * ('Master Data Sheet'!$F:$F=$E5) * ('Master Data Sheet'!$A:$A=$F5), 0), MATCH($F$1, 'Master Data Sheet'!$1:$1, 0)), "")</f>
        <v>0.6823931623931625</v>
      </c>
      <c r="K5" s="11" cm="1">
        <f t="array" ref="K5">IFERROR(INDEX('Master Data Sheet'!$1:$1048576, MATCH(1, ('Master Data Sheet'!$H:$H=K$2) * (INDEX('Master Data Sheet'!$1:$1, , MATCH($F$1, 'Master Data Sheet'!$1:$1, 0)) = $F$1) * ('Master Data Sheet'!$G:$G=$B5) * ('Master Data Sheet'!$F:$F=$E5) * ('Master Data Sheet'!$A:$A=$F5), 0), MATCH($F$1, 'Master Data Sheet'!$1:$1, 0)), "")</f>
        <v>0.67628815628815642</v>
      </c>
      <c r="L5" s="11" cm="1">
        <f t="array" ref="L5">IFERROR(INDEX('Master Data Sheet'!$1:$1048576, MATCH(1, ('Master Data Sheet'!$H:$H=L$2) * (INDEX('Master Data Sheet'!$1:$1, , MATCH($F$1, 'Master Data Sheet'!$1:$1, 0)) = $F$1) * ('Master Data Sheet'!$G:$G=$B5) * ('Master Data Sheet'!$F:$F=$E5) * ('Master Data Sheet'!$A:$A=$F5), 0), MATCH($F$1, 'Master Data Sheet'!$1:$1, 0)), "")</f>
        <v>0.71291819291819292</v>
      </c>
      <c r="M5" s="11" cm="1">
        <f t="array" ref="M5">IFERROR(INDEX('Master Data Sheet'!$1:$1048576, MATCH(1, ('Master Data Sheet'!$H:$H=M$2) * (INDEX('Master Data Sheet'!$1:$1, , MATCH($F$1, 'Master Data Sheet'!$1:$1, 0)) = $F$1) * ('Master Data Sheet'!$G:$G=$B5) * ('Master Data Sheet'!$F:$F=$E5) * ('Master Data Sheet'!$A:$A=$F5), 0), MATCH($F$1, 'Master Data Sheet'!$1:$1, 0)), "")</f>
        <v>0.8044932844932845</v>
      </c>
      <c r="N5" s="11" cm="1">
        <f t="array" ref="N5">IFERROR(INDEX('Master Data Sheet'!$1:$1048576, MATCH(1, ('Master Data Sheet'!$H:$H=N$2) * (INDEX('Master Data Sheet'!$1:$1, , MATCH($F$1, 'Master Data Sheet'!$1:$1, 0)) = $F$1) * ('Master Data Sheet'!$G:$G=$B5) * ('Master Data Sheet'!$F:$F=$E5) * ('Master Data Sheet'!$A:$A=$F5), 0), MATCH($F$1, 'Master Data Sheet'!$1:$1, 0)), "")</f>
        <v>0.74954822954822953</v>
      </c>
      <c r="O5" s="11">
        <f>AVERAGE(H5:N5)</f>
        <v>0.653612419326705</v>
      </c>
      <c r="P5" s="11">
        <f t="shared" si="4"/>
        <v>0.1813681547773858</v>
      </c>
      <c r="Q5" s="11"/>
      <c r="AB5" s="1"/>
      <c r="AC5" s="1"/>
      <c r="AD5" s="1"/>
      <c r="AE5" s="1"/>
      <c r="AF5" s="1"/>
      <c r="AG5" s="1"/>
      <c r="AH5" s="1"/>
      <c r="AI5" s="1"/>
      <c r="AJ5" s="1"/>
      <c r="AK5" s="1"/>
      <c r="AL5" s="1"/>
      <c r="AM5" s="1"/>
      <c r="AN5" s="1"/>
      <c r="AO5" s="1"/>
      <c r="AP5" s="1"/>
      <c r="AQ5" s="1"/>
      <c r="AR5" s="1"/>
      <c r="AS5" s="1"/>
      <c r="AT5" s="1"/>
      <c r="AU5" s="1"/>
      <c r="AV5" s="1"/>
    </row>
    <row r="6" spans="1:48" x14ac:dyDescent="0.35">
      <c r="A6" s="41">
        <f>IFERROR(INDEX('Date Key'!$B$2:$B$19, MATCH(F6,'Date Key'!$A$2:$A$19, 0)), "")</f>
        <v>45175</v>
      </c>
      <c r="B6" s="4">
        <f t="shared" si="0"/>
        <v>1</v>
      </c>
      <c r="C6" s="26" t="str">
        <f>IFERROR(INDEX('Date Key'!$G$57:$G$62, MATCH(B6,'Date Key'!$A$57:$A$62, 0)), "")</f>
        <v>Low HLR, Lower Outlet Height, No Plants</v>
      </c>
      <c r="D6" s="4" t="str">
        <f>IFERROR(INDEX('Date Key'!$G$2:$G$19, MATCH(F6, 'Date Key'!$A$2:$A$19, 0)), "")</f>
        <v>No</v>
      </c>
      <c r="E6" s="4" t="str">
        <f t="shared" si="1"/>
        <v>tank 1</v>
      </c>
      <c r="F6" s="4">
        <f t="shared" si="2"/>
        <v>1</v>
      </c>
      <c r="G6" s="4">
        <f t="shared" si="3"/>
        <v>1</v>
      </c>
      <c r="H6" s="11" cm="1">
        <f t="array" ref="H6">IFERROR(INDEX('Master Data Sheet'!$1:$1048576, MATCH(1, ('Master Data Sheet'!$H:$H=H$2) * (INDEX('Master Data Sheet'!$1:$1, , MATCH($F$1, 'Master Data Sheet'!$1:$1, 0)) = $F$1) * ('Master Data Sheet'!$G:$G=$B6) * ('Master Data Sheet'!$F:$F=$E6) * ('Master Data Sheet'!$A:$A=$F6), 0), MATCH($F$1, 'Master Data Sheet'!$1:$1, 0)), "")</f>
        <v>1.0842490842490836E-2</v>
      </c>
      <c r="I6" s="11" cm="1">
        <f t="array" ref="I6">IFERROR(INDEX('Master Data Sheet'!$1:$1048576, MATCH(1, ('Master Data Sheet'!$H:$H=I$2) * (INDEX('Master Data Sheet'!$1:$1, , MATCH($F$1, 'Master Data Sheet'!$1:$1, 0)) = $F$1) * ('Master Data Sheet'!$G:$G=$B6) * ('Master Data Sheet'!$F:$F=$E6) * ('Master Data Sheet'!$A:$A=$F6), 0), MATCH($F$1, 'Master Data Sheet'!$1:$1, 0)), "")</f>
        <v>4.7374847374847245E-3</v>
      </c>
      <c r="J6" s="11" cm="1">
        <f t="array" ref="J6">IFERROR(INDEX('Master Data Sheet'!$1:$1048576, MATCH(1, ('Master Data Sheet'!$H:$H=J$2) * (INDEX('Master Data Sheet'!$1:$1, , MATCH($F$1, 'Master Data Sheet'!$1:$1, 0)) = $F$1) * ('Master Data Sheet'!$G:$G=$B6) * ('Master Data Sheet'!$F:$F=$E6) * ('Master Data Sheet'!$A:$A=$F6), 0), MATCH($F$1, 'Master Data Sheet'!$1:$1, 0)), "")</f>
        <v>4.7374847374847245E-3</v>
      </c>
      <c r="K6" s="11" cm="1">
        <f t="array" ref="K6">IFERROR(INDEX('Master Data Sheet'!$1:$1048576, MATCH(1, ('Master Data Sheet'!$H:$H=K$2) * (INDEX('Master Data Sheet'!$1:$1, , MATCH($F$1, 'Master Data Sheet'!$1:$1, 0)) = $F$1) * ('Master Data Sheet'!$G:$G=$B6) * ('Master Data Sheet'!$F:$F=$E6) * ('Master Data Sheet'!$A:$A=$F6), 0), MATCH($F$1, 'Master Data Sheet'!$1:$1, 0)), "")</f>
        <v>2.3052503052503056E-2</v>
      </c>
      <c r="L6" s="11" cm="1">
        <f t="array" ref="L6">IFERROR(INDEX('Master Data Sheet'!$1:$1048576, MATCH(1, ('Master Data Sheet'!$H:$H=L$2) * (INDEX('Master Data Sheet'!$1:$1, , MATCH($F$1, 'Master Data Sheet'!$1:$1, 0)) = $F$1) * ('Master Data Sheet'!$G:$G=$B6) * ('Master Data Sheet'!$F:$F=$E6) * ('Master Data Sheet'!$A:$A=$F6), 0), MATCH($F$1, 'Master Data Sheet'!$1:$1, 0)), "")</f>
        <v>2.3052503052503056E-2</v>
      </c>
      <c r="M6" s="11" cm="1">
        <f t="array" ref="M6">IFERROR(INDEX('Master Data Sheet'!$1:$1048576, MATCH(1, ('Master Data Sheet'!$H:$H=M$2) * (INDEX('Master Data Sheet'!$1:$1, , MATCH($F$1, 'Master Data Sheet'!$1:$1, 0)) = $F$1) * ('Master Data Sheet'!$G:$G=$B6) * ('Master Data Sheet'!$F:$F=$E6) * ('Master Data Sheet'!$A:$A=$F6), 0), MATCH($F$1, 'Master Data Sheet'!$1:$1, 0)), "")</f>
        <v>5.9682539682539712E-2</v>
      </c>
      <c r="N6" s="11" cm="1">
        <f t="array" ref="N6">IFERROR(INDEX('Master Data Sheet'!$1:$1048576, MATCH(1, ('Master Data Sheet'!$H:$H=N$2) * (INDEX('Master Data Sheet'!$1:$1, , MATCH($F$1, 'Master Data Sheet'!$1:$1, 0)) = $F$1) * ('Master Data Sheet'!$G:$G=$B6) * ('Master Data Sheet'!$F:$F=$E6) * ('Master Data Sheet'!$A:$A=$F6), 0), MATCH($F$1, 'Master Data Sheet'!$1:$1, 0)), "")</f>
        <v>0.20009768009768009</v>
      </c>
      <c r="O6" s="11">
        <f>AVERAGE(H6:N6)</f>
        <v>4.6600383743240888E-2</v>
      </c>
      <c r="P6" s="11">
        <f t="shared" si="4"/>
        <v>7.0267583437915976E-2</v>
      </c>
      <c r="Q6" s="11">
        <f>AVERAGE(O6,O8)</f>
        <v>0.12770975056689343</v>
      </c>
      <c r="R6" s="46">
        <f>(1-(O6/O3))*100</f>
        <v>97.266111074726567</v>
      </c>
      <c r="S6" s="46">
        <f>AVERAGE(R6:R8)</f>
        <v>82.658824386304872</v>
      </c>
      <c r="T6" s="46">
        <f>STDEV(R6:R8)</f>
        <v>20.657822944237957</v>
      </c>
      <c r="U6" s="47">
        <f>(1-(AVERAGE(H6:N6,H8:N8)/AVERAGE(H3:N3,H5:N5)))*100</f>
        <v>89.168685998999948</v>
      </c>
      <c r="V6" s="47"/>
      <c r="X6" s="47">
        <f>(O3-O6)/70.1</f>
        <v>2.3651144498912993E-2</v>
      </c>
      <c r="Y6" s="47">
        <f>O3/70.1</f>
        <v>2.4315914595107586E-2</v>
      </c>
      <c r="Z6" s="14"/>
      <c r="AB6" s="2"/>
      <c r="AC6" s="2"/>
      <c r="AD6" s="2"/>
      <c r="AE6" s="2"/>
      <c r="AF6" s="2"/>
      <c r="AG6" s="2"/>
      <c r="AH6" s="2"/>
      <c r="AI6" s="2"/>
      <c r="AJ6" s="2"/>
    </row>
    <row r="7" spans="1:48" x14ac:dyDescent="0.35">
      <c r="A7" s="41">
        <f>IFERROR(INDEX('Date Key'!$B$2:$B$19, MATCH(F7,'Date Key'!$A$2:$A$19, 0)), "")</f>
        <v>45181</v>
      </c>
      <c r="B7" s="4">
        <f t="shared" si="0"/>
        <v>1</v>
      </c>
      <c r="C7" s="26" t="str">
        <f>IFERROR(INDEX('Date Key'!$G$57:$G$62, MATCH(B7,'Date Key'!$A$57:$A$62, 0)), "")</f>
        <v>Low HLR, Lower Outlet Height, No Plants</v>
      </c>
      <c r="D7" s="4" t="str">
        <f>IFERROR(INDEX('Date Key'!$G$2:$G$19, MATCH(F7, 'Date Key'!$A$2:$A$19, 0)), "")</f>
        <v>No</v>
      </c>
      <c r="E7" s="4" t="str">
        <f t="shared" si="1"/>
        <v>tank 1</v>
      </c>
      <c r="F7" s="4">
        <f t="shared" si="2"/>
        <v>2</v>
      </c>
      <c r="G7" s="4">
        <f t="shared" si="3"/>
        <v>2</v>
      </c>
      <c r="H7" s="11" cm="1">
        <f t="array" ref="H7">IFERROR(INDEX('Master Data Sheet'!$1:$1048576, MATCH(1, ('Master Data Sheet'!$H:$H=H$2) * (INDEX('Master Data Sheet'!$1:$1, , MATCH($F$1, 'Master Data Sheet'!$1:$1, 0)) = $F$1) * ('Master Data Sheet'!$G:$G=$B7) * ('Master Data Sheet'!$F:$F=$E7) * ('Master Data Sheet'!$A:$A=$F7), 0), MATCH($F$1, 'Master Data Sheet'!$1:$1, 0)), "")</f>
        <v>0.40156288156288156</v>
      </c>
      <c r="I7" s="11" cm="1">
        <f t="array" ref="I7">IFERROR(INDEX('Master Data Sheet'!$1:$1048576, MATCH(1, ('Master Data Sheet'!$H:$H=I$2) * (INDEX('Master Data Sheet'!$1:$1, , MATCH($F$1, 'Master Data Sheet'!$1:$1, 0)) = $F$1) * ('Master Data Sheet'!$G:$G=$B7) * ('Master Data Sheet'!$F:$F=$E7) * ('Master Data Sheet'!$A:$A=$F7), 0), MATCH($F$1, 'Master Data Sheet'!$1:$1, 0)), "")</f>
        <v>0.38935286935286934</v>
      </c>
      <c r="J7" s="11" cm="1">
        <f t="array" ref="J7">IFERROR(INDEX('Master Data Sheet'!$1:$1048576, MATCH(1, ('Master Data Sheet'!$H:$H=J$2) * (INDEX('Master Data Sheet'!$1:$1, , MATCH($F$1, 'Master Data Sheet'!$1:$1, 0)) = $F$1) * ('Master Data Sheet'!$G:$G=$B7) * ('Master Data Sheet'!$F:$F=$E7) * ('Master Data Sheet'!$A:$A=$F7), 0), MATCH($F$1, 'Master Data Sheet'!$1:$1, 0)), "")</f>
        <v>0.35272283272283267</v>
      </c>
      <c r="K7" s="11" cm="1">
        <f t="array" ref="K7">IFERROR(INDEX('Master Data Sheet'!$1:$1048576, MATCH(1, ('Master Data Sheet'!$H:$H=K$2) * (INDEX('Master Data Sheet'!$1:$1, , MATCH($F$1, 'Master Data Sheet'!$1:$1, 0)) = $F$1) * ('Master Data Sheet'!$G:$G=$B7) * ('Master Data Sheet'!$F:$F=$E7) * ('Master Data Sheet'!$A:$A=$F7), 0), MATCH($F$1, 'Master Data Sheet'!$1:$1, 0)), "")</f>
        <v>0.34661782661782659</v>
      </c>
      <c r="L7" s="11" cm="1">
        <f t="array" ref="L7">IFERROR(INDEX('Master Data Sheet'!$1:$1048576, MATCH(1, ('Master Data Sheet'!$H:$H=L$2) * (INDEX('Master Data Sheet'!$1:$1, , MATCH($F$1, 'Master Data Sheet'!$1:$1, 0)) = $F$1) * ('Master Data Sheet'!$G:$G=$B7) * ('Master Data Sheet'!$F:$F=$E7) * ('Master Data Sheet'!$A:$A=$F7), 0), MATCH($F$1, 'Master Data Sheet'!$1:$1, 0)), "")</f>
        <v>0.38324786324786325</v>
      </c>
      <c r="M7" s="11" cm="1">
        <f t="array" ref="M7">IFERROR(INDEX('Master Data Sheet'!$1:$1048576, MATCH(1, ('Master Data Sheet'!$H:$H=M$2) * (INDEX('Master Data Sheet'!$1:$1, , MATCH($F$1, 'Master Data Sheet'!$1:$1, 0)) = $F$1) * ('Master Data Sheet'!$G:$G=$B7) * ('Master Data Sheet'!$F:$F=$E7) * ('Master Data Sheet'!$A:$A=$F7), 0), MATCH($F$1, 'Master Data Sheet'!$1:$1, 0)), "")</f>
        <v>0.38935286935286934</v>
      </c>
      <c r="N7" s="11" cm="1">
        <f t="array" ref="N7">IFERROR(INDEX('Master Data Sheet'!$1:$1048576, MATCH(1, ('Master Data Sheet'!$H:$H=N$2) * (INDEX('Master Data Sheet'!$1:$1, , MATCH($F$1, 'Master Data Sheet'!$1:$1, 0)) = $F$1) * ('Master Data Sheet'!$G:$G=$B7) * ('Master Data Sheet'!$F:$F=$E7) * ('Master Data Sheet'!$A:$A=$F7), 0), MATCH($F$1, 'Master Data Sheet'!$1:$1, 0)), "")</f>
        <v>0.45040293040293045</v>
      </c>
      <c r="O7" s="11">
        <f t="shared" ref="O7:O56" si="8">AVERAGE(H7:N7)</f>
        <v>0.3876085818942962</v>
      </c>
      <c r="P7" s="11">
        <f t="shared" si="4"/>
        <v>3.4303088155062188E-2</v>
      </c>
      <c r="Q7" s="11"/>
      <c r="R7" s="46"/>
      <c r="X7" s="47">
        <f>(O4-O7)/70.1</f>
        <v>1.6596857844055724E-2</v>
      </c>
      <c r="Y7" s="47">
        <f>O4/70.1</f>
        <v>2.212622420488734E-2</v>
      </c>
      <c r="AA7" t="str">
        <f>IFERROR(INDEX('Date Key'!$G$57:$G$62, MATCH(B6,'Date Key'!$A$57:$A$62, 0)), "")</f>
        <v>Low HLR, Lower Outlet Height, No Plants</v>
      </c>
      <c r="AB7" s="1">
        <f t="shared" ref="AB7:AH7" si="9">H6</f>
        <v>1.0842490842490836E-2</v>
      </c>
      <c r="AC7" s="1">
        <f t="shared" si="9"/>
        <v>4.7374847374847245E-3</v>
      </c>
      <c r="AD7" s="1">
        <f t="shared" si="9"/>
        <v>4.7374847374847245E-3</v>
      </c>
      <c r="AE7" s="1">
        <f t="shared" si="9"/>
        <v>2.3052503052503056E-2</v>
      </c>
      <c r="AF7" s="1">
        <f t="shared" si="9"/>
        <v>2.3052503052503056E-2</v>
      </c>
      <c r="AG7" s="1">
        <f t="shared" si="9"/>
        <v>5.9682539682539712E-2</v>
      </c>
      <c r="AH7" s="1">
        <f t="shared" si="9"/>
        <v>0.20009768009768009</v>
      </c>
      <c r="AI7" s="1">
        <f t="shared" ref="AI7:AO7" si="10">H7</f>
        <v>0.40156288156288156</v>
      </c>
      <c r="AJ7" s="1">
        <f t="shared" si="10"/>
        <v>0.38935286935286934</v>
      </c>
      <c r="AK7" s="1">
        <f t="shared" si="10"/>
        <v>0.35272283272283267</v>
      </c>
      <c r="AL7" s="1">
        <f t="shared" si="10"/>
        <v>0.34661782661782659</v>
      </c>
      <c r="AM7" s="1">
        <f t="shared" si="10"/>
        <v>0.38324786324786325</v>
      </c>
      <c r="AN7" s="1">
        <f t="shared" si="10"/>
        <v>0.38935286935286934</v>
      </c>
      <c r="AO7" s="1">
        <f t="shared" si="10"/>
        <v>0.45040293040293045</v>
      </c>
      <c r="AP7" s="1">
        <f t="shared" ref="AP7:AV7" si="11">H8</f>
        <v>0.29777777777777786</v>
      </c>
      <c r="AQ7" s="1">
        <f t="shared" si="11"/>
        <v>0.15736263736263739</v>
      </c>
      <c r="AR7" s="1">
        <f t="shared" si="11"/>
        <v>0.19399267399267398</v>
      </c>
      <c r="AS7" s="1">
        <f t="shared" si="11"/>
        <v>0.18178266178266175</v>
      </c>
      <c r="AT7" s="1">
        <f t="shared" si="11"/>
        <v>0.2062026862026862</v>
      </c>
      <c r="AU7" s="1">
        <f t="shared" si="11"/>
        <v>0.20009768009768009</v>
      </c>
      <c r="AV7" s="1">
        <f t="shared" si="11"/>
        <v>0.22451770451770453</v>
      </c>
    </row>
    <row r="8" spans="1:48" x14ac:dyDescent="0.35">
      <c r="A8" s="41">
        <f>IFERROR(INDEX('Date Key'!$B$2:$B$19, MATCH(F8,'Date Key'!$A$2:$A$19, 0)), "")</f>
        <v>45195</v>
      </c>
      <c r="B8" s="4">
        <f t="shared" si="0"/>
        <v>1</v>
      </c>
      <c r="C8" s="26" t="str">
        <f>IFERROR(INDEX('Date Key'!$G$57:$G$62, MATCH(B8,'Date Key'!$A$57:$A$62, 0)), "")</f>
        <v>Low HLR, Lower Outlet Height, No Plants</v>
      </c>
      <c r="D8" s="4" t="str">
        <f>IFERROR(INDEX('Date Key'!$G$2:$G$19, MATCH(F8, 'Date Key'!$A$2:$A$19, 0)), "")</f>
        <v>No</v>
      </c>
      <c r="E8" s="4" t="str">
        <f t="shared" si="1"/>
        <v>tank 1</v>
      </c>
      <c r="F8" s="4">
        <f t="shared" si="2"/>
        <v>3</v>
      </c>
      <c r="G8" s="4">
        <f t="shared" si="3"/>
        <v>3</v>
      </c>
      <c r="H8" s="11" cm="1">
        <f t="array" ref="H8">IFERROR(INDEX('Master Data Sheet'!$1:$1048576, MATCH(1, ('Master Data Sheet'!$H:$H=H$2) * (INDEX('Master Data Sheet'!$1:$1, , MATCH($F$1, 'Master Data Sheet'!$1:$1, 0)) = $F$1) * ('Master Data Sheet'!$G:$G=$B8) * ('Master Data Sheet'!$F:$F=$E8) * ('Master Data Sheet'!$A:$A=$F8), 0), MATCH($F$1, 'Master Data Sheet'!$1:$1, 0)), "")</f>
        <v>0.29777777777777786</v>
      </c>
      <c r="I8" s="11" cm="1">
        <f t="array" ref="I8">IFERROR(INDEX('Master Data Sheet'!$1:$1048576, MATCH(1, ('Master Data Sheet'!$H:$H=I$2) * (INDEX('Master Data Sheet'!$1:$1, , MATCH($F$1, 'Master Data Sheet'!$1:$1, 0)) = $F$1) * ('Master Data Sheet'!$G:$G=$B8) * ('Master Data Sheet'!$F:$F=$E8) * ('Master Data Sheet'!$A:$A=$F8), 0), MATCH($F$1, 'Master Data Sheet'!$1:$1, 0)), "")</f>
        <v>0.15736263736263739</v>
      </c>
      <c r="J8" s="11" cm="1">
        <f t="array" ref="J8">IFERROR(INDEX('Master Data Sheet'!$1:$1048576, MATCH(1, ('Master Data Sheet'!$H:$H=J$2) * (INDEX('Master Data Sheet'!$1:$1, , MATCH($F$1, 'Master Data Sheet'!$1:$1, 0)) = $F$1) * ('Master Data Sheet'!$G:$G=$B8) * ('Master Data Sheet'!$F:$F=$E8) * ('Master Data Sheet'!$A:$A=$F8), 0), MATCH($F$1, 'Master Data Sheet'!$1:$1, 0)), "")</f>
        <v>0.19399267399267398</v>
      </c>
      <c r="K8" s="11" cm="1">
        <f t="array" ref="K8">IFERROR(INDEX('Master Data Sheet'!$1:$1048576, MATCH(1, ('Master Data Sheet'!$H:$H=K$2) * (INDEX('Master Data Sheet'!$1:$1, , MATCH($F$1, 'Master Data Sheet'!$1:$1, 0)) = $F$1) * ('Master Data Sheet'!$G:$G=$B8) * ('Master Data Sheet'!$F:$F=$E8) * ('Master Data Sheet'!$A:$A=$F8), 0), MATCH($F$1, 'Master Data Sheet'!$1:$1, 0)), "")</f>
        <v>0.18178266178266175</v>
      </c>
      <c r="L8" s="11" cm="1">
        <f t="array" ref="L8">IFERROR(INDEX('Master Data Sheet'!$1:$1048576, MATCH(1, ('Master Data Sheet'!$H:$H=L$2) * (INDEX('Master Data Sheet'!$1:$1, , MATCH($F$1, 'Master Data Sheet'!$1:$1, 0)) = $F$1) * ('Master Data Sheet'!$G:$G=$B8) * ('Master Data Sheet'!$F:$F=$E8) * ('Master Data Sheet'!$A:$A=$F8), 0), MATCH($F$1, 'Master Data Sheet'!$1:$1, 0)), "")</f>
        <v>0.2062026862026862</v>
      </c>
      <c r="M8" s="11" cm="1">
        <f t="array" ref="M8">IFERROR(INDEX('Master Data Sheet'!$1:$1048576, MATCH(1, ('Master Data Sheet'!$H:$H=M$2) * (INDEX('Master Data Sheet'!$1:$1, , MATCH($F$1, 'Master Data Sheet'!$1:$1, 0)) = $F$1) * ('Master Data Sheet'!$G:$G=$B8) * ('Master Data Sheet'!$F:$F=$E8) * ('Master Data Sheet'!$A:$A=$F8), 0), MATCH($F$1, 'Master Data Sheet'!$1:$1, 0)), "")</f>
        <v>0.20009768009768009</v>
      </c>
      <c r="N8" s="11" cm="1">
        <f t="array" ref="N8">IFERROR(INDEX('Master Data Sheet'!$1:$1048576, MATCH(1, ('Master Data Sheet'!$H:$H=N$2) * (INDEX('Master Data Sheet'!$1:$1, , MATCH($F$1, 'Master Data Sheet'!$1:$1, 0)) = $F$1) * ('Master Data Sheet'!$G:$G=$B8) * ('Master Data Sheet'!$F:$F=$E8) * ('Master Data Sheet'!$A:$A=$F8), 0), MATCH($F$1, 'Master Data Sheet'!$1:$1, 0)), "")</f>
        <v>0.22451770451770453</v>
      </c>
      <c r="O8" s="11">
        <f t="shared" si="8"/>
        <v>0.20881911739054598</v>
      </c>
      <c r="P8" s="11">
        <f t="shared" si="4"/>
        <v>4.44251444732673E-2</v>
      </c>
      <c r="Q8" s="11"/>
      <c r="R8" s="46">
        <f>(1-(O8/O5))*100</f>
        <v>68.051537697883191</v>
      </c>
      <c r="X8" s="47">
        <f>(O5-O8)/70.1</f>
        <v>6.3451255625700288E-3</v>
      </c>
      <c r="Y8" s="47">
        <f>O5/70.1</f>
        <v>9.3240002757019273E-3</v>
      </c>
      <c r="AB8" s="2"/>
      <c r="AC8" s="2"/>
      <c r="AD8" s="2"/>
      <c r="AE8" s="2"/>
      <c r="AF8" s="2"/>
      <c r="AG8" s="2"/>
      <c r="AH8" s="2"/>
      <c r="AI8" s="2"/>
      <c r="AJ8" s="2"/>
    </row>
    <row r="9" spans="1:48" x14ac:dyDescent="0.35">
      <c r="A9" s="41">
        <f>IFERROR(INDEX('Date Key'!$B$2:$B$19, MATCH(F9,'Date Key'!$A$2:$A$19, 0)), "")</f>
        <v>45175</v>
      </c>
      <c r="B9" s="4">
        <f t="shared" si="0"/>
        <v>1</v>
      </c>
      <c r="C9" s="26" t="str">
        <f>IFERROR(INDEX('Date Key'!$G$57:$G$62, MATCH(B9,'Date Key'!$A$57:$A$62, 0)), "")</f>
        <v>Low HLR, Lower Outlet Height, No Plants</v>
      </c>
      <c r="D9" s="4" t="str">
        <f>IFERROR(INDEX('Date Key'!$G$2:$G$19, MATCH(F9, 'Date Key'!$A$2:$A$19, 0)), "")</f>
        <v>No</v>
      </c>
      <c r="E9" s="4" t="str">
        <f t="shared" si="1"/>
        <v>tank 2</v>
      </c>
      <c r="F9" s="4">
        <f t="shared" si="2"/>
        <v>1</v>
      </c>
      <c r="G9" s="4">
        <f t="shared" si="3"/>
        <v>1</v>
      </c>
      <c r="H9" s="11" cm="1">
        <f t="array" ref="H9">IFERROR(INDEX('Master Data Sheet'!$1:$1048576, MATCH(1, ('Master Data Sheet'!$H:$H=H$2) * (INDEX('Master Data Sheet'!$1:$1, , MATCH($F$1, 'Master Data Sheet'!$1:$1, 0)) = $F$1) * ('Master Data Sheet'!$G:$G=$B9) * ('Master Data Sheet'!$F:$F=$E9) * ('Master Data Sheet'!$A:$A=$F9), 0), MATCH($F$1, 'Master Data Sheet'!$1:$1, 0)), "")</f>
        <v>0.82891330891330894</v>
      </c>
      <c r="I9" s="11" cm="1">
        <f t="array" ref="I9">IFERROR(INDEX('Master Data Sheet'!$1:$1048576, MATCH(1, ('Master Data Sheet'!$H:$H=I$2) * (INDEX('Master Data Sheet'!$1:$1, , MATCH($F$1, 'Master Data Sheet'!$1:$1, 0)) = $F$1) * ('Master Data Sheet'!$G:$G=$B9) * ('Master Data Sheet'!$F:$F=$E9) * ('Master Data Sheet'!$A:$A=$F9), 0), MATCH($F$1, 'Master Data Sheet'!$1:$1, 0)), "")</f>
        <v>0.81059829059829058</v>
      </c>
      <c r="J9" s="11" cm="1">
        <f t="array" ref="J9">IFERROR(INDEX('Master Data Sheet'!$1:$1048576, MATCH(1, ('Master Data Sheet'!$H:$H=J$2) * (INDEX('Master Data Sheet'!$1:$1, , MATCH($F$1, 'Master Data Sheet'!$1:$1, 0)) = $F$1) * ('Master Data Sheet'!$G:$G=$B9) * ('Master Data Sheet'!$F:$F=$E9) * ('Master Data Sheet'!$A:$A=$F9), 0), MATCH($F$1, 'Master Data Sheet'!$1:$1, 0)), "")</f>
        <v>0.8838583638583638</v>
      </c>
      <c r="K9" s="11" cm="1">
        <f t="array" ref="K9">IFERROR(INDEX('Master Data Sheet'!$1:$1048576, MATCH(1, ('Master Data Sheet'!$H:$H=K$2) * (INDEX('Master Data Sheet'!$1:$1, , MATCH($F$1, 'Master Data Sheet'!$1:$1, 0)) = $F$1) * ('Master Data Sheet'!$G:$G=$B9) * ('Master Data Sheet'!$F:$F=$E9) * ('Master Data Sheet'!$A:$A=$F9), 0), MATCH($F$1, 'Master Data Sheet'!$1:$1, 0)), "")</f>
        <v>0.73123321123321117</v>
      </c>
      <c r="L9" s="11" cm="1">
        <f t="array" ref="L9">IFERROR(INDEX('Master Data Sheet'!$1:$1048576, MATCH(1, ('Master Data Sheet'!$H:$H=L$2) * (INDEX('Master Data Sheet'!$1:$1, , MATCH($F$1, 'Master Data Sheet'!$1:$1, 0)) = $F$1) * ('Master Data Sheet'!$G:$G=$B9) * ('Master Data Sheet'!$F:$F=$E9) * ('Master Data Sheet'!$A:$A=$F9), 0), MATCH($F$1, 'Master Data Sheet'!$1:$1, 0)), "")</f>
        <v>0.6823931623931625</v>
      </c>
      <c r="M9" s="11" cm="1">
        <f t="array" ref="M9">IFERROR(INDEX('Master Data Sheet'!$1:$1048576, MATCH(1, ('Master Data Sheet'!$H:$H=M$2) * (INDEX('Master Data Sheet'!$1:$1, , MATCH($F$1, 'Master Data Sheet'!$1:$1, 0)) = $F$1) * ('Master Data Sheet'!$G:$G=$B9) * ('Master Data Sheet'!$F:$F=$E9) * ('Master Data Sheet'!$A:$A=$F9), 0), MATCH($F$1, 'Master Data Sheet'!$1:$1, 0)), "")</f>
        <v>0.6823931623931625</v>
      </c>
      <c r="N9" s="11" cm="1">
        <f t="array" ref="N9">IFERROR(INDEX('Master Data Sheet'!$1:$1048576, MATCH(1, ('Master Data Sheet'!$H:$H=N$2) * (INDEX('Master Data Sheet'!$1:$1, , MATCH($F$1, 'Master Data Sheet'!$1:$1, 0)) = $F$1) * ('Master Data Sheet'!$G:$G=$B9) * ('Master Data Sheet'!$F:$F=$E9) * ('Master Data Sheet'!$A:$A=$F9), 0), MATCH($F$1, 'Master Data Sheet'!$1:$1, 0)), "")</f>
        <v>0.74344322344322344</v>
      </c>
      <c r="O9" s="11">
        <f t="shared" si="8"/>
        <v>0.76611896040467464</v>
      </c>
      <c r="P9" s="11">
        <f t="shared" si="4"/>
        <v>7.6958139262042299E-2</v>
      </c>
      <c r="Q9" s="11">
        <f>AVERAGE(N9,N11)</f>
        <v>0.52976800976800975</v>
      </c>
      <c r="R9" s="46">
        <f>(1-(O9/O3))*100</f>
        <v>55.054358504158749</v>
      </c>
      <c r="S9" s="46">
        <f>AVERAGE(R9:R11)</f>
        <v>19.120812830576156</v>
      </c>
      <c r="T9" s="46">
        <f>STDEV(R9:R11)</f>
        <v>50.817707635733555</v>
      </c>
      <c r="U9" s="47">
        <f>(1-(AVERAGE(H9:N9,H11:N11)/AVERAGE(H3:N3,H5:N5)))*100</f>
        <v>35.134903234778079</v>
      </c>
      <c r="V9" s="47"/>
      <c r="W9" s="47"/>
      <c r="X9" s="47">
        <f>(O6-O9)/45.6</f>
        <v>-1.5778916154856003E-2</v>
      </c>
      <c r="Y9" s="47">
        <f>O3/45.6</f>
        <v>3.7380386252566698E-2</v>
      </c>
      <c r="AB9" s="2"/>
      <c r="AC9" s="2"/>
      <c r="AD9" s="2"/>
      <c r="AE9" s="2"/>
      <c r="AF9" s="2"/>
      <c r="AG9" s="2"/>
      <c r="AH9" s="2"/>
      <c r="AI9" s="2"/>
      <c r="AJ9" s="2"/>
    </row>
    <row r="10" spans="1:48" x14ac:dyDescent="0.35">
      <c r="A10" s="41">
        <f>IFERROR(INDEX('Date Key'!$B$2:$B$19, MATCH(F10,'Date Key'!$A$2:$A$19, 0)), "")</f>
        <v>45181</v>
      </c>
      <c r="B10" s="4">
        <f t="shared" si="0"/>
        <v>1</v>
      </c>
      <c r="C10" s="26" t="str">
        <f>IFERROR(INDEX('Date Key'!$G$57:$G$62, MATCH(B10,'Date Key'!$A$57:$A$62, 0)), "")</f>
        <v>Low HLR, Lower Outlet Height, No Plants</v>
      </c>
      <c r="D10" s="4" t="str">
        <f>IFERROR(INDEX('Date Key'!$G$2:$G$19, MATCH(F10, 'Date Key'!$A$2:$A$19, 0)), "")</f>
        <v>No</v>
      </c>
      <c r="E10" s="4" t="str">
        <f t="shared" si="1"/>
        <v>tank 2</v>
      </c>
      <c r="F10" s="4">
        <f t="shared" si="2"/>
        <v>2</v>
      </c>
      <c r="G10" s="4">
        <f t="shared" si="3"/>
        <v>2</v>
      </c>
      <c r="H10" s="11" cm="1">
        <f t="array" ref="H10">IFERROR(INDEX('Master Data Sheet'!$1:$1048576, MATCH(1, ('Master Data Sheet'!$H:$H=H$2) * (INDEX('Master Data Sheet'!$1:$1, , MATCH($F$1, 'Master Data Sheet'!$1:$1, 0)) = $F$1) * ('Master Data Sheet'!$G:$G=$B10) * ('Master Data Sheet'!$F:$F=$E10) * ('Master Data Sheet'!$A:$A=$F10), 0), MATCH($F$1, 'Master Data Sheet'!$1:$1, 0)), "")</f>
        <v>2.2330647130647132</v>
      </c>
      <c r="I10" s="11" cm="1">
        <f t="array" ref="I10">IFERROR(INDEX('Master Data Sheet'!$1:$1048576, MATCH(1, ('Master Data Sheet'!$H:$H=I$2) * (INDEX('Master Data Sheet'!$1:$1, , MATCH($F$1, 'Master Data Sheet'!$1:$1, 0)) = $F$1) * ('Master Data Sheet'!$G:$G=$B10) * ('Master Data Sheet'!$F:$F=$E10) * ('Master Data Sheet'!$A:$A=$F10), 0), MATCH($F$1, 'Master Data Sheet'!$1:$1, 0)), "")</f>
        <v>1.3356288156288156</v>
      </c>
      <c r="J10" s="11" cm="1">
        <f t="array" ref="J10">IFERROR(INDEX('Master Data Sheet'!$1:$1048576, MATCH(1, ('Master Data Sheet'!$H:$H=J$2) * (INDEX('Master Data Sheet'!$1:$1, , MATCH($F$1, 'Master Data Sheet'!$1:$1, 0)) = $F$1) * ('Master Data Sheet'!$G:$G=$B10) * ('Master Data Sheet'!$F:$F=$E10) * ('Master Data Sheet'!$A:$A=$F10), 0), MATCH($F$1, 'Master Data Sheet'!$1:$1, 0)), "")</f>
        <v>1.2684737484737485</v>
      </c>
      <c r="K10" s="11" cm="1">
        <f t="array" ref="K10">IFERROR(INDEX('Master Data Sheet'!$1:$1048576, MATCH(1, ('Master Data Sheet'!$H:$H=K$2) * (INDEX('Master Data Sheet'!$1:$1, , MATCH($F$1, 'Master Data Sheet'!$1:$1, 0)) = $F$1) * ('Master Data Sheet'!$G:$G=$B10) * ('Master Data Sheet'!$F:$F=$E10) * ('Master Data Sheet'!$A:$A=$F10), 0), MATCH($F$1, 'Master Data Sheet'!$1:$1, 0)), "")</f>
        <v>1.3661538461538463</v>
      </c>
      <c r="L10" s="11" cm="1">
        <f t="array" ref="L10">IFERROR(INDEX('Master Data Sheet'!$1:$1048576, MATCH(1, ('Master Data Sheet'!$H:$H=L$2) * (INDEX('Master Data Sheet'!$1:$1, , MATCH($F$1, 'Master Data Sheet'!$1:$1, 0)) = $F$1) * ('Master Data Sheet'!$G:$G=$B10) * ('Master Data Sheet'!$F:$F=$E10) * ('Master Data Sheet'!$A:$A=$F10), 0), MATCH($F$1, 'Master Data Sheet'!$1:$1, 0)), "")</f>
        <v>1.25015873015873</v>
      </c>
      <c r="M10" s="11" cm="1">
        <f t="array" ref="M10">IFERROR(INDEX('Master Data Sheet'!$1:$1048576, MATCH(1, ('Master Data Sheet'!$H:$H=M$2) * (INDEX('Master Data Sheet'!$1:$1, , MATCH($F$1, 'Master Data Sheet'!$1:$1, 0)) = $F$1) * ('Master Data Sheet'!$G:$G=$B10) * ('Master Data Sheet'!$F:$F=$E10) * ('Master Data Sheet'!$A:$A=$F10), 0), MATCH($F$1, 'Master Data Sheet'!$1:$1, 0)), "")</f>
        <v>1.2684737484737485</v>
      </c>
      <c r="N10" s="11" cm="1">
        <f t="array" ref="N10">IFERROR(INDEX('Master Data Sheet'!$1:$1048576, MATCH(1, ('Master Data Sheet'!$H:$H=N$2) * (INDEX('Master Data Sheet'!$1:$1, , MATCH($F$1, 'Master Data Sheet'!$1:$1, 0)) = $F$1) * ('Master Data Sheet'!$G:$G=$B10) * ('Master Data Sheet'!$F:$F=$E10) * ('Master Data Sheet'!$A:$A=$F10), 0), MATCH($F$1, 'Master Data Sheet'!$1:$1, 0)), "")</f>
        <v>1.1036385836385838</v>
      </c>
      <c r="O10" s="11">
        <f t="shared" si="8"/>
        <v>1.4036560265131695</v>
      </c>
      <c r="P10" s="11">
        <f t="shared" si="4"/>
        <v>0.37507183020690593</v>
      </c>
      <c r="Q10" s="11"/>
      <c r="R10" s="46"/>
      <c r="X10" s="47">
        <f>(O7-O10)/45.6</f>
        <v>-2.2281742206554236E-2</v>
      </c>
      <c r="Y10" s="47">
        <f>O4/45.6</f>
        <v>3.4014217472864088E-2</v>
      </c>
      <c r="AA10" t="str">
        <f>IFERROR(INDEX('Date Key'!$G$57:$G$62, MATCH(B9,'Date Key'!$A$57:$A$62, 0)), "")</f>
        <v>Low HLR, Lower Outlet Height, No Plants</v>
      </c>
      <c r="AB10" s="1">
        <f t="shared" ref="AB10:AH10" si="12">H9</f>
        <v>0.82891330891330894</v>
      </c>
      <c r="AC10" s="1">
        <f t="shared" si="12"/>
        <v>0.81059829059829058</v>
      </c>
      <c r="AD10" s="1">
        <f t="shared" si="12"/>
        <v>0.8838583638583638</v>
      </c>
      <c r="AE10" s="1">
        <f t="shared" si="12"/>
        <v>0.73123321123321117</v>
      </c>
      <c r="AF10" s="1">
        <f t="shared" si="12"/>
        <v>0.6823931623931625</v>
      </c>
      <c r="AG10" s="1">
        <f t="shared" si="12"/>
        <v>0.6823931623931625</v>
      </c>
      <c r="AH10" s="1">
        <f t="shared" si="12"/>
        <v>0.74344322344322344</v>
      </c>
      <c r="AI10" s="1">
        <f t="shared" ref="AI10:AO10" si="13">H10</f>
        <v>2.2330647130647132</v>
      </c>
      <c r="AJ10" s="1">
        <f t="shared" si="13"/>
        <v>1.3356288156288156</v>
      </c>
      <c r="AK10" s="1">
        <f t="shared" si="13"/>
        <v>1.2684737484737485</v>
      </c>
      <c r="AL10" s="1">
        <f t="shared" si="13"/>
        <v>1.3661538461538463</v>
      </c>
      <c r="AM10" s="1">
        <f t="shared" si="13"/>
        <v>1.25015873015873</v>
      </c>
      <c r="AN10" s="1">
        <f t="shared" si="13"/>
        <v>1.2684737484737485</v>
      </c>
      <c r="AO10" s="1">
        <f t="shared" si="13"/>
        <v>1.1036385836385838</v>
      </c>
      <c r="AP10" s="1">
        <f t="shared" ref="AP10:AV10" si="14">H11</f>
        <v>0.8044932844932845</v>
      </c>
      <c r="AQ10" s="1">
        <f t="shared" si="14"/>
        <v>0.89606837606837597</v>
      </c>
      <c r="AR10" s="1">
        <f t="shared" si="14"/>
        <v>0.8838583638583638</v>
      </c>
      <c r="AS10" s="1">
        <f t="shared" si="14"/>
        <v>0.87164835164835175</v>
      </c>
      <c r="AT10" s="1">
        <f t="shared" si="14"/>
        <v>0.84112332112332122</v>
      </c>
      <c r="AU10" s="1">
        <f t="shared" si="14"/>
        <v>0.73123321123321117</v>
      </c>
      <c r="AV10" s="1">
        <f t="shared" si="14"/>
        <v>0.31609279609279606</v>
      </c>
    </row>
    <row r="11" spans="1:48" x14ac:dyDescent="0.35">
      <c r="A11" s="42">
        <f>IFERROR(INDEX('Date Key'!$B$2:$B$19, MATCH(F11,'Date Key'!$A$2:$A$19, 0)), "")</f>
        <v>45195</v>
      </c>
      <c r="B11" s="27">
        <f t="shared" si="0"/>
        <v>1</v>
      </c>
      <c r="C11" s="51" t="str">
        <f>IFERROR(INDEX('Date Key'!$G$57:$G$62, MATCH(B11,'Date Key'!$A$57:$A$62, 0)), "")</f>
        <v>Low HLR, Lower Outlet Height, No Plants</v>
      </c>
      <c r="D11" s="27" t="str">
        <f>IFERROR(INDEX('Date Key'!$G$2:$G$19, MATCH(F11, 'Date Key'!$A$2:$A$19, 0)), "")</f>
        <v>No</v>
      </c>
      <c r="E11" s="27" t="str">
        <f t="shared" si="1"/>
        <v>tank 2</v>
      </c>
      <c r="F11" s="27">
        <f t="shared" si="2"/>
        <v>3</v>
      </c>
      <c r="G11" s="27">
        <f t="shared" si="3"/>
        <v>3</v>
      </c>
      <c r="H11" s="28" cm="1">
        <f t="array" ref="H11">IFERROR(INDEX('Master Data Sheet'!$1:$1048576, MATCH(1, ('Master Data Sheet'!$H:$H=H$2) * (INDEX('Master Data Sheet'!$1:$1, , MATCH($F$1, 'Master Data Sheet'!$1:$1, 0)) = $F$1) * ('Master Data Sheet'!$G:$G=$B11) * ('Master Data Sheet'!$F:$F=$E11) * ('Master Data Sheet'!$A:$A=$F11), 0), MATCH($F$1, 'Master Data Sheet'!$1:$1, 0)), "")</f>
        <v>0.8044932844932845</v>
      </c>
      <c r="I11" s="28" cm="1">
        <f t="array" ref="I11">IFERROR(INDEX('Master Data Sheet'!$1:$1048576, MATCH(1, ('Master Data Sheet'!$H:$H=I$2) * (INDEX('Master Data Sheet'!$1:$1, , MATCH($F$1, 'Master Data Sheet'!$1:$1, 0)) = $F$1) * ('Master Data Sheet'!$G:$G=$B11) * ('Master Data Sheet'!$F:$F=$E11) * ('Master Data Sheet'!$A:$A=$F11), 0), MATCH($F$1, 'Master Data Sheet'!$1:$1, 0)), "")</f>
        <v>0.89606837606837597</v>
      </c>
      <c r="J11" s="28" cm="1">
        <f t="array" ref="J11">IFERROR(INDEX('Master Data Sheet'!$1:$1048576, MATCH(1, ('Master Data Sheet'!$H:$H=J$2) * (INDEX('Master Data Sheet'!$1:$1, , MATCH($F$1, 'Master Data Sheet'!$1:$1, 0)) = $F$1) * ('Master Data Sheet'!$G:$G=$B11) * ('Master Data Sheet'!$F:$F=$E11) * ('Master Data Sheet'!$A:$A=$F11), 0), MATCH($F$1, 'Master Data Sheet'!$1:$1, 0)), "")</f>
        <v>0.8838583638583638</v>
      </c>
      <c r="K11" s="28" cm="1">
        <f t="array" ref="K11">IFERROR(INDEX('Master Data Sheet'!$1:$1048576, MATCH(1, ('Master Data Sheet'!$H:$H=K$2) * (INDEX('Master Data Sheet'!$1:$1, , MATCH($F$1, 'Master Data Sheet'!$1:$1, 0)) = $F$1) * ('Master Data Sheet'!$G:$G=$B11) * ('Master Data Sheet'!$F:$F=$E11) * ('Master Data Sheet'!$A:$A=$F11), 0), MATCH($F$1, 'Master Data Sheet'!$1:$1, 0)), "")</f>
        <v>0.87164835164835175</v>
      </c>
      <c r="L11" s="28" cm="1">
        <f t="array" ref="L11">IFERROR(INDEX('Master Data Sheet'!$1:$1048576, MATCH(1, ('Master Data Sheet'!$H:$H=L$2) * (INDEX('Master Data Sheet'!$1:$1, , MATCH($F$1, 'Master Data Sheet'!$1:$1, 0)) = $F$1) * ('Master Data Sheet'!$G:$G=$B11) * ('Master Data Sheet'!$F:$F=$E11) * ('Master Data Sheet'!$A:$A=$F11), 0), MATCH($F$1, 'Master Data Sheet'!$1:$1, 0)), "")</f>
        <v>0.84112332112332122</v>
      </c>
      <c r="M11" s="28" cm="1">
        <f t="array" ref="M11">IFERROR(INDEX('Master Data Sheet'!$1:$1048576, MATCH(1, ('Master Data Sheet'!$H:$H=M$2) * (INDEX('Master Data Sheet'!$1:$1, , MATCH($F$1, 'Master Data Sheet'!$1:$1, 0)) = $F$1) * ('Master Data Sheet'!$G:$G=$B11) * ('Master Data Sheet'!$F:$F=$E11) * ('Master Data Sheet'!$A:$A=$F11), 0), MATCH($F$1, 'Master Data Sheet'!$1:$1, 0)), "")</f>
        <v>0.73123321123321117</v>
      </c>
      <c r="N11" s="28" cm="1">
        <f t="array" ref="N11">IFERROR(INDEX('Master Data Sheet'!$1:$1048576, MATCH(1, ('Master Data Sheet'!$H:$H=N$2) * (INDEX('Master Data Sheet'!$1:$1, , MATCH($F$1, 'Master Data Sheet'!$1:$1, 0)) = $F$1) * ('Master Data Sheet'!$G:$G=$B11) * ('Master Data Sheet'!$F:$F=$E11) * ('Master Data Sheet'!$A:$A=$F11), 0), MATCH($F$1, 'Master Data Sheet'!$1:$1, 0)), "")</f>
        <v>0.31609279609279606</v>
      </c>
      <c r="O11" s="28">
        <f t="shared" si="8"/>
        <v>0.76350252921681494</v>
      </c>
      <c r="P11" s="28">
        <f t="shared" si="4"/>
        <v>0.20521401719696239</v>
      </c>
      <c r="Q11" s="28"/>
      <c r="R11" s="48">
        <f>(1-(O11/O5))*100</f>
        <v>-16.81273284300644</v>
      </c>
      <c r="S11" s="27"/>
      <c r="T11" s="27"/>
      <c r="U11" s="27"/>
      <c r="V11" s="27"/>
      <c r="W11" s="27"/>
      <c r="X11" s="47">
        <f>(O8-O11)/45.6</f>
        <v>-1.2164109908470808E-2</v>
      </c>
      <c r="Y11" s="47">
        <f>O5/45.6</f>
        <v>1.4333605686989144E-2</v>
      </c>
    </row>
    <row r="12" spans="1:48" x14ac:dyDescent="0.35">
      <c r="A12" s="41">
        <f>IFERROR(INDEX('Date Key'!$B$2:$B$19, MATCH(F12,'Date Key'!$A$2:$A$19, 0)), "")</f>
        <v>45217</v>
      </c>
      <c r="B12" s="4">
        <f>INT((ROW(B10)-1)/9)+1</f>
        <v>2</v>
      </c>
      <c r="C12" s="26" t="str">
        <f>IFERROR(INDEX('Date Key'!$G$57:$G$62, MATCH(B12,'Date Key'!$A$57:$A$62, 0)), "")</f>
        <v>Medium HLR, Lower Outlet Height, No Plants</v>
      </c>
      <c r="D12" s="4" t="str">
        <f>IFERROR(INDEX('Date Key'!$G$2:$G$19, MATCH(F12, 'Date Key'!$A$2:$A$19, 0)), "")</f>
        <v>No</v>
      </c>
      <c r="E12" s="4" t="str">
        <f t="shared" si="1"/>
        <v>in</v>
      </c>
      <c r="F12" s="4">
        <f t="shared" si="2"/>
        <v>4</v>
      </c>
      <c r="G12" s="4">
        <f t="shared" si="3"/>
        <v>1</v>
      </c>
      <c r="H12" s="11" cm="1">
        <f t="array" ref="H12">IFERROR(INDEX('Master Data Sheet'!$1:$1048576, MATCH(1, ('Master Data Sheet'!$H:$H=H$2) * (INDEX('Master Data Sheet'!$1:$1, , MATCH($F$1, 'Master Data Sheet'!$1:$1, 0)) = $F$1) * ('Master Data Sheet'!$G:$G=$B12) * ('Master Data Sheet'!$F:$F=$E12) * ('Master Data Sheet'!$A:$A=$F12), 0), MATCH($F$1, 'Master Data Sheet'!$1:$1, 0)), "")</f>
        <v>2.0024420024420328E-3</v>
      </c>
      <c r="I12" s="11" cm="1">
        <f t="array" ref="I12">IFERROR(INDEX('Master Data Sheet'!$1:$1048576, MATCH(1, ('Master Data Sheet'!$H:$H=I$2) * (INDEX('Master Data Sheet'!$1:$1, , MATCH($F$1, 'Master Data Sheet'!$1:$1, 0)) = $F$1) * ('Master Data Sheet'!$G:$G=$B12) * ('Master Data Sheet'!$F:$F=$E12) * ('Master Data Sheet'!$A:$A=$F12), 0), MATCH($F$1, 'Master Data Sheet'!$1:$1, 0)), "")</f>
        <v>0.23399267399267398</v>
      </c>
      <c r="J12" s="11" cm="1">
        <f t="array" ref="J12">IFERROR(INDEX('Master Data Sheet'!$1:$1048576, MATCH(1, ('Master Data Sheet'!$H:$H=J$2) * (INDEX('Master Data Sheet'!$1:$1, , MATCH($F$1, 'Master Data Sheet'!$1:$1, 0)) = $F$1) * ('Master Data Sheet'!$G:$G=$B12) * ('Master Data Sheet'!$F:$F=$E12) * ('Master Data Sheet'!$A:$A=$F12), 0), MATCH($F$1, 'Master Data Sheet'!$1:$1, 0)), "")</f>
        <v>1.0825885225885228</v>
      </c>
      <c r="K12" s="11" cm="1">
        <f t="array" ref="K12">IFERROR(INDEX('Master Data Sheet'!$1:$1048576, MATCH(1, ('Master Data Sheet'!$H:$H=K$2) * (INDEX('Master Data Sheet'!$1:$1, , MATCH($F$1, 'Master Data Sheet'!$1:$1, 0)) = $F$1) * ('Master Data Sheet'!$G:$G=$B12) * ('Master Data Sheet'!$F:$F=$E12) * ('Master Data Sheet'!$A:$A=$F12), 0), MATCH($F$1, 'Master Data Sheet'!$1:$1, 0)), "")</f>
        <v>1.155848595848596</v>
      </c>
      <c r="L12" s="11" cm="1">
        <f t="array" ref="L12">IFERROR(INDEX('Master Data Sheet'!$1:$1048576, MATCH(1, ('Master Data Sheet'!$H:$H=L$2) * (INDEX('Master Data Sheet'!$1:$1, , MATCH($F$1, 'Master Data Sheet'!$1:$1, 0)) = $F$1) * ('Master Data Sheet'!$G:$G=$B12) * ('Master Data Sheet'!$F:$F=$E12) * ('Master Data Sheet'!$A:$A=$F12), 0), MATCH($F$1, 'Master Data Sheet'!$1:$1, 0)), "")</f>
        <v>1.3084737484737485</v>
      </c>
      <c r="M12" s="11" cm="1">
        <f t="array" ref="M12">IFERROR(INDEX('Master Data Sheet'!$1:$1048576, MATCH(1, ('Master Data Sheet'!$H:$H=M$2) * (INDEX('Master Data Sheet'!$1:$1, , MATCH($F$1, 'Master Data Sheet'!$1:$1, 0)) = $F$1) * ('Master Data Sheet'!$G:$G=$B12) * ('Master Data Sheet'!$F:$F=$E12) * ('Master Data Sheet'!$A:$A=$F12), 0), MATCH($F$1, 'Master Data Sheet'!$1:$1, 0)), "")</f>
        <v>1.3634188034188035</v>
      </c>
      <c r="N12" s="11" cm="1">
        <f t="array" ref="N12">IFERROR(INDEX('Master Data Sheet'!$1:$1048576, MATCH(1, ('Master Data Sheet'!$H:$H=N$2) * (INDEX('Master Data Sheet'!$1:$1, , MATCH($F$1, 'Master Data Sheet'!$1:$1, 0)) = $F$1) * ('Master Data Sheet'!$G:$G=$B12) * ('Master Data Sheet'!$F:$F=$E12) * ('Master Data Sheet'!$A:$A=$F12), 0), MATCH($F$1, 'Master Data Sheet'!$1:$1, 0)), "")</f>
        <v>1.5282539682539684</v>
      </c>
      <c r="O12" s="11">
        <f t="shared" si="8"/>
        <v>0.95351125065410791</v>
      </c>
      <c r="P12" s="11">
        <f t="shared" si="4"/>
        <v>0.59231594983856439</v>
      </c>
      <c r="Q12" s="11">
        <f>AVERAGE(O12:O14)</f>
        <v>0.79565323565323565</v>
      </c>
      <c r="S12" s="11">
        <f>AVERAGE(O12:O14)</f>
        <v>0.79565323565323565</v>
      </c>
      <c r="T12" s="11">
        <f>AVERAGE(P12:P14)</f>
        <v>0.3476007077868058</v>
      </c>
      <c r="V12" s="47">
        <f>AVERAGE(U15, U18)</f>
        <v>42.347366790310744</v>
      </c>
      <c r="W12" s="47">
        <f>_xlfn.STDEV.S(U15,U18)</f>
        <v>33.638681199409163</v>
      </c>
      <c r="X12" s="47"/>
      <c r="Y12" s="47"/>
      <c r="AA12" t="s">
        <v>343</v>
      </c>
    </row>
    <row r="13" spans="1:48" x14ac:dyDescent="0.35">
      <c r="A13" s="41">
        <f>IFERROR(INDEX('Date Key'!$B$2:$B$19, MATCH(F13,'Date Key'!$A$2:$A$19, 0)), "")</f>
        <v>45224</v>
      </c>
      <c r="B13" s="4">
        <f t="shared" ref="B13:B56" si="15">INT((ROW(B11)-1)/9)+1</f>
        <v>2</v>
      </c>
      <c r="C13" s="26" t="str">
        <f>IFERROR(INDEX('Date Key'!$G$57:$G$62, MATCH(B13,'Date Key'!$A$57:$A$62, 0)), "")</f>
        <v>Medium HLR, Lower Outlet Height, No Plants</v>
      </c>
      <c r="D13" s="4" t="str">
        <f>IFERROR(INDEX('Date Key'!$G$2:$G$19, MATCH(F13, 'Date Key'!$A$2:$A$19, 0)), "")</f>
        <v>No</v>
      </c>
      <c r="E13" s="4" t="str">
        <f t="shared" si="1"/>
        <v>in</v>
      </c>
      <c r="F13" s="4">
        <f t="shared" si="2"/>
        <v>5</v>
      </c>
      <c r="G13" s="4">
        <f t="shared" si="3"/>
        <v>2</v>
      </c>
      <c r="H13" s="11" cm="1">
        <f t="array" ref="H13">IFERROR(INDEX('Master Data Sheet'!$1:$1048576, MATCH(1, ('Master Data Sheet'!$H:$H=H$2) * (INDEX('Master Data Sheet'!$1:$1, , MATCH($F$1, 'Master Data Sheet'!$1:$1, 0)) = $F$1) * ('Master Data Sheet'!$G:$G=$B13) * ('Master Data Sheet'!$F:$F=$E13) * ('Master Data Sheet'!$A:$A=$F13), 0), MATCH($F$1, 'Master Data Sheet'!$1:$1, 0)), "")</f>
        <v>0.28893772893772895</v>
      </c>
      <c r="I13" s="11" cm="1">
        <f t="array" ref="I13">IFERROR(INDEX('Master Data Sheet'!$1:$1048576, MATCH(1, ('Master Data Sheet'!$H:$H=I$2) * (INDEX('Master Data Sheet'!$1:$1, , MATCH($F$1, 'Master Data Sheet'!$1:$1, 0)) = $F$1) * ('Master Data Sheet'!$G:$G=$B13) * ('Master Data Sheet'!$F:$F=$E13) * ('Master Data Sheet'!$A:$A=$F13), 0), MATCH($F$1, 'Master Data Sheet'!$1:$1, 0)), "")</f>
        <v>0.8628083028083029</v>
      </c>
      <c r="J13" s="11" cm="1">
        <f t="array" ref="J13">IFERROR(INDEX('Master Data Sheet'!$1:$1048576, MATCH(1, ('Master Data Sheet'!$H:$H=J$2) * (INDEX('Master Data Sheet'!$1:$1, , MATCH($F$1, 'Master Data Sheet'!$1:$1, 0)) = $F$1) * ('Master Data Sheet'!$G:$G=$B13) * ('Master Data Sheet'!$F:$F=$E13) * ('Master Data Sheet'!$A:$A=$F13), 0), MATCH($F$1, 'Master Data Sheet'!$1:$1, 0)), "")</f>
        <v>1.0825885225885228</v>
      </c>
      <c r="K13" s="11" cm="1">
        <f t="array" ref="K13">IFERROR(INDEX('Master Data Sheet'!$1:$1048576, MATCH(1, ('Master Data Sheet'!$H:$H=K$2) * (INDEX('Master Data Sheet'!$1:$1, , MATCH($F$1, 'Master Data Sheet'!$1:$1, 0)) = $F$1) * ('Master Data Sheet'!$G:$G=$B13) * ('Master Data Sheet'!$F:$F=$E13) * ('Master Data Sheet'!$A:$A=$F13), 0), MATCH($F$1, 'Master Data Sheet'!$1:$1, 0)), "")</f>
        <v>1.1314285714285717</v>
      </c>
      <c r="L13" s="11" cm="1">
        <f t="array" ref="L13">IFERROR(INDEX('Master Data Sheet'!$1:$1048576, MATCH(1, ('Master Data Sheet'!$H:$H=L$2) * (INDEX('Master Data Sheet'!$1:$1, , MATCH($F$1, 'Master Data Sheet'!$1:$1, 0)) = $F$1) * ('Master Data Sheet'!$G:$G=$B13) * ('Master Data Sheet'!$F:$F=$E13) * ('Master Data Sheet'!$A:$A=$F13), 0), MATCH($F$1, 'Master Data Sheet'!$1:$1, 0)), "")</f>
        <v>1.284053724053724</v>
      </c>
      <c r="M13" s="11" cm="1">
        <f t="array" ref="M13">IFERROR(INDEX('Master Data Sheet'!$1:$1048576, MATCH(1, ('Master Data Sheet'!$H:$H=M$2) * (INDEX('Master Data Sheet'!$1:$1, , MATCH($F$1, 'Master Data Sheet'!$1:$1, 0)) = $F$1) * ('Master Data Sheet'!$G:$G=$B13) * ('Master Data Sheet'!$F:$F=$E13) * ('Master Data Sheet'!$A:$A=$F13), 0), MATCH($F$1, 'Master Data Sheet'!$1:$1, 0)), "")</f>
        <v>1.40004884004884</v>
      </c>
      <c r="N13" s="11" cm="1">
        <f t="array" ref="N13">IFERROR(INDEX('Master Data Sheet'!$1:$1048576, MATCH(1, ('Master Data Sheet'!$H:$H=N$2) * (INDEX('Master Data Sheet'!$1:$1, , MATCH($F$1, 'Master Data Sheet'!$1:$1, 0)) = $F$1) * ('Master Data Sheet'!$G:$G=$B13) * ('Master Data Sheet'!$F:$F=$E13) * ('Master Data Sheet'!$A:$A=$F13), 0), MATCH($F$1, 'Master Data Sheet'!$1:$1, 0)), "")</f>
        <v>1.5954090354090351</v>
      </c>
      <c r="O13" s="11">
        <f t="shared" si="8"/>
        <v>1.0921821036106751</v>
      </c>
      <c r="P13" s="11">
        <f t="shared" si="4"/>
        <v>0.42510394395468881</v>
      </c>
      <c r="Q13" s="11"/>
      <c r="W13" s="47"/>
      <c r="AA13" t="str">
        <f>IFERROR(INDEX('Date Key'!$G$57:$G$62, MATCH(B12,'Date Key'!$A$57:$A$62, 0)), "")</f>
        <v>Medium HLR, Lower Outlet Height, No Plants</v>
      </c>
      <c r="AB13" s="1">
        <f t="shared" ref="AB13:AH13" si="16">H12</f>
        <v>2.0024420024420328E-3</v>
      </c>
      <c r="AC13" s="1">
        <f t="shared" si="16"/>
        <v>0.23399267399267398</v>
      </c>
      <c r="AD13" s="1">
        <f t="shared" si="16"/>
        <v>1.0825885225885228</v>
      </c>
      <c r="AE13" s="1">
        <f t="shared" si="16"/>
        <v>1.155848595848596</v>
      </c>
      <c r="AF13" s="1">
        <f t="shared" si="16"/>
        <v>1.3084737484737485</v>
      </c>
      <c r="AG13" s="1">
        <f t="shared" si="16"/>
        <v>1.3634188034188035</v>
      </c>
      <c r="AH13" s="1">
        <f t="shared" si="16"/>
        <v>1.5282539682539684</v>
      </c>
      <c r="AI13" s="1">
        <f t="shared" ref="AI13:AO13" si="17">H13</f>
        <v>0.28893772893772895</v>
      </c>
      <c r="AJ13" s="1">
        <f t="shared" si="17"/>
        <v>0.8628083028083029</v>
      </c>
      <c r="AK13" s="1">
        <f t="shared" si="17"/>
        <v>1.0825885225885228</v>
      </c>
      <c r="AL13" s="1">
        <f t="shared" si="17"/>
        <v>1.1314285714285717</v>
      </c>
      <c r="AM13" s="1">
        <f t="shared" si="17"/>
        <v>1.284053724053724</v>
      </c>
      <c r="AN13" s="1">
        <f t="shared" si="17"/>
        <v>1.40004884004884</v>
      </c>
      <c r="AO13" s="1">
        <f t="shared" si="17"/>
        <v>1.5954090354090351</v>
      </c>
      <c r="AP13" s="1">
        <f t="shared" ref="AP13:AV13" si="18">H14</f>
        <v>0.29504273504273504</v>
      </c>
      <c r="AQ13" s="1">
        <f t="shared" si="18"/>
        <v>0.36830280830280826</v>
      </c>
      <c r="AR13" s="1">
        <f t="shared" si="18"/>
        <v>0.33167277167277176</v>
      </c>
      <c r="AS13" s="1">
        <f t="shared" si="18"/>
        <v>0.33167277167277176</v>
      </c>
      <c r="AT13" s="1">
        <f t="shared" si="18"/>
        <v>0.36830280830280826</v>
      </c>
      <c r="AU13" s="1">
        <f t="shared" si="18"/>
        <v>0.34388278388278382</v>
      </c>
      <c r="AV13" s="1">
        <f t="shared" si="18"/>
        <v>0.3499877899877899</v>
      </c>
    </row>
    <row r="14" spans="1:48" x14ac:dyDescent="0.35">
      <c r="A14" s="41">
        <f>IFERROR(INDEX('Date Key'!$B$2:$B$19, MATCH(F14,'Date Key'!$A$2:$A$19, 0)), "")</f>
        <v>45230</v>
      </c>
      <c r="B14" s="4">
        <f t="shared" si="15"/>
        <v>2</v>
      </c>
      <c r="C14" s="26" t="str">
        <f>IFERROR(INDEX('Date Key'!$G$57:$G$62, MATCH(B14,'Date Key'!$A$57:$A$62, 0)), "")</f>
        <v>Medium HLR, Lower Outlet Height, No Plants</v>
      </c>
      <c r="D14" s="4" t="str">
        <f>IFERROR(INDEX('Date Key'!$G$2:$G$19, MATCH(F14, 'Date Key'!$A$2:$A$19, 0)), "")</f>
        <v>Yes</v>
      </c>
      <c r="E14" s="4" t="str">
        <f t="shared" si="1"/>
        <v>in</v>
      </c>
      <c r="F14" s="4">
        <f t="shared" si="2"/>
        <v>6</v>
      </c>
      <c r="G14" s="4">
        <f t="shared" si="3"/>
        <v>3</v>
      </c>
      <c r="H14" s="11" cm="1">
        <f t="array" ref="H14">IFERROR(INDEX('Master Data Sheet'!$1:$1048576, MATCH(1, ('Master Data Sheet'!$H:$H=H$2) * (INDEX('Master Data Sheet'!$1:$1, , MATCH($F$1, 'Master Data Sheet'!$1:$1, 0)) = $F$1) * ('Master Data Sheet'!$G:$G=$B14) * ('Master Data Sheet'!$F:$F=$E14) * ('Master Data Sheet'!$A:$A=$F14), 0), MATCH($F$1, 'Master Data Sheet'!$1:$1, 0)), "")</f>
        <v>0.29504273504273504</v>
      </c>
      <c r="I14" s="11" cm="1">
        <f t="array" ref="I14">IFERROR(INDEX('Master Data Sheet'!$1:$1048576, MATCH(1, ('Master Data Sheet'!$H:$H=I$2) * (INDEX('Master Data Sheet'!$1:$1, , MATCH($F$1, 'Master Data Sheet'!$1:$1, 0)) = $F$1) * ('Master Data Sheet'!$G:$G=$B14) * ('Master Data Sheet'!$F:$F=$E14) * ('Master Data Sheet'!$A:$A=$F14), 0), MATCH($F$1, 'Master Data Sheet'!$1:$1, 0)), "")</f>
        <v>0.36830280830280826</v>
      </c>
      <c r="J14" s="11" cm="1">
        <f t="array" ref="J14">IFERROR(INDEX('Master Data Sheet'!$1:$1048576, MATCH(1, ('Master Data Sheet'!$H:$H=J$2) * (INDEX('Master Data Sheet'!$1:$1, , MATCH($F$1, 'Master Data Sheet'!$1:$1, 0)) = $F$1) * ('Master Data Sheet'!$G:$G=$B14) * ('Master Data Sheet'!$F:$F=$E14) * ('Master Data Sheet'!$A:$A=$F14), 0), MATCH($F$1, 'Master Data Sheet'!$1:$1, 0)), "")</f>
        <v>0.33167277167277176</v>
      </c>
      <c r="K14" s="11" cm="1">
        <f t="array" ref="K14">IFERROR(INDEX('Master Data Sheet'!$1:$1048576, MATCH(1, ('Master Data Sheet'!$H:$H=K$2) * (INDEX('Master Data Sheet'!$1:$1, , MATCH($F$1, 'Master Data Sheet'!$1:$1, 0)) = $F$1) * ('Master Data Sheet'!$G:$G=$B14) * ('Master Data Sheet'!$F:$F=$E14) * ('Master Data Sheet'!$A:$A=$F14), 0), MATCH($F$1, 'Master Data Sheet'!$1:$1, 0)), "")</f>
        <v>0.33167277167277176</v>
      </c>
      <c r="L14" s="11" cm="1">
        <f t="array" ref="L14">IFERROR(INDEX('Master Data Sheet'!$1:$1048576, MATCH(1, ('Master Data Sheet'!$H:$H=L$2) * (INDEX('Master Data Sheet'!$1:$1, , MATCH($F$1, 'Master Data Sheet'!$1:$1, 0)) = $F$1) * ('Master Data Sheet'!$G:$G=$B14) * ('Master Data Sheet'!$F:$F=$E14) * ('Master Data Sheet'!$A:$A=$F14), 0), MATCH($F$1, 'Master Data Sheet'!$1:$1, 0)), "")</f>
        <v>0.36830280830280826</v>
      </c>
      <c r="M14" s="11" cm="1">
        <f t="array" ref="M14">IFERROR(INDEX('Master Data Sheet'!$1:$1048576, MATCH(1, ('Master Data Sheet'!$H:$H=M$2) * (INDEX('Master Data Sheet'!$1:$1, , MATCH($F$1, 'Master Data Sheet'!$1:$1, 0)) = $F$1) * ('Master Data Sheet'!$G:$G=$B14) * ('Master Data Sheet'!$F:$F=$E14) * ('Master Data Sheet'!$A:$A=$F14), 0), MATCH($F$1, 'Master Data Sheet'!$1:$1, 0)), "")</f>
        <v>0.34388278388278382</v>
      </c>
      <c r="N14" s="11" cm="1">
        <f t="array" ref="N14">IFERROR(INDEX('Master Data Sheet'!$1:$1048576, MATCH(1, ('Master Data Sheet'!$H:$H=N$2) * (INDEX('Master Data Sheet'!$1:$1, , MATCH($F$1, 'Master Data Sheet'!$1:$1, 0)) = $F$1) * ('Master Data Sheet'!$G:$G=$B14) * ('Master Data Sheet'!$F:$F=$E14) * ('Master Data Sheet'!$A:$A=$F14), 0), MATCH($F$1, 'Master Data Sheet'!$1:$1, 0)), "")</f>
        <v>0.3499877899877899</v>
      </c>
      <c r="O14" s="11">
        <f t="shared" si="8"/>
        <v>0.34126635269492411</v>
      </c>
      <c r="P14" s="11">
        <f t="shared" si="4"/>
        <v>2.538222956716419E-2</v>
      </c>
      <c r="Q14" s="11"/>
      <c r="AB14" s="1"/>
      <c r="AC14" s="1"/>
      <c r="AD14" s="1"/>
      <c r="AE14" s="1"/>
      <c r="AF14" s="1"/>
      <c r="AG14" s="1"/>
      <c r="AH14" s="1"/>
      <c r="AI14" s="1"/>
      <c r="AJ14" s="1"/>
      <c r="AK14" s="1"/>
      <c r="AL14" s="1"/>
      <c r="AM14" s="1"/>
      <c r="AN14" s="1"/>
      <c r="AO14" s="1"/>
      <c r="AP14" s="1"/>
      <c r="AQ14" s="1"/>
      <c r="AR14" s="1"/>
      <c r="AS14" s="1"/>
      <c r="AT14" s="1"/>
      <c r="AU14" s="1"/>
      <c r="AV14" s="1"/>
    </row>
    <row r="15" spans="1:48" x14ac:dyDescent="0.35">
      <c r="A15" s="41">
        <f>IFERROR(INDEX('Date Key'!$B$2:$B$19, MATCH(F15,'Date Key'!$A$2:$A$19, 0)), "")</f>
        <v>45217</v>
      </c>
      <c r="B15" s="4">
        <f t="shared" si="15"/>
        <v>2</v>
      </c>
      <c r="C15" s="26" t="str">
        <f>IFERROR(INDEX('Date Key'!$G$57:$G$62, MATCH(B15,'Date Key'!$A$57:$A$62, 0)), "")</f>
        <v>Medium HLR, Lower Outlet Height, No Plants</v>
      </c>
      <c r="D15" s="4" t="str">
        <f>IFERROR(INDEX('Date Key'!$G$2:$G$19, MATCH(F15, 'Date Key'!$A$2:$A$19, 0)), "")</f>
        <v>No</v>
      </c>
      <c r="E15" s="4" t="str">
        <f t="shared" si="1"/>
        <v>tank 1</v>
      </c>
      <c r="F15" s="4">
        <f t="shared" si="2"/>
        <v>4</v>
      </c>
      <c r="G15" s="4">
        <f t="shared" si="3"/>
        <v>1</v>
      </c>
      <c r="H15" s="11" cm="1">
        <f t="array" ref="H15">IFERROR(INDEX('Master Data Sheet'!$1:$1048576, MATCH(1, ('Master Data Sheet'!$H:$H=H$2) * (INDEX('Master Data Sheet'!$1:$1, , MATCH($F$1, 'Master Data Sheet'!$1:$1, 0)) = $F$1) * ('Master Data Sheet'!$G:$G=$B15) * ('Master Data Sheet'!$F:$F=$E15) * ('Master Data Sheet'!$A:$A=$F15), 0), MATCH($F$1, 'Master Data Sheet'!$1:$1, 0)), "")</f>
        <v>0.13631257631257629</v>
      </c>
      <c r="I15" s="11" cm="1">
        <f t="array" ref="I15">IFERROR(INDEX('Master Data Sheet'!$1:$1048576, MATCH(1, ('Master Data Sheet'!$H:$H=I$2) * (INDEX('Master Data Sheet'!$1:$1, , MATCH($F$1, 'Master Data Sheet'!$1:$1, 0)) = $F$1) * ('Master Data Sheet'!$G:$G=$B15) * ('Master Data Sheet'!$F:$F=$E15) * ('Master Data Sheet'!$A:$A=$F15), 0), MATCH($F$1, 'Master Data Sheet'!$1:$1, 0)), "")</f>
        <v>6.9157509157509164E-2</v>
      </c>
      <c r="J15" s="11" cm="1">
        <f t="array" ref="J15">IFERROR(INDEX('Master Data Sheet'!$1:$1048576, MATCH(1, ('Master Data Sheet'!$H:$H=J$2) * (INDEX('Master Data Sheet'!$1:$1, , MATCH($F$1, 'Master Data Sheet'!$1:$1, 0)) = $F$1) * ('Master Data Sheet'!$G:$G=$B15) * ('Master Data Sheet'!$F:$F=$E15) * ('Master Data Sheet'!$A:$A=$F15), 0), MATCH($F$1, 'Master Data Sheet'!$1:$1, 0)), "")</f>
        <v>6.9157509157509164E-2</v>
      </c>
      <c r="K15" s="11" cm="1">
        <f t="array" ref="K15">IFERROR(INDEX('Master Data Sheet'!$1:$1048576, MATCH(1, ('Master Data Sheet'!$H:$H=K$2) * (INDEX('Master Data Sheet'!$1:$1, , MATCH($F$1, 'Master Data Sheet'!$1:$1, 0)) = $F$1) * ('Master Data Sheet'!$G:$G=$B15) * ('Master Data Sheet'!$F:$F=$E15) * ('Master Data Sheet'!$A:$A=$F15), 0), MATCH($F$1, 'Master Data Sheet'!$1:$1, 0)), "")</f>
        <v>0.1424175824175824</v>
      </c>
      <c r="L15" s="11" cm="1">
        <f t="array" ref="L15">IFERROR(INDEX('Master Data Sheet'!$1:$1048576, MATCH(1, ('Master Data Sheet'!$H:$H=L$2) * (INDEX('Master Data Sheet'!$1:$1, , MATCH($F$1, 'Master Data Sheet'!$1:$1, 0)) = $F$1) * ('Master Data Sheet'!$G:$G=$B15) * ('Master Data Sheet'!$F:$F=$E15) * ('Master Data Sheet'!$A:$A=$F15), 0), MATCH($F$1, 'Master Data Sheet'!$1:$1, 0)), "")</f>
        <v>8.7472527472527498E-2</v>
      </c>
      <c r="M15" s="11" cm="1">
        <f t="array" ref="M15">IFERROR(INDEX('Master Data Sheet'!$1:$1048576, MATCH(1, ('Master Data Sheet'!$H:$H=M$2) * (INDEX('Master Data Sheet'!$1:$1, , MATCH($F$1, 'Master Data Sheet'!$1:$1, 0)) = $F$1) * ('Master Data Sheet'!$G:$G=$B15) * ('Master Data Sheet'!$F:$F=$E15) * ('Master Data Sheet'!$A:$A=$F15), 0), MATCH($F$1, 'Master Data Sheet'!$1:$1, 0)), "")</f>
        <v>0.20957264957264954</v>
      </c>
      <c r="N15" s="11" cm="1">
        <f t="array" ref="N15">IFERROR(INDEX('Master Data Sheet'!$1:$1048576, MATCH(1, ('Master Data Sheet'!$H:$H=N$2) * (INDEX('Master Data Sheet'!$1:$1, , MATCH($F$1, 'Master Data Sheet'!$1:$1, 0)) = $F$1) * ('Master Data Sheet'!$G:$G=$B15) * ('Master Data Sheet'!$F:$F=$E15) * ('Master Data Sheet'!$A:$A=$F15), 0), MATCH($F$1, 'Master Data Sheet'!$1:$1, 0)), "")</f>
        <v>0.39882783882783879</v>
      </c>
      <c r="O15" s="11">
        <f t="shared" si="8"/>
        <v>0.15898831327402754</v>
      </c>
      <c r="P15" s="11">
        <f t="shared" si="4"/>
        <v>0.11699302373771243</v>
      </c>
      <c r="Q15" s="11">
        <f>AVERAGE(O15:O17)</f>
        <v>0.26945985231699515</v>
      </c>
      <c r="R15" s="46">
        <f>(1-(O15/O12))*100</f>
        <v>83.326016010302794</v>
      </c>
      <c r="S15" s="46">
        <f>AVERAGE(R15:R17)</f>
        <v>57.034518209254259</v>
      </c>
      <c r="T15" s="46">
        <f>STDEV(R15:R17)</f>
        <v>30.72688039846528</v>
      </c>
      <c r="U15" s="47">
        <f>(1-(AVERAGE(H15:N17)/AVERAGE(H12:N14)))*100</f>
        <v>66.133506376585387</v>
      </c>
      <c r="X15" s="47">
        <f>(O12-O15)/70.1</f>
        <v>1.1334136053924115E-2</v>
      </c>
      <c r="Y15" s="47">
        <f>O12/70.1</f>
        <v>1.3602157641285421E-2</v>
      </c>
      <c r="AB15" s="2"/>
      <c r="AC15" s="2"/>
      <c r="AD15" s="2"/>
      <c r="AE15" s="2"/>
      <c r="AF15" s="2"/>
      <c r="AG15" s="2"/>
      <c r="AH15" s="2"/>
      <c r="AI15" s="2"/>
      <c r="AJ15" s="2"/>
    </row>
    <row r="16" spans="1:48" x14ac:dyDescent="0.35">
      <c r="A16" s="41">
        <f>IFERROR(INDEX('Date Key'!$B$2:$B$19, MATCH(F16,'Date Key'!$A$2:$A$19, 0)), "")</f>
        <v>45224</v>
      </c>
      <c r="B16" s="4">
        <f t="shared" si="15"/>
        <v>2</v>
      </c>
      <c r="C16" s="26" t="str">
        <f>IFERROR(INDEX('Date Key'!$G$57:$G$62, MATCH(B16,'Date Key'!$A$57:$A$62, 0)), "")</f>
        <v>Medium HLR, Lower Outlet Height, No Plants</v>
      </c>
      <c r="D16" s="4" t="str">
        <f>IFERROR(INDEX('Date Key'!$G$2:$G$19, MATCH(F16, 'Date Key'!$A$2:$A$19, 0)), "")</f>
        <v>No</v>
      </c>
      <c r="E16" s="4" t="str">
        <f t="shared" si="1"/>
        <v>tank 1</v>
      </c>
      <c r="F16" s="4">
        <f t="shared" si="2"/>
        <v>5</v>
      </c>
      <c r="G16" s="4">
        <f>MOD(ROW(G16)-ROW($G$3), 3) + 1</f>
        <v>2</v>
      </c>
      <c r="H16" s="11" cm="1">
        <f t="array" ref="H16">IFERROR(INDEX('Master Data Sheet'!$1:$1048576, MATCH(1, ('Master Data Sheet'!$H:$H=H$2) * (INDEX('Master Data Sheet'!$1:$1, , MATCH($F$1, 'Master Data Sheet'!$1:$1, 0)) = $F$1) * ('Master Data Sheet'!$G:$G=$B16) * ('Master Data Sheet'!$F:$F=$E16) * ('Master Data Sheet'!$A:$A=$F16), 0), MATCH($F$1, 'Master Data Sheet'!$1:$1, 0)), "")</f>
        <v>0.42935286935286932</v>
      </c>
      <c r="I16" s="11" cm="1">
        <f t="array" ref="I16">IFERROR(INDEX('Master Data Sheet'!$1:$1048576, MATCH(1, ('Master Data Sheet'!$H:$H=I$2) * (INDEX('Master Data Sheet'!$1:$1, , MATCH($F$1, 'Master Data Sheet'!$1:$1, 0)) = $F$1) * ('Master Data Sheet'!$G:$G=$B16) * ('Master Data Sheet'!$F:$F=$E16) * ('Master Data Sheet'!$A:$A=$F16), 0), MATCH($F$1, 'Master Data Sheet'!$1:$1, 0)), "")</f>
        <v>0.30725274725274732</v>
      </c>
      <c r="J16" s="11" cm="1">
        <f t="array" ref="J16">IFERROR(INDEX('Master Data Sheet'!$1:$1048576, MATCH(1, ('Master Data Sheet'!$H:$H=J$2) * (INDEX('Master Data Sheet'!$1:$1, , MATCH($F$1, 'Master Data Sheet'!$1:$1, 0)) = $F$1) * ('Master Data Sheet'!$G:$G=$B16) * ('Master Data Sheet'!$F:$F=$E16) * ('Master Data Sheet'!$A:$A=$F16), 0), MATCH($F$1, 'Master Data Sheet'!$1:$1, 0)), "")</f>
        <v>0.26451770451770451</v>
      </c>
      <c r="K16" s="11" cm="1">
        <f t="array" ref="K16">IFERROR(INDEX('Master Data Sheet'!$1:$1048576, MATCH(1, ('Master Data Sheet'!$H:$H=K$2) * (INDEX('Master Data Sheet'!$1:$1, , MATCH($F$1, 'Master Data Sheet'!$1:$1, 0)) = $F$1) * ('Master Data Sheet'!$G:$G=$B16) * ('Master Data Sheet'!$F:$F=$E16) * ('Master Data Sheet'!$A:$A=$F16), 0), MATCH($F$1, 'Master Data Sheet'!$1:$1, 0)), "")</f>
        <v>0.33777777777777784</v>
      </c>
      <c r="L16" s="11" cm="1">
        <f t="array" ref="L16">IFERROR(INDEX('Master Data Sheet'!$1:$1048576, MATCH(1, ('Master Data Sheet'!$H:$H=L$2) * (INDEX('Master Data Sheet'!$1:$1, , MATCH($F$1, 'Master Data Sheet'!$1:$1, 0)) = $F$1) * ('Master Data Sheet'!$G:$G=$B16) * ('Master Data Sheet'!$F:$F=$E16) * ('Master Data Sheet'!$A:$A=$F16), 0), MATCH($F$1, 'Master Data Sheet'!$1:$1, 0)), "")</f>
        <v>0.38051282051282043</v>
      </c>
      <c r="M16" s="11" cm="1">
        <f t="array" ref="M16">IFERROR(INDEX('Master Data Sheet'!$1:$1048576, MATCH(1, ('Master Data Sheet'!$H:$H=M$2) * (INDEX('Master Data Sheet'!$1:$1, , MATCH($F$1, 'Master Data Sheet'!$1:$1, 0)) = $F$1) * ('Master Data Sheet'!$G:$G=$B16) * ('Master Data Sheet'!$F:$F=$E16) * ('Master Data Sheet'!$A:$A=$F16), 0), MATCH($F$1, 'Master Data Sheet'!$1:$1, 0)), "")</f>
        <v>0.4781929181929182</v>
      </c>
      <c r="N16" s="11" cm="1">
        <f t="array" ref="N16">IFERROR(INDEX('Master Data Sheet'!$1:$1048576, MATCH(1, ('Master Data Sheet'!$H:$H=N$2) * (INDEX('Master Data Sheet'!$1:$1, , MATCH($F$1, 'Master Data Sheet'!$1:$1, 0)) = $F$1) * ('Master Data Sheet'!$G:$G=$B16) * ('Master Data Sheet'!$F:$F=$E16) * ('Master Data Sheet'!$A:$A=$F16), 0), MATCH($F$1, 'Master Data Sheet'!$1:$1, 0)), "")</f>
        <v>0.51482295482295481</v>
      </c>
      <c r="O16" s="11">
        <f t="shared" si="8"/>
        <v>0.38748997034711319</v>
      </c>
      <c r="P16" s="11">
        <f t="shared" si="4"/>
        <v>9.1536321424507738E-2</v>
      </c>
      <c r="Q16" s="11"/>
      <c r="R16" s="46">
        <f>(1-(O16/O13))*100</f>
        <v>64.521486932801835</v>
      </c>
      <c r="X16" s="47">
        <f>(O13-O16)/70.1</f>
        <v>1.0052669518738403E-2</v>
      </c>
      <c r="Y16" s="47">
        <f>O13/70.1</f>
        <v>1.5580343846086666E-2</v>
      </c>
      <c r="AA16" t="str">
        <f>IFERROR(INDEX('Date Key'!$G$57:$G$62, MATCH(B15,'Date Key'!$A$57:$A$62, 0)), "")</f>
        <v>Medium HLR, Lower Outlet Height, No Plants</v>
      </c>
      <c r="AB16" s="1">
        <f t="shared" ref="AB16:AH16" si="19">H15</f>
        <v>0.13631257631257629</v>
      </c>
      <c r="AC16" s="1">
        <f t="shared" si="19"/>
        <v>6.9157509157509164E-2</v>
      </c>
      <c r="AD16" s="1">
        <f t="shared" si="19"/>
        <v>6.9157509157509164E-2</v>
      </c>
      <c r="AE16" s="1">
        <f t="shared" si="19"/>
        <v>0.1424175824175824</v>
      </c>
      <c r="AF16" s="1">
        <f t="shared" si="19"/>
        <v>8.7472527472527498E-2</v>
      </c>
      <c r="AG16" s="1">
        <f t="shared" si="19"/>
        <v>0.20957264957264954</v>
      </c>
      <c r="AH16" s="1">
        <f t="shared" si="19"/>
        <v>0.39882783882783879</v>
      </c>
      <c r="AI16" s="1">
        <f t="shared" ref="AI16:AO16" si="20">H16</f>
        <v>0.42935286935286932</v>
      </c>
      <c r="AJ16" s="1">
        <f t="shared" si="20"/>
        <v>0.30725274725274732</v>
      </c>
      <c r="AK16" s="1">
        <f t="shared" si="20"/>
        <v>0.26451770451770451</v>
      </c>
      <c r="AL16" s="1">
        <f t="shared" si="20"/>
        <v>0.33777777777777784</v>
      </c>
      <c r="AM16" s="1">
        <f t="shared" si="20"/>
        <v>0.38051282051282043</v>
      </c>
      <c r="AN16" s="1">
        <f t="shared" si="20"/>
        <v>0.4781929181929182</v>
      </c>
      <c r="AO16" s="1">
        <f t="shared" si="20"/>
        <v>0.51482295482295481</v>
      </c>
      <c r="AP16" s="1">
        <f t="shared" ref="AP16:AV16" si="21">H17</f>
        <v>0.28893772893772895</v>
      </c>
      <c r="AQ16" s="1">
        <f t="shared" si="21"/>
        <v>0.28283272283272287</v>
      </c>
      <c r="AR16" s="1">
        <f t="shared" si="21"/>
        <v>0.24009768009768009</v>
      </c>
      <c r="AS16" s="1">
        <f t="shared" si="21"/>
        <v>0.27062271062271065</v>
      </c>
      <c r="AT16" s="1">
        <f t="shared" si="21"/>
        <v>0.24620268620268621</v>
      </c>
      <c r="AU16" s="1">
        <f t="shared" si="21"/>
        <v>0.26451770451770451</v>
      </c>
      <c r="AV16" s="1">
        <f t="shared" si="21"/>
        <v>0.24009768009768009</v>
      </c>
    </row>
    <row r="17" spans="1:48" x14ac:dyDescent="0.35">
      <c r="A17" s="41">
        <f>IFERROR(INDEX('Date Key'!$B$2:$B$19, MATCH(F17,'Date Key'!$A$2:$A$19, 0)), "")</f>
        <v>45230</v>
      </c>
      <c r="B17" s="4">
        <f t="shared" si="15"/>
        <v>2</v>
      </c>
      <c r="C17" s="26" t="str">
        <f>IFERROR(INDEX('Date Key'!$G$57:$G$62, MATCH(B17,'Date Key'!$A$57:$A$62, 0)), "")</f>
        <v>Medium HLR, Lower Outlet Height, No Plants</v>
      </c>
      <c r="D17" s="4" t="str">
        <f>IFERROR(INDEX('Date Key'!$G$2:$G$19, MATCH(F17, 'Date Key'!$A$2:$A$19, 0)), "")</f>
        <v>Yes</v>
      </c>
      <c r="E17" s="4" t="str">
        <f t="shared" si="1"/>
        <v>tank 1</v>
      </c>
      <c r="F17" s="4">
        <f t="shared" si="2"/>
        <v>6</v>
      </c>
      <c r="G17" s="4">
        <f t="shared" ref="G17:G56" si="22">MOD(ROW(G17)-ROW($G$3), 3) + 1</f>
        <v>3</v>
      </c>
      <c r="H17" s="11" cm="1">
        <f t="array" ref="H17">IFERROR(INDEX('Master Data Sheet'!$1:$1048576, MATCH(1, ('Master Data Sheet'!$H:$H=H$2) * (INDEX('Master Data Sheet'!$1:$1, , MATCH($F$1, 'Master Data Sheet'!$1:$1, 0)) = $F$1) * ('Master Data Sheet'!$G:$G=$B17) * ('Master Data Sheet'!$F:$F=$E17) * ('Master Data Sheet'!$A:$A=$F17), 0), MATCH($F$1, 'Master Data Sheet'!$1:$1, 0)), "")</f>
        <v>0.28893772893772895</v>
      </c>
      <c r="I17" s="11" cm="1">
        <f t="array" ref="I17">IFERROR(INDEX('Master Data Sheet'!$1:$1048576, MATCH(1, ('Master Data Sheet'!$H:$H=I$2) * (INDEX('Master Data Sheet'!$1:$1, , MATCH($F$1, 'Master Data Sheet'!$1:$1, 0)) = $F$1) * ('Master Data Sheet'!$G:$G=$B17) * ('Master Data Sheet'!$F:$F=$E17) * ('Master Data Sheet'!$A:$A=$F17), 0), MATCH($F$1, 'Master Data Sheet'!$1:$1, 0)), "")</f>
        <v>0.28283272283272287</v>
      </c>
      <c r="J17" s="11" cm="1">
        <f t="array" ref="J17">IFERROR(INDEX('Master Data Sheet'!$1:$1048576, MATCH(1, ('Master Data Sheet'!$H:$H=J$2) * (INDEX('Master Data Sheet'!$1:$1, , MATCH($F$1, 'Master Data Sheet'!$1:$1, 0)) = $F$1) * ('Master Data Sheet'!$G:$G=$B17) * ('Master Data Sheet'!$F:$F=$E17) * ('Master Data Sheet'!$A:$A=$F17), 0), MATCH($F$1, 'Master Data Sheet'!$1:$1, 0)), "")</f>
        <v>0.24009768009768009</v>
      </c>
      <c r="K17" s="11" cm="1">
        <f t="array" ref="K17">IFERROR(INDEX('Master Data Sheet'!$1:$1048576, MATCH(1, ('Master Data Sheet'!$H:$H=K$2) * (INDEX('Master Data Sheet'!$1:$1, , MATCH($F$1, 'Master Data Sheet'!$1:$1, 0)) = $F$1) * ('Master Data Sheet'!$G:$G=$B17) * ('Master Data Sheet'!$F:$F=$E17) * ('Master Data Sheet'!$A:$A=$F17), 0), MATCH($F$1, 'Master Data Sheet'!$1:$1, 0)), "")</f>
        <v>0.27062271062271065</v>
      </c>
      <c r="L17" s="11" cm="1">
        <f t="array" ref="L17">IFERROR(INDEX('Master Data Sheet'!$1:$1048576, MATCH(1, ('Master Data Sheet'!$H:$H=L$2) * (INDEX('Master Data Sheet'!$1:$1, , MATCH($F$1, 'Master Data Sheet'!$1:$1, 0)) = $F$1) * ('Master Data Sheet'!$G:$G=$B17) * ('Master Data Sheet'!$F:$F=$E17) * ('Master Data Sheet'!$A:$A=$F17), 0), MATCH($F$1, 'Master Data Sheet'!$1:$1, 0)), "")</f>
        <v>0.24620268620268621</v>
      </c>
      <c r="M17" s="11" cm="1">
        <f t="array" ref="M17">IFERROR(INDEX('Master Data Sheet'!$1:$1048576, MATCH(1, ('Master Data Sheet'!$H:$H=M$2) * (INDEX('Master Data Sheet'!$1:$1, , MATCH($F$1, 'Master Data Sheet'!$1:$1, 0)) = $F$1) * ('Master Data Sheet'!$G:$G=$B17) * ('Master Data Sheet'!$F:$F=$E17) * ('Master Data Sheet'!$A:$A=$F17), 0), MATCH($F$1, 'Master Data Sheet'!$1:$1, 0)), "")</f>
        <v>0.26451770451770451</v>
      </c>
      <c r="N17" s="11" cm="1">
        <f t="array" ref="N17">IFERROR(INDEX('Master Data Sheet'!$1:$1048576, MATCH(1, ('Master Data Sheet'!$H:$H=N$2) * (INDEX('Master Data Sheet'!$1:$1, , MATCH($F$1, 'Master Data Sheet'!$1:$1, 0)) = $F$1) * ('Master Data Sheet'!$G:$G=$B17) * ('Master Data Sheet'!$F:$F=$E17) * ('Master Data Sheet'!$A:$A=$F17), 0), MATCH($F$1, 'Master Data Sheet'!$1:$1, 0)), "")</f>
        <v>0.24009768009768009</v>
      </c>
      <c r="O17" s="11">
        <f t="shared" si="8"/>
        <v>0.26190127332984481</v>
      </c>
      <c r="P17" s="11">
        <f t="shared" si="4"/>
        <v>2.0204140187097E-2</v>
      </c>
      <c r="Q17" s="11"/>
      <c r="R17" s="46">
        <f>(1-(O17/O14))*100</f>
        <v>23.256051684658139</v>
      </c>
      <c r="X17" s="47">
        <f>(O14-O17)/70.1</f>
        <v>1.1321694631252399E-3</v>
      </c>
      <c r="Y17" s="47">
        <f>O14/70.1</f>
        <v>4.8682789257478484E-3</v>
      </c>
      <c r="AB17" s="2"/>
      <c r="AC17" s="2"/>
      <c r="AD17" s="2"/>
      <c r="AE17" s="2"/>
      <c r="AF17" s="2"/>
      <c r="AG17" s="2"/>
      <c r="AH17" s="2"/>
      <c r="AI17" s="2"/>
      <c r="AJ17" s="2"/>
    </row>
    <row r="18" spans="1:48" x14ac:dyDescent="0.35">
      <c r="A18" s="41">
        <f>IFERROR(INDEX('Date Key'!$B$2:$B$19, MATCH(F18,'Date Key'!$A$2:$A$19, 0)), "")</f>
        <v>45217</v>
      </c>
      <c r="B18" s="4">
        <f t="shared" si="15"/>
        <v>2</v>
      </c>
      <c r="C18" s="26" t="str">
        <f>IFERROR(INDEX('Date Key'!$G$57:$G$62, MATCH(B18,'Date Key'!$A$57:$A$62, 0)), "")</f>
        <v>Medium HLR, Lower Outlet Height, No Plants</v>
      </c>
      <c r="D18" s="4" t="str">
        <f>IFERROR(INDEX('Date Key'!$G$2:$G$19, MATCH(F18, 'Date Key'!$A$2:$A$19, 0)), "")</f>
        <v>No</v>
      </c>
      <c r="E18" s="4" t="str">
        <f t="shared" si="1"/>
        <v>tank 2</v>
      </c>
      <c r="F18" s="4">
        <f t="shared" si="2"/>
        <v>4</v>
      </c>
      <c r="G18" s="4">
        <f t="shared" si="22"/>
        <v>1</v>
      </c>
      <c r="H18" s="11" cm="1">
        <f t="array" ref="H18">IFERROR(INDEX('Master Data Sheet'!$1:$1048576, MATCH(1, ('Master Data Sheet'!$H:$H=H$2) * (INDEX('Master Data Sheet'!$1:$1, , MATCH($F$1, 'Master Data Sheet'!$1:$1, 0)) = $F$1) * ('Master Data Sheet'!$G:$G=$B18) * ('Master Data Sheet'!$F:$F=$E18) * ('Master Data Sheet'!$A:$A=$F18), 0), MATCH($F$1, 'Master Data Sheet'!$1:$1, 0)), "")</f>
        <v>0.67965811965811973</v>
      </c>
      <c r="I18" s="11" cm="1">
        <f t="array" ref="I18">IFERROR(INDEX('Master Data Sheet'!$1:$1048576, MATCH(1, ('Master Data Sheet'!$H:$H=I$2) * (INDEX('Master Data Sheet'!$1:$1, , MATCH($F$1, 'Master Data Sheet'!$1:$1, 0)) = $F$1) * ('Master Data Sheet'!$G:$G=$B18) * ('Master Data Sheet'!$F:$F=$E18) * ('Master Data Sheet'!$A:$A=$F18), 0), MATCH($F$1, 'Master Data Sheet'!$1:$1, 0)), "")</f>
        <v>0.60639804639804629</v>
      </c>
      <c r="J18" s="11" cm="1">
        <f t="array" ref="J18">IFERROR(INDEX('Master Data Sheet'!$1:$1048576, MATCH(1, ('Master Data Sheet'!$H:$H=J$2) * (INDEX('Master Data Sheet'!$1:$1, , MATCH($F$1, 'Master Data Sheet'!$1:$1, 0)) = $F$1) * ('Master Data Sheet'!$G:$G=$B18) * ('Master Data Sheet'!$F:$F=$E18) * ('Master Data Sheet'!$A:$A=$F18), 0), MATCH($F$1, 'Master Data Sheet'!$1:$1, 0)), "")</f>
        <v>0.51482295482295481</v>
      </c>
      <c r="K18" s="11" cm="1">
        <f t="array" ref="K18">IFERROR(INDEX('Master Data Sheet'!$1:$1048576, MATCH(1, ('Master Data Sheet'!$H:$H=K$2) * (INDEX('Master Data Sheet'!$1:$1, , MATCH($F$1, 'Master Data Sheet'!$1:$1, 0)) = $F$1) * ('Master Data Sheet'!$G:$G=$B18) * ('Master Data Sheet'!$F:$F=$E18) * ('Master Data Sheet'!$A:$A=$F18), 0), MATCH($F$1, 'Master Data Sheet'!$1:$1, 0)), "")</f>
        <v>0.3133577533577534</v>
      </c>
      <c r="L18" s="11" cm="1">
        <f t="array" ref="L18">IFERROR(INDEX('Master Data Sheet'!$1:$1048576, MATCH(1, ('Master Data Sheet'!$H:$H=L$2) * (INDEX('Master Data Sheet'!$1:$1, , MATCH($F$1, 'Master Data Sheet'!$1:$1, 0)) = $F$1) * ('Master Data Sheet'!$G:$G=$B18) * ('Master Data Sheet'!$F:$F=$E18) * ('Master Data Sheet'!$A:$A=$F18), 0), MATCH($F$1, 'Master Data Sheet'!$1:$1, 0)), "")</f>
        <v>0.28283272283272287</v>
      </c>
      <c r="M18" s="11" cm="1">
        <f t="array" ref="M18">IFERROR(INDEX('Master Data Sheet'!$1:$1048576, MATCH(1, ('Master Data Sheet'!$H:$H=M$2) * (INDEX('Master Data Sheet'!$1:$1, , MATCH($F$1, 'Master Data Sheet'!$1:$1, 0)) = $F$1) * ('Master Data Sheet'!$G:$G=$B18) * ('Master Data Sheet'!$F:$F=$E18) * ('Master Data Sheet'!$A:$A=$F18), 0), MATCH($F$1, 'Master Data Sheet'!$1:$1, 0)), "")</f>
        <v>0.30114774114774118</v>
      </c>
      <c r="N18" s="11" cm="1">
        <f t="array" ref="N18">IFERROR(INDEX('Master Data Sheet'!$1:$1048576, MATCH(1, ('Master Data Sheet'!$H:$H=N$2) * (INDEX('Master Data Sheet'!$1:$1, , MATCH($F$1, 'Master Data Sheet'!$1:$1, 0)) = $F$1) * ('Master Data Sheet'!$G:$G=$B18) * ('Master Data Sheet'!$F:$F=$E18) * ('Master Data Sheet'!$A:$A=$F18), 0), MATCH($F$1, 'Master Data Sheet'!$1:$1, 0)), "")</f>
        <v>0.41714285714285709</v>
      </c>
      <c r="O18" s="11">
        <f t="shared" si="8"/>
        <v>0.44505145648002792</v>
      </c>
      <c r="P18" s="11">
        <f t="shared" si="4"/>
        <v>0.1586854271078163</v>
      </c>
      <c r="Q18" s="11">
        <f>AVERAGE(N18:N20)</f>
        <v>0.40900284900284894</v>
      </c>
      <c r="R18" s="46">
        <f>(1-(O18/O12))*100</f>
        <v>53.324991585078521</v>
      </c>
      <c r="S18" s="46">
        <f>AVERAGE(R18:R20)</f>
        <v>-3.7248886546843352</v>
      </c>
      <c r="T18" s="46">
        <f>STDEV(R18:R20)</f>
        <v>72.348801841664752</v>
      </c>
      <c r="U18" s="47">
        <f>(1-(AVERAGE(H18:N20)/AVERAGE(H12:N14)))*100</f>
        <v>18.561227204036101</v>
      </c>
      <c r="V18" s="47"/>
      <c r="W18" s="47"/>
      <c r="X18" s="47">
        <f>(O15-O18)/45.6</f>
        <v>-6.2733145439912352E-3</v>
      </c>
      <c r="Y18" s="47">
        <f>O12/45.6</f>
        <v>2.0910334444169034E-2</v>
      </c>
      <c r="AB18" s="2"/>
      <c r="AC18" s="2"/>
      <c r="AD18" s="2"/>
      <c r="AE18" s="2"/>
      <c r="AF18" s="2"/>
      <c r="AG18" s="2"/>
      <c r="AH18" s="2"/>
      <c r="AI18" s="2"/>
      <c r="AJ18" s="2"/>
    </row>
    <row r="19" spans="1:48" x14ac:dyDescent="0.35">
      <c r="A19" s="41">
        <f>IFERROR(INDEX('Date Key'!$B$2:$B$19, MATCH(F19,'Date Key'!$A$2:$A$19, 0)), "")</f>
        <v>45224</v>
      </c>
      <c r="B19" s="4">
        <f t="shared" si="15"/>
        <v>2</v>
      </c>
      <c r="C19" s="26" t="str">
        <f>IFERROR(INDEX('Date Key'!$G$57:$G$62, MATCH(B19,'Date Key'!$A$57:$A$62, 0)), "")</f>
        <v>Medium HLR, Lower Outlet Height, No Plants</v>
      </c>
      <c r="D19" s="4" t="str">
        <f>IFERROR(INDEX('Date Key'!$G$2:$G$19, MATCH(F19, 'Date Key'!$A$2:$A$19, 0)), "")</f>
        <v>No</v>
      </c>
      <c r="E19" s="4" t="str">
        <f t="shared" si="1"/>
        <v>tank 2</v>
      </c>
      <c r="F19" s="4">
        <f t="shared" si="2"/>
        <v>5</v>
      </c>
      <c r="G19" s="4">
        <f t="shared" si="22"/>
        <v>2</v>
      </c>
      <c r="H19" s="11" cm="1">
        <f t="array" ref="H19">IFERROR(INDEX('Master Data Sheet'!$1:$1048576, MATCH(1, ('Master Data Sheet'!$H:$H=H$2) * (INDEX('Master Data Sheet'!$1:$1, , MATCH($F$1, 'Master Data Sheet'!$1:$1, 0)) = $F$1) * ('Master Data Sheet'!$G:$G=$B19) * ('Master Data Sheet'!$F:$F=$E19) * ('Master Data Sheet'!$A:$A=$F19), 0), MATCH($F$1, 'Master Data Sheet'!$1:$1, 0)), "")</f>
        <v>1.1863736263736266</v>
      </c>
      <c r="I19" s="11" cm="1">
        <f t="array" ref="I19">IFERROR(INDEX('Master Data Sheet'!$1:$1048576, MATCH(1, ('Master Data Sheet'!$H:$H=I$2) * (INDEX('Master Data Sheet'!$1:$1, , MATCH($F$1, 'Master Data Sheet'!$1:$1, 0)) = $F$1) * ('Master Data Sheet'!$G:$G=$B19) * ('Master Data Sheet'!$F:$F=$E19) * ('Master Data Sheet'!$A:$A=$F19), 0), MATCH($F$1, 'Master Data Sheet'!$1:$1, 0)), "")</f>
        <v>1.3084737484737485</v>
      </c>
      <c r="J19" s="11" cm="1">
        <f t="array" ref="J19">IFERROR(INDEX('Master Data Sheet'!$1:$1048576, MATCH(1, ('Master Data Sheet'!$H:$H=J$2) * (INDEX('Master Data Sheet'!$1:$1, , MATCH($F$1, 'Master Data Sheet'!$1:$1, 0)) = $F$1) * ('Master Data Sheet'!$G:$G=$B19) * ('Master Data Sheet'!$F:$F=$E19) * ('Master Data Sheet'!$A:$A=$F19), 0), MATCH($F$1, 'Master Data Sheet'!$1:$1, 0)), "")</f>
        <v>0.88112332112332115</v>
      </c>
      <c r="K19" s="11" cm="1">
        <f t="array" ref="K19">IFERROR(INDEX('Master Data Sheet'!$1:$1048576, MATCH(1, ('Master Data Sheet'!$H:$H=K$2) * (INDEX('Master Data Sheet'!$1:$1, , MATCH($F$1, 'Master Data Sheet'!$1:$1, 0)) = $F$1) * ('Master Data Sheet'!$G:$G=$B19) * ('Master Data Sheet'!$F:$F=$E19) * ('Master Data Sheet'!$A:$A=$F19), 0), MATCH($F$1, 'Master Data Sheet'!$1:$1, 0)), "")</f>
        <v>0.7284981684981684</v>
      </c>
      <c r="L19" s="11" cm="1">
        <f t="array" ref="L19">IFERROR(INDEX('Master Data Sheet'!$1:$1048576, MATCH(1, ('Master Data Sheet'!$H:$H=L$2) * (INDEX('Master Data Sheet'!$1:$1, , MATCH($F$1, 'Master Data Sheet'!$1:$1, 0)) = $F$1) * ('Master Data Sheet'!$G:$G=$B19) * ('Master Data Sheet'!$F:$F=$E19) * ('Master Data Sheet'!$A:$A=$F19), 0), MATCH($F$1, 'Master Data Sheet'!$1:$1, 0)), "")</f>
        <v>0.67355311355311365</v>
      </c>
      <c r="M19" s="11" cm="1">
        <f t="array" ref="M19">IFERROR(INDEX('Master Data Sheet'!$1:$1048576, MATCH(1, ('Master Data Sheet'!$H:$H=M$2) * (INDEX('Master Data Sheet'!$1:$1, , MATCH($F$1, 'Master Data Sheet'!$1:$1, 0)) = $F$1) * ('Master Data Sheet'!$G:$G=$B19) * ('Master Data Sheet'!$F:$F=$E19) * ('Master Data Sheet'!$A:$A=$F19), 0), MATCH($F$1, 'Master Data Sheet'!$1:$1, 0)), "")</f>
        <v>0.64302808302808301</v>
      </c>
      <c r="N19" s="11" cm="1">
        <f t="array" ref="N19">IFERROR(INDEX('Master Data Sheet'!$1:$1048576, MATCH(1, ('Master Data Sheet'!$H:$H=N$2) * (INDEX('Master Data Sheet'!$1:$1, , MATCH($F$1, 'Master Data Sheet'!$1:$1, 0)) = $F$1) * ('Master Data Sheet'!$G:$G=$B19) * ('Master Data Sheet'!$F:$F=$E19) * ('Master Data Sheet'!$A:$A=$F19), 0), MATCH($F$1, 'Master Data Sheet'!$1:$1, 0)), "")</f>
        <v>0.64913308913308909</v>
      </c>
      <c r="O19" s="11">
        <f t="shared" si="8"/>
        <v>0.86716902145473596</v>
      </c>
      <c r="P19" s="11">
        <f t="shared" si="4"/>
        <v>0.2742662081762936</v>
      </c>
      <c r="Q19" s="11"/>
      <c r="R19" s="46">
        <f>(1-(O19/O13))*100</f>
        <v>20.60215795626592</v>
      </c>
      <c r="X19" s="47">
        <f>(O16-O19)/45.6</f>
        <v>-1.0519277436570674E-2</v>
      </c>
      <c r="Y19" s="47">
        <f>O13/45.6</f>
        <v>2.3951361921286735E-2</v>
      </c>
      <c r="AA19" t="str">
        <f>IFERROR(INDEX('Date Key'!$G$57:$G$62, MATCH(B18,'Date Key'!$A$57:$A$62, 0)), "")</f>
        <v>Medium HLR, Lower Outlet Height, No Plants</v>
      </c>
      <c r="AB19" s="1">
        <f t="shared" ref="AB19:AH19" si="23">H18</f>
        <v>0.67965811965811973</v>
      </c>
      <c r="AC19" s="1">
        <f t="shared" si="23"/>
        <v>0.60639804639804629</v>
      </c>
      <c r="AD19" s="1">
        <f t="shared" si="23"/>
        <v>0.51482295482295481</v>
      </c>
      <c r="AE19" s="1">
        <f t="shared" si="23"/>
        <v>0.3133577533577534</v>
      </c>
      <c r="AF19" s="1">
        <f t="shared" si="23"/>
        <v>0.28283272283272287</v>
      </c>
      <c r="AG19" s="1">
        <f t="shared" si="23"/>
        <v>0.30114774114774118</v>
      </c>
      <c r="AH19" s="1">
        <f t="shared" si="23"/>
        <v>0.41714285714285709</v>
      </c>
      <c r="AI19" s="1">
        <f t="shared" ref="AI19:AO19" si="24">H19</f>
        <v>1.1863736263736266</v>
      </c>
      <c r="AJ19" s="1">
        <f t="shared" si="24"/>
        <v>1.3084737484737485</v>
      </c>
      <c r="AK19" s="1">
        <f t="shared" si="24"/>
        <v>0.88112332112332115</v>
      </c>
      <c r="AL19" s="1">
        <f t="shared" si="24"/>
        <v>0.7284981684981684</v>
      </c>
      <c r="AM19" s="1">
        <f t="shared" si="24"/>
        <v>0.67355311355311365</v>
      </c>
      <c r="AN19" s="1">
        <f t="shared" si="24"/>
        <v>0.64302808302808301</v>
      </c>
      <c r="AO19" s="1">
        <f t="shared" si="24"/>
        <v>0.64913308913308909</v>
      </c>
      <c r="AP19" s="1">
        <f t="shared" ref="AP19:AV19" si="25">H20</f>
        <v>1.03985347985348</v>
      </c>
      <c r="AQ19" s="1">
        <f t="shared" si="25"/>
        <v>1.0764835164835165</v>
      </c>
      <c r="AR19" s="1">
        <f t="shared" si="25"/>
        <v>0.83838827838827834</v>
      </c>
      <c r="AS19" s="1">
        <f t="shared" si="25"/>
        <v>0.63692307692307693</v>
      </c>
      <c r="AT19" s="1">
        <f t="shared" si="25"/>
        <v>0.36219780219780212</v>
      </c>
      <c r="AU19" s="1">
        <f t="shared" si="25"/>
        <v>0.30725274725274732</v>
      </c>
      <c r="AV19" s="1">
        <f t="shared" si="25"/>
        <v>0.16073260073260073</v>
      </c>
    </row>
    <row r="20" spans="1:48" x14ac:dyDescent="0.35">
      <c r="A20" s="42">
        <f>IFERROR(INDEX('Date Key'!$B$2:$B$19, MATCH(F20,'Date Key'!$A$2:$A$19, 0)), "")</f>
        <v>45230</v>
      </c>
      <c r="B20" s="27">
        <f t="shared" si="15"/>
        <v>2</v>
      </c>
      <c r="C20" s="51" t="str">
        <f>IFERROR(INDEX('Date Key'!$G$57:$G$62, MATCH(B20,'Date Key'!$A$57:$A$62, 0)), "")</f>
        <v>Medium HLR, Lower Outlet Height, No Plants</v>
      </c>
      <c r="D20" s="27" t="str">
        <f>IFERROR(INDEX('Date Key'!$G$2:$G$19, MATCH(F20, 'Date Key'!$A$2:$A$19, 0)), "")</f>
        <v>Yes</v>
      </c>
      <c r="E20" s="27" t="str">
        <f t="shared" si="1"/>
        <v>tank 2</v>
      </c>
      <c r="F20" s="27">
        <f t="shared" si="2"/>
        <v>6</v>
      </c>
      <c r="G20" s="27">
        <f t="shared" si="22"/>
        <v>3</v>
      </c>
      <c r="H20" s="28" cm="1">
        <f t="array" ref="H20">IFERROR(INDEX('Master Data Sheet'!$1:$1048576, MATCH(1, ('Master Data Sheet'!$H:$H=H$2) * (INDEX('Master Data Sheet'!$1:$1, , MATCH($F$1, 'Master Data Sheet'!$1:$1, 0)) = $F$1) * ('Master Data Sheet'!$G:$G=$B20) * ('Master Data Sheet'!$F:$F=$E20) * ('Master Data Sheet'!$A:$A=$F20), 0), MATCH($F$1, 'Master Data Sheet'!$1:$1, 0)), "")</f>
        <v>1.03985347985348</v>
      </c>
      <c r="I20" s="28" cm="1">
        <f t="array" ref="I20">IFERROR(INDEX('Master Data Sheet'!$1:$1048576, MATCH(1, ('Master Data Sheet'!$H:$H=I$2) * (INDEX('Master Data Sheet'!$1:$1, , MATCH($F$1, 'Master Data Sheet'!$1:$1, 0)) = $F$1) * ('Master Data Sheet'!$G:$G=$B20) * ('Master Data Sheet'!$F:$F=$E20) * ('Master Data Sheet'!$A:$A=$F20), 0), MATCH($F$1, 'Master Data Sheet'!$1:$1, 0)), "")</f>
        <v>1.0764835164835165</v>
      </c>
      <c r="J20" s="28" cm="1">
        <f t="array" ref="J20">IFERROR(INDEX('Master Data Sheet'!$1:$1048576, MATCH(1, ('Master Data Sheet'!$H:$H=J$2) * (INDEX('Master Data Sheet'!$1:$1, , MATCH($F$1, 'Master Data Sheet'!$1:$1, 0)) = $F$1) * ('Master Data Sheet'!$G:$G=$B20) * ('Master Data Sheet'!$F:$F=$E20) * ('Master Data Sheet'!$A:$A=$F20), 0), MATCH($F$1, 'Master Data Sheet'!$1:$1, 0)), "")</f>
        <v>0.83838827838827834</v>
      </c>
      <c r="K20" s="28" cm="1">
        <f t="array" ref="K20">IFERROR(INDEX('Master Data Sheet'!$1:$1048576, MATCH(1, ('Master Data Sheet'!$H:$H=K$2) * (INDEX('Master Data Sheet'!$1:$1, , MATCH($F$1, 'Master Data Sheet'!$1:$1, 0)) = $F$1) * ('Master Data Sheet'!$G:$G=$B20) * ('Master Data Sheet'!$F:$F=$E20) * ('Master Data Sheet'!$A:$A=$F20), 0), MATCH($F$1, 'Master Data Sheet'!$1:$1, 0)), "")</f>
        <v>0.63692307692307693</v>
      </c>
      <c r="L20" s="28" cm="1">
        <f t="array" ref="L20">IFERROR(INDEX('Master Data Sheet'!$1:$1048576, MATCH(1, ('Master Data Sheet'!$H:$H=L$2) * (INDEX('Master Data Sheet'!$1:$1, , MATCH($F$1, 'Master Data Sheet'!$1:$1, 0)) = $F$1) * ('Master Data Sheet'!$G:$G=$B20) * ('Master Data Sheet'!$F:$F=$E20) * ('Master Data Sheet'!$A:$A=$F20), 0), MATCH($F$1, 'Master Data Sheet'!$1:$1, 0)), "")</f>
        <v>0.36219780219780212</v>
      </c>
      <c r="M20" s="28" cm="1">
        <f t="array" ref="M20">IFERROR(INDEX('Master Data Sheet'!$1:$1048576, MATCH(1, ('Master Data Sheet'!$H:$H=M$2) * (INDEX('Master Data Sheet'!$1:$1, , MATCH($F$1, 'Master Data Sheet'!$1:$1, 0)) = $F$1) * ('Master Data Sheet'!$G:$G=$B20) * ('Master Data Sheet'!$F:$F=$E20) * ('Master Data Sheet'!$A:$A=$F20), 0), MATCH($F$1, 'Master Data Sheet'!$1:$1, 0)), "")</f>
        <v>0.30725274725274732</v>
      </c>
      <c r="N20" s="28" cm="1">
        <f t="array" ref="N20">IFERROR(INDEX('Master Data Sheet'!$1:$1048576, MATCH(1, ('Master Data Sheet'!$H:$H=N$2) * (INDEX('Master Data Sheet'!$1:$1, , MATCH($F$1, 'Master Data Sheet'!$1:$1, 0)) = $F$1) * ('Master Data Sheet'!$G:$G=$B20) * ('Master Data Sheet'!$F:$F=$E20) * ('Master Data Sheet'!$A:$A=$F20), 0), MATCH($F$1, 'Master Data Sheet'!$1:$1, 0)), "")</f>
        <v>0.16073260073260073</v>
      </c>
      <c r="O20" s="28">
        <f t="shared" si="8"/>
        <v>0.63169021454735741</v>
      </c>
      <c r="P20" s="28">
        <f t="shared" si="4"/>
        <v>0.36671440057749527</v>
      </c>
      <c r="Q20" s="28"/>
      <c r="R20" s="48">
        <f>(1-(O20/O14))*100</f>
        <v>-85.101815505397454</v>
      </c>
      <c r="S20" s="27"/>
      <c r="T20" s="27"/>
      <c r="U20" s="27"/>
      <c r="V20" s="27"/>
      <c r="W20" s="27"/>
      <c r="X20" s="47">
        <f>(O17-O20)/45.6</f>
        <v>-8.1094066056472056E-3</v>
      </c>
      <c r="Y20" s="47">
        <f>O14/45.6</f>
        <v>7.4839112433097389E-3</v>
      </c>
    </row>
    <row r="21" spans="1:48" x14ac:dyDescent="0.35">
      <c r="A21" s="41">
        <f>IFERROR(INDEX('Date Key'!$B$2:$B$19, MATCH(F21,'Date Key'!$A$2:$A$19, 0)), "")</f>
        <v>45233</v>
      </c>
      <c r="B21" s="4">
        <f t="shared" si="15"/>
        <v>3</v>
      </c>
      <c r="C21" s="26" t="str">
        <f>IFERROR(INDEX('Date Key'!$G$57:$G$62, MATCH(B21,'Date Key'!$A$57:$A$62, 0)), "")</f>
        <v>High HLR, Lower Outlet Height, No Plants</v>
      </c>
      <c r="D21" s="4" t="str">
        <f>IFERROR(INDEX('Date Key'!$G$2:$G$19, MATCH(F21, 'Date Key'!$A$2:$A$19, 0)), "")</f>
        <v>No</v>
      </c>
      <c r="E21" s="4" t="str">
        <f t="shared" si="1"/>
        <v>in</v>
      </c>
      <c r="F21" s="4">
        <f t="shared" si="2"/>
        <v>7</v>
      </c>
      <c r="G21" s="4">
        <f t="shared" si="22"/>
        <v>1</v>
      </c>
      <c r="H21" s="11" cm="1">
        <f t="array" ref="H21">IFERROR(INDEX('Master Data Sheet'!$1:$1048576, MATCH(1, ('Master Data Sheet'!$H:$H=H$2) * (INDEX('Master Data Sheet'!$1:$1, , MATCH($F$1, 'Master Data Sheet'!$1:$1, 0)) = $F$1) * ('Master Data Sheet'!$G:$G=$B21) * ('Master Data Sheet'!$F:$F=$E21) * ('Master Data Sheet'!$A:$A=$F21), 0), MATCH($F$1, 'Master Data Sheet'!$1:$1, 0)), "")</f>
        <v>0.52092796092796101</v>
      </c>
      <c r="I21" s="11" cm="1">
        <f t="array" ref="I21">IFERROR(INDEX('Master Data Sheet'!$1:$1048576, MATCH(1, ('Master Data Sheet'!$H:$H=I$2) * (INDEX('Master Data Sheet'!$1:$1, , MATCH($F$1, 'Master Data Sheet'!$1:$1, 0)) = $F$1) * ('Master Data Sheet'!$G:$G=$B21) * ('Master Data Sheet'!$F:$F=$E21) * ('Master Data Sheet'!$A:$A=$F21), 0), MATCH($F$1, 'Master Data Sheet'!$1:$1, 0)), "")</f>
        <v>0.85059829059829051</v>
      </c>
      <c r="J21" s="11" cm="1">
        <f t="array" ref="J21">IFERROR(INDEX('Master Data Sheet'!$1:$1048576, MATCH(1, ('Master Data Sheet'!$H:$H=J$2) * (INDEX('Master Data Sheet'!$1:$1, , MATCH($F$1, 'Master Data Sheet'!$1:$1, 0)) = $F$1) * ('Master Data Sheet'!$G:$G=$B21) * ('Master Data Sheet'!$F:$F=$E21) * ('Master Data Sheet'!$A:$A=$F21), 0), MATCH($F$1, 'Master Data Sheet'!$1:$1, 0)), "")</f>
        <v>1.1192185592185593</v>
      </c>
      <c r="K21" s="11" cm="1">
        <f t="array" ref="K21">IFERROR(INDEX('Master Data Sheet'!$1:$1048576, MATCH(1, ('Master Data Sheet'!$H:$H=K$2) * (INDEX('Master Data Sheet'!$1:$1, , MATCH($F$1, 'Master Data Sheet'!$1:$1, 0)) = $F$1) * ('Master Data Sheet'!$G:$G=$B21) * ('Master Data Sheet'!$F:$F=$E21) * ('Master Data Sheet'!$A:$A=$F21), 0), MATCH($F$1, 'Master Data Sheet'!$1:$1, 0)), "")</f>
        <v>1.2657387057387057</v>
      </c>
      <c r="L21" s="11" cm="1">
        <f t="array" ref="L21">IFERROR(INDEX('Master Data Sheet'!$1:$1048576, MATCH(1, ('Master Data Sheet'!$H:$H=L$2) * (INDEX('Master Data Sheet'!$1:$1, , MATCH($F$1, 'Master Data Sheet'!$1:$1, 0)) = $F$1) * ('Master Data Sheet'!$G:$G=$B21) * ('Master Data Sheet'!$F:$F=$E21) * ('Master Data Sheet'!$A:$A=$F21), 0), MATCH($F$1, 'Master Data Sheet'!$1:$1, 0)), "")</f>
        <v>1.4488888888888889</v>
      </c>
      <c r="M21" s="11" cm="1">
        <f t="array" ref="M21">IFERROR(INDEX('Master Data Sheet'!$1:$1048576, MATCH(1, ('Master Data Sheet'!$H:$H=M$2) * (INDEX('Master Data Sheet'!$1:$1, , MATCH($F$1, 'Master Data Sheet'!$1:$1, 0)) = $F$1) * ('Master Data Sheet'!$G:$G=$B21) * ('Master Data Sheet'!$F:$F=$E21) * ('Master Data Sheet'!$A:$A=$F21), 0), MATCH($F$1, 'Master Data Sheet'!$1:$1, 0)), "")</f>
        <v>1.6381440781440779</v>
      </c>
      <c r="N21" s="11" cm="1">
        <f t="array" ref="N21">IFERROR(INDEX('Master Data Sheet'!$1:$1048576, MATCH(1, ('Master Data Sheet'!$H:$H=N$2) * (INDEX('Master Data Sheet'!$1:$1, , MATCH($F$1, 'Master Data Sheet'!$1:$1, 0)) = $F$1) * ('Master Data Sheet'!$G:$G=$B21) * ('Master Data Sheet'!$F:$F=$E21) * ('Master Data Sheet'!$A:$A=$F21), 0), MATCH($F$1, 'Master Data Sheet'!$1:$1, 0)), "")</f>
        <v>1.8945543345543345</v>
      </c>
      <c r="O21" s="11">
        <f t="shared" si="8"/>
        <v>1.2482958311529739</v>
      </c>
      <c r="P21" s="11">
        <f t="shared" si="4"/>
        <v>0.46798536873767177</v>
      </c>
      <c r="Q21" s="11">
        <f>AVERAGE(O21:O23)</f>
        <v>1.0183406011977441</v>
      </c>
      <c r="S21" s="11">
        <f>AVERAGE(O21:O23)</f>
        <v>1.0183406011977441</v>
      </c>
      <c r="T21" s="11">
        <f>AVERAGE(P21:P23)</f>
        <v>0.37790594502982539</v>
      </c>
      <c r="V21" s="47">
        <f>AVERAGE(U24, U27)</f>
        <v>-2.9404308673300861</v>
      </c>
      <c r="W21" s="47">
        <f>_xlfn.STDEV.S(U24,U27)</f>
        <v>36.416255194586057</v>
      </c>
      <c r="X21" s="47"/>
      <c r="Y21" s="47"/>
      <c r="AA21" t="s">
        <v>343</v>
      </c>
    </row>
    <row r="22" spans="1:48" x14ac:dyDescent="0.35">
      <c r="A22" s="41">
        <f>IFERROR(INDEX('Date Key'!$B$2:$B$19, MATCH(F22,'Date Key'!$A$2:$A$19, 0)), "")</f>
        <v>45238</v>
      </c>
      <c r="B22" s="4">
        <f t="shared" si="15"/>
        <v>3</v>
      </c>
      <c r="C22" s="26" t="str">
        <f>IFERROR(INDEX('Date Key'!$G$57:$G$62, MATCH(B22,'Date Key'!$A$57:$A$62, 0)), "")</f>
        <v>High HLR, Lower Outlet Height, No Plants</v>
      </c>
      <c r="D22" s="4" t="str">
        <f>IFERROR(INDEX('Date Key'!$G$2:$G$19, MATCH(F22, 'Date Key'!$A$2:$A$19, 0)), "")</f>
        <v>No</v>
      </c>
      <c r="E22" s="4" t="str">
        <f t="shared" si="1"/>
        <v>in</v>
      </c>
      <c r="F22" s="4">
        <f t="shared" si="2"/>
        <v>8</v>
      </c>
      <c r="G22" s="4">
        <f t="shared" si="22"/>
        <v>2</v>
      </c>
      <c r="H22" s="11" cm="1">
        <f t="array" ref="H22">IFERROR(INDEX('Master Data Sheet'!$1:$1048576, MATCH(1, ('Master Data Sheet'!$H:$H=H$2) * (INDEX('Master Data Sheet'!$1:$1, , MATCH($F$1, 'Master Data Sheet'!$1:$1, 0)) = $F$1) * ('Master Data Sheet'!$G:$G=$B22) * ('Master Data Sheet'!$F:$F=$E22) * ('Master Data Sheet'!$A:$A=$F22), 0), MATCH($F$1, 'Master Data Sheet'!$1:$1, 0)), "")</f>
        <v>0.1424175824175824</v>
      </c>
      <c r="I22" s="11" cm="1">
        <f t="array" ref="I22">IFERROR(INDEX('Master Data Sheet'!$1:$1048576, MATCH(1, ('Master Data Sheet'!$H:$H=I$2) * (INDEX('Master Data Sheet'!$1:$1, , MATCH($F$1, 'Master Data Sheet'!$1:$1, 0)) = $F$1) * ('Master Data Sheet'!$G:$G=$B22) * ('Master Data Sheet'!$F:$F=$E22) * ('Master Data Sheet'!$A:$A=$F22), 0), MATCH($F$1, 'Master Data Sheet'!$1:$1, 0)), "")</f>
        <v>0.86891330891330898</v>
      </c>
      <c r="J22" s="11" cm="1">
        <f t="array" ref="J22">IFERROR(INDEX('Master Data Sheet'!$1:$1048576, MATCH(1, ('Master Data Sheet'!$H:$H=J$2) * (INDEX('Master Data Sheet'!$1:$1, , MATCH($F$1, 'Master Data Sheet'!$1:$1, 0)) = $F$1) * ('Master Data Sheet'!$G:$G=$B22) * ('Master Data Sheet'!$F:$F=$E22) * ('Master Data Sheet'!$A:$A=$F22), 0), MATCH($F$1, 'Master Data Sheet'!$1:$1, 0)), "")</f>
        <v>1.1680586080586082</v>
      </c>
      <c r="K22" s="11" cm="1">
        <f t="array" ref="K22">IFERROR(INDEX('Master Data Sheet'!$1:$1048576, MATCH(1, ('Master Data Sheet'!$H:$H=K$2) * (INDEX('Master Data Sheet'!$1:$1, , MATCH($F$1, 'Master Data Sheet'!$1:$1, 0)) = $F$1) * ('Master Data Sheet'!$G:$G=$B22) * ('Master Data Sheet'!$F:$F=$E22) * ('Master Data Sheet'!$A:$A=$F22), 0), MATCH($F$1, 'Master Data Sheet'!$1:$1, 0)), "")</f>
        <v>1.3695238095238096</v>
      </c>
      <c r="L22" s="11" cm="1">
        <f t="array" ref="L22">IFERROR(INDEX('Master Data Sheet'!$1:$1048576, MATCH(1, ('Master Data Sheet'!$H:$H=L$2) * (INDEX('Master Data Sheet'!$1:$1, , MATCH($F$1, 'Master Data Sheet'!$1:$1, 0)) = $F$1) * ('Master Data Sheet'!$G:$G=$B22) * ('Master Data Sheet'!$F:$F=$E22) * ('Master Data Sheet'!$A:$A=$F22), 0), MATCH($F$1, 'Master Data Sheet'!$1:$1, 0)), "")</f>
        <v>1.6137240537240534</v>
      </c>
      <c r="M22" s="11" cm="1">
        <f t="array" ref="M22">IFERROR(INDEX('Master Data Sheet'!$1:$1048576, MATCH(1, ('Master Data Sheet'!$H:$H=M$2) * (INDEX('Master Data Sheet'!$1:$1, , MATCH($F$1, 'Master Data Sheet'!$1:$1, 0)) = $F$1) * ('Master Data Sheet'!$G:$G=$B22) * ('Master Data Sheet'!$F:$F=$E22) * ('Master Data Sheet'!$A:$A=$F22), 0), MATCH($F$1, 'Master Data Sheet'!$1:$1, 0)), "")</f>
        <v>1.7358241758241757</v>
      </c>
      <c r="N22" s="11" cm="1">
        <f t="array" ref="N22">IFERROR(INDEX('Master Data Sheet'!$1:$1048576, MATCH(1, ('Master Data Sheet'!$H:$H=N$2) * (INDEX('Master Data Sheet'!$1:$1, , MATCH($F$1, 'Master Data Sheet'!$1:$1, 0)) = $F$1) * ('Master Data Sheet'!$G:$G=$B22) * ('Master Data Sheet'!$F:$F=$E22) * ('Master Data Sheet'!$A:$A=$F22), 0), MATCH($F$1, 'Master Data Sheet'!$1:$1, 0)), "")</f>
        <v>1.8396092796092796</v>
      </c>
      <c r="O22" s="11">
        <f t="shared" si="8"/>
        <v>1.2482958311529739</v>
      </c>
      <c r="P22" s="11">
        <f t="shared" si="4"/>
        <v>0.59286104343701418</v>
      </c>
      <c r="Q22" s="11"/>
      <c r="AA22" t="str">
        <f>IFERROR(INDEX('Date Key'!$G$57:$G$62, MATCH(B21,'Date Key'!$A$57:$A$62, 0)), "")</f>
        <v>High HLR, Lower Outlet Height, No Plants</v>
      </c>
      <c r="AB22" s="1">
        <f t="shared" ref="AB22:AH22" si="26">H21</f>
        <v>0.52092796092796101</v>
      </c>
      <c r="AC22" s="1">
        <f t="shared" si="26"/>
        <v>0.85059829059829051</v>
      </c>
      <c r="AD22" s="1">
        <f t="shared" si="26"/>
        <v>1.1192185592185593</v>
      </c>
      <c r="AE22" s="1">
        <f t="shared" si="26"/>
        <v>1.2657387057387057</v>
      </c>
      <c r="AF22" s="1">
        <f t="shared" si="26"/>
        <v>1.4488888888888889</v>
      </c>
      <c r="AG22" s="1">
        <f t="shared" si="26"/>
        <v>1.6381440781440779</v>
      </c>
      <c r="AH22" s="1">
        <f t="shared" si="26"/>
        <v>1.8945543345543345</v>
      </c>
      <c r="AI22" s="1">
        <f t="shared" ref="AI22:AO22" si="27">H22</f>
        <v>0.1424175824175824</v>
      </c>
      <c r="AJ22" s="1">
        <f t="shared" si="27"/>
        <v>0.86891330891330898</v>
      </c>
      <c r="AK22" s="1">
        <f t="shared" si="27"/>
        <v>1.1680586080586082</v>
      </c>
      <c r="AL22" s="1">
        <f t="shared" si="27"/>
        <v>1.3695238095238096</v>
      </c>
      <c r="AM22" s="1">
        <f t="shared" si="27"/>
        <v>1.6137240537240534</v>
      </c>
      <c r="AN22" s="1">
        <f t="shared" si="27"/>
        <v>1.7358241758241757</v>
      </c>
      <c r="AO22" s="1">
        <f t="shared" si="27"/>
        <v>1.8396092796092796</v>
      </c>
      <c r="AP22" s="1">
        <f t="shared" ref="AP22:AV22" si="28">H23</f>
        <v>0.68576312576312581</v>
      </c>
      <c r="AQ22" s="1">
        <f t="shared" si="28"/>
        <v>0.56976800976800979</v>
      </c>
      <c r="AR22" s="1">
        <f t="shared" si="28"/>
        <v>0.59418803418803412</v>
      </c>
      <c r="AS22" s="1">
        <f t="shared" si="28"/>
        <v>0.54534798534798523</v>
      </c>
      <c r="AT22" s="1">
        <f t="shared" si="28"/>
        <v>0.5636630036630037</v>
      </c>
      <c r="AU22" s="1">
        <f t="shared" si="28"/>
        <v>0.46598290598290598</v>
      </c>
      <c r="AV22" s="1">
        <f t="shared" si="28"/>
        <v>0.48429792429792434</v>
      </c>
    </row>
    <row r="23" spans="1:48" x14ac:dyDescent="0.35">
      <c r="A23" s="41">
        <f>IFERROR(INDEX('Date Key'!$B$2:$B$19, MATCH(F23,'Date Key'!$A$2:$A$19, 0)), "")</f>
        <v>45246</v>
      </c>
      <c r="B23" s="4">
        <f t="shared" si="15"/>
        <v>3</v>
      </c>
      <c r="C23" s="26" t="str">
        <f>IFERROR(INDEX('Date Key'!$G$57:$G$62, MATCH(B23,'Date Key'!$A$57:$A$62, 0)), "")</f>
        <v>High HLR, Lower Outlet Height, No Plants</v>
      </c>
      <c r="D23" s="4" t="str">
        <f>IFERROR(INDEX('Date Key'!$G$2:$G$19, MATCH(F23, 'Date Key'!$A$2:$A$19, 0)), "")</f>
        <v>Yes</v>
      </c>
      <c r="E23" s="4" t="str">
        <f t="shared" si="1"/>
        <v>in</v>
      </c>
      <c r="F23" s="4">
        <f t="shared" si="2"/>
        <v>9</v>
      </c>
      <c r="G23" s="4">
        <f t="shared" si="22"/>
        <v>3</v>
      </c>
      <c r="H23" s="11" cm="1">
        <f t="array" ref="H23">IFERROR(INDEX('Master Data Sheet'!$1:$1048576, MATCH(1, ('Master Data Sheet'!$H:$H=H$2) * (INDEX('Master Data Sheet'!$1:$1, , MATCH($F$1, 'Master Data Sheet'!$1:$1, 0)) = $F$1) * ('Master Data Sheet'!$G:$G=$B23) * ('Master Data Sheet'!$F:$F=$E23) * ('Master Data Sheet'!$A:$A=$F23), 0), MATCH($F$1, 'Master Data Sheet'!$1:$1, 0)), "")</f>
        <v>0.68576312576312581</v>
      </c>
      <c r="I23" s="11" cm="1">
        <f t="array" ref="I23">IFERROR(INDEX('Master Data Sheet'!$1:$1048576, MATCH(1, ('Master Data Sheet'!$H:$H=I$2) * (INDEX('Master Data Sheet'!$1:$1, , MATCH($F$1, 'Master Data Sheet'!$1:$1, 0)) = $F$1) * ('Master Data Sheet'!$G:$G=$B23) * ('Master Data Sheet'!$F:$F=$E23) * ('Master Data Sheet'!$A:$A=$F23), 0), MATCH($F$1, 'Master Data Sheet'!$1:$1, 0)), "")</f>
        <v>0.56976800976800979</v>
      </c>
      <c r="J23" s="11" cm="1">
        <f t="array" ref="J23">IFERROR(INDEX('Master Data Sheet'!$1:$1048576, MATCH(1, ('Master Data Sheet'!$H:$H=J$2) * (INDEX('Master Data Sheet'!$1:$1, , MATCH($F$1, 'Master Data Sheet'!$1:$1, 0)) = $F$1) * ('Master Data Sheet'!$G:$G=$B23) * ('Master Data Sheet'!$F:$F=$E23) * ('Master Data Sheet'!$A:$A=$F23), 0), MATCH($F$1, 'Master Data Sheet'!$1:$1, 0)), "")</f>
        <v>0.59418803418803412</v>
      </c>
      <c r="K23" s="11" cm="1">
        <f t="array" ref="K23">IFERROR(INDEX('Master Data Sheet'!$1:$1048576, MATCH(1, ('Master Data Sheet'!$H:$H=K$2) * (INDEX('Master Data Sheet'!$1:$1, , MATCH($F$1, 'Master Data Sheet'!$1:$1, 0)) = $F$1) * ('Master Data Sheet'!$G:$G=$B23) * ('Master Data Sheet'!$F:$F=$E23) * ('Master Data Sheet'!$A:$A=$F23), 0), MATCH($F$1, 'Master Data Sheet'!$1:$1, 0)), "")</f>
        <v>0.54534798534798523</v>
      </c>
      <c r="L23" s="11" cm="1">
        <f t="array" ref="L23">IFERROR(INDEX('Master Data Sheet'!$1:$1048576, MATCH(1, ('Master Data Sheet'!$H:$H=L$2) * (INDEX('Master Data Sheet'!$1:$1, , MATCH($F$1, 'Master Data Sheet'!$1:$1, 0)) = $F$1) * ('Master Data Sheet'!$G:$G=$B23) * ('Master Data Sheet'!$F:$F=$E23) * ('Master Data Sheet'!$A:$A=$F23), 0), MATCH($F$1, 'Master Data Sheet'!$1:$1, 0)), "")</f>
        <v>0.5636630036630037</v>
      </c>
      <c r="M23" s="11" cm="1">
        <f t="array" ref="M23">IFERROR(INDEX('Master Data Sheet'!$1:$1048576, MATCH(1, ('Master Data Sheet'!$H:$H=M$2) * (INDEX('Master Data Sheet'!$1:$1, , MATCH($F$1, 'Master Data Sheet'!$1:$1, 0)) = $F$1) * ('Master Data Sheet'!$G:$G=$B23) * ('Master Data Sheet'!$F:$F=$E23) * ('Master Data Sheet'!$A:$A=$F23), 0), MATCH($F$1, 'Master Data Sheet'!$1:$1, 0)), "")</f>
        <v>0.46598290598290598</v>
      </c>
      <c r="N23" s="11" cm="1">
        <f t="array" ref="N23">IFERROR(INDEX('Master Data Sheet'!$1:$1048576, MATCH(1, ('Master Data Sheet'!$H:$H=N$2) * (INDEX('Master Data Sheet'!$1:$1, , MATCH($F$1, 'Master Data Sheet'!$1:$1, 0)) = $F$1) * ('Master Data Sheet'!$G:$G=$B23) * ('Master Data Sheet'!$F:$F=$E23) * ('Master Data Sheet'!$A:$A=$F23), 0), MATCH($F$1, 'Master Data Sheet'!$1:$1, 0)), "")</f>
        <v>0.48429792429792434</v>
      </c>
      <c r="O23" s="11">
        <f t="shared" si="8"/>
        <v>0.55843014128728408</v>
      </c>
      <c r="P23" s="11">
        <f t="shared" si="4"/>
        <v>7.2871422914790138E-2</v>
      </c>
      <c r="Q23" s="11"/>
      <c r="AB23" s="1"/>
      <c r="AC23" s="1"/>
      <c r="AD23" s="1"/>
      <c r="AE23" s="1"/>
      <c r="AF23" s="1"/>
      <c r="AG23" s="1"/>
      <c r="AH23" s="1"/>
      <c r="AI23" s="1"/>
      <c r="AJ23" s="1"/>
      <c r="AK23" s="1"/>
      <c r="AL23" s="1"/>
      <c r="AM23" s="1"/>
      <c r="AN23" s="1"/>
      <c r="AO23" s="1"/>
      <c r="AP23" s="1"/>
      <c r="AQ23" s="1"/>
      <c r="AR23" s="1"/>
      <c r="AS23" s="1"/>
      <c r="AT23" s="1"/>
      <c r="AU23" s="1"/>
      <c r="AV23" s="1"/>
    </row>
    <row r="24" spans="1:48" x14ac:dyDescent="0.35">
      <c r="A24" s="41">
        <f>IFERROR(INDEX('Date Key'!$B$2:$B$19, MATCH(F24,'Date Key'!$A$2:$A$19, 0)), "")</f>
        <v>45233</v>
      </c>
      <c r="B24" s="4">
        <f t="shared" si="15"/>
        <v>3</v>
      </c>
      <c r="C24" s="26" t="str">
        <f>IFERROR(INDEX('Date Key'!$G$57:$G$62, MATCH(B24,'Date Key'!$A$57:$A$62, 0)), "")</f>
        <v>High HLR, Lower Outlet Height, No Plants</v>
      </c>
      <c r="D24" s="4" t="str">
        <f>IFERROR(INDEX('Date Key'!$G$2:$G$19, MATCH(F24, 'Date Key'!$A$2:$A$19, 0)), "")</f>
        <v>No</v>
      </c>
      <c r="E24" s="4" t="str">
        <f t="shared" si="1"/>
        <v>tank 1</v>
      </c>
      <c r="F24" s="4">
        <f t="shared" si="2"/>
        <v>7</v>
      </c>
      <c r="G24" s="4">
        <f t="shared" si="22"/>
        <v>1</v>
      </c>
      <c r="H24" s="11" cm="1">
        <f t="array" ref="H24">IFERROR(INDEX('Master Data Sheet'!$1:$1048576, MATCH(1, ('Master Data Sheet'!$H:$H=H$2) * (INDEX('Master Data Sheet'!$1:$1, , MATCH($F$1, 'Master Data Sheet'!$1:$1, 0)) = $F$1) * ('Master Data Sheet'!$G:$G=$B24) * ('Master Data Sheet'!$F:$F=$E24) * ('Master Data Sheet'!$A:$A=$F24), 0), MATCH($F$1, 'Master Data Sheet'!$1:$1, 0)), "")</f>
        <v>0.28283272283272287</v>
      </c>
      <c r="I24" s="11" cm="1">
        <f t="array" ref="I24">IFERROR(INDEX('Master Data Sheet'!$1:$1048576, MATCH(1, ('Master Data Sheet'!$H:$H=I$2) * (INDEX('Master Data Sheet'!$1:$1, , MATCH($F$1, 'Master Data Sheet'!$1:$1, 0)) = $F$1) * ('Master Data Sheet'!$G:$G=$B24) * ('Master Data Sheet'!$F:$F=$E24) * ('Master Data Sheet'!$A:$A=$F24), 0), MATCH($F$1, 'Master Data Sheet'!$1:$1, 0)), "")</f>
        <v>0.24620268620268621</v>
      </c>
      <c r="J24" s="11" cm="1">
        <f t="array" ref="J24">IFERROR(INDEX('Master Data Sheet'!$1:$1048576, MATCH(1, ('Master Data Sheet'!$H:$H=J$2) * (INDEX('Master Data Sheet'!$1:$1, , MATCH($F$1, 'Master Data Sheet'!$1:$1, 0)) = $F$1) * ('Master Data Sheet'!$G:$G=$B24) * ('Master Data Sheet'!$F:$F=$E24) * ('Master Data Sheet'!$A:$A=$F24), 0), MATCH($F$1, 'Master Data Sheet'!$1:$1, 0)), "")</f>
        <v>0.32556776556776562</v>
      </c>
      <c r="K24" s="11" cm="1">
        <f t="array" ref="K24">IFERROR(INDEX('Master Data Sheet'!$1:$1048576, MATCH(1, ('Master Data Sheet'!$H:$H=K$2) * (INDEX('Master Data Sheet'!$1:$1, , MATCH($F$1, 'Master Data Sheet'!$1:$1, 0)) = $F$1) * ('Master Data Sheet'!$G:$G=$B24) * ('Master Data Sheet'!$F:$F=$E24) * ('Master Data Sheet'!$A:$A=$F24), 0), MATCH($F$1, 'Master Data Sheet'!$1:$1, 0)), "")</f>
        <v>0.5636630036630037</v>
      </c>
      <c r="L24" s="11" cm="1">
        <f t="array" ref="L24">IFERROR(INDEX('Master Data Sheet'!$1:$1048576, MATCH(1, ('Master Data Sheet'!$H:$H=L$2) * (INDEX('Master Data Sheet'!$1:$1, , MATCH($F$1, 'Master Data Sheet'!$1:$1, 0)) = $F$1) * ('Master Data Sheet'!$G:$G=$B24) * ('Master Data Sheet'!$F:$F=$E24) * ('Master Data Sheet'!$A:$A=$F24), 0), MATCH($F$1, 'Master Data Sheet'!$1:$1, 0)), "")</f>
        <v>0.78344322344322337</v>
      </c>
      <c r="M24" s="11" cm="1">
        <f t="array" ref="M24">IFERROR(INDEX('Master Data Sheet'!$1:$1048576, MATCH(1, ('Master Data Sheet'!$H:$H=M$2) * (INDEX('Master Data Sheet'!$1:$1, , MATCH($F$1, 'Master Data Sheet'!$1:$1, 0)) = $F$1) * ('Master Data Sheet'!$G:$G=$B24) * ('Master Data Sheet'!$F:$F=$E24) * ('Master Data Sheet'!$A:$A=$F24), 0), MATCH($F$1, 'Master Data Sheet'!$1:$1, 0)), "")</f>
        <v>1.1436385836385838</v>
      </c>
      <c r="N24" s="11" cm="1">
        <f t="array" ref="N24">IFERROR(INDEX('Master Data Sheet'!$1:$1048576, MATCH(1, ('Master Data Sheet'!$H:$H=N$2) * (INDEX('Master Data Sheet'!$1:$1, , MATCH($F$1, 'Master Data Sheet'!$1:$1, 0)) = $F$1) * ('Master Data Sheet'!$G:$G=$B24) * ('Master Data Sheet'!$F:$F=$E24) * ('Master Data Sheet'!$A:$A=$F24), 0), MATCH($F$1, 'Master Data Sheet'!$1:$1, 0)), "")</f>
        <v>1.2535286935286933</v>
      </c>
      <c r="O24" s="11">
        <f t="shared" si="8"/>
        <v>0.65698238269666842</v>
      </c>
      <c r="P24" s="11">
        <f t="shared" si="4"/>
        <v>0.415525006287781</v>
      </c>
      <c r="Q24" s="11">
        <f>AVERAGE(O24:O26)</f>
        <v>0.78605965463108329</v>
      </c>
      <c r="R24" s="46">
        <f>(1-(O24/O21))*100</f>
        <v>47.369656590949738</v>
      </c>
      <c r="S24" s="46">
        <f>AVERAGE(R24:R26)</f>
        <v>13.055168983689214</v>
      </c>
      <c r="T24" s="46">
        <f>STDEV(R24:R26)</f>
        <v>39.51211017451179</v>
      </c>
      <c r="U24" s="47">
        <f>(1-(AVERAGE(H24:N26)/AVERAGE(H21:N23)))*100</f>
        <v>22.809750126181548</v>
      </c>
      <c r="V24" s="47"/>
      <c r="W24" s="47"/>
      <c r="X24" s="47">
        <f>(O21-O24)/70.1</f>
        <v>8.435284571416627E-3</v>
      </c>
      <c r="Y24" s="47">
        <f>O21/70.1</f>
        <v>1.7807358504322027E-2</v>
      </c>
      <c r="AB24" s="2"/>
      <c r="AC24" s="2"/>
      <c r="AD24" s="2"/>
      <c r="AE24" s="2"/>
      <c r="AF24" s="2"/>
      <c r="AG24" s="2"/>
      <c r="AH24" s="2"/>
      <c r="AI24" s="2"/>
      <c r="AJ24" s="2"/>
    </row>
    <row r="25" spans="1:48" x14ac:dyDescent="0.35">
      <c r="A25" s="41">
        <f>IFERROR(INDEX('Date Key'!$B$2:$B$19, MATCH(F25,'Date Key'!$A$2:$A$19, 0)), "")</f>
        <v>45238</v>
      </c>
      <c r="B25" s="4">
        <f t="shared" si="15"/>
        <v>3</v>
      </c>
      <c r="C25" s="26" t="str">
        <f>IFERROR(INDEX('Date Key'!$G$57:$G$62, MATCH(B25,'Date Key'!$A$57:$A$62, 0)), "")</f>
        <v>High HLR, Lower Outlet Height, No Plants</v>
      </c>
      <c r="D25" s="4" t="str">
        <f>IFERROR(INDEX('Date Key'!$G$2:$G$19, MATCH(F25, 'Date Key'!$A$2:$A$19, 0)), "")</f>
        <v>No</v>
      </c>
      <c r="E25" s="4" t="str">
        <f t="shared" si="1"/>
        <v>tank 1</v>
      </c>
      <c r="F25" s="4">
        <f t="shared" si="2"/>
        <v>8</v>
      </c>
      <c r="G25" s="4">
        <f t="shared" si="22"/>
        <v>2</v>
      </c>
      <c r="H25" s="11" cm="1">
        <f t="array" ref="H25">IFERROR(INDEX('Master Data Sheet'!$1:$1048576, MATCH(1, ('Master Data Sheet'!$H:$H=H$2) * (INDEX('Master Data Sheet'!$1:$1, , MATCH($F$1, 'Master Data Sheet'!$1:$1, 0)) = $F$1) * ('Master Data Sheet'!$G:$G=$B25) * ('Master Data Sheet'!$F:$F=$E25) * ('Master Data Sheet'!$A:$A=$F25), 0), MATCH($F$1, 'Master Data Sheet'!$1:$1, 0)), "")</f>
        <v>0.82617826617826617</v>
      </c>
      <c r="I25" s="11" cm="1">
        <f t="array" ref="I25">IFERROR(INDEX('Master Data Sheet'!$1:$1048576, MATCH(1, ('Master Data Sheet'!$H:$H=I$2) * (INDEX('Master Data Sheet'!$1:$1, , MATCH($F$1, 'Master Data Sheet'!$1:$1, 0)) = $F$1) * ('Master Data Sheet'!$G:$G=$B25) * ('Master Data Sheet'!$F:$F=$E25) * ('Master Data Sheet'!$A:$A=$F25), 0), MATCH($F$1, 'Master Data Sheet'!$1:$1, 0)), "")</f>
        <v>0.63692307692307693</v>
      </c>
      <c r="J25" s="11" cm="1">
        <f t="array" ref="J25">IFERROR(INDEX('Master Data Sheet'!$1:$1048576, MATCH(1, ('Master Data Sheet'!$H:$H=J$2) * (INDEX('Master Data Sheet'!$1:$1, , MATCH($F$1, 'Master Data Sheet'!$1:$1, 0)) = $F$1) * ('Master Data Sheet'!$G:$G=$B25) * ('Master Data Sheet'!$F:$F=$E25) * ('Master Data Sheet'!$A:$A=$F25), 0), MATCH($F$1, 'Master Data Sheet'!$1:$1, 0)), "")</f>
        <v>0.67965811965811973</v>
      </c>
      <c r="K25" s="11" cm="1">
        <f t="array" ref="K25">IFERROR(INDEX('Master Data Sheet'!$1:$1048576, MATCH(1, ('Master Data Sheet'!$H:$H=K$2) * (INDEX('Master Data Sheet'!$1:$1, , MATCH($F$1, 'Master Data Sheet'!$1:$1, 0)) = $F$1) * ('Master Data Sheet'!$G:$G=$B25) * ('Master Data Sheet'!$F:$F=$E25) * ('Master Data Sheet'!$A:$A=$F25), 0), MATCH($F$1, 'Master Data Sheet'!$1:$1, 0)), "")</f>
        <v>0.8628083028083029</v>
      </c>
      <c r="L25" s="11" cm="1">
        <f t="array" ref="L25">IFERROR(INDEX('Master Data Sheet'!$1:$1048576, MATCH(1, ('Master Data Sheet'!$H:$H=L$2) * (INDEX('Master Data Sheet'!$1:$1, , MATCH($F$1, 'Master Data Sheet'!$1:$1, 0)) = $F$1) * ('Master Data Sheet'!$G:$G=$B25) * ('Master Data Sheet'!$F:$F=$E25) * ('Master Data Sheet'!$A:$A=$F25), 0), MATCH($F$1, 'Master Data Sheet'!$1:$1, 0)), "")</f>
        <v>1.0886935286935289</v>
      </c>
      <c r="M25" s="11" cm="1">
        <f t="array" ref="M25">IFERROR(INDEX('Master Data Sheet'!$1:$1048576, MATCH(1, ('Master Data Sheet'!$H:$H=M$2) * (INDEX('Master Data Sheet'!$1:$1, , MATCH($F$1, 'Master Data Sheet'!$1:$1, 0)) = $F$1) * ('Master Data Sheet'!$G:$G=$B25) * ('Master Data Sheet'!$F:$F=$E25) * ('Master Data Sheet'!$A:$A=$F25), 0), MATCH($F$1, 'Master Data Sheet'!$1:$1, 0)), "")</f>
        <v>1.2779487179487179</v>
      </c>
      <c r="N25" s="11" cm="1">
        <f t="array" ref="N25">IFERROR(INDEX('Master Data Sheet'!$1:$1048576, MATCH(1, ('Master Data Sheet'!$H:$H=N$2) * (INDEX('Master Data Sheet'!$1:$1, , MATCH($F$1, 'Master Data Sheet'!$1:$1, 0)) = $F$1) * ('Master Data Sheet'!$G:$G=$B25) * ('Master Data Sheet'!$F:$F=$E25) * ('Master Data Sheet'!$A:$A=$F25), 0), MATCH($F$1, 'Master Data Sheet'!$1:$1, 0)), "")</f>
        <v>1.4488888888888889</v>
      </c>
      <c r="O25" s="11">
        <f t="shared" si="8"/>
        <v>0.97444270015698586</v>
      </c>
      <c r="P25" s="11">
        <f t="shared" si="4"/>
        <v>0.30700987136181712</v>
      </c>
      <c r="Q25" s="11"/>
      <c r="R25" s="46">
        <f>(1-(O25/O22))*100</f>
        <v>21.938159542121262</v>
      </c>
      <c r="X25" s="47">
        <f>(O22-O25)/70.1</f>
        <v>3.9066067189156648E-3</v>
      </c>
      <c r="Y25" s="47">
        <f>O22/70.1</f>
        <v>1.7807358504322027E-2</v>
      </c>
      <c r="AA25" t="str">
        <f>IFERROR(INDEX('Date Key'!$G$57:$G$62, MATCH(B24,'Date Key'!$A$57:$A$62, 0)), "")</f>
        <v>High HLR, Lower Outlet Height, No Plants</v>
      </c>
      <c r="AB25" s="1">
        <f t="shared" ref="AB25:AH25" si="29">H24</f>
        <v>0.28283272283272287</v>
      </c>
      <c r="AC25" s="1">
        <f t="shared" si="29"/>
        <v>0.24620268620268621</v>
      </c>
      <c r="AD25" s="1">
        <f t="shared" si="29"/>
        <v>0.32556776556776562</v>
      </c>
      <c r="AE25" s="1">
        <f t="shared" si="29"/>
        <v>0.5636630036630037</v>
      </c>
      <c r="AF25" s="1">
        <f t="shared" si="29"/>
        <v>0.78344322344322337</v>
      </c>
      <c r="AG25" s="1">
        <f t="shared" si="29"/>
        <v>1.1436385836385838</v>
      </c>
      <c r="AH25" s="1">
        <f t="shared" si="29"/>
        <v>1.2535286935286933</v>
      </c>
      <c r="AI25" s="1">
        <f t="shared" ref="AI25:AO25" si="30">H25</f>
        <v>0.82617826617826617</v>
      </c>
      <c r="AJ25" s="1">
        <f t="shared" si="30"/>
        <v>0.63692307692307693</v>
      </c>
      <c r="AK25" s="1">
        <f t="shared" si="30"/>
        <v>0.67965811965811973</v>
      </c>
      <c r="AL25" s="1">
        <f t="shared" si="30"/>
        <v>0.8628083028083029</v>
      </c>
      <c r="AM25" s="1">
        <f t="shared" si="30"/>
        <v>1.0886935286935289</v>
      </c>
      <c r="AN25" s="1">
        <f t="shared" si="30"/>
        <v>1.2779487179487179</v>
      </c>
      <c r="AO25" s="1">
        <f t="shared" si="30"/>
        <v>1.4488888888888889</v>
      </c>
      <c r="AP25" s="1">
        <f t="shared" ref="AP25:AV25" si="31">H26</f>
        <v>1.6747741147741146</v>
      </c>
      <c r="AQ25" s="1">
        <f t="shared" si="31"/>
        <v>0.82617826617826617</v>
      </c>
      <c r="AR25" s="1">
        <f t="shared" si="31"/>
        <v>0.61860805860805868</v>
      </c>
      <c r="AS25" s="1">
        <f t="shared" si="31"/>
        <v>0.58808302808302804</v>
      </c>
      <c r="AT25" s="1">
        <f t="shared" si="31"/>
        <v>0.47208791208791212</v>
      </c>
      <c r="AU25" s="1">
        <f t="shared" si="31"/>
        <v>0.44766788766788768</v>
      </c>
      <c r="AV25" s="1">
        <f t="shared" si="31"/>
        <v>0.4598778998778999</v>
      </c>
    </row>
    <row r="26" spans="1:48" x14ac:dyDescent="0.35">
      <c r="A26" s="41">
        <f>IFERROR(INDEX('Date Key'!$B$2:$B$19, MATCH(F26,'Date Key'!$A$2:$A$19, 0)), "")</f>
        <v>45246</v>
      </c>
      <c r="B26" s="4">
        <f t="shared" si="15"/>
        <v>3</v>
      </c>
      <c r="C26" s="26" t="str">
        <f>IFERROR(INDEX('Date Key'!$G$57:$G$62, MATCH(B26,'Date Key'!$A$57:$A$62, 0)), "")</f>
        <v>High HLR, Lower Outlet Height, No Plants</v>
      </c>
      <c r="D26" s="4" t="str">
        <f>IFERROR(INDEX('Date Key'!$G$2:$G$19, MATCH(F26, 'Date Key'!$A$2:$A$19, 0)), "")</f>
        <v>Yes</v>
      </c>
      <c r="E26" s="4" t="str">
        <f t="shared" si="1"/>
        <v>tank 1</v>
      </c>
      <c r="F26" s="4">
        <f t="shared" si="2"/>
        <v>9</v>
      </c>
      <c r="G26" s="4">
        <f t="shared" si="22"/>
        <v>3</v>
      </c>
      <c r="H26" s="11" cm="1">
        <f t="array" ref="H26">IFERROR(INDEX('Master Data Sheet'!$1:$1048576, MATCH(1, ('Master Data Sheet'!$H:$H=H$2) * (INDEX('Master Data Sheet'!$1:$1, , MATCH($F$1, 'Master Data Sheet'!$1:$1, 0)) = $F$1) * ('Master Data Sheet'!$G:$G=$B26) * ('Master Data Sheet'!$F:$F=$E26) * ('Master Data Sheet'!$A:$A=$F26), 0), MATCH($F$1, 'Master Data Sheet'!$1:$1, 0)), "")</f>
        <v>1.6747741147741146</v>
      </c>
      <c r="I26" s="11" cm="1">
        <f t="array" ref="I26">IFERROR(INDEX('Master Data Sheet'!$1:$1048576, MATCH(1, ('Master Data Sheet'!$H:$H=I$2) * (INDEX('Master Data Sheet'!$1:$1, , MATCH($F$1, 'Master Data Sheet'!$1:$1, 0)) = $F$1) * ('Master Data Sheet'!$G:$G=$B26) * ('Master Data Sheet'!$F:$F=$E26) * ('Master Data Sheet'!$A:$A=$F26), 0), MATCH($F$1, 'Master Data Sheet'!$1:$1, 0)), "")</f>
        <v>0.82617826617826617</v>
      </c>
      <c r="J26" s="11" cm="1">
        <f t="array" ref="J26">IFERROR(INDEX('Master Data Sheet'!$1:$1048576, MATCH(1, ('Master Data Sheet'!$H:$H=J$2) * (INDEX('Master Data Sheet'!$1:$1, , MATCH($F$1, 'Master Data Sheet'!$1:$1, 0)) = $F$1) * ('Master Data Sheet'!$G:$G=$B26) * ('Master Data Sheet'!$F:$F=$E26) * ('Master Data Sheet'!$A:$A=$F26), 0), MATCH($F$1, 'Master Data Sheet'!$1:$1, 0)), "")</f>
        <v>0.61860805860805868</v>
      </c>
      <c r="K26" s="11" cm="1">
        <f t="array" ref="K26">IFERROR(INDEX('Master Data Sheet'!$1:$1048576, MATCH(1, ('Master Data Sheet'!$H:$H=K$2) * (INDEX('Master Data Sheet'!$1:$1, , MATCH($F$1, 'Master Data Sheet'!$1:$1, 0)) = $F$1) * ('Master Data Sheet'!$G:$G=$B26) * ('Master Data Sheet'!$F:$F=$E26) * ('Master Data Sheet'!$A:$A=$F26), 0), MATCH($F$1, 'Master Data Sheet'!$1:$1, 0)), "")</f>
        <v>0.58808302808302804</v>
      </c>
      <c r="L26" s="11" cm="1">
        <f t="array" ref="L26">IFERROR(INDEX('Master Data Sheet'!$1:$1048576, MATCH(1, ('Master Data Sheet'!$H:$H=L$2) * (INDEX('Master Data Sheet'!$1:$1, , MATCH($F$1, 'Master Data Sheet'!$1:$1, 0)) = $F$1) * ('Master Data Sheet'!$G:$G=$B26) * ('Master Data Sheet'!$F:$F=$E26) * ('Master Data Sheet'!$A:$A=$F26), 0), MATCH($F$1, 'Master Data Sheet'!$1:$1, 0)), "")</f>
        <v>0.47208791208791212</v>
      </c>
      <c r="M26" s="11" cm="1">
        <f t="array" ref="M26">IFERROR(INDEX('Master Data Sheet'!$1:$1048576, MATCH(1, ('Master Data Sheet'!$H:$H=M$2) * (INDEX('Master Data Sheet'!$1:$1, , MATCH($F$1, 'Master Data Sheet'!$1:$1, 0)) = $F$1) * ('Master Data Sheet'!$G:$G=$B26) * ('Master Data Sheet'!$F:$F=$E26) * ('Master Data Sheet'!$A:$A=$F26), 0), MATCH($F$1, 'Master Data Sheet'!$1:$1, 0)), "")</f>
        <v>0.44766788766788768</v>
      </c>
      <c r="N26" s="11" cm="1">
        <f t="array" ref="N26">IFERROR(INDEX('Master Data Sheet'!$1:$1048576, MATCH(1, ('Master Data Sheet'!$H:$H=N$2) * (INDEX('Master Data Sheet'!$1:$1, , MATCH($F$1, 'Master Data Sheet'!$1:$1, 0)) = $F$1) * ('Master Data Sheet'!$G:$G=$B26) * ('Master Data Sheet'!$F:$F=$E26) * ('Master Data Sheet'!$A:$A=$F26), 0), MATCH($F$1, 'Master Data Sheet'!$1:$1, 0)), "")</f>
        <v>0.4598778998778999</v>
      </c>
      <c r="O26" s="11">
        <f t="shared" si="8"/>
        <v>0.72675388103959537</v>
      </c>
      <c r="P26" s="11">
        <f t="shared" si="4"/>
        <v>0.43846688074447548</v>
      </c>
      <c r="Q26" s="11"/>
      <c r="R26" s="46">
        <f>(1-(O26/O23))*100</f>
        <v>-30.142309182003359</v>
      </c>
      <c r="X26" s="47">
        <f>(O23-O26)/70.1</f>
        <v>-2.4011945756392482E-3</v>
      </c>
      <c r="Y26" s="47">
        <f>O23/70.1</f>
        <v>7.9661931710026269E-3</v>
      </c>
      <c r="AB26" s="2"/>
      <c r="AC26" s="2"/>
      <c r="AD26" s="2"/>
      <c r="AE26" s="2"/>
      <c r="AF26" s="2"/>
      <c r="AG26" s="2"/>
      <c r="AH26" s="2"/>
      <c r="AI26" s="2"/>
      <c r="AJ26" s="2"/>
    </row>
    <row r="27" spans="1:48" x14ac:dyDescent="0.35">
      <c r="A27" s="41">
        <f>IFERROR(INDEX('Date Key'!$B$2:$B$19, MATCH(F27,'Date Key'!$A$2:$A$19, 0)), "")</f>
        <v>45233</v>
      </c>
      <c r="B27" s="4">
        <f t="shared" si="15"/>
        <v>3</v>
      </c>
      <c r="C27" s="26" t="str">
        <f>IFERROR(INDEX('Date Key'!$G$57:$G$62, MATCH(B27,'Date Key'!$A$57:$A$62, 0)), "")</f>
        <v>High HLR, Lower Outlet Height, No Plants</v>
      </c>
      <c r="D27" s="4" t="str">
        <f>IFERROR(INDEX('Date Key'!$G$2:$G$19, MATCH(F27, 'Date Key'!$A$2:$A$19, 0)), "")</f>
        <v>No</v>
      </c>
      <c r="E27" s="4" t="str">
        <f t="shared" si="1"/>
        <v>tank 2</v>
      </c>
      <c r="F27" s="4">
        <f t="shared" si="2"/>
        <v>7</v>
      </c>
      <c r="G27" s="4">
        <f t="shared" si="22"/>
        <v>1</v>
      </c>
      <c r="H27" s="11" cm="1">
        <f t="array" ref="H27">IFERROR(INDEX('Master Data Sheet'!$1:$1048576, MATCH(1, ('Master Data Sheet'!$H:$H=H$2) * (INDEX('Master Data Sheet'!$1:$1, , MATCH($F$1, 'Master Data Sheet'!$1:$1, 0)) = $F$1) * ('Master Data Sheet'!$G:$G=$B27) * ('Master Data Sheet'!$F:$F=$E27) * ('Master Data Sheet'!$A:$A=$F27), 0), MATCH($F$1, 'Master Data Sheet'!$1:$1, 0)), "")</f>
        <v>0.82007326007326009</v>
      </c>
      <c r="I27" s="11" cm="1">
        <f t="array" ref="I27">IFERROR(INDEX('Master Data Sheet'!$1:$1048576, MATCH(1, ('Master Data Sheet'!$H:$H=I$2) * (INDEX('Master Data Sheet'!$1:$1, , MATCH($F$1, 'Master Data Sheet'!$1:$1, 0)) = $F$1) * ('Master Data Sheet'!$G:$G=$B27) * ('Master Data Sheet'!$F:$F=$E27) * ('Master Data Sheet'!$A:$A=$F27), 0), MATCH($F$1, 'Master Data Sheet'!$1:$1, 0)), "")</f>
        <v>0.66744810744810756</v>
      </c>
      <c r="J27" s="11" cm="1">
        <f t="array" ref="J27">IFERROR(INDEX('Master Data Sheet'!$1:$1048576, MATCH(1, ('Master Data Sheet'!$H:$H=J$2) * (INDEX('Master Data Sheet'!$1:$1, , MATCH($F$1, 'Master Data Sheet'!$1:$1, 0)) = $F$1) * ('Master Data Sheet'!$G:$G=$B27) * ('Master Data Sheet'!$F:$F=$E27) * ('Master Data Sheet'!$A:$A=$F27), 0), MATCH($F$1, 'Master Data Sheet'!$1:$1, 0)), "")</f>
        <v>0.58197802197802195</v>
      </c>
      <c r="K27" s="11" cm="1">
        <f t="array" ref="K27">IFERROR(INDEX('Master Data Sheet'!$1:$1048576, MATCH(1, ('Master Data Sheet'!$H:$H=K$2) * (INDEX('Master Data Sheet'!$1:$1, , MATCH($F$1, 'Master Data Sheet'!$1:$1, 0)) = $F$1) * ('Master Data Sheet'!$G:$G=$B27) * ('Master Data Sheet'!$F:$F=$E27) * ('Master Data Sheet'!$A:$A=$F27), 0), MATCH($F$1, 'Master Data Sheet'!$1:$1, 0)), "")</f>
        <v>0.7284981684981684</v>
      </c>
      <c r="L27" s="11" cm="1">
        <f t="array" ref="L27">IFERROR(INDEX('Master Data Sheet'!$1:$1048576, MATCH(1, ('Master Data Sheet'!$H:$H=L$2) * (INDEX('Master Data Sheet'!$1:$1, , MATCH($F$1, 'Master Data Sheet'!$1:$1, 0)) = $F$1) * ('Master Data Sheet'!$G:$G=$B27) * ('Master Data Sheet'!$F:$F=$E27) * ('Master Data Sheet'!$A:$A=$F27), 0), MATCH($F$1, 'Master Data Sheet'!$1:$1, 0)), "")</f>
        <v>0.6918681318681319</v>
      </c>
      <c r="M27" s="11" cm="1">
        <f t="array" ref="M27">IFERROR(INDEX('Master Data Sheet'!$1:$1048576, MATCH(1, ('Master Data Sheet'!$H:$H=M$2) * (INDEX('Master Data Sheet'!$1:$1, , MATCH($F$1, 'Master Data Sheet'!$1:$1, 0)) = $F$1) * ('Master Data Sheet'!$G:$G=$B27) * ('Master Data Sheet'!$F:$F=$E27) * ('Master Data Sheet'!$A:$A=$F27), 0), MATCH($F$1, 'Master Data Sheet'!$1:$1, 0)), "")</f>
        <v>1.0215384615384615</v>
      </c>
      <c r="N27" s="11" cm="1">
        <f t="array" ref="N27">IFERROR(INDEX('Master Data Sheet'!$1:$1048576, MATCH(1, ('Master Data Sheet'!$H:$H=N$2) * (INDEX('Master Data Sheet'!$1:$1, , MATCH($F$1, 'Master Data Sheet'!$1:$1, 0)) = $F$1) * ('Master Data Sheet'!$G:$G=$B27) * ('Master Data Sheet'!$F:$F=$E27) * ('Master Data Sheet'!$A:$A=$F27), 0), MATCH($F$1, 'Master Data Sheet'!$1:$1, 0)), "")</f>
        <v>1.100903540903541</v>
      </c>
      <c r="O27" s="11">
        <f t="shared" si="8"/>
        <v>0.80175824175824173</v>
      </c>
      <c r="P27" s="11">
        <f t="shared" si="4"/>
        <v>0.19231576754304877</v>
      </c>
      <c r="Q27" s="11">
        <f>AVERAGE(N27:N29)</f>
        <v>0.91164835164835167</v>
      </c>
      <c r="R27" s="46">
        <f>(1-(O27/O21))*100</f>
        <v>35.771776068681802</v>
      </c>
      <c r="S27" s="46">
        <f>AVERAGE(R27:R29)</f>
        <v>-51.053657281596436</v>
      </c>
      <c r="T27" s="46">
        <f>STDEV(R27:R29)</f>
        <v>93.52875267045232</v>
      </c>
      <c r="U27" s="47">
        <f>(1-(AVERAGE(H27:N29)/AVERAGE(H21:N23)))*100</f>
        <v>-28.69061186084172</v>
      </c>
      <c r="V27" s="47"/>
      <c r="W27" s="47"/>
      <c r="X27" s="47">
        <f>(O24-O27)/45.6</f>
        <v>-3.1749091899467832E-3</v>
      </c>
      <c r="Y27" s="47">
        <f>O21/45.6</f>
        <v>2.7374908577916093E-2</v>
      </c>
      <c r="AB27" s="2"/>
      <c r="AC27" s="2"/>
      <c r="AD27" s="2"/>
      <c r="AE27" s="2"/>
      <c r="AF27" s="2"/>
      <c r="AG27" s="2"/>
      <c r="AH27" s="2"/>
      <c r="AI27" s="2"/>
      <c r="AJ27" s="2"/>
    </row>
    <row r="28" spans="1:48" x14ac:dyDescent="0.35">
      <c r="A28" s="41">
        <f>IFERROR(INDEX('Date Key'!$B$2:$B$19, MATCH(F28,'Date Key'!$A$2:$A$19, 0)), "")</f>
        <v>45238</v>
      </c>
      <c r="B28" s="4">
        <f t="shared" si="15"/>
        <v>3</v>
      </c>
      <c r="C28" s="26" t="str">
        <f>IFERROR(INDEX('Date Key'!$G$57:$G$62, MATCH(B28,'Date Key'!$A$57:$A$62, 0)), "")</f>
        <v>High HLR, Lower Outlet Height, No Plants</v>
      </c>
      <c r="D28" s="4" t="str">
        <f>IFERROR(INDEX('Date Key'!$G$2:$G$19, MATCH(F28, 'Date Key'!$A$2:$A$19, 0)), "")</f>
        <v>No</v>
      </c>
      <c r="E28" s="4" t="str">
        <f t="shared" si="1"/>
        <v>tank 2</v>
      </c>
      <c r="F28" s="4">
        <f t="shared" si="2"/>
        <v>8</v>
      </c>
      <c r="G28" s="4">
        <f t="shared" si="22"/>
        <v>2</v>
      </c>
      <c r="H28" s="11" cm="1">
        <f t="array" ref="H28">IFERROR(INDEX('Master Data Sheet'!$1:$1048576, MATCH(1, ('Master Data Sheet'!$H:$H=H$2) * (INDEX('Master Data Sheet'!$1:$1, , MATCH($F$1, 'Master Data Sheet'!$1:$1, 0)) = $F$1) * ('Master Data Sheet'!$G:$G=$B28) * ('Master Data Sheet'!$F:$F=$E28) * ('Master Data Sheet'!$A:$A=$F28), 0), MATCH($F$1, 'Master Data Sheet'!$1:$1, 0)), "")</f>
        <v>3.6833211233211229</v>
      </c>
      <c r="I28" s="11" cm="1">
        <f t="array" ref="I28">IFERROR(INDEX('Master Data Sheet'!$1:$1048576, MATCH(1, ('Master Data Sheet'!$H:$H=I$2) * (INDEX('Master Data Sheet'!$1:$1, , MATCH($F$1, 'Master Data Sheet'!$1:$1, 0)) = $F$1) * ('Master Data Sheet'!$G:$G=$B28) * ('Master Data Sheet'!$F:$F=$E28) * ('Master Data Sheet'!$A:$A=$F28), 0), MATCH($F$1, 'Master Data Sheet'!$1:$1, 0)), "")</f>
        <v>2.3646398046398045</v>
      </c>
      <c r="J28" s="11" cm="1">
        <f t="array" ref="J28">IFERROR(INDEX('Master Data Sheet'!$1:$1048576, MATCH(1, ('Master Data Sheet'!$H:$H=J$2) * (INDEX('Master Data Sheet'!$1:$1, , MATCH($F$1, 'Master Data Sheet'!$1:$1, 0)) = $F$1) * ('Master Data Sheet'!$G:$G=$B28) * ('Master Data Sheet'!$F:$F=$E28) * ('Master Data Sheet'!$A:$A=$F28), 0), MATCH($F$1, 'Master Data Sheet'!$1:$1, 0)), "")</f>
        <v>1.0581684981684982</v>
      </c>
      <c r="K28" s="11" cm="1">
        <f t="array" ref="K28">IFERROR(INDEX('Master Data Sheet'!$1:$1048576, MATCH(1, ('Master Data Sheet'!$H:$H=K$2) * (INDEX('Master Data Sheet'!$1:$1, , MATCH($F$1, 'Master Data Sheet'!$1:$1, 0)) = $F$1) * ('Master Data Sheet'!$G:$G=$B28) * ('Master Data Sheet'!$F:$F=$E28) * ('Master Data Sheet'!$A:$A=$F28), 0), MATCH($F$1, 'Master Data Sheet'!$1:$1, 0)), "")</f>
        <v>0.96048840048840045</v>
      </c>
      <c r="L28" s="11" cm="1">
        <f t="array" ref="L28">IFERROR(INDEX('Master Data Sheet'!$1:$1048576, MATCH(1, ('Master Data Sheet'!$H:$H=L$2) * (INDEX('Master Data Sheet'!$1:$1, , MATCH($F$1, 'Master Data Sheet'!$1:$1, 0)) = $F$1) * ('Master Data Sheet'!$G:$G=$B28) * ('Master Data Sheet'!$F:$F=$E28) * ('Master Data Sheet'!$A:$A=$F28), 0), MATCH($F$1, 'Master Data Sheet'!$1:$1, 0)), "")</f>
        <v>0.99711843711843717</v>
      </c>
      <c r="M28" s="11" cm="1">
        <f t="array" ref="M28">IFERROR(INDEX('Master Data Sheet'!$1:$1048576, MATCH(1, ('Master Data Sheet'!$H:$H=M$2) * (INDEX('Master Data Sheet'!$1:$1, , MATCH($F$1, 'Master Data Sheet'!$1:$1, 0)) = $F$1) * ('Master Data Sheet'!$G:$G=$B28) * ('Master Data Sheet'!$F:$F=$E28) * ('Master Data Sheet'!$A:$A=$F28), 0), MATCH($F$1, 'Master Data Sheet'!$1:$1, 0)), "")</f>
        <v>1.7907692307692307</v>
      </c>
      <c r="N28" s="11" cm="1">
        <f t="array" ref="N28">IFERROR(INDEX('Master Data Sheet'!$1:$1048576, MATCH(1, ('Master Data Sheet'!$H:$H=N$2) * (INDEX('Master Data Sheet'!$1:$1, , MATCH($F$1, 'Master Data Sheet'!$1:$1, 0)) = $F$1) * ('Master Data Sheet'!$G:$G=$B28) * ('Master Data Sheet'!$F:$F=$E28) * ('Master Data Sheet'!$A:$A=$F28), 0), MATCH($F$1, 'Master Data Sheet'!$1:$1, 0)), "")</f>
        <v>1.2779487179487179</v>
      </c>
      <c r="O28" s="11">
        <f t="shared" si="8"/>
        <v>1.7332077446363159</v>
      </c>
      <c r="P28" s="11">
        <f t="shared" si="4"/>
        <v>1.0005684534242247</v>
      </c>
      <c r="Q28" s="11"/>
      <c r="R28" s="46">
        <f>(1-(O28/O22))*100</f>
        <v>-38.845913074584139</v>
      </c>
      <c r="X28" s="47">
        <f>(O25-O28)/45.6</f>
        <v>-1.6639584308757237E-2</v>
      </c>
      <c r="Y28" s="47">
        <f>O22/45.6</f>
        <v>2.7374908577916093E-2</v>
      </c>
      <c r="AA28" t="str">
        <f>IFERROR(INDEX('Date Key'!$G$57:$G$62, MATCH(B27,'Date Key'!$A$57:$A$62, 0)), "")</f>
        <v>High HLR, Lower Outlet Height, No Plants</v>
      </c>
      <c r="AB28" s="1">
        <f t="shared" ref="AB28:AH28" si="32">H27</f>
        <v>0.82007326007326009</v>
      </c>
      <c r="AC28" s="1">
        <f t="shared" si="32"/>
        <v>0.66744810744810756</v>
      </c>
      <c r="AD28" s="1">
        <f t="shared" si="32"/>
        <v>0.58197802197802195</v>
      </c>
      <c r="AE28" s="1">
        <f t="shared" si="32"/>
        <v>0.7284981684981684</v>
      </c>
      <c r="AF28" s="1">
        <f t="shared" si="32"/>
        <v>0.6918681318681319</v>
      </c>
      <c r="AG28" s="1">
        <f t="shared" si="32"/>
        <v>1.0215384615384615</v>
      </c>
      <c r="AH28" s="1">
        <f t="shared" si="32"/>
        <v>1.100903540903541</v>
      </c>
      <c r="AI28" s="1">
        <f t="shared" ref="AI28:AO28" si="33">H28</f>
        <v>3.6833211233211229</v>
      </c>
      <c r="AJ28" s="1">
        <f t="shared" si="33"/>
        <v>2.3646398046398045</v>
      </c>
      <c r="AK28" s="1">
        <f t="shared" si="33"/>
        <v>1.0581684981684982</v>
      </c>
      <c r="AL28" s="1">
        <f t="shared" si="33"/>
        <v>0.96048840048840045</v>
      </c>
      <c r="AM28" s="1">
        <f t="shared" si="33"/>
        <v>0.99711843711843717</v>
      </c>
      <c r="AN28" s="1">
        <f t="shared" si="33"/>
        <v>1.7907692307692307</v>
      </c>
      <c r="AO28" s="1">
        <f t="shared" si="33"/>
        <v>1.2779487179487179</v>
      </c>
      <c r="AP28" s="1">
        <f t="shared" ref="AP28:AV28" si="34">H29</f>
        <v>4.6479120879120872</v>
      </c>
      <c r="AQ28" s="1">
        <f t="shared" si="34"/>
        <v>2.1936996336996337</v>
      </c>
      <c r="AR28" s="1">
        <f t="shared" si="34"/>
        <v>1.0642735042735043</v>
      </c>
      <c r="AS28" s="1">
        <f t="shared" si="34"/>
        <v>0.73460317460317448</v>
      </c>
      <c r="AT28" s="1">
        <f t="shared" si="34"/>
        <v>0.43545787545787545</v>
      </c>
      <c r="AU28" s="1">
        <f t="shared" si="34"/>
        <v>0.34388278388278382</v>
      </c>
      <c r="AV28" s="1">
        <f t="shared" si="34"/>
        <v>0.35609279609279604</v>
      </c>
    </row>
    <row r="29" spans="1:48" x14ac:dyDescent="0.35">
      <c r="A29" s="42">
        <f>IFERROR(INDEX('Date Key'!$B$2:$B$19, MATCH(F29,'Date Key'!$A$2:$A$19, 0)), "")</f>
        <v>45246</v>
      </c>
      <c r="B29" s="27">
        <f t="shared" si="15"/>
        <v>3</v>
      </c>
      <c r="C29" s="51" t="str">
        <f>IFERROR(INDEX('Date Key'!$G$57:$G$62, MATCH(B29,'Date Key'!$A$57:$A$62, 0)), "")</f>
        <v>High HLR, Lower Outlet Height, No Plants</v>
      </c>
      <c r="D29" s="27" t="str">
        <f>IFERROR(INDEX('Date Key'!$G$2:$G$19, MATCH(F29, 'Date Key'!$A$2:$A$19, 0)), "")</f>
        <v>Yes</v>
      </c>
      <c r="E29" s="27" t="str">
        <f t="shared" si="1"/>
        <v>tank 2</v>
      </c>
      <c r="F29" s="27">
        <f t="shared" si="2"/>
        <v>9</v>
      </c>
      <c r="G29" s="27">
        <f t="shared" si="22"/>
        <v>3</v>
      </c>
      <c r="H29" s="28" cm="1">
        <f t="array" ref="H29">IFERROR(INDEX('Master Data Sheet'!$1:$1048576, MATCH(1, ('Master Data Sheet'!$H:$H=H$2) * (INDEX('Master Data Sheet'!$1:$1, , MATCH($F$1, 'Master Data Sheet'!$1:$1, 0)) = $F$1) * ('Master Data Sheet'!$G:$G=$B29) * ('Master Data Sheet'!$F:$F=$E29) * ('Master Data Sheet'!$A:$A=$F29), 0), MATCH($F$1, 'Master Data Sheet'!$1:$1, 0)), "")</f>
        <v>4.6479120879120872</v>
      </c>
      <c r="I29" s="28" cm="1">
        <f t="array" ref="I29">IFERROR(INDEX('Master Data Sheet'!$1:$1048576, MATCH(1, ('Master Data Sheet'!$H:$H=I$2) * (INDEX('Master Data Sheet'!$1:$1, , MATCH($F$1, 'Master Data Sheet'!$1:$1, 0)) = $F$1) * ('Master Data Sheet'!$G:$G=$B29) * ('Master Data Sheet'!$F:$F=$E29) * ('Master Data Sheet'!$A:$A=$F29), 0), MATCH($F$1, 'Master Data Sheet'!$1:$1, 0)), "")</f>
        <v>2.1936996336996337</v>
      </c>
      <c r="J29" s="28" cm="1">
        <f t="array" ref="J29">IFERROR(INDEX('Master Data Sheet'!$1:$1048576, MATCH(1, ('Master Data Sheet'!$H:$H=J$2) * (INDEX('Master Data Sheet'!$1:$1, , MATCH($F$1, 'Master Data Sheet'!$1:$1, 0)) = $F$1) * ('Master Data Sheet'!$G:$G=$B29) * ('Master Data Sheet'!$F:$F=$E29) * ('Master Data Sheet'!$A:$A=$F29), 0), MATCH($F$1, 'Master Data Sheet'!$1:$1, 0)), "")</f>
        <v>1.0642735042735043</v>
      </c>
      <c r="K29" s="28" cm="1">
        <f t="array" ref="K29">IFERROR(INDEX('Master Data Sheet'!$1:$1048576, MATCH(1, ('Master Data Sheet'!$H:$H=K$2) * (INDEX('Master Data Sheet'!$1:$1, , MATCH($F$1, 'Master Data Sheet'!$1:$1, 0)) = $F$1) * ('Master Data Sheet'!$G:$G=$B29) * ('Master Data Sheet'!$F:$F=$E29) * ('Master Data Sheet'!$A:$A=$F29), 0), MATCH($F$1, 'Master Data Sheet'!$1:$1, 0)), "")</f>
        <v>0.73460317460317448</v>
      </c>
      <c r="L29" s="28" cm="1">
        <f t="array" ref="L29">IFERROR(INDEX('Master Data Sheet'!$1:$1048576, MATCH(1, ('Master Data Sheet'!$H:$H=L$2) * (INDEX('Master Data Sheet'!$1:$1, , MATCH($F$1, 'Master Data Sheet'!$1:$1, 0)) = $F$1) * ('Master Data Sheet'!$G:$G=$B29) * ('Master Data Sheet'!$F:$F=$E29) * ('Master Data Sheet'!$A:$A=$F29), 0), MATCH($F$1, 'Master Data Sheet'!$1:$1, 0)), "")</f>
        <v>0.43545787545787545</v>
      </c>
      <c r="M29" s="28" cm="1">
        <f t="array" ref="M29">IFERROR(INDEX('Master Data Sheet'!$1:$1048576, MATCH(1, ('Master Data Sheet'!$H:$H=M$2) * (INDEX('Master Data Sheet'!$1:$1, , MATCH($F$1, 'Master Data Sheet'!$1:$1, 0)) = $F$1) * ('Master Data Sheet'!$G:$G=$B29) * ('Master Data Sheet'!$F:$F=$E29) * ('Master Data Sheet'!$A:$A=$F29), 0), MATCH($F$1, 'Master Data Sheet'!$1:$1, 0)), "")</f>
        <v>0.34388278388278382</v>
      </c>
      <c r="N29" s="28" cm="1">
        <f t="array" ref="N29">IFERROR(INDEX('Master Data Sheet'!$1:$1048576, MATCH(1, ('Master Data Sheet'!$H:$H=N$2) * (INDEX('Master Data Sheet'!$1:$1, , MATCH($F$1, 'Master Data Sheet'!$1:$1, 0)) = $F$1) * ('Master Data Sheet'!$G:$G=$B29) * ('Master Data Sheet'!$F:$F=$E29) * ('Master Data Sheet'!$A:$A=$F29), 0), MATCH($F$1, 'Master Data Sheet'!$1:$1, 0)), "")</f>
        <v>0.35609279609279604</v>
      </c>
      <c r="O29" s="28">
        <f t="shared" si="8"/>
        <v>1.3965602651316933</v>
      </c>
      <c r="P29" s="28">
        <f t="shared" si="4"/>
        <v>1.5742586491559754</v>
      </c>
      <c r="Q29" s="28"/>
      <c r="R29" s="48">
        <f>(1-(O29/O23))*100</f>
        <v>-150.08683483888697</v>
      </c>
      <c r="S29" s="27"/>
      <c r="T29" s="27"/>
      <c r="U29" s="27"/>
      <c r="V29" s="27"/>
      <c r="W29" s="27"/>
      <c r="X29" s="47">
        <f>(O26-O29)/45.6</f>
        <v>-1.4688736493247761E-2</v>
      </c>
      <c r="Y29" s="47">
        <f>O23/45.6</f>
        <v>1.2246275028229914E-2</v>
      </c>
    </row>
    <row r="30" spans="1:48" x14ac:dyDescent="0.35">
      <c r="A30" s="41">
        <f>IFERROR(INDEX('Date Key'!$B$2:$B$19, MATCH(F30,'Date Key'!$A$2:$A$19, 0)), "")</f>
        <v>45250</v>
      </c>
      <c r="B30" s="4">
        <f t="shared" si="15"/>
        <v>4</v>
      </c>
      <c r="C30" s="26" t="str">
        <f>IFERROR(INDEX('Date Key'!$G$57:$G$62, MATCH(B30,'Date Key'!$A$57:$A$62, 0)), "")</f>
        <v>High HLR, Upper Outlet Height, No Plants</v>
      </c>
      <c r="D30" s="4" t="str">
        <f>IFERROR(INDEX('Date Key'!$G$2:$G$19, MATCH(F30, 'Date Key'!$A$2:$A$19, 0)), "")</f>
        <v>Yes</v>
      </c>
      <c r="E30" s="4" t="str">
        <f t="shared" si="1"/>
        <v>in</v>
      </c>
      <c r="F30" s="4">
        <f t="shared" si="2"/>
        <v>10</v>
      </c>
      <c r="G30" s="4">
        <f t="shared" si="22"/>
        <v>1</v>
      </c>
      <c r="H30" s="11" cm="1">
        <f t="array" ref="H30">IFERROR(INDEX('Master Data Sheet'!$1:$1048576, MATCH(1, ('Master Data Sheet'!$H:$H=H$2) * (INDEX('Master Data Sheet'!$1:$1, , MATCH($F$1, 'Master Data Sheet'!$1:$1, 0)) = $F$1) * ('Master Data Sheet'!$G:$G=$B30) * ('Master Data Sheet'!$F:$F=$E30) * ('Master Data Sheet'!$A:$A=$F30), 0), MATCH($F$1, 'Master Data Sheet'!$1:$1, 0)), "")</f>
        <v>0.37440781440781434</v>
      </c>
      <c r="I30" s="11" cm="1">
        <f t="array" ref="I30">IFERROR(INDEX('Master Data Sheet'!$1:$1048576, MATCH(1, ('Master Data Sheet'!$H:$H=I$2) * (INDEX('Master Data Sheet'!$1:$1, , MATCH($F$1, 'Master Data Sheet'!$1:$1, 0)) = $F$1) * ('Master Data Sheet'!$G:$G=$B30) * ('Master Data Sheet'!$F:$F=$E30) * ('Master Data Sheet'!$A:$A=$F30), 0), MATCH($F$1, 'Master Data Sheet'!$1:$1, 0)), "")</f>
        <v>0.3499877899877899</v>
      </c>
      <c r="J30" s="11" cm="1">
        <f t="array" ref="J30">IFERROR(INDEX('Master Data Sheet'!$1:$1048576, MATCH(1, ('Master Data Sheet'!$H:$H=J$2) * (INDEX('Master Data Sheet'!$1:$1, , MATCH($F$1, 'Master Data Sheet'!$1:$1, 0)) = $F$1) * ('Master Data Sheet'!$G:$G=$B30) * ('Master Data Sheet'!$F:$F=$E30) * ('Master Data Sheet'!$A:$A=$F30), 0), MATCH($F$1, 'Master Data Sheet'!$1:$1, 0)), "")</f>
        <v>0.42935286935286932</v>
      </c>
      <c r="K30" s="11" cm="1">
        <f t="array" ref="K30">IFERROR(INDEX('Master Data Sheet'!$1:$1048576, MATCH(1, ('Master Data Sheet'!$H:$H=K$2) * (INDEX('Master Data Sheet'!$1:$1, , MATCH($F$1, 'Master Data Sheet'!$1:$1, 0)) = $F$1) * ('Master Data Sheet'!$G:$G=$B30) * ('Master Data Sheet'!$F:$F=$E30) * ('Master Data Sheet'!$A:$A=$F30), 0), MATCH($F$1, 'Master Data Sheet'!$1:$1, 0)), "")</f>
        <v>0.33777777777777784</v>
      </c>
      <c r="L30" s="11" cm="1">
        <f t="array" ref="L30">IFERROR(INDEX('Master Data Sheet'!$1:$1048576, MATCH(1, ('Master Data Sheet'!$H:$H=L$2) * (INDEX('Master Data Sheet'!$1:$1, , MATCH($F$1, 'Master Data Sheet'!$1:$1, 0)) = $F$1) * ('Master Data Sheet'!$G:$G=$B30) * ('Master Data Sheet'!$F:$F=$E30) * ('Master Data Sheet'!$A:$A=$F30), 0), MATCH($F$1, 'Master Data Sheet'!$1:$1, 0)), "")</f>
        <v>0.32556776556776562</v>
      </c>
      <c r="M30" s="11" cm="1">
        <f t="array" ref="M30">IFERROR(INDEX('Master Data Sheet'!$1:$1048576, MATCH(1, ('Master Data Sheet'!$H:$H=M$2) * (INDEX('Master Data Sheet'!$1:$1, , MATCH($F$1, 'Master Data Sheet'!$1:$1, 0)) = $F$1) * ('Master Data Sheet'!$G:$G=$B30) * ('Master Data Sheet'!$F:$F=$E30) * ('Master Data Sheet'!$A:$A=$F30), 0), MATCH($F$1, 'Master Data Sheet'!$1:$1, 0)), "")</f>
        <v>0.36830280830280826</v>
      </c>
      <c r="N30" s="11" cm="1">
        <f t="array" ref="N30">IFERROR(INDEX('Master Data Sheet'!$1:$1048576, MATCH(1, ('Master Data Sheet'!$H:$H=N$2) * (INDEX('Master Data Sheet'!$1:$1, , MATCH($F$1, 'Master Data Sheet'!$1:$1, 0)) = $F$1) * ('Master Data Sheet'!$G:$G=$B30) * ('Master Data Sheet'!$F:$F=$E30) * ('Master Data Sheet'!$A:$A=$F30), 0), MATCH($F$1, 'Master Data Sheet'!$1:$1, 0)), "")</f>
        <v>0.36219780219780212</v>
      </c>
      <c r="O30" s="11">
        <f t="shared" si="8"/>
        <v>0.36394208965637531</v>
      </c>
      <c r="P30" s="11">
        <f t="shared" si="4"/>
        <v>3.3570925777887256E-2</v>
      </c>
      <c r="Q30" s="11">
        <f>AVERAGE(O30:O32)</f>
        <v>1.0330879702308273</v>
      </c>
      <c r="S30" s="11">
        <f>AVERAGE(O30:O32)</f>
        <v>1.0330879702308273</v>
      </c>
      <c r="T30" s="11">
        <f>AVERAGE(P30:P32)</f>
        <v>0.40546844392233067</v>
      </c>
      <c r="V30" s="47">
        <f>AVERAGE(U33, U36)</f>
        <v>13.127473536814298</v>
      </c>
      <c r="W30" s="47">
        <f>_xlfn.STDEV.S(U33,U36)</f>
        <v>39.219416665128875</v>
      </c>
      <c r="X30" s="47"/>
      <c r="Y30" s="47"/>
      <c r="AA30" t="s">
        <v>343</v>
      </c>
    </row>
    <row r="31" spans="1:48" x14ac:dyDescent="0.35">
      <c r="A31" s="41">
        <f>IFERROR(INDEX('Date Key'!$B$2:$B$19, MATCH(F31,'Date Key'!$A$2:$A$19, 0)), "")</f>
        <v>45259</v>
      </c>
      <c r="B31" s="4">
        <f t="shared" si="15"/>
        <v>4</v>
      </c>
      <c r="C31" s="26" t="str">
        <f>IFERROR(INDEX('Date Key'!$G$57:$G$62, MATCH(B31,'Date Key'!$A$57:$A$62, 0)), "")</f>
        <v>High HLR, Upper Outlet Height, No Plants</v>
      </c>
      <c r="D31" s="4" t="str">
        <f>IFERROR(INDEX('Date Key'!$G$2:$G$19, MATCH(F31, 'Date Key'!$A$2:$A$19, 0)), "")</f>
        <v>No</v>
      </c>
      <c r="E31" s="4" t="str">
        <f t="shared" si="1"/>
        <v>in</v>
      </c>
      <c r="F31" s="4">
        <f t="shared" si="2"/>
        <v>11</v>
      </c>
      <c r="G31" s="4">
        <f t="shared" si="22"/>
        <v>2</v>
      </c>
      <c r="H31" s="11" cm="1">
        <f t="array" ref="H31">IFERROR(INDEX('Master Data Sheet'!$1:$1048576, MATCH(1, ('Master Data Sheet'!$H:$H=H$2) * (INDEX('Master Data Sheet'!$1:$1, , MATCH($F$1, 'Master Data Sheet'!$1:$1, 0)) = $F$1) * ('Master Data Sheet'!$G:$G=$B31) * ('Master Data Sheet'!$F:$F=$E31) * ('Master Data Sheet'!$A:$A=$F31), 0), MATCH($F$1, 'Master Data Sheet'!$1:$1, 0)), "")</f>
        <v>1.5873015873015817E-3</v>
      </c>
      <c r="I31" s="11" cm="1">
        <f t="array" ref="I31">IFERROR(INDEX('Master Data Sheet'!$1:$1048576, MATCH(1, ('Master Data Sheet'!$H:$H=I$2) * (INDEX('Master Data Sheet'!$1:$1, , MATCH($F$1, 'Master Data Sheet'!$1:$1, 0)) = $F$1) * ('Master Data Sheet'!$G:$G=$B31) * ('Master Data Sheet'!$F:$F=$E31) * ('Master Data Sheet'!$A:$A=$F31), 0), MATCH($F$1, 'Master Data Sheet'!$1:$1, 0)), "")</f>
        <v>0.91733821733821741</v>
      </c>
      <c r="J31" s="11" cm="1">
        <f t="array" ref="J31">IFERROR(INDEX('Master Data Sheet'!$1:$1048576, MATCH(1, ('Master Data Sheet'!$H:$H=J$2) * (INDEX('Master Data Sheet'!$1:$1, , MATCH($F$1, 'Master Data Sheet'!$1:$1, 0)) = $F$1) * ('Master Data Sheet'!$G:$G=$B31) * ('Master Data Sheet'!$F:$F=$E31) * ('Master Data Sheet'!$A:$A=$F31), 0), MATCH($F$1, 'Master Data Sheet'!$1:$1, 0)), "")</f>
        <v>1.192063492063492</v>
      </c>
      <c r="K31" s="11" cm="1">
        <f t="array" ref="K31">IFERROR(INDEX('Master Data Sheet'!$1:$1048576, MATCH(1, ('Master Data Sheet'!$H:$H=K$2) * (INDEX('Master Data Sheet'!$1:$1, , MATCH($F$1, 'Master Data Sheet'!$1:$1, 0)) = $F$1) * ('Master Data Sheet'!$G:$G=$B31) * ('Master Data Sheet'!$F:$F=$E31) * ('Master Data Sheet'!$A:$A=$F31), 0), MATCH($F$1, 'Master Data Sheet'!$1:$1, 0)), "")</f>
        <v>1.4240537240537239</v>
      </c>
      <c r="L31" s="11" cm="1">
        <f t="array" ref="L31">IFERROR(INDEX('Master Data Sheet'!$1:$1048576, MATCH(1, ('Master Data Sheet'!$H:$H=L$2) * (INDEX('Master Data Sheet'!$1:$1, , MATCH($F$1, 'Master Data Sheet'!$1:$1, 0)) = $F$1) * ('Master Data Sheet'!$G:$G=$B31) * ('Master Data Sheet'!$F:$F=$E31) * ('Master Data Sheet'!$A:$A=$F31), 0), MATCH($F$1, 'Master Data Sheet'!$1:$1, 0)), "")</f>
        <v>2.0528693528693527</v>
      </c>
      <c r="M31" s="11" cm="1">
        <f t="array" ref="M31">IFERROR(INDEX('Master Data Sheet'!$1:$1048576, MATCH(1, ('Master Data Sheet'!$H:$H=M$2) * (INDEX('Master Data Sheet'!$1:$1, , MATCH($F$1, 'Master Data Sheet'!$1:$1, 0)) = $F$1) * ('Master Data Sheet'!$G:$G=$B31) * ('Master Data Sheet'!$F:$F=$E31) * ('Master Data Sheet'!$A:$A=$F31), 0), MATCH($F$1, 'Master Data Sheet'!$1:$1, 0)), "")</f>
        <v>1.8880341880341878</v>
      </c>
      <c r="N31" s="11" cm="1">
        <f t="array" ref="N31">IFERROR(INDEX('Master Data Sheet'!$1:$1048576, MATCH(1, ('Master Data Sheet'!$H:$H=N$2) * (INDEX('Master Data Sheet'!$1:$1, , MATCH($F$1, 'Master Data Sheet'!$1:$1, 0)) = $F$1) * ('Master Data Sheet'!$G:$G=$B31) * ('Master Data Sheet'!$F:$F=$E31) * ('Master Data Sheet'!$A:$A=$F31), 0), MATCH($F$1, 'Master Data Sheet'!$1:$1, 0)), "")</f>
        <v>2.0406593406593405</v>
      </c>
      <c r="O31" s="11">
        <f t="shared" si="8"/>
        <v>1.3595150880865166</v>
      </c>
      <c r="P31" s="11">
        <f t="shared" si="4"/>
        <v>0.74113916813124192</v>
      </c>
      <c r="Q31" s="11"/>
      <c r="AA31" t="str">
        <f>IFERROR(INDEX('Date Key'!$G$57:$G$62, MATCH(B30,'Date Key'!$A$57:$A$62, 0)), "")</f>
        <v>High HLR, Upper Outlet Height, No Plants</v>
      </c>
      <c r="AB31" s="1">
        <f t="shared" ref="AB31:AH31" si="35">H30</f>
        <v>0.37440781440781434</v>
      </c>
      <c r="AC31" s="1">
        <f t="shared" si="35"/>
        <v>0.3499877899877899</v>
      </c>
      <c r="AD31" s="1">
        <f t="shared" si="35"/>
        <v>0.42935286935286932</v>
      </c>
      <c r="AE31" s="1">
        <f t="shared" si="35"/>
        <v>0.33777777777777784</v>
      </c>
      <c r="AF31" s="1">
        <f t="shared" si="35"/>
        <v>0.32556776556776562</v>
      </c>
      <c r="AG31" s="1">
        <f t="shared" si="35"/>
        <v>0.36830280830280826</v>
      </c>
      <c r="AH31" s="1">
        <f t="shared" si="35"/>
        <v>0.36219780219780212</v>
      </c>
      <c r="AI31" s="1">
        <f t="shared" ref="AI31:AO31" si="36">H31</f>
        <v>1.5873015873015817E-3</v>
      </c>
      <c r="AJ31" s="1">
        <f t="shared" si="36"/>
        <v>0.91733821733821741</v>
      </c>
      <c r="AK31" s="1">
        <f t="shared" si="36"/>
        <v>1.192063492063492</v>
      </c>
      <c r="AL31" s="1">
        <f t="shared" si="36"/>
        <v>1.4240537240537239</v>
      </c>
      <c r="AM31" s="1">
        <f t="shared" si="36"/>
        <v>2.0528693528693527</v>
      </c>
      <c r="AN31" s="1">
        <f t="shared" si="36"/>
        <v>1.8880341880341878</v>
      </c>
      <c r="AO31" s="1">
        <f t="shared" si="36"/>
        <v>2.0406593406593405</v>
      </c>
      <c r="AP31" s="1">
        <f t="shared" ref="AP31:AV31" si="37">H32</f>
        <v>0.87606837606837595</v>
      </c>
      <c r="AQ31" s="1">
        <f t="shared" si="37"/>
        <v>0.91269841269841268</v>
      </c>
      <c r="AR31" s="1">
        <f t="shared" si="37"/>
        <v>1.0714285714285716</v>
      </c>
      <c r="AS31" s="1">
        <f t="shared" si="37"/>
        <v>1.3583638583638584</v>
      </c>
      <c r="AT31" s="1">
        <f t="shared" si="37"/>
        <v>1.6514041514041511</v>
      </c>
      <c r="AU31" s="1">
        <f t="shared" si="37"/>
        <v>1.7612942612942613</v>
      </c>
      <c r="AV31" s="1">
        <f t="shared" si="37"/>
        <v>1.9993894993894994</v>
      </c>
    </row>
    <row r="32" spans="1:48" x14ac:dyDescent="0.35">
      <c r="A32" s="41">
        <f>IFERROR(INDEX('Date Key'!$B$2:$B$19, MATCH(F32,'Date Key'!$A$2:$A$19, 0)), "")</f>
        <v>45266</v>
      </c>
      <c r="B32" s="4">
        <f t="shared" si="15"/>
        <v>4</v>
      </c>
      <c r="C32" s="26" t="str">
        <f>IFERROR(INDEX('Date Key'!$G$57:$G$62, MATCH(B32,'Date Key'!$A$57:$A$62, 0)), "")</f>
        <v>High HLR, Upper Outlet Height, No Plants</v>
      </c>
      <c r="D32" s="4" t="str">
        <f>IFERROR(INDEX('Date Key'!$G$2:$G$19, MATCH(F32, 'Date Key'!$A$2:$A$19, 0)), "")</f>
        <v>No</v>
      </c>
      <c r="E32" s="4" t="str">
        <f t="shared" si="1"/>
        <v>in</v>
      </c>
      <c r="F32" s="4">
        <f t="shared" si="2"/>
        <v>12</v>
      </c>
      <c r="G32" s="4">
        <f t="shared" si="22"/>
        <v>3</v>
      </c>
      <c r="H32" s="11" cm="1">
        <f t="array" ref="H32">IFERROR(INDEX('Master Data Sheet'!$1:$1048576, MATCH(1, ('Master Data Sheet'!$H:$H=H$2) * (INDEX('Master Data Sheet'!$1:$1, , MATCH($F$1, 'Master Data Sheet'!$1:$1, 0)) = $F$1) * ('Master Data Sheet'!$G:$G=$B32) * ('Master Data Sheet'!$F:$F=$E32) * ('Master Data Sheet'!$A:$A=$F32), 0), MATCH($F$1, 'Master Data Sheet'!$1:$1, 0)), "")</f>
        <v>0.87606837606837595</v>
      </c>
      <c r="I32" s="11" cm="1">
        <f t="array" ref="I32">IFERROR(INDEX('Master Data Sheet'!$1:$1048576, MATCH(1, ('Master Data Sheet'!$H:$H=I$2) * (INDEX('Master Data Sheet'!$1:$1, , MATCH($F$1, 'Master Data Sheet'!$1:$1, 0)) = $F$1) * ('Master Data Sheet'!$G:$G=$B32) * ('Master Data Sheet'!$F:$F=$E32) * ('Master Data Sheet'!$A:$A=$F32), 0), MATCH($F$1, 'Master Data Sheet'!$1:$1, 0)), "")</f>
        <v>0.91269841269841268</v>
      </c>
      <c r="J32" s="11" cm="1">
        <f t="array" ref="J32">IFERROR(INDEX('Master Data Sheet'!$1:$1048576, MATCH(1, ('Master Data Sheet'!$H:$H=J$2) * (INDEX('Master Data Sheet'!$1:$1, , MATCH($F$1, 'Master Data Sheet'!$1:$1, 0)) = $F$1) * ('Master Data Sheet'!$G:$G=$B32) * ('Master Data Sheet'!$F:$F=$E32) * ('Master Data Sheet'!$A:$A=$F32), 0), MATCH($F$1, 'Master Data Sheet'!$1:$1, 0)), "")</f>
        <v>1.0714285714285716</v>
      </c>
      <c r="K32" s="11" cm="1">
        <f t="array" ref="K32">IFERROR(INDEX('Master Data Sheet'!$1:$1048576, MATCH(1, ('Master Data Sheet'!$H:$H=K$2) * (INDEX('Master Data Sheet'!$1:$1, , MATCH($F$1, 'Master Data Sheet'!$1:$1, 0)) = $F$1) * ('Master Data Sheet'!$G:$G=$B32) * ('Master Data Sheet'!$F:$F=$E32) * ('Master Data Sheet'!$A:$A=$F32), 0), MATCH($F$1, 'Master Data Sheet'!$1:$1, 0)), "")</f>
        <v>1.3583638583638584</v>
      </c>
      <c r="L32" s="11" cm="1">
        <f t="array" ref="L32">IFERROR(INDEX('Master Data Sheet'!$1:$1048576, MATCH(1, ('Master Data Sheet'!$H:$H=L$2) * (INDEX('Master Data Sheet'!$1:$1, , MATCH($F$1, 'Master Data Sheet'!$1:$1, 0)) = $F$1) * ('Master Data Sheet'!$G:$G=$B32) * ('Master Data Sheet'!$F:$F=$E32) * ('Master Data Sheet'!$A:$A=$F32), 0), MATCH($F$1, 'Master Data Sheet'!$1:$1, 0)), "")</f>
        <v>1.6514041514041511</v>
      </c>
      <c r="M32" s="11" cm="1">
        <f t="array" ref="M32">IFERROR(INDEX('Master Data Sheet'!$1:$1048576, MATCH(1, ('Master Data Sheet'!$H:$H=M$2) * (INDEX('Master Data Sheet'!$1:$1, , MATCH($F$1, 'Master Data Sheet'!$1:$1, 0)) = $F$1) * ('Master Data Sheet'!$G:$G=$B32) * ('Master Data Sheet'!$F:$F=$E32) * ('Master Data Sheet'!$A:$A=$F32), 0), MATCH($F$1, 'Master Data Sheet'!$1:$1, 0)), "")</f>
        <v>1.7612942612942613</v>
      </c>
      <c r="N32" s="11" cm="1">
        <f t="array" ref="N32">IFERROR(INDEX('Master Data Sheet'!$1:$1048576, MATCH(1, ('Master Data Sheet'!$H:$H=N$2) * (INDEX('Master Data Sheet'!$1:$1, , MATCH($F$1, 'Master Data Sheet'!$1:$1, 0)) = $F$1) * ('Master Data Sheet'!$G:$G=$B32) * ('Master Data Sheet'!$F:$F=$E32) * ('Master Data Sheet'!$A:$A=$F32), 0), MATCH($F$1, 'Master Data Sheet'!$1:$1, 0)), "")</f>
        <v>1.9993894993894994</v>
      </c>
      <c r="O32" s="11">
        <f t="shared" si="8"/>
        <v>1.37580673294959</v>
      </c>
      <c r="P32" s="11">
        <f t="shared" si="4"/>
        <v>0.44169523785786297</v>
      </c>
      <c r="Q32" s="11"/>
      <c r="AB32" s="1"/>
      <c r="AC32" s="1"/>
      <c r="AD32" s="1"/>
      <c r="AE32" s="1"/>
      <c r="AF32" s="1"/>
      <c r="AG32" s="1"/>
      <c r="AH32" s="1"/>
      <c r="AI32" s="1"/>
      <c r="AJ32" s="1"/>
      <c r="AK32" s="1"/>
      <c r="AL32" s="1"/>
      <c r="AM32" s="1"/>
      <c r="AN32" s="1"/>
      <c r="AO32" s="1"/>
      <c r="AP32" s="1"/>
      <c r="AQ32" s="1"/>
      <c r="AR32" s="1"/>
      <c r="AS32" s="1"/>
      <c r="AT32" s="1"/>
      <c r="AU32" s="1"/>
      <c r="AV32" s="1"/>
    </row>
    <row r="33" spans="1:48" x14ac:dyDescent="0.35">
      <c r="A33" s="41">
        <f>IFERROR(INDEX('Date Key'!$B$2:$B$19, MATCH(F33,'Date Key'!$A$2:$A$19, 0)), "")</f>
        <v>45250</v>
      </c>
      <c r="B33" s="4">
        <f t="shared" si="15"/>
        <v>4</v>
      </c>
      <c r="C33" s="26" t="str">
        <f>IFERROR(INDEX('Date Key'!$G$57:$G$62, MATCH(B33,'Date Key'!$A$57:$A$62, 0)), "")</f>
        <v>High HLR, Upper Outlet Height, No Plants</v>
      </c>
      <c r="D33" s="4" t="str">
        <f>IFERROR(INDEX('Date Key'!$G$2:$G$19, MATCH(F33, 'Date Key'!$A$2:$A$19, 0)), "")</f>
        <v>Yes</v>
      </c>
      <c r="E33" s="4" t="str">
        <f t="shared" si="1"/>
        <v>tank 1</v>
      </c>
      <c r="F33" s="4">
        <f t="shared" si="2"/>
        <v>10</v>
      </c>
      <c r="G33" s="4">
        <f t="shared" si="22"/>
        <v>1</v>
      </c>
      <c r="H33" s="11" cm="1">
        <f t="array" ref="H33">IFERROR(INDEX('Master Data Sheet'!$1:$1048576, MATCH(1, ('Master Data Sheet'!$H:$H=H$2) * (INDEX('Master Data Sheet'!$1:$1, , MATCH($F$1, 'Master Data Sheet'!$1:$1, 0)) = $F$1) * ('Master Data Sheet'!$G:$G=$B33) * ('Master Data Sheet'!$F:$F=$E33) * ('Master Data Sheet'!$A:$A=$F33), 0), MATCH($F$1, 'Master Data Sheet'!$1:$1, 0)), "")</f>
        <v>0.48429792429792434</v>
      </c>
      <c r="I33" s="11" cm="1">
        <f t="array" ref="I33">IFERROR(INDEX('Master Data Sheet'!$1:$1048576, MATCH(1, ('Master Data Sheet'!$H:$H=I$2) * (INDEX('Master Data Sheet'!$1:$1, , MATCH($F$1, 'Master Data Sheet'!$1:$1, 0)) = $F$1) * ('Master Data Sheet'!$G:$G=$B33) * ('Master Data Sheet'!$F:$F=$E33) * ('Master Data Sheet'!$A:$A=$F33), 0), MATCH($F$1, 'Master Data Sheet'!$1:$1, 0)), "")</f>
        <v>0.4781929181929182</v>
      </c>
      <c r="J33" s="11" cm="1">
        <f t="array" ref="J33">IFERROR(INDEX('Master Data Sheet'!$1:$1048576, MATCH(1, ('Master Data Sheet'!$H:$H=J$2) * (INDEX('Master Data Sheet'!$1:$1, , MATCH($F$1, 'Master Data Sheet'!$1:$1, 0)) = $F$1) * ('Master Data Sheet'!$G:$G=$B33) * ('Master Data Sheet'!$F:$F=$E33) * ('Master Data Sheet'!$A:$A=$F33), 0), MATCH($F$1, 'Master Data Sheet'!$1:$1, 0)), "")</f>
        <v>0.38661782661782657</v>
      </c>
      <c r="K33" s="11" cm="1">
        <f t="array" ref="K33">IFERROR(INDEX('Master Data Sheet'!$1:$1048576, MATCH(1, ('Master Data Sheet'!$H:$H=K$2) * (INDEX('Master Data Sheet'!$1:$1, , MATCH($F$1, 'Master Data Sheet'!$1:$1, 0)) = $F$1) * ('Master Data Sheet'!$G:$G=$B33) * ('Master Data Sheet'!$F:$F=$E33) * ('Master Data Sheet'!$A:$A=$F33), 0), MATCH($F$1, 'Master Data Sheet'!$1:$1, 0)), "")</f>
        <v>0.3499877899877899</v>
      </c>
      <c r="L33" s="11" cm="1">
        <f t="array" ref="L33">IFERROR(INDEX('Master Data Sheet'!$1:$1048576, MATCH(1, ('Master Data Sheet'!$H:$H=L$2) * (INDEX('Master Data Sheet'!$1:$1, , MATCH($F$1, 'Master Data Sheet'!$1:$1, 0)) = $F$1) * ('Master Data Sheet'!$G:$G=$B33) * ('Master Data Sheet'!$F:$F=$E33) * ('Master Data Sheet'!$A:$A=$F33), 0), MATCH($F$1, 'Master Data Sheet'!$1:$1, 0)), "")</f>
        <v>0.33167277167277176</v>
      </c>
      <c r="M33" s="11" cm="1">
        <f t="array" ref="M33">IFERROR(INDEX('Master Data Sheet'!$1:$1048576, MATCH(1, ('Master Data Sheet'!$H:$H=M$2) * (INDEX('Master Data Sheet'!$1:$1, , MATCH($F$1, 'Master Data Sheet'!$1:$1, 0)) = $F$1) * ('Master Data Sheet'!$G:$G=$B33) * ('Master Data Sheet'!$F:$F=$E33) * ('Master Data Sheet'!$A:$A=$F33), 0), MATCH($F$1, 'Master Data Sheet'!$1:$1, 0)), "")</f>
        <v>0.29504273504273504</v>
      </c>
      <c r="N33" s="11" cm="1">
        <f t="array" ref="N33">IFERROR(INDEX('Master Data Sheet'!$1:$1048576, MATCH(1, ('Master Data Sheet'!$H:$H=N$2) * (INDEX('Master Data Sheet'!$1:$1, , MATCH($F$1, 'Master Data Sheet'!$1:$1, 0)) = $F$1) * ('Master Data Sheet'!$G:$G=$B33) * ('Master Data Sheet'!$F:$F=$E33) * ('Master Data Sheet'!$A:$A=$F33), 0), MATCH($F$1, 'Master Data Sheet'!$1:$1, 0)), "")</f>
        <v>0.29504273504273504</v>
      </c>
      <c r="O33" s="11">
        <f t="shared" si="8"/>
        <v>0.3744078144078144</v>
      </c>
      <c r="P33" s="11">
        <f t="shared" si="4"/>
        <v>7.9599540967065313E-2</v>
      </c>
      <c r="Q33" s="11">
        <f>AVERAGE(O33:O35)</f>
        <v>0.61097040525611945</v>
      </c>
      <c r="R33" s="46">
        <f>(1-(O33/O30))*100</f>
        <v>-2.875656608258903</v>
      </c>
      <c r="S33" s="46">
        <f>AVERAGE(R33:R35)</f>
        <v>30.181576120977457</v>
      </c>
      <c r="T33" s="46">
        <f>STDEV(R33:R35)</f>
        <v>29.106201562511099</v>
      </c>
      <c r="U33" s="47">
        <f>(1-(AVERAGE(H33:N35)/AVERAGE(H30:N32)))*100</f>
        <v>40.859789014907619</v>
      </c>
      <c r="V33" s="47"/>
      <c r="W33" s="47"/>
      <c r="X33" s="47">
        <f>(O30-O33)/60.5</f>
        <v>-1.7298718597419979E-4</v>
      </c>
      <c r="Y33" s="47">
        <f>O30/60.5</f>
        <v>6.0155717298574435E-3</v>
      </c>
      <c r="AB33" s="2"/>
      <c r="AC33" s="2"/>
      <c r="AD33" s="2"/>
      <c r="AE33" s="2"/>
      <c r="AF33" s="2"/>
      <c r="AG33" s="2"/>
      <c r="AH33" s="2"/>
      <c r="AI33" s="2"/>
      <c r="AJ33" s="2"/>
    </row>
    <row r="34" spans="1:48" x14ac:dyDescent="0.35">
      <c r="A34" s="41">
        <f>IFERROR(INDEX('Date Key'!$B$2:$B$19, MATCH(F34,'Date Key'!$A$2:$A$19, 0)), "")</f>
        <v>45259</v>
      </c>
      <c r="B34" s="4">
        <f t="shared" si="15"/>
        <v>4</v>
      </c>
      <c r="C34" s="26" t="str">
        <f>IFERROR(INDEX('Date Key'!$G$57:$G$62, MATCH(B34,'Date Key'!$A$57:$A$62, 0)), "")</f>
        <v>High HLR, Upper Outlet Height, No Plants</v>
      </c>
      <c r="D34" s="4" t="str">
        <f>IFERROR(INDEX('Date Key'!$G$2:$G$19, MATCH(F34, 'Date Key'!$A$2:$A$19, 0)), "")</f>
        <v>No</v>
      </c>
      <c r="E34" s="4" t="str">
        <f t="shared" si="1"/>
        <v>tank 1</v>
      </c>
      <c r="F34" s="4">
        <f t="shared" si="2"/>
        <v>11</v>
      </c>
      <c r="G34" s="4">
        <f t="shared" si="22"/>
        <v>2</v>
      </c>
      <c r="H34" s="11" cm="1">
        <f t="array" ref="H34">IFERROR(INDEX('Master Data Sheet'!$1:$1048576, MATCH(1, ('Master Data Sheet'!$H:$H=H$2) * (INDEX('Master Data Sheet'!$1:$1, , MATCH($F$1, 'Master Data Sheet'!$1:$1, 0)) = $F$1) * ('Master Data Sheet'!$G:$G=$B34) * ('Master Data Sheet'!$F:$F=$E34) * ('Master Data Sheet'!$A:$A=$F34), 0), MATCH($F$1, 'Master Data Sheet'!$1:$1, 0)), "")</f>
        <v>0.36788766788766791</v>
      </c>
      <c r="I34" s="11" cm="1">
        <f t="array" ref="I34">IFERROR(INDEX('Master Data Sheet'!$1:$1048576, MATCH(1, ('Master Data Sheet'!$H:$H=I$2) * (INDEX('Master Data Sheet'!$1:$1, , MATCH($F$1, 'Master Data Sheet'!$1:$1, 0)) = $F$1) * ('Master Data Sheet'!$G:$G=$B34) * ('Master Data Sheet'!$F:$F=$E34) * ('Master Data Sheet'!$A:$A=$F34), 0), MATCH($F$1, 'Master Data Sheet'!$1:$1, 0)), "")</f>
        <v>0.35567765567765564</v>
      </c>
      <c r="J34" s="11" cm="1">
        <f t="array" ref="J34">IFERROR(INDEX('Master Data Sheet'!$1:$1048576, MATCH(1, ('Master Data Sheet'!$H:$H=J$2) * (INDEX('Master Data Sheet'!$1:$1, , MATCH($F$1, 'Master Data Sheet'!$1:$1, 0)) = $F$1) * ('Master Data Sheet'!$G:$G=$B34) * ('Master Data Sheet'!$F:$F=$E34) * ('Master Data Sheet'!$A:$A=$F34), 0), MATCH($F$1, 'Master Data Sheet'!$1:$1, 0)), "")</f>
        <v>0.34346764346764347</v>
      </c>
      <c r="K34" s="11" cm="1">
        <f t="array" ref="K34">IFERROR(INDEX('Master Data Sheet'!$1:$1048576, MATCH(1, ('Master Data Sheet'!$H:$H=K$2) * (INDEX('Master Data Sheet'!$1:$1, , MATCH($F$1, 'Master Data Sheet'!$1:$1, 0)) = $F$1) * ('Master Data Sheet'!$G:$G=$B34) * ('Master Data Sheet'!$F:$F=$E34) * ('Master Data Sheet'!$A:$A=$F34), 0), MATCH($F$1, 'Master Data Sheet'!$1:$1, 0)), "")</f>
        <v>0.55103785103785108</v>
      </c>
      <c r="L34" s="11" cm="1">
        <f t="array" ref="L34">IFERROR(INDEX('Master Data Sheet'!$1:$1048576, MATCH(1, ('Master Data Sheet'!$H:$H=L$2) * (INDEX('Master Data Sheet'!$1:$1, , MATCH($F$1, 'Master Data Sheet'!$1:$1, 0)) = $F$1) * ('Master Data Sheet'!$G:$G=$B34) * ('Master Data Sheet'!$F:$F=$E34) * ('Master Data Sheet'!$A:$A=$F34), 0), MATCH($F$1, 'Master Data Sheet'!$1:$1, 0)), "")</f>
        <v>0.75250305250305249</v>
      </c>
      <c r="M34" s="11" cm="1">
        <f t="array" ref="M34">IFERROR(INDEX('Master Data Sheet'!$1:$1048576, MATCH(1, ('Master Data Sheet'!$H:$H=M$2) * (INDEX('Master Data Sheet'!$1:$1, , MATCH($F$1, 'Master Data Sheet'!$1:$1, 0)) = $F$1) * ('Master Data Sheet'!$G:$G=$B34) * ('Master Data Sheet'!$F:$F=$E34) * ('Master Data Sheet'!$A:$A=$F34), 0), MATCH($F$1, 'Master Data Sheet'!$1:$1, 0)), "")</f>
        <v>1.0089133089133089</v>
      </c>
      <c r="N34" s="11" cm="1">
        <f t="array" ref="N34">IFERROR(INDEX('Master Data Sheet'!$1:$1048576, MATCH(1, ('Master Data Sheet'!$H:$H=N$2) * (INDEX('Master Data Sheet'!$1:$1, , MATCH($F$1, 'Master Data Sheet'!$1:$1, 0)) = $F$1) * ('Master Data Sheet'!$G:$G=$B34) * ('Master Data Sheet'!$F:$F=$E34) * ('Master Data Sheet'!$A:$A=$F34), 0), MATCH($F$1, 'Master Data Sheet'!$1:$1, 0)), "")</f>
        <v>1.192063492063492</v>
      </c>
      <c r="O34" s="11">
        <f t="shared" si="8"/>
        <v>0.65307866736438158</v>
      </c>
      <c r="P34" s="11">
        <f t="shared" si="4"/>
        <v>0.34231095123006061</v>
      </c>
      <c r="Q34" s="11"/>
      <c r="R34" s="46">
        <f>(1-(O34/O31))*100</f>
        <v>51.962381801619173</v>
      </c>
      <c r="X34" s="47">
        <f>(O31-O34)/60.5</f>
        <v>1.167663505325843E-2</v>
      </c>
      <c r="Y34" s="47">
        <f>O31/60.5</f>
        <v>2.2471323770025066E-2</v>
      </c>
      <c r="AA34" t="str">
        <f>IFERROR(INDEX('Date Key'!$G$57:$G$62, MATCH(B33,'Date Key'!$A$57:$A$62, 0)), "")</f>
        <v>High HLR, Upper Outlet Height, No Plants</v>
      </c>
      <c r="AB34" s="1">
        <f t="shared" ref="AB34:AH34" si="38">H33</f>
        <v>0.48429792429792434</v>
      </c>
      <c r="AC34" s="1">
        <f t="shared" si="38"/>
        <v>0.4781929181929182</v>
      </c>
      <c r="AD34" s="1">
        <f t="shared" si="38"/>
        <v>0.38661782661782657</v>
      </c>
      <c r="AE34" s="1">
        <f t="shared" si="38"/>
        <v>0.3499877899877899</v>
      </c>
      <c r="AF34" s="1">
        <f t="shared" si="38"/>
        <v>0.33167277167277176</v>
      </c>
      <c r="AG34" s="1">
        <f t="shared" si="38"/>
        <v>0.29504273504273504</v>
      </c>
      <c r="AH34" s="1">
        <f t="shared" si="38"/>
        <v>0.29504273504273504</v>
      </c>
      <c r="AI34" s="1">
        <f t="shared" ref="AI34:AO34" si="39">H34</f>
        <v>0.36788766788766791</v>
      </c>
      <c r="AJ34" s="1">
        <f t="shared" si="39"/>
        <v>0.35567765567765564</v>
      </c>
      <c r="AK34" s="1">
        <f t="shared" si="39"/>
        <v>0.34346764346764347</v>
      </c>
      <c r="AL34" s="1">
        <f t="shared" si="39"/>
        <v>0.55103785103785108</v>
      </c>
      <c r="AM34" s="1">
        <f t="shared" si="39"/>
        <v>0.75250305250305249</v>
      </c>
      <c r="AN34" s="1">
        <f t="shared" si="39"/>
        <v>1.0089133089133089</v>
      </c>
      <c r="AO34" s="1">
        <f t="shared" si="39"/>
        <v>1.192063492063492</v>
      </c>
      <c r="AP34" s="1">
        <f t="shared" ref="AP34:AV34" si="40">H35</f>
        <v>0.70512820512820507</v>
      </c>
      <c r="AQ34" s="1">
        <f t="shared" si="40"/>
        <v>0.62576312576312576</v>
      </c>
      <c r="AR34" s="1">
        <f t="shared" si="40"/>
        <v>0.74175824175824179</v>
      </c>
      <c r="AS34" s="1">
        <f t="shared" si="40"/>
        <v>0.6501831501831502</v>
      </c>
      <c r="AT34" s="1">
        <f t="shared" si="40"/>
        <v>0.76617826617826612</v>
      </c>
      <c r="AU34" s="1">
        <f t="shared" si="40"/>
        <v>0.94932844932844929</v>
      </c>
      <c r="AV34" s="1">
        <f t="shared" si="40"/>
        <v>1.1996336996336996</v>
      </c>
    </row>
    <row r="35" spans="1:48" x14ac:dyDescent="0.35">
      <c r="A35" s="41">
        <f>IFERROR(INDEX('Date Key'!$B$2:$B$19, MATCH(F35,'Date Key'!$A$2:$A$19, 0)), "")</f>
        <v>45266</v>
      </c>
      <c r="B35" s="4">
        <f t="shared" si="15"/>
        <v>4</v>
      </c>
      <c r="C35" s="26" t="str">
        <f>IFERROR(INDEX('Date Key'!$G$57:$G$62, MATCH(B35,'Date Key'!$A$57:$A$62, 0)), "")</f>
        <v>High HLR, Upper Outlet Height, No Plants</v>
      </c>
      <c r="D35" s="4" t="str">
        <f>IFERROR(INDEX('Date Key'!$G$2:$G$19, MATCH(F35, 'Date Key'!$A$2:$A$19, 0)), "")</f>
        <v>No</v>
      </c>
      <c r="E35" s="4" t="str">
        <f t="shared" si="1"/>
        <v>tank 1</v>
      </c>
      <c r="F35" s="4">
        <f t="shared" si="2"/>
        <v>12</v>
      </c>
      <c r="G35" s="4">
        <f t="shared" si="22"/>
        <v>3</v>
      </c>
      <c r="H35" s="11" cm="1">
        <f t="array" ref="H35">IFERROR(INDEX('Master Data Sheet'!$1:$1048576, MATCH(1, ('Master Data Sheet'!$H:$H=H$2) * (INDEX('Master Data Sheet'!$1:$1, , MATCH($F$1, 'Master Data Sheet'!$1:$1, 0)) = $F$1) * ('Master Data Sheet'!$G:$G=$B35) * ('Master Data Sheet'!$F:$F=$E35) * ('Master Data Sheet'!$A:$A=$F35), 0), MATCH($F$1, 'Master Data Sheet'!$1:$1, 0)), "")</f>
        <v>0.70512820512820507</v>
      </c>
      <c r="I35" s="11" cm="1">
        <f t="array" ref="I35">IFERROR(INDEX('Master Data Sheet'!$1:$1048576, MATCH(1, ('Master Data Sheet'!$H:$H=I$2) * (INDEX('Master Data Sheet'!$1:$1, , MATCH($F$1, 'Master Data Sheet'!$1:$1, 0)) = $F$1) * ('Master Data Sheet'!$G:$G=$B35) * ('Master Data Sheet'!$F:$F=$E35) * ('Master Data Sheet'!$A:$A=$F35), 0), MATCH($F$1, 'Master Data Sheet'!$1:$1, 0)), "")</f>
        <v>0.62576312576312576</v>
      </c>
      <c r="J35" s="11" cm="1">
        <f t="array" ref="J35">IFERROR(INDEX('Master Data Sheet'!$1:$1048576, MATCH(1, ('Master Data Sheet'!$H:$H=J$2) * (INDEX('Master Data Sheet'!$1:$1, , MATCH($F$1, 'Master Data Sheet'!$1:$1, 0)) = $F$1) * ('Master Data Sheet'!$G:$G=$B35) * ('Master Data Sheet'!$F:$F=$E35) * ('Master Data Sheet'!$A:$A=$F35), 0), MATCH($F$1, 'Master Data Sheet'!$1:$1, 0)), "")</f>
        <v>0.74175824175824179</v>
      </c>
      <c r="K35" s="11" cm="1">
        <f t="array" ref="K35">IFERROR(INDEX('Master Data Sheet'!$1:$1048576, MATCH(1, ('Master Data Sheet'!$H:$H=K$2) * (INDEX('Master Data Sheet'!$1:$1, , MATCH($F$1, 'Master Data Sheet'!$1:$1, 0)) = $F$1) * ('Master Data Sheet'!$G:$G=$B35) * ('Master Data Sheet'!$F:$F=$E35) * ('Master Data Sheet'!$A:$A=$F35), 0), MATCH($F$1, 'Master Data Sheet'!$1:$1, 0)), "")</f>
        <v>0.6501831501831502</v>
      </c>
      <c r="L35" s="11" cm="1">
        <f t="array" ref="L35">IFERROR(INDEX('Master Data Sheet'!$1:$1048576, MATCH(1, ('Master Data Sheet'!$H:$H=L$2) * (INDEX('Master Data Sheet'!$1:$1, , MATCH($F$1, 'Master Data Sheet'!$1:$1, 0)) = $F$1) * ('Master Data Sheet'!$G:$G=$B35) * ('Master Data Sheet'!$F:$F=$E35) * ('Master Data Sheet'!$A:$A=$F35), 0), MATCH($F$1, 'Master Data Sheet'!$1:$1, 0)), "")</f>
        <v>0.76617826617826612</v>
      </c>
      <c r="M35" s="11" cm="1">
        <f t="array" ref="M35">IFERROR(INDEX('Master Data Sheet'!$1:$1048576, MATCH(1, ('Master Data Sheet'!$H:$H=M$2) * (INDEX('Master Data Sheet'!$1:$1, , MATCH($F$1, 'Master Data Sheet'!$1:$1, 0)) = $F$1) * ('Master Data Sheet'!$G:$G=$B35) * ('Master Data Sheet'!$F:$F=$E35) * ('Master Data Sheet'!$A:$A=$F35), 0), MATCH($F$1, 'Master Data Sheet'!$1:$1, 0)), "")</f>
        <v>0.94932844932844929</v>
      </c>
      <c r="N35" s="11" cm="1">
        <f t="array" ref="N35">IFERROR(INDEX('Master Data Sheet'!$1:$1048576, MATCH(1, ('Master Data Sheet'!$H:$H=N$2) * (INDEX('Master Data Sheet'!$1:$1, , MATCH($F$1, 'Master Data Sheet'!$1:$1, 0)) = $F$1) * ('Master Data Sheet'!$G:$G=$B35) * ('Master Data Sheet'!$F:$F=$E35) * ('Master Data Sheet'!$A:$A=$F35), 0), MATCH($F$1, 'Master Data Sheet'!$1:$1, 0)), "")</f>
        <v>1.1996336996336996</v>
      </c>
      <c r="O35" s="11">
        <f t="shared" si="8"/>
        <v>0.80542473399616255</v>
      </c>
      <c r="P35" s="11">
        <f t="shared" si="4"/>
        <v>0.20336352174785033</v>
      </c>
      <c r="Q35" s="11"/>
      <c r="R35" s="46">
        <f>(1-(O35/O32))*100</f>
        <v>41.458003169572109</v>
      </c>
      <c r="X35" s="47">
        <f>(O32-O35)/60.5</f>
        <v>9.4278016355938427E-3</v>
      </c>
      <c r="Y35" s="47">
        <f>O32/60.5</f>
        <v>2.274060715619157E-2</v>
      </c>
      <c r="AB35" s="2"/>
      <c r="AC35" s="2"/>
      <c r="AD35" s="2"/>
      <c r="AE35" s="2"/>
      <c r="AF35" s="2"/>
      <c r="AG35" s="2"/>
      <c r="AH35" s="2"/>
      <c r="AI35" s="2"/>
      <c r="AJ35" s="2"/>
    </row>
    <row r="36" spans="1:48" x14ac:dyDescent="0.35">
      <c r="A36" s="41">
        <f>IFERROR(INDEX('Date Key'!$B$2:$B$19, MATCH(F36,'Date Key'!$A$2:$A$19, 0)), "")</f>
        <v>45250</v>
      </c>
      <c r="B36" s="4">
        <f t="shared" si="15"/>
        <v>4</v>
      </c>
      <c r="C36" s="26" t="str">
        <f>IFERROR(INDEX('Date Key'!$G$57:$G$62, MATCH(B36,'Date Key'!$A$57:$A$62, 0)), "")</f>
        <v>High HLR, Upper Outlet Height, No Plants</v>
      </c>
      <c r="D36" s="4" t="str">
        <f>IFERROR(INDEX('Date Key'!$G$2:$G$19, MATCH(F36, 'Date Key'!$A$2:$A$19, 0)), "")</f>
        <v>Yes</v>
      </c>
      <c r="E36" s="4" t="str">
        <f t="shared" si="1"/>
        <v>tank 2</v>
      </c>
      <c r="F36" s="4">
        <f t="shared" si="2"/>
        <v>10</v>
      </c>
      <c r="G36" s="4">
        <f t="shared" si="22"/>
        <v>1</v>
      </c>
      <c r="H36" s="11" cm="1">
        <f t="array" ref="H36">IFERROR(INDEX('Master Data Sheet'!$1:$1048576, MATCH(1, ('Master Data Sheet'!$H:$H=H$2) * (INDEX('Master Data Sheet'!$1:$1, , MATCH($F$1, 'Master Data Sheet'!$1:$1, 0)) = $F$1) * ('Master Data Sheet'!$G:$G=$B36) * ('Master Data Sheet'!$F:$F=$E36) * ('Master Data Sheet'!$A:$A=$F36), 0), MATCH($F$1, 'Master Data Sheet'!$1:$1, 0)), "")</f>
        <v>1.5831990231990232</v>
      </c>
      <c r="I36" s="11" cm="1">
        <f t="array" ref="I36">IFERROR(INDEX('Master Data Sheet'!$1:$1048576, MATCH(1, ('Master Data Sheet'!$H:$H=I$2) * (INDEX('Master Data Sheet'!$1:$1, , MATCH($F$1, 'Master Data Sheet'!$1:$1, 0)) = $F$1) * ('Master Data Sheet'!$G:$G=$B36) * ('Master Data Sheet'!$F:$F=$E36) * ('Master Data Sheet'!$A:$A=$F36), 0), MATCH($F$1, 'Master Data Sheet'!$1:$1, 0)), "")</f>
        <v>1.6564590964590962</v>
      </c>
      <c r="J36" s="11" cm="1">
        <f t="array" ref="J36">IFERROR(INDEX('Master Data Sheet'!$1:$1048576, MATCH(1, ('Master Data Sheet'!$H:$H=J$2) * (INDEX('Master Data Sheet'!$1:$1, , MATCH($F$1, 'Master Data Sheet'!$1:$1, 0)) = $F$1) * ('Master Data Sheet'!$G:$G=$B36) * ('Master Data Sheet'!$F:$F=$E36) * ('Master Data Sheet'!$A:$A=$F36), 0), MATCH($F$1, 'Master Data Sheet'!$1:$1, 0)), "")</f>
        <v>0.88112332112332115</v>
      </c>
      <c r="K36" s="11" cm="1">
        <f t="array" ref="K36">IFERROR(INDEX('Master Data Sheet'!$1:$1048576, MATCH(1, ('Master Data Sheet'!$H:$H=K$2) * (INDEX('Master Data Sheet'!$1:$1, , MATCH($F$1, 'Master Data Sheet'!$1:$1, 0)) = $F$1) * ('Master Data Sheet'!$G:$G=$B36) * ('Master Data Sheet'!$F:$F=$E36) * ('Master Data Sheet'!$A:$A=$F36), 0), MATCH($F$1, 'Master Data Sheet'!$1:$1, 0)), "")</f>
        <v>0.50871794871794873</v>
      </c>
      <c r="L36" s="11" cm="1">
        <f t="array" ref="L36">IFERROR(INDEX('Master Data Sheet'!$1:$1048576, MATCH(1, ('Master Data Sheet'!$H:$H=L$2) * (INDEX('Master Data Sheet'!$1:$1, , MATCH($F$1, 'Master Data Sheet'!$1:$1, 0)) = $F$1) * ('Master Data Sheet'!$G:$G=$B36) * ('Master Data Sheet'!$F:$F=$E36) * ('Master Data Sheet'!$A:$A=$F36), 0), MATCH($F$1, 'Master Data Sheet'!$1:$1, 0)), "")</f>
        <v>0.42935286935286932</v>
      </c>
      <c r="M36" s="11" cm="1">
        <f t="array" ref="M36">IFERROR(INDEX('Master Data Sheet'!$1:$1048576, MATCH(1, ('Master Data Sheet'!$H:$H=M$2) * (INDEX('Master Data Sheet'!$1:$1, , MATCH($F$1, 'Master Data Sheet'!$1:$1, 0)) = $F$1) * ('Master Data Sheet'!$G:$G=$B36) * ('Master Data Sheet'!$F:$F=$E36) * ('Master Data Sheet'!$A:$A=$F36), 0), MATCH($F$1, 'Master Data Sheet'!$1:$1, 0)), "")</f>
        <v>0.33777777777777784</v>
      </c>
      <c r="N36" s="11" cm="1">
        <f t="array" ref="N36">IFERROR(INDEX('Master Data Sheet'!$1:$1048576, MATCH(1, ('Master Data Sheet'!$H:$H=N$2) * (INDEX('Master Data Sheet'!$1:$1, , MATCH($F$1, 'Master Data Sheet'!$1:$1, 0)) = $F$1) * ('Master Data Sheet'!$G:$G=$B36) * ('Master Data Sheet'!$F:$F=$E36) * ('Master Data Sheet'!$A:$A=$F36), 0), MATCH($F$1, 'Master Data Sheet'!$1:$1, 0)), "")</f>
        <v>0.33777777777777784</v>
      </c>
      <c r="O36" s="11">
        <f t="shared" si="8"/>
        <v>0.81920111634397352</v>
      </c>
      <c r="P36" s="11">
        <f t="shared" si="4"/>
        <v>0.57741469807000612</v>
      </c>
      <c r="Q36" s="11">
        <f>AVERAGE(N36:N38)</f>
        <v>0.87115995115995126</v>
      </c>
      <c r="R36" s="46">
        <f>(1-(O36/O30))*100</f>
        <v>-125.09106245926156</v>
      </c>
      <c r="S36" s="46">
        <f>AVERAGE(R36:R38)</f>
        <v>-41.50904735345744</v>
      </c>
      <c r="T36" s="46">
        <f>STDEV(R36:R38)</f>
        <v>78.853832011277746</v>
      </c>
      <c r="U36" s="47">
        <f>(1-(AVERAGE(H36:N38)/AVERAGE(H30:N32)))*100</f>
        <v>-14.604841941279023</v>
      </c>
      <c r="V36" s="47"/>
      <c r="W36" s="47"/>
      <c r="X36" s="47">
        <f>(O33-O36)/61.7</f>
        <v>-7.2089676164693531E-3</v>
      </c>
      <c r="Y36" s="47">
        <f>O30/61.7</f>
        <v>5.8985751970239107E-3</v>
      </c>
      <c r="AB36" s="2"/>
      <c r="AC36" s="2"/>
      <c r="AD36" s="2"/>
      <c r="AE36" s="2"/>
      <c r="AF36" s="2"/>
      <c r="AG36" s="2"/>
      <c r="AH36" s="2"/>
      <c r="AI36" s="2"/>
      <c r="AJ36" s="2"/>
    </row>
    <row r="37" spans="1:48" x14ac:dyDescent="0.35">
      <c r="A37" s="41">
        <f>IFERROR(INDEX('Date Key'!$B$2:$B$19, MATCH(F37,'Date Key'!$A$2:$A$19, 0)), "")</f>
        <v>45259</v>
      </c>
      <c r="B37" s="4">
        <f t="shared" si="15"/>
        <v>4</v>
      </c>
      <c r="C37" s="26" t="str">
        <f>IFERROR(INDEX('Date Key'!$G$57:$G$62, MATCH(B37,'Date Key'!$A$57:$A$62, 0)), "")</f>
        <v>High HLR, Upper Outlet Height, No Plants</v>
      </c>
      <c r="D37" s="4" t="str">
        <f>IFERROR(INDEX('Date Key'!$G$2:$G$19, MATCH(F37, 'Date Key'!$A$2:$A$19, 0)), "")</f>
        <v>No</v>
      </c>
      <c r="E37" s="4" t="str">
        <f t="shared" si="1"/>
        <v>tank 2</v>
      </c>
      <c r="F37" s="4">
        <f t="shared" si="2"/>
        <v>11</v>
      </c>
      <c r="G37" s="4">
        <f t="shared" si="22"/>
        <v>2</v>
      </c>
      <c r="H37" s="11" cm="1">
        <f t="array" ref="H37">IFERROR(INDEX('Master Data Sheet'!$1:$1048576, MATCH(1, ('Master Data Sheet'!$H:$H=H$2) * (INDEX('Master Data Sheet'!$1:$1, , MATCH($F$1, 'Master Data Sheet'!$1:$1, 0)) = $F$1) * ('Master Data Sheet'!$G:$G=$B37) * ('Master Data Sheet'!$F:$F=$E37) * ('Master Data Sheet'!$A:$A=$F37), 0), MATCH($F$1, 'Master Data Sheet'!$1:$1, 0)), "")</f>
        <v>1.1737484737484738</v>
      </c>
      <c r="I37" s="11" cm="1">
        <f t="array" ref="I37">IFERROR(INDEX('Master Data Sheet'!$1:$1048576, MATCH(1, ('Master Data Sheet'!$H:$H=I$2) * (INDEX('Master Data Sheet'!$1:$1, , MATCH($F$1, 'Master Data Sheet'!$1:$1, 0)) = $F$1) * ('Master Data Sheet'!$G:$G=$B37) * ('Master Data Sheet'!$F:$F=$E37) * ('Master Data Sheet'!$A:$A=$F37), 0), MATCH($F$1, 'Master Data Sheet'!$1:$1, 0)), "")</f>
        <v>1.1615384615384616</v>
      </c>
      <c r="J37" s="11" cm="1">
        <f t="array" ref="J37">IFERROR(INDEX('Master Data Sheet'!$1:$1048576, MATCH(1, ('Master Data Sheet'!$H:$H=J$2) * (INDEX('Master Data Sheet'!$1:$1, , MATCH($F$1, 'Master Data Sheet'!$1:$1, 0)) = $F$1) * ('Master Data Sheet'!$G:$G=$B37) * ('Master Data Sheet'!$F:$F=$E37) * ('Master Data Sheet'!$A:$A=$F37), 0), MATCH($F$1, 'Master Data Sheet'!$1:$1, 0)), "")</f>
        <v>0.72808302808302816</v>
      </c>
      <c r="K37" s="11" cm="1">
        <f t="array" ref="K37">IFERROR(INDEX('Master Data Sheet'!$1:$1048576, MATCH(1, ('Master Data Sheet'!$H:$H=K$2) * (INDEX('Master Data Sheet'!$1:$1, , MATCH($F$1, 'Master Data Sheet'!$1:$1, 0)) = $F$1) * ('Master Data Sheet'!$G:$G=$B37) * ('Master Data Sheet'!$F:$F=$E37) * ('Master Data Sheet'!$A:$A=$F37), 0), MATCH($F$1, 'Master Data Sheet'!$1:$1, 0)), "")</f>
        <v>0.7952380952380953</v>
      </c>
      <c r="L37" s="11" cm="1">
        <f t="array" ref="L37">IFERROR(INDEX('Master Data Sheet'!$1:$1048576, MATCH(1, ('Master Data Sheet'!$H:$H=L$2) * (INDEX('Master Data Sheet'!$1:$1, , MATCH($F$1, 'Master Data Sheet'!$1:$1, 0)) = $F$1) * ('Master Data Sheet'!$G:$G=$B37) * ('Master Data Sheet'!$F:$F=$E37) * ('Master Data Sheet'!$A:$A=$F37), 0), MATCH($F$1, 'Master Data Sheet'!$1:$1, 0)), "")</f>
        <v>0.72808302808302816</v>
      </c>
      <c r="M37" s="11" cm="1">
        <f t="array" ref="M37">IFERROR(INDEX('Master Data Sheet'!$1:$1048576, MATCH(1, ('Master Data Sheet'!$H:$H=M$2) * (INDEX('Master Data Sheet'!$1:$1, , MATCH($F$1, 'Master Data Sheet'!$1:$1, 0)) = $F$1) * ('Master Data Sheet'!$G:$G=$B37) * ('Master Data Sheet'!$F:$F=$E37) * ('Master Data Sheet'!$A:$A=$F37), 0), MATCH($F$1, 'Master Data Sheet'!$1:$1, 0)), "")</f>
        <v>0.90512820512820502</v>
      </c>
      <c r="N37" s="11" cm="1">
        <f t="array" ref="N37">IFERROR(INDEX('Master Data Sheet'!$1:$1048576, MATCH(1, ('Master Data Sheet'!$H:$H=N$2) * (INDEX('Master Data Sheet'!$1:$1, , MATCH($F$1, 'Master Data Sheet'!$1:$1, 0)) = $F$1) * ('Master Data Sheet'!$G:$G=$B37) * ('Master Data Sheet'!$F:$F=$E37) * ('Master Data Sheet'!$A:$A=$F37), 0), MATCH($F$1, 'Master Data Sheet'!$1:$1, 0)), "")</f>
        <v>1.0211233211233213</v>
      </c>
      <c r="O37" s="11">
        <f t="shared" si="8"/>
        <v>0.93042037327751614</v>
      </c>
      <c r="P37" s="11">
        <f t="shared" si="4"/>
        <v>0.19220037484113942</v>
      </c>
      <c r="Q37" s="11"/>
      <c r="R37" s="46">
        <f>(1-(O37/O31))*100</f>
        <v>31.562335612835348</v>
      </c>
      <c r="X37" s="47">
        <f>(O34-O37)/61.7</f>
        <v>-4.4950033373279503E-3</v>
      </c>
      <c r="Y37" s="47">
        <f>O31/61.7</f>
        <v>2.2034280195891678E-2</v>
      </c>
      <c r="AA37" t="str">
        <f>IFERROR(INDEX('Date Key'!$G$57:$G$62, MATCH(B36,'Date Key'!$A$57:$A$62, 0)), "")</f>
        <v>High HLR, Upper Outlet Height, No Plants</v>
      </c>
      <c r="AB37" s="1">
        <f t="shared" ref="AB37:AH37" si="41">H36</f>
        <v>1.5831990231990232</v>
      </c>
      <c r="AC37" s="1">
        <f t="shared" si="41"/>
        <v>1.6564590964590962</v>
      </c>
      <c r="AD37" s="1">
        <f t="shared" si="41"/>
        <v>0.88112332112332115</v>
      </c>
      <c r="AE37" s="1">
        <f t="shared" si="41"/>
        <v>0.50871794871794873</v>
      </c>
      <c r="AF37" s="1">
        <f t="shared" si="41"/>
        <v>0.42935286935286932</v>
      </c>
      <c r="AG37" s="1">
        <f t="shared" si="41"/>
        <v>0.33777777777777784</v>
      </c>
      <c r="AH37" s="1">
        <f t="shared" si="41"/>
        <v>0.33777777777777784</v>
      </c>
      <c r="AI37" s="1">
        <f t="shared" ref="AI37:AO37" si="42">H37</f>
        <v>1.1737484737484738</v>
      </c>
      <c r="AJ37" s="1">
        <f t="shared" si="42"/>
        <v>1.1615384615384616</v>
      </c>
      <c r="AK37" s="1">
        <f t="shared" si="42"/>
        <v>0.72808302808302816</v>
      </c>
      <c r="AL37" s="1">
        <f t="shared" si="42"/>
        <v>0.7952380952380953</v>
      </c>
      <c r="AM37" s="1">
        <f t="shared" si="42"/>
        <v>0.72808302808302816</v>
      </c>
      <c r="AN37" s="1">
        <f t="shared" si="42"/>
        <v>0.90512820512820502</v>
      </c>
      <c r="AO37" s="1">
        <f t="shared" si="42"/>
        <v>1.0211233211233213</v>
      </c>
      <c r="AP37" s="1">
        <f t="shared" ref="AP37:AV37" si="43">H38</f>
        <v>2.7991452991452994</v>
      </c>
      <c r="AQ37" s="1">
        <f t="shared" si="43"/>
        <v>2.872405372405372</v>
      </c>
      <c r="AR37" s="1">
        <f t="shared" si="43"/>
        <v>2.0299145299145298</v>
      </c>
      <c r="AS37" s="1">
        <f t="shared" si="43"/>
        <v>1.3339438339438339</v>
      </c>
      <c r="AT37" s="1">
        <f t="shared" si="43"/>
        <v>1.169108669108669</v>
      </c>
      <c r="AU37" s="1">
        <f t="shared" si="43"/>
        <v>1.1568986568986568</v>
      </c>
      <c r="AV37" s="1">
        <f t="shared" si="43"/>
        <v>1.2545787545787546</v>
      </c>
    </row>
    <row r="38" spans="1:48" x14ac:dyDescent="0.35">
      <c r="A38" s="42">
        <f>IFERROR(INDEX('Date Key'!$B$2:$B$19, MATCH(F38,'Date Key'!$A$2:$A$19, 0)), "")</f>
        <v>45266</v>
      </c>
      <c r="B38" s="27">
        <f t="shared" si="15"/>
        <v>4</v>
      </c>
      <c r="C38" s="51" t="str">
        <f>IFERROR(INDEX('Date Key'!$G$57:$G$62, MATCH(B38,'Date Key'!$A$57:$A$62, 0)), "")</f>
        <v>High HLR, Upper Outlet Height, No Plants</v>
      </c>
      <c r="D38" s="27" t="str">
        <f>IFERROR(INDEX('Date Key'!$G$2:$G$19, MATCH(F38, 'Date Key'!$A$2:$A$19, 0)), "")</f>
        <v>No</v>
      </c>
      <c r="E38" s="27" t="str">
        <f t="shared" si="1"/>
        <v>tank 2</v>
      </c>
      <c r="F38" s="27">
        <f t="shared" si="2"/>
        <v>12</v>
      </c>
      <c r="G38" s="27">
        <f t="shared" si="22"/>
        <v>3</v>
      </c>
      <c r="H38" s="28" cm="1">
        <f t="array" ref="H38">IFERROR(INDEX('Master Data Sheet'!$1:$1048576, MATCH(1, ('Master Data Sheet'!$H:$H=H$2) * (INDEX('Master Data Sheet'!$1:$1, , MATCH($F$1, 'Master Data Sheet'!$1:$1, 0)) = $F$1) * ('Master Data Sheet'!$G:$G=$B38) * ('Master Data Sheet'!$F:$F=$E38) * ('Master Data Sheet'!$A:$A=$F38), 0), MATCH($F$1, 'Master Data Sheet'!$1:$1, 0)), "")</f>
        <v>2.7991452991452994</v>
      </c>
      <c r="I38" s="28" cm="1">
        <f t="array" ref="I38">IFERROR(INDEX('Master Data Sheet'!$1:$1048576, MATCH(1, ('Master Data Sheet'!$H:$H=I$2) * (INDEX('Master Data Sheet'!$1:$1, , MATCH($F$1, 'Master Data Sheet'!$1:$1, 0)) = $F$1) * ('Master Data Sheet'!$G:$G=$B38) * ('Master Data Sheet'!$F:$F=$E38) * ('Master Data Sheet'!$A:$A=$F38), 0), MATCH($F$1, 'Master Data Sheet'!$1:$1, 0)), "")</f>
        <v>2.872405372405372</v>
      </c>
      <c r="J38" s="28" cm="1">
        <f t="array" ref="J38">IFERROR(INDEX('Master Data Sheet'!$1:$1048576, MATCH(1, ('Master Data Sheet'!$H:$H=J$2) * (INDEX('Master Data Sheet'!$1:$1, , MATCH($F$1, 'Master Data Sheet'!$1:$1, 0)) = $F$1) * ('Master Data Sheet'!$G:$G=$B38) * ('Master Data Sheet'!$F:$F=$E38) * ('Master Data Sheet'!$A:$A=$F38), 0), MATCH($F$1, 'Master Data Sheet'!$1:$1, 0)), "")</f>
        <v>2.0299145299145298</v>
      </c>
      <c r="K38" s="28" cm="1">
        <f t="array" ref="K38">IFERROR(INDEX('Master Data Sheet'!$1:$1048576, MATCH(1, ('Master Data Sheet'!$H:$H=K$2) * (INDEX('Master Data Sheet'!$1:$1, , MATCH($F$1, 'Master Data Sheet'!$1:$1, 0)) = $F$1) * ('Master Data Sheet'!$G:$G=$B38) * ('Master Data Sheet'!$F:$F=$E38) * ('Master Data Sheet'!$A:$A=$F38), 0), MATCH($F$1, 'Master Data Sheet'!$1:$1, 0)), "")</f>
        <v>1.3339438339438339</v>
      </c>
      <c r="L38" s="28" cm="1">
        <f t="array" ref="L38">IFERROR(INDEX('Master Data Sheet'!$1:$1048576, MATCH(1, ('Master Data Sheet'!$H:$H=L$2) * (INDEX('Master Data Sheet'!$1:$1, , MATCH($F$1, 'Master Data Sheet'!$1:$1, 0)) = $F$1) * ('Master Data Sheet'!$G:$G=$B38) * ('Master Data Sheet'!$F:$F=$E38) * ('Master Data Sheet'!$A:$A=$F38), 0), MATCH($F$1, 'Master Data Sheet'!$1:$1, 0)), "")</f>
        <v>1.169108669108669</v>
      </c>
      <c r="M38" s="28" cm="1">
        <f t="array" ref="M38">IFERROR(INDEX('Master Data Sheet'!$1:$1048576, MATCH(1, ('Master Data Sheet'!$H:$H=M$2) * (INDEX('Master Data Sheet'!$1:$1, , MATCH($F$1, 'Master Data Sheet'!$1:$1, 0)) = $F$1) * ('Master Data Sheet'!$G:$G=$B38) * ('Master Data Sheet'!$F:$F=$E38) * ('Master Data Sheet'!$A:$A=$F38), 0), MATCH($F$1, 'Master Data Sheet'!$1:$1, 0)), "")</f>
        <v>1.1568986568986568</v>
      </c>
      <c r="N38" s="28" cm="1">
        <f t="array" ref="N38">IFERROR(INDEX('Master Data Sheet'!$1:$1048576, MATCH(1, ('Master Data Sheet'!$H:$H=N$2) * (INDEX('Master Data Sheet'!$1:$1, , MATCH($F$1, 'Master Data Sheet'!$1:$1, 0)) = $F$1) * ('Master Data Sheet'!$G:$G=$B38) * ('Master Data Sheet'!$F:$F=$E38) * ('Master Data Sheet'!$A:$A=$F38), 0), MATCH($F$1, 'Master Data Sheet'!$1:$1, 0)), "")</f>
        <v>1.2545787545787546</v>
      </c>
      <c r="O38" s="28">
        <f t="shared" si="8"/>
        <v>1.8022850165707307</v>
      </c>
      <c r="P38" s="28">
        <f t="shared" si="4"/>
        <v>0.76675339878577153</v>
      </c>
      <c r="Q38" s="28"/>
      <c r="R38" s="48">
        <f>(1-(O38/O32))*100</f>
        <v>-30.998415213946107</v>
      </c>
      <c r="S38" s="27"/>
      <c r="T38" s="27"/>
      <c r="U38" s="27"/>
      <c r="V38" s="27"/>
      <c r="W38" s="27"/>
      <c r="X38" s="47">
        <f>(O35-O38)/61.7</f>
        <v>-1.6156568599263666E-2</v>
      </c>
      <c r="Y38" s="47">
        <f>O32/61.7</f>
        <v>2.2298326303883145E-2</v>
      </c>
    </row>
    <row r="39" spans="1:48" x14ac:dyDescent="0.35">
      <c r="A39" s="41">
        <f>IFERROR(INDEX('Date Key'!$B$2:$B$19, MATCH(F39,'Date Key'!$A$2:$A$19, 0)), "")</f>
        <v>45313</v>
      </c>
      <c r="B39" s="4">
        <f t="shared" si="15"/>
        <v>5</v>
      </c>
      <c r="C39" s="26" t="str">
        <f>IFERROR(INDEX('Date Key'!$G$57:$G$62, MATCH(B39,'Date Key'!$A$57:$A$62, 0)), "")</f>
        <v>High HLR, Lower Outlet Height, Yes Plants</v>
      </c>
      <c r="D39" s="4" t="str">
        <f>IFERROR(INDEX('Date Key'!$G$2:$G$19, MATCH(F39, 'Date Key'!$A$2:$A$19, 0)), "")</f>
        <v>Yes</v>
      </c>
      <c r="E39" s="4" t="str">
        <f t="shared" si="1"/>
        <v>in</v>
      </c>
      <c r="F39" s="4">
        <f t="shared" si="2"/>
        <v>13</v>
      </c>
      <c r="G39" s="4">
        <f t="shared" si="22"/>
        <v>1</v>
      </c>
      <c r="H39" s="11" cm="1">
        <f t="array" ref="H39">IFERROR(INDEX('Master Data Sheet'!$1:$1048576, MATCH(1, ('Master Data Sheet'!$H:$H=H$2) * (INDEX('Master Data Sheet'!$1:$1, , MATCH($F$1, 'Master Data Sheet'!$1:$1, 0)) = $F$1) * ('Master Data Sheet'!$G:$G=$B39) * ('Master Data Sheet'!$F:$F=$E39) * ('Master Data Sheet'!$A:$A=$F39), 0), MATCH($F$1, 'Master Data Sheet'!$1:$1, 0)), "")</f>
        <v>8.5470085470085458E-2</v>
      </c>
      <c r="I39" s="11" cm="1">
        <f t="array" ref="I39">IFERROR(INDEX('Master Data Sheet'!$1:$1048576, MATCH(1, ('Master Data Sheet'!$H:$H=I$2) * (INDEX('Master Data Sheet'!$1:$1, , MATCH($F$1, 'Master Data Sheet'!$1:$1, 0)) = $F$1) * ('Master Data Sheet'!$G:$G=$B39) * ('Master Data Sheet'!$F:$F=$E39) * ('Master Data Sheet'!$A:$A=$F39), 0), MATCH($F$1, 'Master Data Sheet'!$1:$1, 0)), "")</f>
        <v>4.8840048840048882E-2</v>
      </c>
      <c r="J39" s="11" cm="1">
        <f t="array" ref="J39">IFERROR(INDEX('Master Data Sheet'!$1:$1048576, MATCH(1, ('Master Data Sheet'!$H:$H=J$2) * (INDEX('Master Data Sheet'!$1:$1, , MATCH($F$1, 'Master Data Sheet'!$1:$1, 0)) = $F$1) * ('Master Data Sheet'!$G:$G=$B39) * ('Master Data Sheet'!$F:$F=$E39) * ('Master Data Sheet'!$A:$A=$F39), 0), MATCH($F$1, 'Master Data Sheet'!$1:$1, 0)), "")</f>
        <v>6.7155067155067125E-2</v>
      </c>
      <c r="K39" s="11" cm="1">
        <f t="array" ref="K39">IFERROR(INDEX('Master Data Sheet'!$1:$1048576, MATCH(1, ('Master Data Sheet'!$H:$H=K$2) * (INDEX('Master Data Sheet'!$1:$1, , MATCH($F$1, 'Master Data Sheet'!$1:$1, 0)) = $F$1) * ('Master Data Sheet'!$G:$G=$B39) * ('Master Data Sheet'!$F:$F=$E39) * ('Master Data Sheet'!$A:$A=$F39), 0), MATCH($F$1, 'Master Data Sheet'!$1:$1, 0)), "")</f>
        <v>6.1050061050061104E-2</v>
      </c>
      <c r="L39" s="11" cm="1">
        <f t="array" ref="L39">IFERROR(INDEX('Master Data Sheet'!$1:$1048576, MATCH(1, ('Master Data Sheet'!$H:$H=L$2) * (INDEX('Master Data Sheet'!$1:$1, , MATCH($F$1, 'Master Data Sheet'!$1:$1, 0)) = $F$1) * ('Master Data Sheet'!$G:$G=$B39) * ('Master Data Sheet'!$F:$F=$E39) * ('Master Data Sheet'!$A:$A=$F39), 0), MATCH($F$1, 'Master Data Sheet'!$1:$1, 0)), "")</f>
        <v>6.1050061050061104E-2</v>
      </c>
      <c r="M39" s="11" cm="1">
        <f t="array" ref="M39">IFERROR(INDEX('Master Data Sheet'!$1:$1048576, MATCH(1, ('Master Data Sheet'!$H:$H=M$2) * (INDEX('Master Data Sheet'!$1:$1, , MATCH($F$1, 'Master Data Sheet'!$1:$1, 0)) = $F$1) * ('Master Data Sheet'!$G:$G=$B39) * ('Master Data Sheet'!$F:$F=$E39) * ('Master Data Sheet'!$A:$A=$F39), 0), MATCH($F$1, 'Master Data Sheet'!$1:$1, 0)), "")</f>
        <v>9.1575091575091569E-2</v>
      </c>
      <c r="N39" s="11" cm="1">
        <f t="array" ref="N39">IFERROR(INDEX('Master Data Sheet'!$1:$1048576, MATCH(1, ('Master Data Sheet'!$H:$H=N$2) * (INDEX('Master Data Sheet'!$1:$1, , MATCH($F$1, 'Master Data Sheet'!$1:$1, 0)) = $F$1) * ('Master Data Sheet'!$G:$G=$B39) * ('Master Data Sheet'!$F:$F=$E39) * ('Master Data Sheet'!$A:$A=$F39), 0), MATCH($F$1, 'Master Data Sheet'!$1:$1, 0)), "")</f>
        <v>8.5470085470085458E-2</v>
      </c>
      <c r="O39" s="11">
        <f t="shared" si="8"/>
        <v>7.1515785801500101E-2</v>
      </c>
      <c r="P39" s="11">
        <f t="shared" si="4"/>
        <v>1.60420718196655E-2</v>
      </c>
      <c r="Q39" s="11">
        <f>AVERAGE(O39:O41)</f>
        <v>0.83289726146868992</v>
      </c>
      <c r="S39" s="11">
        <f>AVERAGE(O39:O41)</f>
        <v>0.83289726146868992</v>
      </c>
      <c r="T39" s="11">
        <f>AVERAGE(P39:P41)</f>
        <v>0.31372349238946973</v>
      </c>
      <c r="V39" s="47">
        <f>AVERAGE(U42, U45)</f>
        <v>22.408376963350769</v>
      </c>
      <c r="W39" s="47">
        <f>_xlfn.STDEV.S(U42,U45)</f>
        <v>12.340432481440638</v>
      </c>
      <c r="X39" s="47"/>
      <c r="Y39" s="47"/>
      <c r="AA39" t="s">
        <v>343</v>
      </c>
    </row>
    <row r="40" spans="1:48" x14ac:dyDescent="0.35">
      <c r="A40" s="41">
        <f>IFERROR(INDEX('Date Key'!$B$2:$B$19, MATCH(F40,'Date Key'!$A$2:$A$19, 0)), "")</f>
        <v>45322</v>
      </c>
      <c r="B40" s="4">
        <f t="shared" si="15"/>
        <v>5</v>
      </c>
      <c r="C40" s="26" t="str">
        <f>IFERROR(INDEX('Date Key'!$G$57:$G$62, MATCH(B40,'Date Key'!$A$57:$A$62, 0)), "")</f>
        <v>High HLR, Lower Outlet Height, Yes Plants</v>
      </c>
      <c r="D40" s="4" t="str">
        <f>IFERROR(INDEX('Date Key'!$G$2:$G$19, MATCH(F40, 'Date Key'!$A$2:$A$19, 0)), "")</f>
        <v>No</v>
      </c>
      <c r="E40" s="4" t="str">
        <f t="shared" si="1"/>
        <v>in</v>
      </c>
      <c r="F40" s="4">
        <f t="shared" si="2"/>
        <v>14</v>
      </c>
      <c r="G40" s="4">
        <f t="shared" si="22"/>
        <v>2</v>
      </c>
      <c r="H40" s="11" cm="1">
        <f t="array" ref="H40">IFERROR(INDEX('Master Data Sheet'!$1:$1048576, MATCH(1, ('Master Data Sheet'!$H:$H=H$2) * (INDEX('Master Data Sheet'!$1:$1, , MATCH($F$1, 'Master Data Sheet'!$1:$1, 0)) = $F$1) * ('Master Data Sheet'!$G:$G=$B40) * ('Master Data Sheet'!$F:$F=$E40) * ('Master Data Sheet'!$A:$A=$F40), 0), MATCH($F$1, 'Master Data Sheet'!$1:$1, 0)), "")</f>
        <v>1.101953601953602</v>
      </c>
      <c r="I40" s="11" cm="1">
        <f t="array" ref="I40">IFERROR(INDEX('Master Data Sheet'!$1:$1048576, MATCH(1, ('Master Data Sheet'!$H:$H=I$2) * (INDEX('Master Data Sheet'!$1:$1, , MATCH($F$1, 'Master Data Sheet'!$1:$1, 0)) = $F$1) * ('Master Data Sheet'!$G:$G=$B40) * ('Master Data Sheet'!$F:$F=$E40) * ('Master Data Sheet'!$A:$A=$F40), 0), MATCH($F$1, 'Master Data Sheet'!$1:$1, 0)), "")</f>
        <v>1.2240537240537239</v>
      </c>
      <c r="J40" s="11" cm="1">
        <f t="array" ref="J40">IFERROR(INDEX('Master Data Sheet'!$1:$1048576, MATCH(1, ('Master Data Sheet'!$H:$H=J$2) * (INDEX('Master Data Sheet'!$1:$1, , MATCH($F$1, 'Master Data Sheet'!$1:$1, 0)) = $F$1) * ('Master Data Sheet'!$G:$G=$B40) * ('Master Data Sheet'!$F:$F=$E40) * ('Master Data Sheet'!$A:$A=$F40), 0), MATCH($F$1, 'Master Data Sheet'!$1:$1, 0)), "")</f>
        <v>1.529304029304029</v>
      </c>
      <c r="K40" s="11" cm="1">
        <f t="array" ref="K40">IFERROR(INDEX('Master Data Sheet'!$1:$1048576, MATCH(1, ('Master Data Sheet'!$H:$H=K$2) * (INDEX('Master Data Sheet'!$1:$1, , MATCH($F$1, 'Master Data Sheet'!$1:$1, 0)) = $F$1) * ('Master Data Sheet'!$G:$G=$B40) * ('Master Data Sheet'!$F:$F=$E40) * ('Master Data Sheet'!$A:$A=$F40), 0), MATCH($F$1, 'Master Data Sheet'!$1:$1, 0)), "")</f>
        <v>1.7307692307692306</v>
      </c>
      <c r="L40" s="11" cm="1">
        <f t="array" ref="L40">IFERROR(INDEX('Master Data Sheet'!$1:$1048576, MATCH(1, ('Master Data Sheet'!$H:$H=L$2) * (INDEX('Master Data Sheet'!$1:$1, , MATCH($F$1, 'Master Data Sheet'!$1:$1, 0)) = $F$1) * ('Master Data Sheet'!$G:$G=$B40) * ('Master Data Sheet'!$F:$F=$E40) * ('Master Data Sheet'!$A:$A=$F40), 0), MATCH($F$1, 'Master Data Sheet'!$1:$1, 0)), "")</f>
        <v>1.8406593406593406</v>
      </c>
      <c r="M40" s="11" cm="1">
        <f t="array" ref="M40">IFERROR(INDEX('Master Data Sheet'!$1:$1048576, MATCH(1, ('Master Data Sheet'!$H:$H=M$2) * (INDEX('Master Data Sheet'!$1:$1, , MATCH($F$1, 'Master Data Sheet'!$1:$1, 0)) = $F$1) * ('Master Data Sheet'!$G:$G=$B40) * ('Master Data Sheet'!$F:$F=$E40) * ('Master Data Sheet'!$A:$A=$F40), 0), MATCH($F$1, 'Master Data Sheet'!$1:$1, 0)), "")</f>
        <v>1.9078144078144077</v>
      </c>
      <c r="N40" s="11" cm="1">
        <f t="array" ref="N40">IFERROR(INDEX('Master Data Sheet'!$1:$1048576, MATCH(1, ('Master Data Sheet'!$H:$H=N$2) * (INDEX('Master Data Sheet'!$1:$1, , MATCH($F$1, 'Master Data Sheet'!$1:$1, 0)) = $F$1) * ('Master Data Sheet'!$G:$G=$B40) * ('Master Data Sheet'!$F:$F=$E40) * ('Master Data Sheet'!$A:$A=$F40), 0), MATCH($F$1, 'Master Data Sheet'!$1:$1, 0)), "")</f>
        <v>2.0604395604395607</v>
      </c>
      <c r="O40" s="11">
        <f t="shared" si="8"/>
        <v>1.6278562707134134</v>
      </c>
      <c r="P40" s="11">
        <f t="shared" si="4"/>
        <v>0.3584047393170598</v>
      </c>
      <c r="Q40" s="11"/>
      <c r="AA40" t="str">
        <f>IFERROR(INDEX('Date Key'!$G$57:$G$62, MATCH(B39,'Date Key'!$A$57:$A$62, 0)), "")</f>
        <v>High HLR, Lower Outlet Height, Yes Plants</v>
      </c>
      <c r="AB40" s="1">
        <f t="shared" ref="AB40:AH40" si="44">H39</f>
        <v>8.5470085470085458E-2</v>
      </c>
      <c r="AC40" s="1">
        <f t="shared" si="44"/>
        <v>4.8840048840048882E-2</v>
      </c>
      <c r="AD40" s="1">
        <f t="shared" si="44"/>
        <v>6.7155067155067125E-2</v>
      </c>
      <c r="AE40" s="1">
        <f t="shared" si="44"/>
        <v>6.1050061050061104E-2</v>
      </c>
      <c r="AF40" s="1">
        <f t="shared" si="44"/>
        <v>6.1050061050061104E-2</v>
      </c>
      <c r="AG40" s="1">
        <f t="shared" si="44"/>
        <v>9.1575091575091569E-2</v>
      </c>
      <c r="AH40" s="1">
        <f t="shared" si="44"/>
        <v>8.5470085470085458E-2</v>
      </c>
      <c r="AI40" s="1">
        <f t="shared" ref="AI40:AO40" si="45">H40</f>
        <v>1.101953601953602</v>
      </c>
      <c r="AJ40" s="1">
        <f t="shared" si="45"/>
        <v>1.2240537240537239</v>
      </c>
      <c r="AK40" s="1">
        <f t="shared" si="45"/>
        <v>1.529304029304029</v>
      </c>
      <c r="AL40" s="1">
        <f t="shared" si="45"/>
        <v>1.7307692307692306</v>
      </c>
      <c r="AM40" s="1">
        <f t="shared" si="45"/>
        <v>1.8406593406593406</v>
      </c>
      <c r="AN40" s="1">
        <f t="shared" si="45"/>
        <v>1.9078144078144077</v>
      </c>
      <c r="AO40" s="1">
        <f t="shared" si="45"/>
        <v>2.0604395604395607</v>
      </c>
      <c r="AP40" s="1">
        <f t="shared" ref="AP40:AV40" si="46">H41</f>
        <v>0.10683760683760685</v>
      </c>
      <c r="AQ40" s="1">
        <f t="shared" si="46"/>
        <v>0.11294261294261296</v>
      </c>
      <c r="AR40" s="1">
        <f t="shared" si="46"/>
        <v>0.53418803418803418</v>
      </c>
      <c r="AS40" s="1">
        <f t="shared" si="46"/>
        <v>0.9004884004884004</v>
      </c>
      <c r="AT40" s="1">
        <f t="shared" si="46"/>
        <v>1.095848595848596</v>
      </c>
      <c r="AU40" s="1">
        <f t="shared" si="46"/>
        <v>1.2973137973137974</v>
      </c>
      <c r="AV40" s="1">
        <f t="shared" si="46"/>
        <v>1.5476190476190472</v>
      </c>
    </row>
    <row r="41" spans="1:48" x14ac:dyDescent="0.35">
      <c r="A41" s="41">
        <f>IFERROR(INDEX('Date Key'!$B$2:$B$19, MATCH(F41,'Date Key'!$A$2:$A$19, 0)), "")</f>
        <v>45330</v>
      </c>
      <c r="B41" s="4">
        <f t="shared" si="15"/>
        <v>5</v>
      </c>
      <c r="C41" s="26" t="str">
        <f>IFERROR(INDEX('Date Key'!$G$57:$G$62, MATCH(B41,'Date Key'!$A$57:$A$62, 0)), "")</f>
        <v>High HLR, Lower Outlet Height, Yes Plants</v>
      </c>
      <c r="D41" s="4" t="str">
        <f>IFERROR(INDEX('Date Key'!$G$2:$G$19, MATCH(F41, 'Date Key'!$A$2:$A$19, 0)), "")</f>
        <v>No</v>
      </c>
      <c r="E41" s="4" t="str">
        <f t="shared" si="1"/>
        <v>in</v>
      </c>
      <c r="F41" s="4">
        <f t="shared" si="2"/>
        <v>15</v>
      </c>
      <c r="G41" s="4">
        <f t="shared" si="22"/>
        <v>3</v>
      </c>
      <c r="H41" s="11" cm="1">
        <f t="array" ref="H41">IFERROR(INDEX('Master Data Sheet'!$1:$1048576, MATCH(1, ('Master Data Sheet'!$H:$H=H$2) * (INDEX('Master Data Sheet'!$1:$1, , MATCH($F$1, 'Master Data Sheet'!$1:$1, 0)) = $F$1) * ('Master Data Sheet'!$G:$G=$B41) * ('Master Data Sheet'!$F:$F=$E41) * ('Master Data Sheet'!$A:$A=$F41), 0), MATCH($F$1, 'Master Data Sheet'!$1:$1, 0)), "")</f>
        <v>0.10683760683760685</v>
      </c>
      <c r="I41" s="11" cm="1">
        <f t="array" ref="I41">IFERROR(INDEX('Master Data Sheet'!$1:$1048576, MATCH(1, ('Master Data Sheet'!$H:$H=I$2) * (INDEX('Master Data Sheet'!$1:$1, , MATCH($F$1, 'Master Data Sheet'!$1:$1, 0)) = $F$1) * ('Master Data Sheet'!$G:$G=$B41) * ('Master Data Sheet'!$F:$F=$E41) * ('Master Data Sheet'!$A:$A=$F41), 0), MATCH($F$1, 'Master Data Sheet'!$1:$1, 0)), "")</f>
        <v>0.11294261294261296</v>
      </c>
      <c r="J41" s="11" cm="1">
        <f t="array" ref="J41">IFERROR(INDEX('Master Data Sheet'!$1:$1048576, MATCH(1, ('Master Data Sheet'!$H:$H=J$2) * (INDEX('Master Data Sheet'!$1:$1, , MATCH($F$1, 'Master Data Sheet'!$1:$1, 0)) = $F$1) * ('Master Data Sheet'!$G:$G=$B41) * ('Master Data Sheet'!$F:$F=$E41) * ('Master Data Sheet'!$A:$A=$F41), 0), MATCH($F$1, 'Master Data Sheet'!$1:$1, 0)), "")</f>
        <v>0.53418803418803418</v>
      </c>
      <c r="K41" s="11" cm="1">
        <f t="array" ref="K41">IFERROR(INDEX('Master Data Sheet'!$1:$1048576, MATCH(1, ('Master Data Sheet'!$H:$H=K$2) * (INDEX('Master Data Sheet'!$1:$1, , MATCH($F$1, 'Master Data Sheet'!$1:$1, 0)) = $F$1) * ('Master Data Sheet'!$G:$G=$B41) * ('Master Data Sheet'!$F:$F=$E41) * ('Master Data Sheet'!$A:$A=$F41), 0), MATCH($F$1, 'Master Data Sheet'!$1:$1, 0)), "")</f>
        <v>0.9004884004884004</v>
      </c>
      <c r="L41" s="11" cm="1">
        <f t="array" ref="L41">IFERROR(INDEX('Master Data Sheet'!$1:$1048576, MATCH(1, ('Master Data Sheet'!$H:$H=L$2) * (INDEX('Master Data Sheet'!$1:$1, , MATCH($F$1, 'Master Data Sheet'!$1:$1, 0)) = $F$1) * ('Master Data Sheet'!$G:$G=$B41) * ('Master Data Sheet'!$F:$F=$E41) * ('Master Data Sheet'!$A:$A=$F41), 0), MATCH($F$1, 'Master Data Sheet'!$1:$1, 0)), "")</f>
        <v>1.095848595848596</v>
      </c>
      <c r="M41" s="11" cm="1">
        <f t="array" ref="M41">IFERROR(INDEX('Master Data Sheet'!$1:$1048576, MATCH(1, ('Master Data Sheet'!$H:$H=M$2) * (INDEX('Master Data Sheet'!$1:$1, , MATCH($F$1, 'Master Data Sheet'!$1:$1, 0)) = $F$1) * ('Master Data Sheet'!$G:$G=$B41) * ('Master Data Sheet'!$F:$F=$E41) * ('Master Data Sheet'!$A:$A=$F41), 0), MATCH($F$1, 'Master Data Sheet'!$1:$1, 0)), "")</f>
        <v>1.2973137973137974</v>
      </c>
      <c r="N41" s="11" cm="1">
        <f t="array" ref="N41">IFERROR(INDEX('Master Data Sheet'!$1:$1048576, MATCH(1, ('Master Data Sheet'!$H:$H=N$2) * (INDEX('Master Data Sheet'!$1:$1, , MATCH($F$1, 'Master Data Sheet'!$1:$1, 0)) = $F$1) * ('Master Data Sheet'!$G:$G=$B41) * ('Master Data Sheet'!$F:$F=$E41) * ('Master Data Sheet'!$A:$A=$F41), 0), MATCH($F$1, 'Master Data Sheet'!$1:$1, 0)), "")</f>
        <v>1.5476190476190472</v>
      </c>
      <c r="O41" s="11">
        <f t="shared" si="8"/>
        <v>0.79931972789115646</v>
      </c>
      <c r="P41" s="11">
        <f t="shared" si="4"/>
        <v>0.56672366603168389</v>
      </c>
      <c r="Q41" s="11"/>
      <c r="AB41" s="1"/>
      <c r="AC41" s="1"/>
      <c r="AD41" s="1"/>
      <c r="AE41" s="1"/>
      <c r="AF41" s="1"/>
      <c r="AG41" s="1"/>
      <c r="AH41" s="1"/>
      <c r="AI41" s="1"/>
      <c r="AJ41" s="1"/>
      <c r="AK41" s="1"/>
      <c r="AL41" s="1"/>
      <c r="AM41" s="1"/>
      <c r="AN41" s="1"/>
      <c r="AO41" s="1"/>
      <c r="AP41" s="1"/>
      <c r="AQ41" s="1"/>
      <c r="AR41" s="1"/>
      <c r="AS41" s="1"/>
      <c r="AT41" s="1"/>
      <c r="AU41" s="1"/>
      <c r="AV41" s="1"/>
    </row>
    <row r="42" spans="1:48" x14ac:dyDescent="0.35">
      <c r="A42" s="41">
        <f>IFERROR(INDEX('Date Key'!$B$2:$B$19, MATCH(F42,'Date Key'!$A$2:$A$19, 0)), "")</f>
        <v>45313</v>
      </c>
      <c r="B42" s="4">
        <f t="shared" si="15"/>
        <v>5</v>
      </c>
      <c r="C42" s="26" t="str">
        <f>IFERROR(INDEX('Date Key'!$G$57:$G$62, MATCH(B42,'Date Key'!$A$57:$A$62, 0)), "")</f>
        <v>High HLR, Lower Outlet Height, Yes Plants</v>
      </c>
      <c r="D42" s="4" t="str">
        <f>IFERROR(INDEX('Date Key'!$G$2:$G$19, MATCH(F42, 'Date Key'!$A$2:$A$19, 0)), "")</f>
        <v>Yes</v>
      </c>
      <c r="E42" s="4" t="str">
        <f t="shared" si="1"/>
        <v>tank 1</v>
      </c>
      <c r="F42" s="4">
        <f t="shared" si="2"/>
        <v>13</v>
      </c>
      <c r="G42" s="4">
        <f t="shared" si="22"/>
        <v>1</v>
      </c>
      <c r="H42" s="11" cm="1">
        <f t="array" ref="H42">IFERROR(INDEX('Master Data Sheet'!$1:$1048576, MATCH(1, ('Master Data Sheet'!$H:$H=H$2) * (INDEX('Master Data Sheet'!$1:$1, , MATCH($F$1, 'Master Data Sheet'!$1:$1, 0)) = $F$1) * ('Master Data Sheet'!$G:$G=$B42) * ('Master Data Sheet'!$F:$F=$E42) * ('Master Data Sheet'!$A:$A=$F42), 0), MATCH($F$1, 'Master Data Sheet'!$1:$1, 0)), "")</f>
        <v>0.40293040293040294</v>
      </c>
      <c r="I42" s="11" cm="1">
        <f t="array" ref="I42">IFERROR(INDEX('Master Data Sheet'!$1:$1048576, MATCH(1, ('Master Data Sheet'!$H:$H=I$2) * (INDEX('Master Data Sheet'!$1:$1, , MATCH($F$1, 'Master Data Sheet'!$1:$1, 0)) = $F$1) * ('Master Data Sheet'!$G:$G=$B42) * ('Master Data Sheet'!$F:$F=$E42) * ('Master Data Sheet'!$A:$A=$F42), 0), MATCH($F$1, 'Master Data Sheet'!$1:$1, 0)), "")</f>
        <v>0.37240537240537241</v>
      </c>
      <c r="J42" s="11" cm="1">
        <f t="array" ref="J42">IFERROR(INDEX('Master Data Sheet'!$1:$1048576, MATCH(1, ('Master Data Sheet'!$H:$H=J$2) * (INDEX('Master Data Sheet'!$1:$1, , MATCH($F$1, 'Master Data Sheet'!$1:$1, 0)) = $F$1) * ('Master Data Sheet'!$G:$G=$B42) * ('Master Data Sheet'!$F:$F=$E42) * ('Master Data Sheet'!$A:$A=$F42), 0), MATCH($F$1, 'Master Data Sheet'!$1:$1, 0)), "")</f>
        <v>0.17704517704517703</v>
      </c>
      <c r="K42" s="11" cm="1">
        <f t="array" ref="K42">IFERROR(INDEX('Master Data Sheet'!$1:$1048576, MATCH(1, ('Master Data Sheet'!$H:$H=K$2) * (INDEX('Master Data Sheet'!$1:$1, , MATCH($F$1, 'Master Data Sheet'!$1:$1, 0)) = $F$1) * ('Master Data Sheet'!$G:$G=$B42) * ('Master Data Sheet'!$F:$F=$E42) * ('Master Data Sheet'!$A:$A=$F42), 0), MATCH($F$1, 'Master Data Sheet'!$1:$1, 0)), "")</f>
        <v>0.12210012210012212</v>
      </c>
      <c r="L42" s="11" cm="1">
        <f t="array" ref="L42">IFERROR(INDEX('Master Data Sheet'!$1:$1048576, MATCH(1, ('Master Data Sheet'!$H:$H=L$2) * (INDEX('Master Data Sheet'!$1:$1, , MATCH($F$1, 'Master Data Sheet'!$1:$1, 0)) = $F$1) * ('Master Data Sheet'!$G:$G=$B42) * ('Master Data Sheet'!$F:$F=$E42) * ('Master Data Sheet'!$A:$A=$F42), 0), MATCH($F$1, 'Master Data Sheet'!$1:$1, 0)), "")</f>
        <v>0.12210012210012212</v>
      </c>
      <c r="M42" s="11" cm="1">
        <f t="array" ref="M42">IFERROR(INDEX('Master Data Sheet'!$1:$1048576, MATCH(1, ('Master Data Sheet'!$H:$H=M$2) * (INDEX('Master Data Sheet'!$1:$1, , MATCH($F$1, 'Master Data Sheet'!$1:$1, 0)) = $F$1) * ('Master Data Sheet'!$G:$G=$B42) * ('Master Data Sheet'!$F:$F=$E42) * ('Master Data Sheet'!$A:$A=$F42), 0), MATCH($F$1, 'Master Data Sheet'!$1:$1, 0)), "")</f>
        <v>9.768009768009768E-2</v>
      </c>
      <c r="N42" s="11" cm="1">
        <f t="array" ref="N42">IFERROR(INDEX('Master Data Sheet'!$1:$1048576, MATCH(1, ('Master Data Sheet'!$H:$H=N$2) * (INDEX('Master Data Sheet'!$1:$1, , MATCH($F$1, 'Master Data Sheet'!$1:$1, 0)) = $F$1) * ('Master Data Sheet'!$G:$G=$B42) * ('Master Data Sheet'!$F:$F=$E42) * ('Master Data Sheet'!$A:$A=$F42), 0), MATCH($F$1, 'Master Data Sheet'!$1:$1, 0)), "")</f>
        <v>0.1098901098901099</v>
      </c>
      <c r="O42" s="11">
        <f t="shared" si="8"/>
        <v>0.2005930577359149</v>
      </c>
      <c r="P42" s="11">
        <f t="shared" si="4"/>
        <v>0.13048292314978344</v>
      </c>
      <c r="Q42" s="11">
        <f>AVERAGE(O42:O44)</f>
        <v>0.57357985929414512</v>
      </c>
      <c r="R42" s="46">
        <f>(1-(O42/O39))*100</f>
        <v>-180.48780487804876</v>
      </c>
      <c r="S42" s="46">
        <f>AVERAGE(R42:R44)</f>
        <v>-37.257820994006941</v>
      </c>
      <c r="T42" s="46">
        <f>STDEV(R42:R44)</f>
        <v>124.35435801367329</v>
      </c>
      <c r="U42" s="47">
        <f>(1-(AVERAGE(H42:N44)/AVERAGE(H39:N41)))*100</f>
        <v>31.134380453752176</v>
      </c>
      <c r="V42" s="47"/>
      <c r="W42" s="47"/>
      <c r="X42" s="47">
        <f>(O39-O42)/70.1</f>
        <v>-1.8413305554124796E-3</v>
      </c>
      <c r="Y42" s="47">
        <f>O39/70.1</f>
        <v>1.0201966590798874E-3</v>
      </c>
      <c r="AB42" s="2"/>
      <c r="AC42" s="2"/>
      <c r="AD42" s="2"/>
      <c r="AE42" s="2"/>
      <c r="AF42" s="2"/>
      <c r="AG42" s="2"/>
      <c r="AH42" s="2"/>
      <c r="AI42" s="2"/>
      <c r="AJ42" s="2"/>
    </row>
    <row r="43" spans="1:48" x14ac:dyDescent="0.35">
      <c r="A43" s="41">
        <f>IFERROR(INDEX('Date Key'!$B$2:$B$19, MATCH(F43,'Date Key'!$A$2:$A$19, 0)), "")</f>
        <v>45322</v>
      </c>
      <c r="B43" s="4">
        <f t="shared" si="15"/>
        <v>5</v>
      </c>
      <c r="C43" s="26" t="str">
        <f>IFERROR(INDEX('Date Key'!$G$57:$G$62, MATCH(B43,'Date Key'!$A$57:$A$62, 0)), "")</f>
        <v>High HLR, Lower Outlet Height, Yes Plants</v>
      </c>
      <c r="D43" s="4" t="str">
        <f>IFERROR(INDEX('Date Key'!$G$2:$G$19, MATCH(F43, 'Date Key'!$A$2:$A$19, 0)), "")</f>
        <v>No</v>
      </c>
      <c r="E43" s="4" t="str">
        <f t="shared" si="1"/>
        <v>tank 1</v>
      </c>
      <c r="F43" s="4">
        <f t="shared" si="2"/>
        <v>14</v>
      </c>
      <c r="G43" s="4">
        <f t="shared" si="22"/>
        <v>2</v>
      </c>
      <c r="H43" s="11" cm="1">
        <f t="array" ref="H43">IFERROR(INDEX('Master Data Sheet'!$1:$1048576, MATCH(1, ('Master Data Sheet'!$H:$H=H$2) * (INDEX('Master Data Sheet'!$1:$1, , MATCH($F$1, 'Master Data Sheet'!$1:$1, 0)) = $F$1) * ('Master Data Sheet'!$G:$G=$B43) * ('Master Data Sheet'!$F:$F=$E43) * ('Master Data Sheet'!$A:$A=$F43), 0), MATCH($F$1, 'Master Data Sheet'!$1:$1, 0)), "")</f>
        <v>0.1800976800976801</v>
      </c>
      <c r="I43" s="11" cm="1">
        <f t="array" ref="I43">IFERROR(INDEX('Master Data Sheet'!$1:$1048576, MATCH(1, ('Master Data Sheet'!$H:$H=I$2) * (INDEX('Master Data Sheet'!$1:$1, , MATCH($F$1, 'Master Data Sheet'!$1:$1, 0)) = $F$1) * ('Master Data Sheet'!$G:$G=$B43) * ('Master Data Sheet'!$F:$F=$E43) * ('Master Data Sheet'!$A:$A=$F43), 0), MATCH($F$1, 'Master Data Sheet'!$1:$1, 0)), "")</f>
        <v>0.5219780219780219</v>
      </c>
      <c r="J43" s="11" cm="1">
        <f t="array" ref="J43">IFERROR(INDEX('Master Data Sheet'!$1:$1048576, MATCH(1, ('Master Data Sheet'!$H:$H=J$2) * (INDEX('Master Data Sheet'!$1:$1, , MATCH($F$1, 'Master Data Sheet'!$1:$1, 0)) = $F$1) * ('Master Data Sheet'!$G:$G=$B43) * ('Master Data Sheet'!$F:$F=$E43) * ('Master Data Sheet'!$A:$A=$F43), 0), MATCH($F$1, 'Master Data Sheet'!$1:$1, 0)), "")</f>
        <v>0.81501831501831501</v>
      </c>
      <c r="K43" s="11" cm="1">
        <f t="array" ref="K43">IFERROR(INDEX('Master Data Sheet'!$1:$1048576, MATCH(1, ('Master Data Sheet'!$H:$H=K$2) * (INDEX('Master Data Sheet'!$1:$1, , MATCH($F$1, 'Master Data Sheet'!$1:$1, 0)) = $F$1) * ('Master Data Sheet'!$G:$G=$B43) * ('Master Data Sheet'!$F:$F=$E43) * ('Master Data Sheet'!$A:$A=$F43), 0), MATCH($F$1, 'Master Data Sheet'!$1:$1, 0)), "")</f>
        <v>0.98595848595848601</v>
      </c>
      <c r="L43" s="11" cm="1">
        <f t="array" ref="L43">IFERROR(INDEX('Master Data Sheet'!$1:$1048576, MATCH(1, ('Master Data Sheet'!$H:$H=L$2) * (INDEX('Master Data Sheet'!$1:$1, , MATCH($F$1, 'Master Data Sheet'!$1:$1, 0)) = $F$1) * ('Master Data Sheet'!$G:$G=$B43) * ('Master Data Sheet'!$F:$F=$E43) * ('Master Data Sheet'!$A:$A=$F43), 0), MATCH($F$1, 'Master Data Sheet'!$1:$1, 0)), "")</f>
        <v>1.169108669108669</v>
      </c>
      <c r="M43" s="11" cm="1">
        <f t="array" ref="M43">IFERROR(INDEX('Master Data Sheet'!$1:$1048576, MATCH(1, ('Master Data Sheet'!$H:$H=M$2) * (INDEX('Master Data Sheet'!$1:$1, , MATCH($F$1, 'Master Data Sheet'!$1:$1, 0)) = $F$1) * ('Master Data Sheet'!$G:$G=$B43) * ('Master Data Sheet'!$F:$F=$E43) * ('Master Data Sheet'!$A:$A=$F43), 0), MATCH($F$1, 'Master Data Sheet'!$1:$1, 0)), "")</f>
        <v>1.3156288156288156</v>
      </c>
      <c r="N43" s="11" cm="1">
        <f t="array" ref="N43">IFERROR(INDEX('Master Data Sheet'!$1:$1048576, MATCH(1, ('Master Data Sheet'!$H:$H=N$2) * (INDEX('Master Data Sheet'!$1:$1, , MATCH($F$1, 'Master Data Sheet'!$1:$1, 0)) = $F$1) * ('Master Data Sheet'!$G:$G=$B43) * ('Master Data Sheet'!$F:$F=$E43) * ('Master Data Sheet'!$A:$A=$F43), 0), MATCH($F$1, 'Master Data Sheet'!$1:$1, 0)), "")</f>
        <v>1.4865689865689866</v>
      </c>
      <c r="O43" s="11">
        <f t="shared" si="8"/>
        <v>0.92490842490842495</v>
      </c>
      <c r="P43" s="11">
        <f t="shared" si="4"/>
        <v>0.4583771501929535</v>
      </c>
      <c r="Q43" s="11"/>
      <c r="R43" s="46">
        <f>(1-(O43/O40))*100</f>
        <v>43.182427002410918</v>
      </c>
      <c r="X43" s="47">
        <f>(O40-O43)/70.1</f>
        <v>1.0027786673394986E-2</v>
      </c>
      <c r="Y43" s="47">
        <f>O40/70.1</f>
        <v>2.3221915416739139E-2</v>
      </c>
      <c r="AA43" t="str">
        <f>IFERROR(INDEX('Date Key'!$G$57:$G$62, MATCH(B42,'Date Key'!$A$57:$A$62, 0)), "")</f>
        <v>High HLR, Lower Outlet Height, Yes Plants</v>
      </c>
      <c r="AB43" s="1">
        <f t="shared" ref="AB43:AH43" si="47">H42</f>
        <v>0.40293040293040294</v>
      </c>
      <c r="AC43" s="1">
        <f t="shared" si="47"/>
        <v>0.37240537240537241</v>
      </c>
      <c r="AD43" s="1">
        <f t="shared" si="47"/>
        <v>0.17704517704517703</v>
      </c>
      <c r="AE43" s="1">
        <f t="shared" si="47"/>
        <v>0.12210012210012212</v>
      </c>
      <c r="AF43" s="1">
        <f t="shared" si="47"/>
        <v>0.12210012210012212</v>
      </c>
      <c r="AG43" s="1">
        <f t="shared" si="47"/>
        <v>9.768009768009768E-2</v>
      </c>
      <c r="AH43" s="1">
        <f t="shared" si="47"/>
        <v>0.1098901098901099</v>
      </c>
      <c r="AI43" s="1">
        <f t="shared" ref="AI43:AO43" si="48">H43</f>
        <v>0.1800976800976801</v>
      </c>
      <c r="AJ43" s="1">
        <f t="shared" si="48"/>
        <v>0.5219780219780219</v>
      </c>
      <c r="AK43" s="1">
        <f t="shared" si="48"/>
        <v>0.81501831501831501</v>
      </c>
      <c r="AL43" s="1">
        <f t="shared" si="48"/>
        <v>0.98595848595848601</v>
      </c>
      <c r="AM43" s="1">
        <f t="shared" si="48"/>
        <v>1.169108669108669</v>
      </c>
      <c r="AN43" s="1">
        <f t="shared" si="48"/>
        <v>1.3156288156288156</v>
      </c>
      <c r="AO43" s="1">
        <f t="shared" si="48"/>
        <v>1.4865689865689866</v>
      </c>
      <c r="AP43" s="1">
        <f t="shared" ref="AP43:AV43" si="49">H44</f>
        <v>0.6562881562881564</v>
      </c>
      <c r="AQ43" s="1">
        <f t="shared" si="49"/>
        <v>0.43650793650793657</v>
      </c>
      <c r="AR43" s="1">
        <f t="shared" si="49"/>
        <v>0.22893772893772896</v>
      </c>
      <c r="AS43" s="1">
        <f t="shared" si="49"/>
        <v>0.39377289377289376</v>
      </c>
      <c r="AT43" s="1">
        <f t="shared" si="49"/>
        <v>0.60744810744810751</v>
      </c>
      <c r="AU43" s="1">
        <f t="shared" si="49"/>
        <v>0.85164835164835173</v>
      </c>
      <c r="AV43" s="1">
        <f t="shared" si="49"/>
        <v>0.99206349206349209</v>
      </c>
    </row>
    <row r="44" spans="1:48" x14ac:dyDescent="0.35">
      <c r="A44" s="41">
        <f>IFERROR(INDEX('Date Key'!$B$2:$B$19, MATCH(F44,'Date Key'!$A$2:$A$19, 0)), "")</f>
        <v>45330</v>
      </c>
      <c r="B44" s="4">
        <f t="shared" si="15"/>
        <v>5</v>
      </c>
      <c r="C44" s="26" t="str">
        <f>IFERROR(INDEX('Date Key'!$G$57:$G$62, MATCH(B44,'Date Key'!$A$57:$A$62, 0)), "")</f>
        <v>High HLR, Lower Outlet Height, Yes Plants</v>
      </c>
      <c r="D44" s="4" t="str">
        <f>IFERROR(INDEX('Date Key'!$G$2:$G$19, MATCH(F44, 'Date Key'!$A$2:$A$19, 0)), "")</f>
        <v>No</v>
      </c>
      <c r="E44" s="4" t="str">
        <f t="shared" si="1"/>
        <v>tank 1</v>
      </c>
      <c r="F44" s="4">
        <f t="shared" si="2"/>
        <v>15</v>
      </c>
      <c r="G44" s="4">
        <f t="shared" si="22"/>
        <v>3</v>
      </c>
      <c r="H44" s="11" cm="1">
        <f t="array" ref="H44">IFERROR(INDEX('Master Data Sheet'!$1:$1048576, MATCH(1, ('Master Data Sheet'!$H:$H=H$2) * (INDEX('Master Data Sheet'!$1:$1, , MATCH($F$1, 'Master Data Sheet'!$1:$1, 0)) = $F$1) * ('Master Data Sheet'!$G:$G=$B44) * ('Master Data Sheet'!$F:$F=$E44) * ('Master Data Sheet'!$A:$A=$F44), 0), MATCH($F$1, 'Master Data Sheet'!$1:$1, 0)), "")</f>
        <v>0.6562881562881564</v>
      </c>
      <c r="I44" s="11" cm="1">
        <f t="array" ref="I44">IFERROR(INDEX('Master Data Sheet'!$1:$1048576, MATCH(1, ('Master Data Sheet'!$H:$H=I$2) * (INDEX('Master Data Sheet'!$1:$1, , MATCH($F$1, 'Master Data Sheet'!$1:$1, 0)) = $F$1) * ('Master Data Sheet'!$G:$G=$B44) * ('Master Data Sheet'!$F:$F=$E44) * ('Master Data Sheet'!$A:$A=$F44), 0), MATCH($F$1, 'Master Data Sheet'!$1:$1, 0)), "")</f>
        <v>0.43650793650793657</v>
      </c>
      <c r="J44" s="11" cm="1">
        <f t="array" ref="J44">IFERROR(INDEX('Master Data Sheet'!$1:$1048576, MATCH(1, ('Master Data Sheet'!$H:$H=J$2) * (INDEX('Master Data Sheet'!$1:$1, , MATCH($F$1, 'Master Data Sheet'!$1:$1, 0)) = $F$1) * ('Master Data Sheet'!$G:$G=$B44) * ('Master Data Sheet'!$F:$F=$E44) * ('Master Data Sheet'!$A:$A=$F44), 0), MATCH($F$1, 'Master Data Sheet'!$1:$1, 0)), "")</f>
        <v>0.22893772893772896</v>
      </c>
      <c r="K44" s="11" cm="1">
        <f t="array" ref="K44">IFERROR(INDEX('Master Data Sheet'!$1:$1048576, MATCH(1, ('Master Data Sheet'!$H:$H=K$2) * (INDEX('Master Data Sheet'!$1:$1, , MATCH($F$1, 'Master Data Sheet'!$1:$1, 0)) = $F$1) * ('Master Data Sheet'!$G:$G=$B44) * ('Master Data Sheet'!$F:$F=$E44) * ('Master Data Sheet'!$A:$A=$F44), 0), MATCH($F$1, 'Master Data Sheet'!$1:$1, 0)), "")</f>
        <v>0.39377289377289376</v>
      </c>
      <c r="L44" s="11" cm="1">
        <f t="array" ref="L44">IFERROR(INDEX('Master Data Sheet'!$1:$1048576, MATCH(1, ('Master Data Sheet'!$H:$H=L$2) * (INDEX('Master Data Sheet'!$1:$1, , MATCH($F$1, 'Master Data Sheet'!$1:$1, 0)) = $F$1) * ('Master Data Sheet'!$G:$G=$B44) * ('Master Data Sheet'!$F:$F=$E44) * ('Master Data Sheet'!$A:$A=$F44), 0), MATCH($F$1, 'Master Data Sheet'!$1:$1, 0)), "")</f>
        <v>0.60744810744810751</v>
      </c>
      <c r="M44" s="11" cm="1">
        <f t="array" ref="M44">IFERROR(INDEX('Master Data Sheet'!$1:$1048576, MATCH(1, ('Master Data Sheet'!$H:$H=M$2) * (INDEX('Master Data Sheet'!$1:$1, , MATCH($F$1, 'Master Data Sheet'!$1:$1, 0)) = $F$1) * ('Master Data Sheet'!$G:$G=$B44) * ('Master Data Sheet'!$F:$F=$E44) * ('Master Data Sheet'!$A:$A=$F44), 0), MATCH($F$1, 'Master Data Sheet'!$1:$1, 0)), "")</f>
        <v>0.85164835164835173</v>
      </c>
      <c r="N44" s="11" cm="1">
        <f t="array" ref="N44">IFERROR(INDEX('Master Data Sheet'!$1:$1048576, MATCH(1, ('Master Data Sheet'!$H:$H=N$2) * (INDEX('Master Data Sheet'!$1:$1, , MATCH($F$1, 'Master Data Sheet'!$1:$1, 0)) = $F$1) * ('Master Data Sheet'!$G:$G=$B44) * ('Master Data Sheet'!$F:$F=$E44) * ('Master Data Sheet'!$A:$A=$F44), 0), MATCH($F$1, 'Master Data Sheet'!$1:$1, 0)), "")</f>
        <v>0.99206349206349209</v>
      </c>
      <c r="O44" s="11">
        <f t="shared" si="8"/>
        <v>0.59523809523809523</v>
      </c>
      <c r="P44" s="11">
        <f t="shared" si="4"/>
        <v>0.26678713691945805</v>
      </c>
      <c r="Q44" s="11"/>
      <c r="R44" s="46">
        <f>(1-(O44/O41))*100</f>
        <v>25.531914893617024</v>
      </c>
      <c r="X44" s="47">
        <f>(O41-O44)/70.1</f>
        <v>2.9112929051791905E-3</v>
      </c>
      <c r="Y44" s="47">
        <f>O41/70.1</f>
        <v>1.1402563878618495E-2</v>
      </c>
      <c r="AB44" s="2"/>
      <c r="AC44" s="2"/>
      <c r="AD44" s="2"/>
      <c r="AE44" s="2"/>
      <c r="AF44" s="2"/>
      <c r="AG44" s="2"/>
      <c r="AH44" s="2"/>
      <c r="AI44" s="2"/>
      <c r="AJ44" s="2"/>
    </row>
    <row r="45" spans="1:48" x14ac:dyDescent="0.35">
      <c r="A45" s="41">
        <f>IFERROR(INDEX('Date Key'!$B$2:$B$19, MATCH(F45,'Date Key'!$A$2:$A$19, 0)), "")</f>
        <v>45313</v>
      </c>
      <c r="B45" s="4">
        <f t="shared" si="15"/>
        <v>5</v>
      </c>
      <c r="C45" s="26" t="str">
        <f>IFERROR(INDEX('Date Key'!$G$57:$G$62, MATCH(B45,'Date Key'!$A$57:$A$62, 0)), "")</f>
        <v>High HLR, Lower Outlet Height, Yes Plants</v>
      </c>
      <c r="D45" s="4" t="str">
        <f>IFERROR(INDEX('Date Key'!$G$2:$G$19, MATCH(F45, 'Date Key'!$A$2:$A$19, 0)), "")</f>
        <v>Yes</v>
      </c>
      <c r="E45" s="4" t="str">
        <f t="shared" si="1"/>
        <v>tank 2</v>
      </c>
      <c r="F45" s="4">
        <f t="shared" si="2"/>
        <v>13</v>
      </c>
      <c r="G45" s="4">
        <f t="shared" si="22"/>
        <v>1</v>
      </c>
      <c r="H45" s="11" cm="1">
        <f t="array" ref="H45">IFERROR(INDEX('Master Data Sheet'!$1:$1048576, MATCH(1, ('Master Data Sheet'!$H:$H=H$2) * (INDEX('Master Data Sheet'!$1:$1, , MATCH($F$1, 'Master Data Sheet'!$1:$1, 0)) = $F$1) * ('Master Data Sheet'!$G:$G=$B45) * ('Master Data Sheet'!$F:$F=$E45) * ('Master Data Sheet'!$A:$A=$F45), 0), MATCH($F$1, 'Master Data Sheet'!$1:$1, 0)), "")</f>
        <v>1.2332112332112333</v>
      </c>
      <c r="I45" s="11" cm="1">
        <f t="array" ref="I45">IFERROR(INDEX('Master Data Sheet'!$1:$1048576, MATCH(1, ('Master Data Sheet'!$H:$H=I$2) * (INDEX('Master Data Sheet'!$1:$1, , MATCH($F$1, 'Master Data Sheet'!$1:$1, 0)) = $F$1) * ('Master Data Sheet'!$G:$G=$B45) * ('Master Data Sheet'!$F:$F=$E45) * ('Master Data Sheet'!$A:$A=$F45), 0), MATCH($F$1, 'Master Data Sheet'!$1:$1, 0)), "")</f>
        <v>0.9218559218559218</v>
      </c>
      <c r="J45" s="11" cm="1">
        <f t="array" ref="J45">IFERROR(INDEX('Master Data Sheet'!$1:$1048576, MATCH(1, ('Master Data Sheet'!$H:$H=J$2) * (INDEX('Master Data Sheet'!$1:$1, , MATCH($F$1, 'Master Data Sheet'!$1:$1, 0)) = $F$1) * ('Master Data Sheet'!$G:$G=$B45) * ('Master Data Sheet'!$F:$F=$E45) * ('Master Data Sheet'!$A:$A=$F45), 0), MATCH($F$1, 'Master Data Sheet'!$1:$1, 0)), "")</f>
        <v>0.3785103785103785</v>
      </c>
      <c r="K45" s="11" cm="1">
        <f t="array" ref="K45">IFERROR(INDEX('Master Data Sheet'!$1:$1048576, MATCH(1, ('Master Data Sheet'!$H:$H=K$2) * (INDEX('Master Data Sheet'!$1:$1, , MATCH($F$1, 'Master Data Sheet'!$1:$1, 0)) = $F$1) * ('Master Data Sheet'!$G:$G=$B45) * ('Master Data Sheet'!$F:$F=$E45) * ('Master Data Sheet'!$A:$A=$F45), 0), MATCH($F$1, 'Master Data Sheet'!$1:$1, 0)), "")</f>
        <v>0.17094017094017092</v>
      </c>
      <c r="L45" s="11" cm="1">
        <f t="array" ref="L45">IFERROR(INDEX('Master Data Sheet'!$1:$1048576, MATCH(1, ('Master Data Sheet'!$H:$H=L$2) * (INDEX('Master Data Sheet'!$1:$1, , MATCH($F$1, 'Master Data Sheet'!$1:$1, 0)) = $F$1) * ('Master Data Sheet'!$G:$G=$B45) * ('Master Data Sheet'!$F:$F=$E45) * ('Master Data Sheet'!$A:$A=$F45), 0), MATCH($F$1, 'Master Data Sheet'!$1:$1, 0)), "")</f>
        <v>7.9365079365079347E-2</v>
      </c>
      <c r="M45" s="11" cm="1">
        <f t="array" ref="M45">IFERROR(INDEX('Master Data Sheet'!$1:$1048576, MATCH(1, ('Master Data Sheet'!$H:$H=M$2) * (INDEX('Master Data Sheet'!$1:$1, , MATCH($F$1, 'Master Data Sheet'!$1:$1, 0)) = $F$1) * ('Master Data Sheet'!$G:$G=$B45) * ('Master Data Sheet'!$F:$F=$E45) * ('Master Data Sheet'!$A:$A=$F45), 0), MATCH($F$1, 'Master Data Sheet'!$1:$1, 0)), "")</f>
        <v>3.6630036630036659E-2</v>
      </c>
      <c r="N45" s="11" cm="1">
        <f t="array" ref="N45">IFERROR(INDEX('Master Data Sheet'!$1:$1048576, MATCH(1, ('Master Data Sheet'!$H:$H=N$2) * (INDEX('Master Data Sheet'!$1:$1, , MATCH($F$1, 'Master Data Sheet'!$1:$1, 0)) = $F$1) * ('Master Data Sheet'!$G:$G=$B45) * ('Master Data Sheet'!$F:$F=$E45) * ('Master Data Sheet'!$A:$A=$F45), 0), MATCH($F$1, 'Master Data Sheet'!$1:$1, 0)), "")</f>
        <v>1.221001221001222E-2</v>
      </c>
      <c r="O45" s="11">
        <f t="shared" si="8"/>
        <v>0.40467469038897608</v>
      </c>
      <c r="P45" s="11">
        <f t="shared" si="4"/>
        <v>0.48383491667694933</v>
      </c>
      <c r="Q45" s="11">
        <f>AVERAGE(N45:N47)</f>
        <v>0.70614570614570615</v>
      </c>
      <c r="R45" s="46">
        <f>(1-(O45/O39))*100</f>
        <v>-465.85365853658527</v>
      </c>
      <c r="S45" s="46">
        <f>AVERAGE(R45:R47)</f>
        <v>-140.79547568482215</v>
      </c>
      <c r="T45" s="46">
        <f>STDEV(R45:R47)</f>
        <v>282.07119154099081</v>
      </c>
      <c r="U45" s="47">
        <f>(1-(AVERAGE(H45:N47)/AVERAGE(H39:N41)))*100</f>
        <v>13.682373472949362</v>
      </c>
      <c r="V45" s="47"/>
      <c r="W45" s="47"/>
      <c r="X45" s="47">
        <f>(O42-O45)/45.6</f>
        <v>-4.4754744002864291E-3</v>
      </c>
      <c r="Y45" s="47">
        <f>O39/45.6</f>
        <v>1.5683286359978092E-3</v>
      </c>
      <c r="AB45" s="2"/>
      <c r="AC45" s="2"/>
      <c r="AD45" s="2"/>
      <c r="AE45" s="2"/>
      <c r="AF45" s="2"/>
      <c r="AG45" s="2"/>
      <c r="AH45" s="2"/>
      <c r="AI45" s="2"/>
      <c r="AJ45" s="2"/>
    </row>
    <row r="46" spans="1:48" x14ac:dyDescent="0.35">
      <c r="A46" s="41">
        <f>IFERROR(INDEX('Date Key'!$B$2:$B$19, MATCH(F46,'Date Key'!$A$2:$A$19, 0)), "")</f>
        <v>45322</v>
      </c>
      <c r="B46" s="4">
        <f t="shared" si="15"/>
        <v>5</v>
      </c>
      <c r="C46" s="26" t="str">
        <f>IFERROR(INDEX('Date Key'!$G$57:$G$62, MATCH(B46,'Date Key'!$A$57:$A$62, 0)), "")</f>
        <v>High HLR, Lower Outlet Height, Yes Plants</v>
      </c>
      <c r="D46" s="4" t="str">
        <f>IFERROR(INDEX('Date Key'!$G$2:$G$19, MATCH(F46, 'Date Key'!$A$2:$A$19, 0)), "")</f>
        <v>No</v>
      </c>
      <c r="E46" s="4" t="str">
        <f t="shared" si="1"/>
        <v>tank 2</v>
      </c>
      <c r="F46" s="4">
        <f t="shared" si="2"/>
        <v>14</v>
      </c>
      <c r="G46" s="4">
        <f t="shared" si="22"/>
        <v>2</v>
      </c>
      <c r="H46" s="11" cm="1">
        <f t="array" ref="H46">IFERROR(INDEX('Master Data Sheet'!$1:$1048576, MATCH(1, ('Master Data Sheet'!$H:$H=H$2) * (INDEX('Master Data Sheet'!$1:$1, , MATCH($F$1, 'Master Data Sheet'!$1:$1, 0)) = $F$1) * ('Master Data Sheet'!$G:$G=$B46) * ('Master Data Sheet'!$F:$F=$E46) * ('Master Data Sheet'!$A:$A=$F46), 0), MATCH($F$1, 'Master Data Sheet'!$1:$1, 0)), "")</f>
        <v>0.80891330891330893</v>
      </c>
      <c r="I46" s="11" cm="1">
        <f t="array" ref="I46">IFERROR(INDEX('Master Data Sheet'!$1:$1048576, MATCH(1, ('Master Data Sheet'!$H:$H=I$2) * (INDEX('Master Data Sheet'!$1:$1, , MATCH($F$1, 'Master Data Sheet'!$1:$1, 0)) = $F$1) * ('Master Data Sheet'!$G:$G=$B46) * ('Master Data Sheet'!$F:$F=$E46) * ('Master Data Sheet'!$A:$A=$F46), 0), MATCH($F$1, 'Master Data Sheet'!$1:$1, 0)), "")</f>
        <v>0.79670329670329676</v>
      </c>
      <c r="J46" s="11" cm="1">
        <f t="array" ref="J46">IFERROR(INDEX('Master Data Sheet'!$1:$1048576, MATCH(1, ('Master Data Sheet'!$H:$H=J$2) * (INDEX('Master Data Sheet'!$1:$1, , MATCH($F$1, 'Master Data Sheet'!$1:$1, 0)) = $F$1) * ('Master Data Sheet'!$G:$G=$B46) * ('Master Data Sheet'!$F:$F=$E46) * ('Master Data Sheet'!$A:$A=$F46), 0), MATCH($F$1, 'Master Data Sheet'!$1:$1, 0)), "")</f>
        <v>0.69902319902319898</v>
      </c>
      <c r="K46" s="11" cm="1">
        <f t="array" ref="K46">IFERROR(INDEX('Master Data Sheet'!$1:$1048576, MATCH(1, ('Master Data Sheet'!$H:$H=K$2) * (INDEX('Master Data Sheet'!$1:$1, , MATCH($F$1, 'Master Data Sheet'!$1:$1, 0)) = $F$1) * ('Master Data Sheet'!$G:$G=$B46) * ('Master Data Sheet'!$F:$F=$E46) * ('Master Data Sheet'!$A:$A=$F46), 0), MATCH($F$1, 'Master Data Sheet'!$1:$1, 0)), "")</f>
        <v>0.96764346764346765</v>
      </c>
      <c r="L46" s="11" cm="1">
        <f t="array" ref="L46">IFERROR(INDEX('Master Data Sheet'!$1:$1048576, MATCH(1, ('Master Data Sheet'!$H:$H=L$2) * (INDEX('Master Data Sheet'!$1:$1, , MATCH($F$1, 'Master Data Sheet'!$1:$1, 0)) = $F$1) * ('Master Data Sheet'!$G:$G=$B46) * ('Master Data Sheet'!$F:$F=$E46) * ('Master Data Sheet'!$A:$A=$F46), 0), MATCH($F$1, 'Master Data Sheet'!$1:$1, 0)), "")</f>
        <v>1.0714285714285716</v>
      </c>
      <c r="M46" s="11" cm="1">
        <f t="array" ref="M46">IFERROR(INDEX('Master Data Sheet'!$1:$1048576, MATCH(1, ('Master Data Sheet'!$H:$H=M$2) * (INDEX('Master Data Sheet'!$1:$1, , MATCH($F$1, 'Master Data Sheet'!$1:$1, 0)) = $F$1) * ('Master Data Sheet'!$G:$G=$B46) * ('Master Data Sheet'!$F:$F=$E46) * ('Master Data Sheet'!$A:$A=$F46), 0), MATCH($F$1, 'Master Data Sheet'!$1:$1, 0)), "")</f>
        <v>1.2362637362637361</v>
      </c>
      <c r="N46" s="11" cm="1">
        <f t="array" ref="N46">IFERROR(INDEX('Master Data Sheet'!$1:$1048576, MATCH(1, ('Master Data Sheet'!$H:$H=N$2) * (INDEX('Master Data Sheet'!$1:$1, , MATCH($F$1, 'Master Data Sheet'!$1:$1, 0)) = $F$1) * ('Master Data Sheet'!$G:$G=$B46) * ('Master Data Sheet'!$F:$F=$E46) * ('Master Data Sheet'!$A:$A=$F46), 0), MATCH($F$1, 'Master Data Sheet'!$1:$1, 0)), "")</f>
        <v>1.3095238095238095</v>
      </c>
      <c r="O46" s="11">
        <f t="shared" si="8"/>
        <v>0.98421419849991287</v>
      </c>
      <c r="P46" s="11">
        <f t="shared" si="4"/>
        <v>0.2325442233364414</v>
      </c>
      <c r="Q46" s="11"/>
      <c r="R46" s="46">
        <f>(1-(O46/O40))*100</f>
        <v>39.539244575408503</v>
      </c>
      <c r="X46" s="47">
        <f>(O43-O46)/45.6</f>
        <v>-1.3005652103396472E-3</v>
      </c>
      <c r="Y46" s="47">
        <f>O40/45.6</f>
        <v>3.5698602427925732E-2</v>
      </c>
      <c r="AA46" t="str">
        <f>IFERROR(INDEX('Date Key'!$G$57:$G$62, MATCH(B45,'Date Key'!$A$57:$A$62, 0)), "")</f>
        <v>High HLR, Lower Outlet Height, Yes Plants</v>
      </c>
      <c r="AB46" s="1">
        <f t="shared" ref="AB46:AH46" si="50">H45</f>
        <v>1.2332112332112333</v>
      </c>
      <c r="AC46" s="1">
        <f t="shared" si="50"/>
        <v>0.9218559218559218</v>
      </c>
      <c r="AD46" s="1">
        <f t="shared" si="50"/>
        <v>0.3785103785103785</v>
      </c>
      <c r="AE46" s="1">
        <f t="shared" si="50"/>
        <v>0.17094017094017092</v>
      </c>
      <c r="AF46" s="1">
        <f t="shared" si="50"/>
        <v>7.9365079365079347E-2</v>
      </c>
      <c r="AG46" s="1">
        <f t="shared" si="50"/>
        <v>3.6630036630036659E-2</v>
      </c>
      <c r="AH46" s="1">
        <f t="shared" si="50"/>
        <v>1.221001221001222E-2</v>
      </c>
      <c r="AI46" s="1">
        <f t="shared" ref="AI46:AO46" si="51">H46</f>
        <v>0.80891330891330893</v>
      </c>
      <c r="AJ46" s="1">
        <f t="shared" si="51"/>
        <v>0.79670329670329676</v>
      </c>
      <c r="AK46" s="1">
        <f t="shared" si="51"/>
        <v>0.69902319902319898</v>
      </c>
      <c r="AL46" s="1">
        <f t="shared" si="51"/>
        <v>0.96764346764346765</v>
      </c>
      <c r="AM46" s="1">
        <f t="shared" si="51"/>
        <v>1.0714285714285716</v>
      </c>
      <c r="AN46" s="1">
        <f t="shared" si="51"/>
        <v>1.2362637362637361</v>
      </c>
      <c r="AO46" s="1">
        <f t="shared" si="51"/>
        <v>1.3095238095238095</v>
      </c>
      <c r="AP46" s="1">
        <f t="shared" ref="AP46:AV46" si="52">H47</f>
        <v>1.6575091575091572</v>
      </c>
      <c r="AQ46" s="1">
        <f t="shared" si="52"/>
        <v>0.8211233211233212</v>
      </c>
      <c r="AR46" s="1">
        <f t="shared" si="52"/>
        <v>0.36324786324786323</v>
      </c>
      <c r="AS46" s="1">
        <f t="shared" si="52"/>
        <v>0.40598290598290598</v>
      </c>
      <c r="AT46" s="1">
        <f t="shared" si="52"/>
        <v>0.58302808302808307</v>
      </c>
      <c r="AU46" s="1">
        <f t="shared" si="52"/>
        <v>0.74786324786324787</v>
      </c>
      <c r="AV46" s="1">
        <f t="shared" si="52"/>
        <v>0.79670329670329676</v>
      </c>
    </row>
    <row r="47" spans="1:48" x14ac:dyDescent="0.35">
      <c r="A47" s="42">
        <f>IFERROR(INDEX('Date Key'!$B$2:$B$19, MATCH(F47,'Date Key'!$A$2:$A$19, 0)), "")</f>
        <v>45330</v>
      </c>
      <c r="B47" s="27">
        <f t="shared" si="15"/>
        <v>5</v>
      </c>
      <c r="C47" s="51" t="str">
        <f>IFERROR(INDEX('Date Key'!$G$57:$G$62, MATCH(B47,'Date Key'!$A$57:$A$62, 0)), "")</f>
        <v>High HLR, Lower Outlet Height, Yes Plants</v>
      </c>
      <c r="D47" s="27" t="str">
        <f>IFERROR(INDEX('Date Key'!$G$2:$G$19, MATCH(F47, 'Date Key'!$A$2:$A$19, 0)), "")</f>
        <v>No</v>
      </c>
      <c r="E47" s="27" t="str">
        <f t="shared" si="1"/>
        <v>tank 2</v>
      </c>
      <c r="F47" s="27">
        <f t="shared" si="2"/>
        <v>15</v>
      </c>
      <c r="G47" s="27">
        <f t="shared" si="22"/>
        <v>3</v>
      </c>
      <c r="H47" s="28" cm="1">
        <f t="array" ref="H47">IFERROR(INDEX('Master Data Sheet'!$1:$1048576, MATCH(1, ('Master Data Sheet'!$H:$H=H$2) * (INDEX('Master Data Sheet'!$1:$1, , MATCH($F$1, 'Master Data Sheet'!$1:$1, 0)) = $F$1) * ('Master Data Sheet'!$G:$G=$B47) * ('Master Data Sheet'!$F:$F=$E47) * ('Master Data Sheet'!$A:$A=$F47), 0), MATCH($F$1, 'Master Data Sheet'!$1:$1, 0)), "")</f>
        <v>1.6575091575091572</v>
      </c>
      <c r="I47" s="28" cm="1">
        <f t="array" ref="I47">IFERROR(INDEX('Master Data Sheet'!$1:$1048576, MATCH(1, ('Master Data Sheet'!$H:$H=I$2) * (INDEX('Master Data Sheet'!$1:$1, , MATCH($F$1, 'Master Data Sheet'!$1:$1, 0)) = $F$1) * ('Master Data Sheet'!$G:$G=$B47) * ('Master Data Sheet'!$F:$F=$E47) * ('Master Data Sheet'!$A:$A=$F47), 0), MATCH($F$1, 'Master Data Sheet'!$1:$1, 0)), "")</f>
        <v>0.8211233211233212</v>
      </c>
      <c r="J47" s="28" cm="1">
        <f t="array" ref="J47">IFERROR(INDEX('Master Data Sheet'!$1:$1048576, MATCH(1, ('Master Data Sheet'!$H:$H=J$2) * (INDEX('Master Data Sheet'!$1:$1, , MATCH($F$1, 'Master Data Sheet'!$1:$1, 0)) = $F$1) * ('Master Data Sheet'!$G:$G=$B47) * ('Master Data Sheet'!$F:$F=$E47) * ('Master Data Sheet'!$A:$A=$F47), 0), MATCH($F$1, 'Master Data Sheet'!$1:$1, 0)), "")</f>
        <v>0.36324786324786323</v>
      </c>
      <c r="K47" s="28" cm="1">
        <f t="array" ref="K47">IFERROR(INDEX('Master Data Sheet'!$1:$1048576, MATCH(1, ('Master Data Sheet'!$H:$H=K$2) * (INDEX('Master Data Sheet'!$1:$1, , MATCH($F$1, 'Master Data Sheet'!$1:$1, 0)) = $F$1) * ('Master Data Sheet'!$G:$G=$B47) * ('Master Data Sheet'!$F:$F=$E47) * ('Master Data Sheet'!$A:$A=$F47), 0), MATCH($F$1, 'Master Data Sheet'!$1:$1, 0)), "")</f>
        <v>0.40598290598290598</v>
      </c>
      <c r="L47" s="28" cm="1">
        <f t="array" ref="L47">IFERROR(INDEX('Master Data Sheet'!$1:$1048576, MATCH(1, ('Master Data Sheet'!$H:$H=L$2) * (INDEX('Master Data Sheet'!$1:$1, , MATCH($F$1, 'Master Data Sheet'!$1:$1, 0)) = $F$1) * ('Master Data Sheet'!$G:$G=$B47) * ('Master Data Sheet'!$F:$F=$E47) * ('Master Data Sheet'!$A:$A=$F47), 0), MATCH($F$1, 'Master Data Sheet'!$1:$1, 0)), "")</f>
        <v>0.58302808302808307</v>
      </c>
      <c r="M47" s="28" cm="1">
        <f t="array" ref="M47">IFERROR(INDEX('Master Data Sheet'!$1:$1048576, MATCH(1, ('Master Data Sheet'!$H:$H=M$2) * (INDEX('Master Data Sheet'!$1:$1, , MATCH($F$1, 'Master Data Sheet'!$1:$1, 0)) = $F$1) * ('Master Data Sheet'!$G:$G=$B47) * ('Master Data Sheet'!$F:$F=$E47) * ('Master Data Sheet'!$A:$A=$F47), 0), MATCH($F$1, 'Master Data Sheet'!$1:$1, 0)), "")</f>
        <v>0.74786324786324787</v>
      </c>
      <c r="N47" s="28" cm="1">
        <f t="array" ref="N47">IFERROR(INDEX('Master Data Sheet'!$1:$1048576, MATCH(1, ('Master Data Sheet'!$H:$H=N$2) * (INDEX('Master Data Sheet'!$1:$1, , MATCH($F$1, 'Master Data Sheet'!$1:$1, 0)) = $F$1) * ('Master Data Sheet'!$G:$G=$B47) * ('Master Data Sheet'!$F:$F=$E47) * ('Master Data Sheet'!$A:$A=$F47), 0), MATCH($F$1, 'Master Data Sheet'!$1:$1, 0)), "")</f>
        <v>0.79670329670329676</v>
      </c>
      <c r="O47" s="28">
        <f t="shared" si="8"/>
        <v>0.76792255363683926</v>
      </c>
      <c r="P47" s="28">
        <f t="shared" si="4"/>
        <v>0.43289206376354578</v>
      </c>
      <c r="Q47" s="28"/>
      <c r="R47" s="48">
        <f>(1-(O47/O41))*100</f>
        <v>3.9279869067103235</v>
      </c>
      <c r="S47" s="27"/>
      <c r="T47" s="27"/>
      <c r="U47" s="27"/>
      <c r="V47" s="27"/>
      <c r="W47" s="27"/>
      <c r="X47" s="47">
        <f>(O44-O47)/45.6</f>
        <v>-3.7869398771654388E-3</v>
      </c>
      <c r="Y47" s="47">
        <f>O41/45.6</f>
        <v>1.752894140112185E-2</v>
      </c>
    </row>
    <row r="48" spans="1:48" x14ac:dyDescent="0.35">
      <c r="A48" s="41">
        <f>IFERROR(INDEX('Date Key'!$B$2:$B$19, MATCH(F48,'Date Key'!$A$2:$A$19, 0)), "")</f>
        <v>45371</v>
      </c>
      <c r="B48" s="4">
        <f t="shared" si="15"/>
        <v>6</v>
      </c>
      <c r="C48" s="26" t="str">
        <f>IFERROR(INDEX('Date Key'!$G$57:$G$62, MATCH(B48,'Date Key'!$A$57:$A$62, 0)), "")</f>
        <v>Medium HLR, Upper Outlet Height, Yes Plants</v>
      </c>
      <c r="D48" s="4" t="str">
        <f>IFERROR(INDEX('Date Key'!$G$2:$G$19, MATCH(F48, 'Date Key'!$A$2:$A$19, 0)), "")</f>
        <v>No</v>
      </c>
      <c r="E48" s="4" t="str">
        <f t="shared" si="1"/>
        <v>in</v>
      </c>
      <c r="F48" s="4">
        <f t="shared" si="2"/>
        <v>16</v>
      </c>
      <c r="G48" s="4">
        <f t="shared" si="22"/>
        <v>1</v>
      </c>
      <c r="H48" s="11" cm="1">
        <f t="array" ref="H48">IFERROR(INDEX('Master Data Sheet'!$1:$1048576, MATCH(1, ('Master Data Sheet'!$H:$H=H$2) * (INDEX('Master Data Sheet'!$1:$1, , MATCH($F$1, 'Master Data Sheet'!$1:$1, 0)) = $F$1) * ('Master Data Sheet'!$G:$G=$B48) * ('Master Data Sheet'!$F:$F=$E48) * ('Master Data Sheet'!$A:$A=$F48), 0), MATCH($F$1, 'Master Data Sheet'!$1:$1, 0)), "")</f>
        <v>0.51587301587301582</v>
      </c>
      <c r="I48" s="11" cm="1">
        <f t="array" ref="I48">IFERROR(INDEX('Master Data Sheet'!$1:$1048576, MATCH(1, ('Master Data Sheet'!$H:$H=I$2) * (INDEX('Master Data Sheet'!$1:$1, , MATCH($F$1, 'Master Data Sheet'!$1:$1, 0)) = $F$1) * ('Master Data Sheet'!$G:$G=$B48) * ('Master Data Sheet'!$F:$F=$E48) * ('Master Data Sheet'!$A:$A=$F48), 0), MATCH($F$1, 'Master Data Sheet'!$1:$1, 0)), "")</f>
        <v>0.82722832722832729</v>
      </c>
      <c r="J48" s="11" cm="1">
        <f t="array" ref="J48">IFERROR(INDEX('Master Data Sheet'!$1:$1048576, MATCH(1, ('Master Data Sheet'!$H:$H=J$2) * (INDEX('Master Data Sheet'!$1:$1, , MATCH($F$1, 'Master Data Sheet'!$1:$1, 0)) = $F$1) * ('Master Data Sheet'!$G:$G=$B48) * ('Master Data Sheet'!$F:$F=$E48) * ('Master Data Sheet'!$A:$A=$F48), 0), MATCH($F$1, 'Master Data Sheet'!$1:$1, 0)), "")</f>
        <v>0.99816849816849818</v>
      </c>
      <c r="K48" s="11" cm="1">
        <f t="array" ref="K48">IFERROR(INDEX('Master Data Sheet'!$1:$1048576, MATCH(1, ('Master Data Sheet'!$H:$H=K$2) * (INDEX('Master Data Sheet'!$1:$1, , MATCH($F$1, 'Master Data Sheet'!$1:$1, 0)) = $F$1) * ('Master Data Sheet'!$G:$G=$B48) * ('Master Data Sheet'!$F:$F=$E48) * ('Master Data Sheet'!$A:$A=$F48), 0), MATCH($F$1, 'Master Data Sheet'!$1:$1, 0)), "")</f>
        <v>1.1813186813186811</v>
      </c>
      <c r="L48" s="11" cm="1">
        <f t="array" ref="L48">IFERROR(INDEX('Master Data Sheet'!$1:$1048576, MATCH(1, ('Master Data Sheet'!$H:$H=L$2) * (INDEX('Master Data Sheet'!$1:$1, , MATCH($F$1, 'Master Data Sheet'!$1:$1, 0)) = $F$1) * ('Master Data Sheet'!$G:$G=$B48) * ('Master Data Sheet'!$F:$F=$E48) * ('Master Data Sheet'!$A:$A=$F48), 0), MATCH($F$1, 'Master Data Sheet'!$1:$1, 0)), "")</f>
        <v>1.3949938949938951</v>
      </c>
      <c r="M48" s="11" cm="1">
        <f t="array" ref="M48">IFERROR(INDEX('Master Data Sheet'!$1:$1048576, MATCH(1, ('Master Data Sheet'!$H:$H=M$2) * (INDEX('Master Data Sheet'!$1:$1, , MATCH($F$1, 'Master Data Sheet'!$1:$1, 0)) = $F$1) * ('Master Data Sheet'!$G:$G=$B48) * ('Master Data Sheet'!$F:$F=$E48) * ('Master Data Sheet'!$A:$A=$F48), 0), MATCH($F$1, 'Master Data Sheet'!$1:$1, 0)), "")</f>
        <v>1.6086691086691083</v>
      </c>
      <c r="N48" s="11" cm="1">
        <f t="array" ref="N48">IFERROR(INDEX('Master Data Sheet'!$1:$1048576, MATCH(1, ('Master Data Sheet'!$H:$H=N$2) * (INDEX('Master Data Sheet'!$1:$1, , MATCH($F$1, 'Master Data Sheet'!$1:$1, 0)) = $F$1) * ('Master Data Sheet'!$G:$G=$B48) * ('Master Data Sheet'!$F:$F=$E48) * ('Master Data Sheet'!$A:$A=$F48), 0), MATCH($F$1, 'Master Data Sheet'!$1:$1, 0)), "")</f>
        <v>1.6391941391941389</v>
      </c>
      <c r="O48" s="11">
        <f t="shared" si="8"/>
        <v>1.1664922379208094</v>
      </c>
      <c r="P48" s="11">
        <f t="shared" si="4"/>
        <v>0.41596044638919472</v>
      </c>
      <c r="Q48" s="11">
        <f>AVERAGE(O48:O50)</f>
        <v>1.1688179545322404</v>
      </c>
      <c r="S48" s="11">
        <f>AVERAGE(O48:O50)</f>
        <v>1.1688179545322404</v>
      </c>
      <c r="T48" s="11">
        <f>AVERAGE(P48:P50)</f>
        <v>0.37415066447797624</v>
      </c>
      <c r="V48" s="47">
        <f>AVERAGE(U51, U54)</f>
        <v>33.005845044148742</v>
      </c>
      <c r="W48" s="47">
        <f>_xlfn.STDEV.S(U51,U54)</f>
        <v>33.064562831257518</v>
      </c>
      <c r="X48" s="47"/>
      <c r="Y48" s="47"/>
      <c r="AA48" t="s">
        <v>343</v>
      </c>
    </row>
    <row r="49" spans="1:49" x14ac:dyDescent="0.35">
      <c r="A49" s="41">
        <f>IFERROR(INDEX('Date Key'!$B$2:$B$19, MATCH(F49,'Date Key'!$A$2:$A$19, 0)), "")</f>
        <v>45392</v>
      </c>
      <c r="B49" s="4">
        <f t="shared" si="15"/>
        <v>6</v>
      </c>
      <c r="C49" s="26" t="str">
        <f>IFERROR(INDEX('Date Key'!$G$57:$G$62, MATCH(B49,'Date Key'!$A$57:$A$62, 0)), "")</f>
        <v>Medium HLR, Upper Outlet Height, Yes Plants</v>
      </c>
      <c r="D49" s="4" t="str">
        <f>IFERROR(INDEX('Date Key'!$G$2:$G$19, MATCH(F49, 'Date Key'!$A$2:$A$19, 0)), "")</f>
        <v>No</v>
      </c>
      <c r="E49" s="4" t="str">
        <f t="shared" si="1"/>
        <v>in</v>
      </c>
      <c r="F49" s="4">
        <f t="shared" si="2"/>
        <v>17</v>
      </c>
      <c r="G49" s="4">
        <f t="shared" si="22"/>
        <v>2</v>
      </c>
      <c r="H49" s="11" cm="1">
        <f t="array" ref="H49">IFERROR(INDEX('Master Data Sheet'!$1:$1048576, MATCH(1, ('Master Data Sheet'!$H:$H=H$2) * (INDEX('Master Data Sheet'!$1:$1, , MATCH($F$1, 'Master Data Sheet'!$1:$1, 0)) = $F$1) * ('Master Data Sheet'!$G:$G=$B49) * ('Master Data Sheet'!$F:$F=$E49) * ('Master Data Sheet'!$A:$A=$F49), 0), MATCH($F$1, 'Master Data Sheet'!$1:$1, 0)), "")</f>
        <v>0.63186813186813195</v>
      </c>
      <c r="I49" s="11" cm="1">
        <f t="array" ref="I49">IFERROR(INDEX('Master Data Sheet'!$1:$1048576, MATCH(1, ('Master Data Sheet'!$H:$H=I$2) * (INDEX('Master Data Sheet'!$1:$1, , MATCH($F$1, 'Master Data Sheet'!$1:$1, 0)) = $F$1) * ('Master Data Sheet'!$G:$G=$B49) * ('Master Data Sheet'!$F:$F=$E49) * ('Master Data Sheet'!$A:$A=$F49), 0), MATCH($F$1, 'Master Data Sheet'!$1:$1, 0)), "")</f>
        <v>0.98595848595848601</v>
      </c>
      <c r="J49" s="11" cm="1">
        <f t="array" ref="J49">IFERROR(INDEX('Master Data Sheet'!$1:$1048576, MATCH(1, ('Master Data Sheet'!$H:$H=J$2) * (INDEX('Master Data Sheet'!$1:$1, , MATCH($F$1, 'Master Data Sheet'!$1:$1, 0)) = $F$1) * ('Master Data Sheet'!$G:$G=$B49) * ('Master Data Sheet'!$F:$F=$E49) * ('Master Data Sheet'!$A:$A=$F49), 0), MATCH($F$1, 'Master Data Sheet'!$1:$1, 0)), "")</f>
        <v>1.1996336996336996</v>
      </c>
      <c r="K49" s="11" cm="1">
        <f t="array" ref="K49">IFERROR(INDEX('Master Data Sheet'!$1:$1048576, MATCH(1, ('Master Data Sheet'!$H:$H=K$2) * (INDEX('Master Data Sheet'!$1:$1, , MATCH($F$1, 'Master Data Sheet'!$1:$1, 0)) = $F$1) * ('Master Data Sheet'!$G:$G=$B49) * ('Master Data Sheet'!$F:$F=$E49) * ('Master Data Sheet'!$A:$A=$F49), 0), MATCH($F$1, 'Master Data Sheet'!$1:$1, 0)), "")</f>
        <v>1.4438339438339438</v>
      </c>
      <c r="L49" s="11" cm="1">
        <f t="array" ref="L49">IFERROR(INDEX('Master Data Sheet'!$1:$1048576, MATCH(1, ('Master Data Sheet'!$H:$H=L$2) * (INDEX('Master Data Sheet'!$1:$1, , MATCH($F$1, 'Master Data Sheet'!$1:$1, 0)) = $F$1) * ('Master Data Sheet'!$G:$G=$B49) * ('Master Data Sheet'!$F:$F=$E49) * ('Master Data Sheet'!$A:$A=$F49), 0), MATCH($F$1, 'Master Data Sheet'!$1:$1, 0)), "")</f>
        <v>1.9810744810744811</v>
      </c>
      <c r="M49" s="11" cm="1">
        <f t="array" ref="M49">IFERROR(INDEX('Master Data Sheet'!$1:$1048576, MATCH(1, ('Master Data Sheet'!$H:$H=M$2) * (INDEX('Master Data Sheet'!$1:$1, , MATCH($F$1, 'Master Data Sheet'!$1:$1, 0)) = $F$1) * ('Master Data Sheet'!$G:$G=$B49) * ('Master Data Sheet'!$F:$F=$E49) * ('Master Data Sheet'!$A:$A=$F49), 0), MATCH($F$1, 'Master Data Sheet'!$1:$1, 0)), "")</f>
        <v>2.0909645909645911</v>
      </c>
      <c r="N49" s="11" cm="1">
        <f t="array" ref="N49">IFERROR(INDEX('Master Data Sheet'!$1:$1048576, MATCH(1, ('Master Data Sheet'!$H:$H=N$2) * (INDEX('Master Data Sheet'!$1:$1, , MATCH($F$1, 'Master Data Sheet'!$1:$1, 0)) = $F$1) * ('Master Data Sheet'!$G:$G=$B49) * ('Master Data Sheet'!$F:$F=$E49) * ('Master Data Sheet'!$A:$A=$F49), 0), MATCH($F$1, 'Master Data Sheet'!$1:$1, 0)), "")</f>
        <v>2.1459096459096463</v>
      </c>
      <c r="O49" s="11">
        <f t="shared" si="8"/>
        <v>1.4970347113204256</v>
      </c>
      <c r="P49" s="11">
        <f t="shared" si="4"/>
        <v>0.59288499209665269</v>
      </c>
      <c r="Q49" s="11"/>
      <c r="AA49" t="str">
        <f>IFERROR(INDEX('Date Key'!$G$57:$G$62, MATCH(B48,'Date Key'!$A$57:$A$62, 0)), "")</f>
        <v>Medium HLR, Upper Outlet Height, Yes Plants</v>
      </c>
      <c r="AB49" s="1">
        <f t="shared" ref="AB49:AH49" si="53">H48</f>
        <v>0.51587301587301582</v>
      </c>
      <c r="AC49" s="1">
        <f t="shared" si="53"/>
        <v>0.82722832722832729</v>
      </c>
      <c r="AD49" s="1">
        <f t="shared" si="53"/>
        <v>0.99816849816849818</v>
      </c>
      <c r="AE49" s="1">
        <f t="shared" si="53"/>
        <v>1.1813186813186811</v>
      </c>
      <c r="AF49" s="1">
        <f t="shared" si="53"/>
        <v>1.3949938949938951</v>
      </c>
      <c r="AG49" s="1">
        <f t="shared" si="53"/>
        <v>1.6086691086691083</v>
      </c>
      <c r="AH49" s="1">
        <f t="shared" si="53"/>
        <v>1.6391941391941389</v>
      </c>
      <c r="AI49" s="1">
        <f t="shared" ref="AI49:AO49" si="54">H49</f>
        <v>0.63186813186813195</v>
      </c>
      <c r="AJ49" s="1">
        <f t="shared" si="54"/>
        <v>0.98595848595848601</v>
      </c>
      <c r="AK49" s="1">
        <f t="shared" si="54"/>
        <v>1.1996336996336996</v>
      </c>
      <c r="AL49" s="1">
        <f t="shared" si="54"/>
        <v>1.4438339438339438</v>
      </c>
      <c r="AM49" s="1">
        <f t="shared" si="54"/>
        <v>1.9810744810744811</v>
      </c>
      <c r="AN49" s="1">
        <f t="shared" si="54"/>
        <v>2.0909645909645911</v>
      </c>
      <c r="AO49" s="1">
        <f t="shared" si="54"/>
        <v>2.1459096459096463</v>
      </c>
      <c r="AP49" s="1">
        <f t="shared" ref="AP49:AV49" si="55">H50</f>
        <v>1.0042735042735043</v>
      </c>
      <c r="AQ49" s="1">
        <f t="shared" si="55"/>
        <v>0.94932844932844929</v>
      </c>
      <c r="AR49" s="1">
        <f t="shared" si="55"/>
        <v>0.90659340659340659</v>
      </c>
      <c r="AS49" s="1">
        <f t="shared" si="55"/>
        <v>0.83333333333333337</v>
      </c>
      <c r="AT49" s="1">
        <f t="shared" si="55"/>
        <v>0.76617826617826612</v>
      </c>
      <c r="AU49" s="1">
        <f t="shared" si="55"/>
        <v>0.71733821733821734</v>
      </c>
      <c r="AV49" s="1">
        <f t="shared" si="55"/>
        <v>0.72344322344322343</v>
      </c>
    </row>
    <row r="50" spans="1:49" x14ac:dyDescent="0.35">
      <c r="A50" s="41">
        <f>IFERROR(INDEX('Date Key'!$B$2:$B$19, MATCH(F50,'Date Key'!$A$2:$A$19, 0)), "")</f>
        <v>45400</v>
      </c>
      <c r="B50" s="4">
        <f t="shared" si="15"/>
        <v>6</v>
      </c>
      <c r="C50" s="26" t="str">
        <f>IFERROR(INDEX('Date Key'!$G$57:$G$62, MATCH(B50,'Date Key'!$A$57:$A$62, 0)), "")</f>
        <v>Medium HLR, Upper Outlet Height, Yes Plants</v>
      </c>
      <c r="D50" s="4" t="str">
        <f>IFERROR(INDEX('Date Key'!$G$2:$G$19, MATCH(F50, 'Date Key'!$A$2:$A$19, 0)), "")</f>
        <v>Yes</v>
      </c>
      <c r="E50" s="4" t="str">
        <f t="shared" si="1"/>
        <v>in</v>
      </c>
      <c r="F50" s="4">
        <f t="shared" si="2"/>
        <v>18</v>
      </c>
      <c r="G50" s="4">
        <f t="shared" si="22"/>
        <v>3</v>
      </c>
      <c r="H50" s="11" cm="1">
        <f t="array" ref="H50">IFERROR(INDEX('Master Data Sheet'!$1:$1048576, MATCH(1, ('Master Data Sheet'!$H:$H=H$2) * (INDEX('Master Data Sheet'!$1:$1, , MATCH($F$1, 'Master Data Sheet'!$1:$1, 0)) = $F$1) * ('Master Data Sheet'!$G:$G=$B50) * ('Master Data Sheet'!$F:$F=$E50) * ('Master Data Sheet'!$A:$A=$F50), 0), MATCH($F$1, 'Master Data Sheet'!$1:$1, 0)), "")</f>
        <v>1.0042735042735043</v>
      </c>
      <c r="I50" s="11" cm="1">
        <f t="array" ref="I50">IFERROR(INDEX('Master Data Sheet'!$1:$1048576, MATCH(1, ('Master Data Sheet'!$H:$H=I$2) * (INDEX('Master Data Sheet'!$1:$1, , MATCH($F$1, 'Master Data Sheet'!$1:$1, 0)) = $F$1) * ('Master Data Sheet'!$G:$G=$B50) * ('Master Data Sheet'!$F:$F=$E50) * ('Master Data Sheet'!$A:$A=$F50), 0), MATCH($F$1, 'Master Data Sheet'!$1:$1, 0)), "")</f>
        <v>0.94932844932844929</v>
      </c>
      <c r="J50" s="11" cm="1">
        <f t="array" ref="J50">IFERROR(INDEX('Master Data Sheet'!$1:$1048576, MATCH(1, ('Master Data Sheet'!$H:$H=J$2) * (INDEX('Master Data Sheet'!$1:$1, , MATCH($F$1, 'Master Data Sheet'!$1:$1, 0)) = $F$1) * ('Master Data Sheet'!$G:$G=$B50) * ('Master Data Sheet'!$F:$F=$E50) * ('Master Data Sheet'!$A:$A=$F50), 0), MATCH($F$1, 'Master Data Sheet'!$1:$1, 0)), "")</f>
        <v>0.90659340659340659</v>
      </c>
      <c r="K50" s="11" cm="1">
        <f t="array" ref="K50">IFERROR(INDEX('Master Data Sheet'!$1:$1048576, MATCH(1, ('Master Data Sheet'!$H:$H=K$2) * (INDEX('Master Data Sheet'!$1:$1, , MATCH($F$1, 'Master Data Sheet'!$1:$1, 0)) = $F$1) * ('Master Data Sheet'!$G:$G=$B50) * ('Master Data Sheet'!$F:$F=$E50) * ('Master Data Sheet'!$A:$A=$F50), 0), MATCH($F$1, 'Master Data Sheet'!$1:$1, 0)), "")</f>
        <v>0.83333333333333337</v>
      </c>
      <c r="L50" s="11" cm="1">
        <f t="array" ref="L50">IFERROR(INDEX('Master Data Sheet'!$1:$1048576, MATCH(1, ('Master Data Sheet'!$H:$H=L$2) * (INDEX('Master Data Sheet'!$1:$1, , MATCH($F$1, 'Master Data Sheet'!$1:$1, 0)) = $F$1) * ('Master Data Sheet'!$G:$G=$B50) * ('Master Data Sheet'!$F:$F=$E50) * ('Master Data Sheet'!$A:$A=$F50), 0), MATCH($F$1, 'Master Data Sheet'!$1:$1, 0)), "")</f>
        <v>0.76617826617826612</v>
      </c>
      <c r="M50" s="11" cm="1">
        <f t="array" ref="M50">IFERROR(INDEX('Master Data Sheet'!$1:$1048576, MATCH(1, ('Master Data Sheet'!$H:$H=M$2) * (INDEX('Master Data Sheet'!$1:$1, , MATCH($F$1, 'Master Data Sheet'!$1:$1, 0)) = $F$1) * ('Master Data Sheet'!$G:$G=$B50) * ('Master Data Sheet'!$F:$F=$E50) * ('Master Data Sheet'!$A:$A=$F50), 0), MATCH($F$1, 'Master Data Sheet'!$1:$1, 0)), "")</f>
        <v>0.71733821733821734</v>
      </c>
      <c r="N50" s="11" cm="1">
        <f t="array" ref="N50">IFERROR(INDEX('Master Data Sheet'!$1:$1048576, MATCH(1, ('Master Data Sheet'!$H:$H=N$2) * (INDEX('Master Data Sheet'!$1:$1, , MATCH($F$1, 'Master Data Sheet'!$1:$1, 0)) = $F$1) * ('Master Data Sheet'!$G:$G=$B50) * ('Master Data Sheet'!$F:$F=$E50) * ('Master Data Sheet'!$A:$A=$F50), 0), MATCH($F$1, 'Master Data Sheet'!$1:$1, 0)), "")</f>
        <v>0.72344322344322343</v>
      </c>
      <c r="O50" s="11">
        <f t="shared" si="8"/>
        <v>0.84292691435548583</v>
      </c>
      <c r="P50" s="11">
        <f t="shared" si="4"/>
        <v>0.11360655494808126</v>
      </c>
      <c r="Q50" s="11"/>
      <c r="AB50" s="1"/>
      <c r="AC50" s="1"/>
      <c r="AD50" s="1"/>
      <c r="AE50" s="1"/>
      <c r="AF50" s="1"/>
      <c r="AG50" s="1"/>
      <c r="AH50" s="1"/>
      <c r="AI50" s="1"/>
      <c r="AJ50" s="1"/>
      <c r="AK50" s="1"/>
      <c r="AL50" s="1"/>
      <c r="AM50" s="1"/>
      <c r="AN50" s="1"/>
      <c r="AO50" s="1"/>
      <c r="AP50" s="1"/>
      <c r="AQ50" s="1"/>
      <c r="AR50" s="1"/>
      <c r="AS50" s="1"/>
      <c r="AT50" s="1"/>
      <c r="AU50" s="1"/>
      <c r="AV50" s="1"/>
    </row>
    <row r="51" spans="1:49" x14ac:dyDescent="0.35">
      <c r="A51" s="41">
        <f>IFERROR(INDEX('Date Key'!$B$2:$B$19, MATCH(F51,'Date Key'!$A$2:$A$19, 0)), "")</f>
        <v>45371</v>
      </c>
      <c r="B51" s="4">
        <f t="shared" si="15"/>
        <v>6</v>
      </c>
      <c r="C51" s="26" t="str">
        <f>IFERROR(INDEX('Date Key'!$G$57:$G$62, MATCH(B51,'Date Key'!$A$57:$A$62, 0)), "")</f>
        <v>Medium HLR, Upper Outlet Height, Yes Plants</v>
      </c>
      <c r="D51" s="4" t="str">
        <f>IFERROR(INDEX('Date Key'!$G$2:$G$19, MATCH(F51, 'Date Key'!$A$2:$A$19, 0)), "")</f>
        <v>No</v>
      </c>
      <c r="E51" s="4" t="str">
        <f t="shared" si="1"/>
        <v>tank 1</v>
      </c>
      <c r="F51" s="4">
        <f t="shared" si="2"/>
        <v>16</v>
      </c>
      <c r="G51" s="4">
        <f t="shared" si="22"/>
        <v>1</v>
      </c>
      <c r="H51" s="11" cm="1">
        <f t="array" ref="H51">IFERROR(INDEX('Master Data Sheet'!$1:$1048576, MATCH(1, ('Master Data Sheet'!$H:$H=H$2) * (INDEX('Master Data Sheet'!$1:$1, , MATCH($F$1, 'Master Data Sheet'!$1:$1, 0)) = $F$1) * ('Master Data Sheet'!$G:$G=$B51) * ('Master Data Sheet'!$F:$F=$E51) * ('Master Data Sheet'!$A:$A=$F51), 0), MATCH($F$1, 'Master Data Sheet'!$1:$1, 0)), "")</f>
        <v>0.94932844932844929</v>
      </c>
      <c r="I51" s="11" cm="1">
        <f t="array" ref="I51">IFERROR(INDEX('Master Data Sheet'!$1:$1048576, MATCH(1, ('Master Data Sheet'!$H:$H=I$2) * (INDEX('Master Data Sheet'!$1:$1, , MATCH($F$1, 'Master Data Sheet'!$1:$1, 0)) = $F$1) * ('Master Data Sheet'!$G:$G=$B51) * ('Master Data Sheet'!$F:$F=$E51) * ('Master Data Sheet'!$A:$A=$F51), 0), MATCH($F$1, 'Master Data Sheet'!$1:$1, 0)), "")</f>
        <v>0.37545787545787546</v>
      </c>
      <c r="J51" s="11" cm="1">
        <f t="array" ref="J51">IFERROR(INDEX('Master Data Sheet'!$1:$1048576, MATCH(1, ('Master Data Sheet'!$H:$H=J$2) * (INDEX('Master Data Sheet'!$1:$1, , MATCH($F$1, 'Master Data Sheet'!$1:$1, 0)) = $F$1) * ('Master Data Sheet'!$G:$G=$B51) * ('Master Data Sheet'!$F:$F=$E51) * ('Master Data Sheet'!$A:$A=$F51), 0), MATCH($F$1, 'Master Data Sheet'!$1:$1, 0)), "")</f>
        <v>0.39377289377289376</v>
      </c>
      <c r="K51" s="11" cm="1">
        <f t="array" ref="K51">IFERROR(INDEX('Master Data Sheet'!$1:$1048576, MATCH(1, ('Master Data Sheet'!$H:$H=K$2) * (INDEX('Master Data Sheet'!$1:$1, , MATCH($F$1, 'Master Data Sheet'!$1:$1, 0)) = $F$1) * ('Master Data Sheet'!$G:$G=$B51) * ('Master Data Sheet'!$F:$F=$E51) * ('Master Data Sheet'!$A:$A=$F51), 0), MATCH($F$1, 'Master Data Sheet'!$1:$1, 0)), "")</f>
        <v>0.55250305250305243</v>
      </c>
      <c r="L51" s="11" cm="1">
        <f t="array" ref="L51">IFERROR(INDEX('Master Data Sheet'!$1:$1048576, MATCH(1, ('Master Data Sheet'!$H:$H=L$2) * (INDEX('Master Data Sheet'!$1:$1, , MATCH($F$1, 'Master Data Sheet'!$1:$1, 0)) = $F$1) * ('Master Data Sheet'!$G:$G=$B51) * ('Master Data Sheet'!$F:$F=$E51) * ('Master Data Sheet'!$A:$A=$F51), 0), MATCH($F$1, 'Master Data Sheet'!$1:$1, 0)), "")</f>
        <v>0.38766788766788768</v>
      </c>
      <c r="M51" s="11" cm="1">
        <f t="array" ref="M51">IFERROR(INDEX('Master Data Sheet'!$1:$1048576, MATCH(1, ('Master Data Sheet'!$H:$H=M$2) * (INDEX('Master Data Sheet'!$1:$1, , MATCH($F$1, 'Master Data Sheet'!$1:$1, 0)) = $F$1) * ('Master Data Sheet'!$G:$G=$B51) * ('Master Data Sheet'!$F:$F=$E51) * ('Master Data Sheet'!$A:$A=$F51), 0), MATCH($F$1, 'Master Data Sheet'!$1:$1, 0)), "")</f>
        <v>0.42429792429792434</v>
      </c>
      <c r="N51" s="11" cm="1">
        <f t="array" ref="N51">IFERROR(INDEX('Master Data Sheet'!$1:$1048576, MATCH(1, ('Master Data Sheet'!$H:$H=N$2) * (INDEX('Master Data Sheet'!$1:$1, , MATCH($F$1, 'Master Data Sheet'!$1:$1, 0)) = $F$1) * ('Master Data Sheet'!$G:$G=$B51) * ('Master Data Sheet'!$F:$F=$E51) * ('Master Data Sheet'!$A:$A=$F51), 0), MATCH($F$1, 'Master Data Sheet'!$1:$1, 0)), "")</f>
        <v>0.36935286935286932</v>
      </c>
      <c r="O51" s="11">
        <f t="shared" si="8"/>
        <v>0.49319727891156456</v>
      </c>
      <c r="P51" s="11">
        <f t="shared" si="4"/>
        <v>0.21076907037259768</v>
      </c>
      <c r="Q51" s="11">
        <f>AVERAGE(O51:O53)</f>
        <v>0.50976800976800973</v>
      </c>
      <c r="R51" s="46">
        <f>(1-(O51/O48))*100</f>
        <v>57.719626168224302</v>
      </c>
      <c r="S51" s="46">
        <f>AVERAGE(R51:R53)</f>
        <v>54.254349745328028</v>
      </c>
      <c r="T51" s="46">
        <f>STDEV(R51:R53)</f>
        <v>11.832553761996037</v>
      </c>
      <c r="U51" s="47">
        <f>(1-(AVERAGE(H51:N53)/AVERAGE(H48:N50)))*100</f>
        <v>56.386021639099603</v>
      </c>
      <c r="V51" s="47"/>
      <c r="W51" s="47"/>
      <c r="X51" s="47">
        <f>(O48-O51)/60.5</f>
        <v>1.1128842297673467E-2</v>
      </c>
      <c r="Y51" s="47">
        <f>O48/60.5</f>
        <v>1.9280863436707592E-2</v>
      </c>
      <c r="AB51" s="2"/>
      <c r="AC51" s="2"/>
      <c r="AD51" s="2"/>
      <c r="AE51" s="2"/>
      <c r="AF51" s="2"/>
      <c r="AG51" s="2"/>
      <c r="AH51" s="2"/>
      <c r="AI51" s="2"/>
      <c r="AJ51" s="2"/>
    </row>
    <row r="52" spans="1:49" x14ac:dyDescent="0.35">
      <c r="A52" s="41">
        <f>IFERROR(INDEX('Date Key'!$B$2:$B$19, MATCH(F52,'Date Key'!$A$2:$A$19, 0)), "")</f>
        <v>45392</v>
      </c>
      <c r="B52" s="4">
        <f t="shared" si="15"/>
        <v>6</v>
      </c>
      <c r="C52" s="26" t="str">
        <f>IFERROR(INDEX('Date Key'!$G$57:$G$62, MATCH(B52,'Date Key'!$A$57:$A$62, 0)), "")</f>
        <v>Medium HLR, Upper Outlet Height, Yes Plants</v>
      </c>
      <c r="D52" s="4" t="str">
        <f>IFERROR(INDEX('Date Key'!$G$2:$G$19, MATCH(F52, 'Date Key'!$A$2:$A$19, 0)), "")</f>
        <v>No</v>
      </c>
      <c r="E52" s="4" t="str">
        <f t="shared" si="1"/>
        <v>tank 1</v>
      </c>
      <c r="F52" s="4">
        <f t="shared" si="2"/>
        <v>17</v>
      </c>
      <c r="G52" s="4">
        <f t="shared" si="22"/>
        <v>2</v>
      </c>
      <c r="H52" s="11" cm="1">
        <f t="array" ref="H52">IFERROR(INDEX('Master Data Sheet'!$1:$1048576, MATCH(1, ('Master Data Sheet'!$H:$H=H$2) * (INDEX('Master Data Sheet'!$1:$1, , MATCH($F$1, 'Master Data Sheet'!$1:$1, 0)) = $F$1) * ('Master Data Sheet'!$G:$G=$B52) * ('Master Data Sheet'!$F:$F=$E52) * ('Master Data Sheet'!$A:$A=$F52), 0), MATCH($F$1, 'Master Data Sheet'!$1:$1, 0)), "")</f>
        <v>0.46092796092796101</v>
      </c>
      <c r="I52" s="11" cm="1">
        <f t="array" ref="I52">IFERROR(INDEX('Master Data Sheet'!$1:$1048576, MATCH(1, ('Master Data Sheet'!$H:$H=I$2) * (INDEX('Master Data Sheet'!$1:$1, , MATCH($F$1, 'Master Data Sheet'!$1:$1, 0)) = $F$1) * ('Master Data Sheet'!$G:$G=$B52) * ('Master Data Sheet'!$F:$F=$E52) * ('Master Data Sheet'!$A:$A=$F52), 0), MATCH($F$1, 'Master Data Sheet'!$1:$1, 0)), "")</f>
        <v>0.38156288156288154</v>
      </c>
      <c r="J52" s="11" cm="1">
        <f t="array" ref="J52">IFERROR(INDEX('Master Data Sheet'!$1:$1048576, MATCH(1, ('Master Data Sheet'!$H:$H=J$2) * (INDEX('Master Data Sheet'!$1:$1, , MATCH($F$1, 'Master Data Sheet'!$1:$1, 0)) = $F$1) * ('Master Data Sheet'!$G:$G=$B52) * ('Master Data Sheet'!$F:$F=$E52) * ('Master Data Sheet'!$A:$A=$F52), 0), MATCH($F$1, 'Master Data Sheet'!$1:$1, 0)), "")</f>
        <v>0.47924297924297915</v>
      </c>
      <c r="K52" s="11" cm="1">
        <f t="array" ref="K52">IFERROR(INDEX('Master Data Sheet'!$1:$1048576, MATCH(1, ('Master Data Sheet'!$H:$H=K$2) * (INDEX('Master Data Sheet'!$1:$1, , MATCH($F$1, 'Master Data Sheet'!$1:$1, 0)) = $F$1) * ('Master Data Sheet'!$G:$G=$B52) * ('Master Data Sheet'!$F:$F=$E52) * ('Master Data Sheet'!$A:$A=$F52), 0), MATCH($F$1, 'Master Data Sheet'!$1:$1, 0)), "")</f>
        <v>0.47313797313797307</v>
      </c>
      <c r="L52" s="11" cm="1">
        <f t="array" ref="L52">IFERROR(INDEX('Master Data Sheet'!$1:$1048576, MATCH(1, ('Master Data Sheet'!$H:$H=L$2) * (INDEX('Master Data Sheet'!$1:$1, , MATCH($F$1, 'Master Data Sheet'!$1:$1, 0)) = $F$1) * ('Master Data Sheet'!$G:$G=$B52) * ('Master Data Sheet'!$F:$F=$E52) * ('Master Data Sheet'!$A:$A=$F52), 0), MATCH($F$1, 'Master Data Sheet'!$1:$1, 0)), "")</f>
        <v>0.50976800976800973</v>
      </c>
      <c r="M52" s="11" cm="1">
        <f t="array" ref="M52">IFERROR(INDEX('Master Data Sheet'!$1:$1048576, MATCH(1, ('Master Data Sheet'!$H:$H=M$2) * (INDEX('Master Data Sheet'!$1:$1, , MATCH($F$1, 'Master Data Sheet'!$1:$1, 0)) = $F$1) * ('Master Data Sheet'!$G:$G=$B52) * ('Master Data Sheet'!$F:$F=$E52) * ('Master Data Sheet'!$A:$A=$F52), 0), MATCH($F$1, 'Master Data Sheet'!$1:$1, 0)), "")</f>
        <v>0.6868131868131867</v>
      </c>
      <c r="N52" s="11" cm="1">
        <f t="array" ref="N52">IFERROR(INDEX('Master Data Sheet'!$1:$1048576, MATCH(1, ('Master Data Sheet'!$H:$H=N$2) * (INDEX('Master Data Sheet'!$1:$1, , MATCH($F$1, 'Master Data Sheet'!$1:$1, 0)) = $F$1) * ('Master Data Sheet'!$G:$G=$B52) * ('Master Data Sheet'!$F:$F=$E52) * ('Master Data Sheet'!$A:$A=$F52), 0), MATCH($F$1, 'Master Data Sheet'!$1:$1, 0)), "")</f>
        <v>0.78449328449328448</v>
      </c>
      <c r="O52" s="11">
        <f t="shared" si="8"/>
        <v>0.53942089656375358</v>
      </c>
      <c r="P52" s="11">
        <f t="shared" si="4"/>
        <v>0.14245429545498156</v>
      </c>
      <c r="Q52" s="11"/>
      <c r="R52" s="46">
        <f>(1-(O52/O49))*100</f>
        <v>63.967375473346941</v>
      </c>
      <c r="X52" s="47">
        <f>(O49-O52)/60.5</f>
        <v>1.5828327516639207E-2</v>
      </c>
      <c r="Y52" s="47">
        <f>O49/60.5</f>
        <v>2.4744375393726044E-2</v>
      </c>
      <c r="AA52" t="str">
        <f>IFERROR(INDEX('Date Key'!$G$57:$G$62, MATCH(B51,'Date Key'!$A$57:$A$62, 0)), "")</f>
        <v>Medium HLR, Upper Outlet Height, Yes Plants</v>
      </c>
      <c r="AB52" s="1">
        <f t="shared" ref="AB52:AH52" si="56">H51</f>
        <v>0.94932844932844929</v>
      </c>
      <c r="AC52" s="1">
        <f t="shared" si="56"/>
        <v>0.37545787545787546</v>
      </c>
      <c r="AD52" s="1">
        <f t="shared" si="56"/>
        <v>0.39377289377289376</v>
      </c>
      <c r="AE52" s="1">
        <f t="shared" si="56"/>
        <v>0.55250305250305243</v>
      </c>
      <c r="AF52" s="1">
        <f t="shared" si="56"/>
        <v>0.38766788766788768</v>
      </c>
      <c r="AG52" s="1">
        <f t="shared" si="56"/>
        <v>0.42429792429792434</v>
      </c>
      <c r="AH52" s="1">
        <f t="shared" si="56"/>
        <v>0.36935286935286932</v>
      </c>
      <c r="AI52" s="1">
        <f t="shared" ref="AI52:AO52" si="57">H52</f>
        <v>0.46092796092796101</v>
      </c>
      <c r="AJ52" s="1">
        <f t="shared" si="57"/>
        <v>0.38156288156288154</v>
      </c>
      <c r="AK52" s="1">
        <f t="shared" si="57"/>
        <v>0.47924297924297915</v>
      </c>
      <c r="AL52" s="1">
        <f t="shared" si="57"/>
        <v>0.47313797313797307</v>
      </c>
      <c r="AM52" s="1">
        <f t="shared" si="57"/>
        <v>0.50976800976800973</v>
      </c>
      <c r="AN52" s="1">
        <f t="shared" si="57"/>
        <v>0.6868131868131867</v>
      </c>
      <c r="AO52" s="1">
        <f t="shared" si="57"/>
        <v>0.78449328449328448</v>
      </c>
      <c r="AP52" s="1">
        <f t="shared" ref="AP52:AV52" si="58">H53</f>
        <v>0.52808302808302809</v>
      </c>
      <c r="AQ52" s="1">
        <f t="shared" si="58"/>
        <v>0.51587301587301582</v>
      </c>
      <c r="AR52" s="1">
        <f t="shared" si="58"/>
        <v>0.50366300366300365</v>
      </c>
      <c r="AS52" s="1">
        <f t="shared" si="58"/>
        <v>0.49145299145299137</v>
      </c>
      <c r="AT52" s="1">
        <f t="shared" si="58"/>
        <v>0.5219780219780219</v>
      </c>
      <c r="AU52" s="1">
        <f t="shared" si="58"/>
        <v>0.45482295482295487</v>
      </c>
      <c r="AV52" s="1">
        <f t="shared" si="58"/>
        <v>0.46092796092796101</v>
      </c>
    </row>
    <row r="53" spans="1:49" x14ac:dyDescent="0.35">
      <c r="A53" s="41">
        <f>IFERROR(INDEX('Date Key'!$B$2:$B$19, MATCH(F53,'Date Key'!$A$2:$A$19, 0)), "")</f>
        <v>45400</v>
      </c>
      <c r="B53" s="4">
        <f t="shared" si="15"/>
        <v>6</v>
      </c>
      <c r="C53" s="26" t="str">
        <f>IFERROR(INDEX('Date Key'!$G$57:$G$62, MATCH(B53,'Date Key'!$A$57:$A$62, 0)), "")</f>
        <v>Medium HLR, Upper Outlet Height, Yes Plants</v>
      </c>
      <c r="D53" s="4" t="str">
        <f>IFERROR(INDEX('Date Key'!$G$2:$G$19, MATCH(F53, 'Date Key'!$A$2:$A$19, 0)), "")</f>
        <v>Yes</v>
      </c>
      <c r="E53" s="4" t="str">
        <f t="shared" si="1"/>
        <v>tank 1</v>
      </c>
      <c r="F53" s="4">
        <f t="shared" si="2"/>
        <v>18</v>
      </c>
      <c r="G53" s="4">
        <f t="shared" si="22"/>
        <v>3</v>
      </c>
      <c r="H53" s="11" cm="1">
        <f t="array" ref="H53">IFERROR(INDEX('Master Data Sheet'!$1:$1048576, MATCH(1, ('Master Data Sheet'!$H:$H=H$2) * (INDEX('Master Data Sheet'!$1:$1, , MATCH($F$1, 'Master Data Sheet'!$1:$1, 0)) = $F$1) * ('Master Data Sheet'!$G:$G=$B53) * ('Master Data Sheet'!$F:$F=$E53) * ('Master Data Sheet'!$A:$A=$F53), 0), MATCH($F$1, 'Master Data Sheet'!$1:$1, 0)), "")</f>
        <v>0.52808302808302809</v>
      </c>
      <c r="I53" s="11" cm="1">
        <f t="array" ref="I53">IFERROR(INDEX('Master Data Sheet'!$1:$1048576, MATCH(1, ('Master Data Sheet'!$H:$H=I$2) * (INDEX('Master Data Sheet'!$1:$1, , MATCH($F$1, 'Master Data Sheet'!$1:$1, 0)) = $F$1) * ('Master Data Sheet'!$G:$G=$B53) * ('Master Data Sheet'!$F:$F=$E53) * ('Master Data Sheet'!$A:$A=$F53), 0), MATCH($F$1, 'Master Data Sheet'!$1:$1, 0)), "")</f>
        <v>0.51587301587301582</v>
      </c>
      <c r="J53" s="11" cm="1">
        <f t="array" ref="J53">IFERROR(INDEX('Master Data Sheet'!$1:$1048576, MATCH(1, ('Master Data Sheet'!$H:$H=J$2) * (INDEX('Master Data Sheet'!$1:$1, , MATCH($F$1, 'Master Data Sheet'!$1:$1, 0)) = $F$1) * ('Master Data Sheet'!$G:$G=$B53) * ('Master Data Sheet'!$F:$F=$E53) * ('Master Data Sheet'!$A:$A=$F53), 0), MATCH($F$1, 'Master Data Sheet'!$1:$1, 0)), "")</f>
        <v>0.50366300366300365</v>
      </c>
      <c r="K53" s="11" cm="1">
        <f t="array" ref="K53">IFERROR(INDEX('Master Data Sheet'!$1:$1048576, MATCH(1, ('Master Data Sheet'!$H:$H=K$2) * (INDEX('Master Data Sheet'!$1:$1, , MATCH($F$1, 'Master Data Sheet'!$1:$1, 0)) = $F$1) * ('Master Data Sheet'!$G:$G=$B53) * ('Master Data Sheet'!$F:$F=$E53) * ('Master Data Sheet'!$A:$A=$F53), 0), MATCH($F$1, 'Master Data Sheet'!$1:$1, 0)), "")</f>
        <v>0.49145299145299137</v>
      </c>
      <c r="L53" s="11" cm="1">
        <f t="array" ref="L53">IFERROR(INDEX('Master Data Sheet'!$1:$1048576, MATCH(1, ('Master Data Sheet'!$H:$H=L$2) * (INDEX('Master Data Sheet'!$1:$1, , MATCH($F$1, 'Master Data Sheet'!$1:$1, 0)) = $F$1) * ('Master Data Sheet'!$G:$G=$B53) * ('Master Data Sheet'!$F:$F=$E53) * ('Master Data Sheet'!$A:$A=$F53), 0), MATCH($F$1, 'Master Data Sheet'!$1:$1, 0)), "")</f>
        <v>0.5219780219780219</v>
      </c>
      <c r="M53" s="11" cm="1">
        <f t="array" ref="M53">IFERROR(INDEX('Master Data Sheet'!$1:$1048576, MATCH(1, ('Master Data Sheet'!$H:$H=M$2) * (INDEX('Master Data Sheet'!$1:$1, , MATCH($F$1, 'Master Data Sheet'!$1:$1, 0)) = $F$1) * ('Master Data Sheet'!$G:$G=$B53) * ('Master Data Sheet'!$F:$F=$E53) * ('Master Data Sheet'!$A:$A=$F53), 0), MATCH($F$1, 'Master Data Sheet'!$1:$1, 0)), "")</f>
        <v>0.45482295482295487</v>
      </c>
      <c r="N53" s="11" cm="1">
        <f t="array" ref="N53">IFERROR(INDEX('Master Data Sheet'!$1:$1048576, MATCH(1, ('Master Data Sheet'!$H:$H=N$2) * (INDEX('Master Data Sheet'!$1:$1, , MATCH($F$1, 'Master Data Sheet'!$1:$1, 0)) = $F$1) * ('Master Data Sheet'!$G:$G=$B53) * ('Master Data Sheet'!$F:$F=$E53) * ('Master Data Sheet'!$A:$A=$F53), 0), MATCH($F$1, 'Master Data Sheet'!$1:$1, 0)), "")</f>
        <v>0.46092796092796101</v>
      </c>
      <c r="O53" s="11">
        <f t="shared" si="8"/>
        <v>0.496685853828711</v>
      </c>
      <c r="P53" s="11">
        <f t="shared" si="4"/>
        <v>2.9157092317548903E-2</v>
      </c>
      <c r="Q53" s="11"/>
      <c r="R53" s="46">
        <f>(1-(O53/O50))*100</f>
        <v>41.076047594412834</v>
      </c>
      <c r="X53" s="47">
        <f>(O50-O53)/60.5</f>
        <v>5.722992735979749E-3</v>
      </c>
      <c r="Y53" s="47">
        <f>O50/60.5</f>
        <v>1.3932676270338609E-2</v>
      </c>
      <c r="AB53" s="2"/>
      <c r="AC53" s="2"/>
      <c r="AD53" s="2"/>
      <c r="AE53" s="2"/>
      <c r="AF53" s="2"/>
      <c r="AG53" s="2"/>
      <c r="AH53" s="2"/>
      <c r="AI53" s="2"/>
      <c r="AJ53" s="2"/>
    </row>
    <row r="54" spans="1:49" x14ac:dyDescent="0.35">
      <c r="A54" s="41">
        <f>IFERROR(INDEX('Date Key'!$B$2:$B$19, MATCH(F54,'Date Key'!$A$2:$A$19, 0)), "")</f>
        <v>45371</v>
      </c>
      <c r="B54" s="4">
        <f t="shared" si="15"/>
        <v>6</v>
      </c>
      <c r="C54" s="26" t="str">
        <f>IFERROR(INDEX('Date Key'!$G$57:$G$62, MATCH(B54,'Date Key'!$A$57:$A$62, 0)), "")</f>
        <v>Medium HLR, Upper Outlet Height, Yes Plants</v>
      </c>
      <c r="D54" s="4" t="str">
        <f>IFERROR(INDEX('Date Key'!$G$2:$G$19, MATCH(F54, 'Date Key'!$A$2:$A$19, 0)), "")</f>
        <v>No</v>
      </c>
      <c r="E54" s="4" t="str">
        <f t="shared" si="1"/>
        <v>tank 2</v>
      </c>
      <c r="F54" s="4">
        <f t="shared" si="2"/>
        <v>16</v>
      </c>
      <c r="G54" s="4">
        <f t="shared" si="22"/>
        <v>1</v>
      </c>
      <c r="H54" s="11" cm="1">
        <f t="array" ref="H54">IFERROR(INDEX('Master Data Sheet'!$1:$1048576, MATCH(1, ('Master Data Sheet'!$H:$H=H$2) * (INDEX('Master Data Sheet'!$1:$1, , MATCH($F$1, 'Master Data Sheet'!$1:$1, 0)) = $F$1) * ('Master Data Sheet'!$G:$G=$B54) * ('Master Data Sheet'!$F:$F=$E54) * ('Master Data Sheet'!$A:$A=$F54), 0), MATCH($F$1, 'Master Data Sheet'!$1:$1, 0)), "")</f>
        <v>1.9566544566544566</v>
      </c>
      <c r="I54" s="11" cm="1">
        <f t="array" ref="I54">IFERROR(INDEX('Master Data Sheet'!$1:$1048576, MATCH(1, ('Master Data Sheet'!$H:$H=I$2) * (INDEX('Master Data Sheet'!$1:$1, , MATCH($F$1, 'Master Data Sheet'!$1:$1, 0)) = $F$1) * ('Master Data Sheet'!$G:$G=$B54) * ('Master Data Sheet'!$F:$F=$E54) * ('Master Data Sheet'!$A:$A=$F54), 0), MATCH($F$1, 'Master Data Sheet'!$1:$1, 0)), "")</f>
        <v>1.2362637362637361</v>
      </c>
      <c r="J54" s="11" cm="1">
        <f t="array" ref="J54">IFERROR(INDEX('Master Data Sheet'!$1:$1048576, MATCH(1, ('Master Data Sheet'!$H:$H=J$2) * (INDEX('Master Data Sheet'!$1:$1, , MATCH($F$1, 'Master Data Sheet'!$1:$1, 0)) = $F$1) * ('Master Data Sheet'!$G:$G=$B54) * ('Master Data Sheet'!$F:$F=$E54) * ('Master Data Sheet'!$A:$A=$F54), 0), MATCH($F$1, 'Master Data Sheet'!$1:$1, 0)), "")</f>
        <v>1.2545787545787546</v>
      </c>
      <c r="K54" s="11" cm="1">
        <f t="array" ref="K54">IFERROR(INDEX('Master Data Sheet'!$1:$1048576, MATCH(1, ('Master Data Sheet'!$H:$H=K$2) * (INDEX('Master Data Sheet'!$1:$1, , MATCH($F$1, 'Master Data Sheet'!$1:$1, 0)) = $F$1) * ('Master Data Sheet'!$G:$G=$B54) * ('Master Data Sheet'!$F:$F=$E54) * ('Master Data Sheet'!$A:$A=$F54), 0), MATCH($F$1, 'Master Data Sheet'!$1:$1, 0)), "")</f>
        <v>1.2484737484737485</v>
      </c>
      <c r="L54" s="11" cm="1">
        <f t="array" ref="L54">IFERROR(INDEX('Master Data Sheet'!$1:$1048576, MATCH(1, ('Master Data Sheet'!$H:$H=L$2) * (INDEX('Master Data Sheet'!$1:$1, , MATCH($F$1, 'Master Data Sheet'!$1:$1, 0)) = $F$1) * ('Master Data Sheet'!$G:$G=$B54) * ('Master Data Sheet'!$F:$F=$E54) * ('Master Data Sheet'!$A:$A=$F54), 0), MATCH($F$1, 'Master Data Sheet'!$1:$1, 0)), "")</f>
        <v>1.2240537240537239</v>
      </c>
      <c r="M54" s="11" cm="1">
        <f t="array" ref="M54">IFERROR(INDEX('Master Data Sheet'!$1:$1048576, MATCH(1, ('Master Data Sheet'!$H:$H=M$2) * (INDEX('Master Data Sheet'!$1:$1, , MATCH($F$1, 'Master Data Sheet'!$1:$1, 0)) = $F$1) * ('Master Data Sheet'!$G:$G=$B54) * ('Master Data Sheet'!$F:$F=$E54) * ('Master Data Sheet'!$A:$A=$F54), 0), MATCH($F$1, 'Master Data Sheet'!$1:$1, 0)), "")</f>
        <v>1.1263736263736266</v>
      </c>
      <c r="N54" s="11" cm="1">
        <f t="array" ref="N54">IFERROR(INDEX('Master Data Sheet'!$1:$1048576, MATCH(1, ('Master Data Sheet'!$H:$H=N$2) * (INDEX('Master Data Sheet'!$1:$1, , MATCH($F$1, 'Master Data Sheet'!$1:$1, 0)) = $F$1) * ('Master Data Sheet'!$G:$G=$B54) * ('Master Data Sheet'!$F:$F=$E54) * ('Master Data Sheet'!$A:$A=$F54), 0), MATCH($F$1, 'Master Data Sheet'!$1:$1, 0)), "")</f>
        <v>1.0775335775335777</v>
      </c>
      <c r="O54" s="11">
        <f t="shared" si="8"/>
        <v>1.3034188034188035</v>
      </c>
      <c r="P54" s="11">
        <f t="shared" si="4"/>
        <v>0.29588817621618113</v>
      </c>
      <c r="Q54" s="11">
        <f>AVERAGE(N54:N56)</f>
        <v>0.89234839234839247</v>
      </c>
      <c r="R54" s="46">
        <f>(1-(O54/O48))*100</f>
        <v>-11.738317757009353</v>
      </c>
      <c r="S54" s="46">
        <f>AVERAGE(R54:R56)</f>
        <v>6.9376773874490185</v>
      </c>
      <c r="T54" s="46">
        <f>STDEV(R54:R56)</f>
        <v>21.595497434048461</v>
      </c>
      <c r="U54" s="47">
        <f>(1-(AVERAGE(H54:N56)/AVERAGE(H48:N50)))*100</f>
        <v>9.6256684491978781</v>
      </c>
      <c r="X54" s="47">
        <f>(O51-O54)/61.7</f>
        <v>-1.3131629246470645E-2</v>
      </c>
      <c r="Y54" s="47">
        <f>O48/61.7</f>
        <v>1.890587095495639E-2</v>
      </c>
      <c r="AB54" s="2"/>
      <c r="AC54" s="2"/>
      <c r="AD54" s="2"/>
      <c r="AE54" s="2"/>
      <c r="AF54" s="2"/>
      <c r="AG54" s="2"/>
      <c r="AH54" s="2"/>
      <c r="AI54" s="2"/>
      <c r="AJ54" s="2"/>
    </row>
    <row r="55" spans="1:49" x14ac:dyDescent="0.35">
      <c r="A55" s="41">
        <f>IFERROR(INDEX('Date Key'!$B$2:$B$19, MATCH(F55,'Date Key'!$A$2:$A$19, 0)), "")</f>
        <v>45392</v>
      </c>
      <c r="B55" s="4">
        <f t="shared" si="15"/>
        <v>6</v>
      </c>
      <c r="C55" s="26" t="str">
        <f>IFERROR(INDEX('Date Key'!$G$57:$G$62, MATCH(B55,'Date Key'!$A$57:$A$62, 0)), "")</f>
        <v>Medium HLR, Upper Outlet Height, Yes Plants</v>
      </c>
      <c r="D55" s="4" t="str">
        <f>IFERROR(INDEX('Date Key'!$G$2:$G$19, MATCH(F55, 'Date Key'!$A$2:$A$19, 0)), "")</f>
        <v>No</v>
      </c>
      <c r="E55" s="4" t="str">
        <f t="shared" si="1"/>
        <v>tank 2</v>
      </c>
      <c r="F55" s="4">
        <f t="shared" si="2"/>
        <v>17</v>
      </c>
      <c r="G55" s="4">
        <f t="shared" si="22"/>
        <v>2</v>
      </c>
      <c r="H55" s="11" cm="1">
        <f t="array" ref="H55">IFERROR(INDEX('Master Data Sheet'!$1:$1048576, MATCH(1, ('Master Data Sheet'!$H:$H=H$2) * (INDEX('Master Data Sheet'!$1:$1, , MATCH($F$1, 'Master Data Sheet'!$1:$1, 0)) = $F$1) * ('Master Data Sheet'!$G:$G=$B55) * ('Master Data Sheet'!$F:$F=$E55) * ('Master Data Sheet'!$A:$A=$F55), 0), MATCH($F$1, 'Master Data Sheet'!$1:$1, 0)), "")</f>
        <v>1.169108669108669</v>
      </c>
      <c r="I55" s="11" cm="1">
        <f t="array" ref="I55">IFERROR(INDEX('Master Data Sheet'!$1:$1048576, MATCH(1, ('Master Data Sheet'!$H:$H=I$2) * (INDEX('Master Data Sheet'!$1:$1, , MATCH($F$1, 'Master Data Sheet'!$1:$1, 0)) = $F$1) * ('Master Data Sheet'!$G:$G=$B55) * ('Master Data Sheet'!$F:$F=$E55) * ('Master Data Sheet'!$A:$A=$F55), 0), MATCH($F$1, 'Master Data Sheet'!$1:$1, 0)), "")</f>
        <v>1.1080586080586081</v>
      </c>
      <c r="J55" s="11" cm="1">
        <f t="array" ref="J55">IFERROR(INDEX('Master Data Sheet'!$1:$1048576, MATCH(1, ('Master Data Sheet'!$H:$H=J$2) * (INDEX('Master Data Sheet'!$1:$1, , MATCH($F$1, 'Master Data Sheet'!$1:$1, 0)) = $F$1) * ('Master Data Sheet'!$G:$G=$B55) * ('Master Data Sheet'!$F:$F=$E55) * ('Master Data Sheet'!$A:$A=$F55), 0), MATCH($F$1, 'Master Data Sheet'!$1:$1, 0)), "")</f>
        <v>1.1446886446886446</v>
      </c>
      <c r="K55" s="11" cm="1">
        <f t="array" ref="K55">IFERROR(INDEX('Master Data Sheet'!$1:$1048576, MATCH(1, ('Master Data Sheet'!$H:$H=K$2) * (INDEX('Master Data Sheet'!$1:$1, , MATCH($F$1, 'Master Data Sheet'!$1:$1, 0)) = $F$1) * ('Master Data Sheet'!$G:$G=$B55) * ('Master Data Sheet'!$F:$F=$E55) * ('Master Data Sheet'!$A:$A=$F55), 0), MATCH($F$1, 'Master Data Sheet'!$1:$1, 0)), "")</f>
        <v>1.0836385836385838</v>
      </c>
      <c r="L55" s="11" cm="1">
        <f t="array" ref="L55">IFERROR(INDEX('Master Data Sheet'!$1:$1048576, MATCH(1, ('Master Data Sheet'!$H:$H=L$2) * (INDEX('Master Data Sheet'!$1:$1, , MATCH($F$1, 'Master Data Sheet'!$1:$1, 0)) = $F$1) * ('Master Data Sheet'!$G:$G=$B55) * ('Master Data Sheet'!$F:$F=$E55) * ('Master Data Sheet'!$A:$A=$F55), 0), MATCH($F$1, 'Master Data Sheet'!$1:$1, 0)), "")</f>
        <v>0.96764346764346765</v>
      </c>
      <c r="M55" s="11" cm="1">
        <f t="array" ref="M55">IFERROR(INDEX('Master Data Sheet'!$1:$1048576, MATCH(1, ('Master Data Sheet'!$H:$H=M$2) * (INDEX('Master Data Sheet'!$1:$1, , MATCH($F$1, 'Master Data Sheet'!$1:$1, 0)) = $F$1) * ('Master Data Sheet'!$G:$G=$B55) * ('Master Data Sheet'!$F:$F=$E55) * ('Master Data Sheet'!$A:$A=$F55), 0), MATCH($F$1, 'Master Data Sheet'!$1:$1, 0)), "")</f>
        <v>0.90659340659340659</v>
      </c>
      <c r="N55" s="11" cm="1">
        <f t="array" ref="N55">IFERROR(INDEX('Master Data Sheet'!$1:$1048576, MATCH(1, ('Master Data Sheet'!$H:$H=N$2) * (INDEX('Master Data Sheet'!$1:$1, , MATCH($F$1, 'Master Data Sheet'!$1:$1, 0)) = $F$1) * ('Master Data Sheet'!$G:$G=$B55) * ('Master Data Sheet'!$F:$F=$E55) * ('Master Data Sheet'!$A:$A=$F55), 0), MATCH($F$1, 'Master Data Sheet'!$1:$1, 0)), "")</f>
        <v>0.89438339438339431</v>
      </c>
      <c r="O55" s="11">
        <f t="shared" si="8"/>
        <v>1.0391592534449678</v>
      </c>
      <c r="P55" s="11">
        <f t="shared" si="4"/>
        <v>0.11430740400745425</v>
      </c>
      <c r="Q55" s="11"/>
      <c r="R55" s="46">
        <f>(1-(O55/O49))*100</f>
        <v>30.585493737256041</v>
      </c>
      <c r="X55" s="47">
        <f>(O52-O55)/61.7</f>
        <v>-8.0994871455626304E-3</v>
      </c>
      <c r="Y55" s="47">
        <f>O49/61.7</f>
        <v>2.4263123360136557E-2</v>
      </c>
      <c r="AA55" t="str">
        <f>IFERROR(INDEX('Date Key'!$G$57:$G$62, MATCH(B54,'Date Key'!$A$57:$A$62, 0)), "")</f>
        <v>Medium HLR, Upper Outlet Height, Yes Plants</v>
      </c>
      <c r="AB55" s="1">
        <f t="shared" ref="AB55:AH55" si="59">H54</f>
        <v>1.9566544566544566</v>
      </c>
      <c r="AC55" s="1">
        <f t="shared" si="59"/>
        <v>1.2362637362637361</v>
      </c>
      <c r="AD55" s="1">
        <f t="shared" si="59"/>
        <v>1.2545787545787546</v>
      </c>
      <c r="AE55" s="1">
        <f t="shared" si="59"/>
        <v>1.2484737484737485</v>
      </c>
      <c r="AF55" s="1">
        <f t="shared" si="59"/>
        <v>1.2240537240537239</v>
      </c>
      <c r="AG55" s="1">
        <f t="shared" si="59"/>
        <v>1.1263736263736266</v>
      </c>
      <c r="AH55" s="1">
        <f t="shared" si="59"/>
        <v>1.0775335775335777</v>
      </c>
      <c r="AI55" s="1">
        <f t="shared" ref="AI55:AO55" si="60">H55</f>
        <v>1.169108669108669</v>
      </c>
      <c r="AJ55" s="1">
        <f t="shared" si="60"/>
        <v>1.1080586080586081</v>
      </c>
      <c r="AK55" s="1">
        <f t="shared" si="60"/>
        <v>1.1446886446886446</v>
      </c>
      <c r="AL55" s="1">
        <f t="shared" si="60"/>
        <v>1.0836385836385838</v>
      </c>
      <c r="AM55" s="1">
        <f t="shared" si="60"/>
        <v>0.96764346764346765</v>
      </c>
      <c r="AN55" s="1">
        <f t="shared" si="60"/>
        <v>0.90659340659340659</v>
      </c>
      <c r="AO55" s="1">
        <f t="shared" si="60"/>
        <v>0.89438339438339431</v>
      </c>
      <c r="AP55" s="1">
        <f t="shared" ref="AP55:AV55" si="61">H56</f>
        <v>0.75396825396825395</v>
      </c>
      <c r="AQ55" s="1">
        <f t="shared" si="61"/>
        <v>0.9432234432234432</v>
      </c>
      <c r="AR55" s="1">
        <f t="shared" si="61"/>
        <v>0.96764346764346765</v>
      </c>
      <c r="AS55" s="1">
        <f t="shared" si="61"/>
        <v>0.88827838827838823</v>
      </c>
      <c r="AT55" s="1">
        <f t="shared" si="61"/>
        <v>0.80280830280830284</v>
      </c>
      <c r="AU55" s="1">
        <f t="shared" si="61"/>
        <v>0.72344322344322343</v>
      </c>
      <c r="AV55" s="1">
        <f t="shared" si="61"/>
        <v>0.70512820512820507</v>
      </c>
    </row>
    <row r="56" spans="1:49" x14ac:dyDescent="0.35">
      <c r="A56" s="42">
        <f>IFERROR(INDEX('Date Key'!$B$2:$B$19, MATCH(F56,'Date Key'!$A$2:$A$19, 0)), "")</f>
        <v>45400</v>
      </c>
      <c r="B56" s="27">
        <f t="shared" si="15"/>
        <v>6</v>
      </c>
      <c r="C56" s="51" t="str">
        <f>IFERROR(INDEX('Date Key'!$G$57:$G$62, MATCH(B56,'Date Key'!$A$57:$A$62, 0)), "")</f>
        <v>Medium HLR, Upper Outlet Height, Yes Plants</v>
      </c>
      <c r="D56" s="27" t="str">
        <f>IFERROR(INDEX('Date Key'!$G$2:$G$19, MATCH(F56, 'Date Key'!$A$2:$A$19, 0)), "")</f>
        <v>Yes</v>
      </c>
      <c r="E56" s="27" t="str">
        <f t="shared" si="1"/>
        <v>tank 2</v>
      </c>
      <c r="F56" s="27">
        <f t="shared" si="2"/>
        <v>18</v>
      </c>
      <c r="G56" s="27">
        <f t="shared" si="22"/>
        <v>3</v>
      </c>
      <c r="H56" s="28" cm="1">
        <f t="array" ref="H56">IFERROR(INDEX('Master Data Sheet'!$1:$1048576, MATCH(1, ('Master Data Sheet'!$H:$H=H$2) * (INDEX('Master Data Sheet'!$1:$1, , MATCH($F$1, 'Master Data Sheet'!$1:$1, 0)) = $F$1) * ('Master Data Sheet'!$G:$G=$B56) * ('Master Data Sheet'!$F:$F=$E56) * ('Master Data Sheet'!$A:$A=$F56), 0), MATCH($F$1, 'Master Data Sheet'!$1:$1, 0)), "")</f>
        <v>0.75396825396825395</v>
      </c>
      <c r="I56" s="28" cm="1">
        <f t="array" ref="I56">IFERROR(INDEX('Master Data Sheet'!$1:$1048576, MATCH(1, ('Master Data Sheet'!$H:$H=I$2) * (INDEX('Master Data Sheet'!$1:$1, , MATCH($F$1, 'Master Data Sheet'!$1:$1, 0)) = $F$1) * ('Master Data Sheet'!$G:$G=$B56) * ('Master Data Sheet'!$F:$F=$E56) * ('Master Data Sheet'!$A:$A=$F56), 0), MATCH($F$1, 'Master Data Sheet'!$1:$1, 0)), "")</f>
        <v>0.9432234432234432</v>
      </c>
      <c r="J56" s="28" cm="1">
        <f t="array" ref="J56">IFERROR(INDEX('Master Data Sheet'!$1:$1048576, MATCH(1, ('Master Data Sheet'!$H:$H=J$2) * (INDEX('Master Data Sheet'!$1:$1, , MATCH($F$1, 'Master Data Sheet'!$1:$1, 0)) = $F$1) * ('Master Data Sheet'!$G:$G=$B56) * ('Master Data Sheet'!$F:$F=$E56) * ('Master Data Sheet'!$A:$A=$F56), 0), MATCH($F$1, 'Master Data Sheet'!$1:$1, 0)), "")</f>
        <v>0.96764346764346765</v>
      </c>
      <c r="K56" s="28" cm="1">
        <f t="array" ref="K56">IFERROR(INDEX('Master Data Sheet'!$1:$1048576, MATCH(1, ('Master Data Sheet'!$H:$H=K$2) * (INDEX('Master Data Sheet'!$1:$1, , MATCH($F$1, 'Master Data Sheet'!$1:$1, 0)) = $F$1) * ('Master Data Sheet'!$G:$G=$B56) * ('Master Data Sheet'!$F:$F=$E56) * ('Master Data Sheet'!$A:$A=$F56), 0), MATCH($F$1, 'Master Data Sheet'!$1:$1, 0)), "")</f>
        <v>0.88827838827838823</v>
      </c>
      <c r="L56" s="28" cm="1">
        <f t="array" ref="L56">IFERROR(INDEX('Master Data Sheet'!$1:$1048576, MATCH(1, ('Master Data Sheet'!$H:$H=L$2) * (INDEX('Master Data Sheet'!$1:$1, , MATCH($F$1, 'Master Data Sheet'!$1:$1, 0)) = $F$1) * ('Master Data Sheet'!$G:$G=$B56) * ('Master Data Sheet'!$F:$F=$E56) * ('Master Data Sheet'!$A:$A=$F56), 0), MATCH($F$1, 'Master Data Sheet'!$1:$1, 0)), "")</f>
        <v>0.80280830280830284</v>
      </c>
      <c r="M56" s="28" cm="1">
        <f t="array" ref="M56">IFERROR(INDEX('Master Data Sheet'!$1:$1048576, MATCH(1, ('Master Data Sheet'!$H:$H=M$2) * (INDEX('Master Data Sheet'!$1:$1, , MATCH($F$1, 'Master Data Sheet'!$1:$1, 0)) = $F$1) * ('Master Data Sheet'!$G:$G=$B56) * ('Master Data Sheet'!$F:$F=$E56) * ('Master Data Sheet'!$A:$A=$F56), 0), MATCH($F$1, 'Master Data Sheet'!$1:$1, 0)), "")</f>
        <v>0.72344322344322343</v>
      </c>
      <c r="N56" s="28" cm="1">
        <f t="array" ref="N56">IFERROR(INDEX('Master Data Sheet'!$1:$1048576, MATCH(1, ('Master Data Sheet'!$H:$H=N$2) * (INDEX('Master Data Sheet'!$1:$1, , MATCH($F$1, 'Master Data Sheet'!$1:$1, 0)) = $F$1) * ('Master Data Sheet'!$G:$G=$B56) * ('Master Data Sheet'!$F:$F=$E56) * ('Master Data Sheet'!$A:$A=$F56), 0), MATCH($F$1, 'Master Data Sheet'!$1:$1, 0)), "")</f>
        <v>0.70512820512820507</v>
      </c>
      <c r="O56" s="28">
        <f t="shared" si="8"/>
        <v>0.82635618349904061</v>
      </c>
      <c r="P56" s="28">
        <f t="shared" si="4"/>
        <v>0.10687705367636591</v>
      </c>
      <c r="Q56" s="28"/>
      <c r="R56" s="48">
        <f>(1-(O56/O50))*100</f>
        <v>1.9658561821003673</v>
      </c>
      <c r="S56" s="27"/>
      <c r="T56" s="27"/>
      <c r="U56" s="27"/>
      <c r="V56" s="27"/>
      <c r="W56" s="27"/>
      <c r="X56" s="47">
        <f>(O53-O56)/61.7</f>
        <v>-5.3431171745596372E-3</v>
      </c>
      <c r="Y56" s="47">
        <f>O50/61.7</f>
        <v>1.3661700394740451E-2</v>
      </c>
    </row>
    <row r="58" spans="1:49" x14ac:dyDescent="0.35">
      <c r="AA58" t="s">
        <v>456</v>
      </c>
      <c r="AB58" t="s">
        <v>465</v>
      </c>
    </row>
    <row r="59" spans="1:49" x14ac:dyDescent="0.35">
      <c r="AA59" t="s">
        <v>344</v>
      </c>
      <c r="AB59" s="30" t="s">
        <v>457</v>
      </c>
      <c r="AC59" s="1">
        <f t="shared" ref="AC59:AW59" si="62">AB4</f>
        <v>0.38935286935286934</v>
      </c>
      <c r="AD59" s="1">
        <f t="shared" si="62"/>
        <v>1.2013186813186811</v>
      </c>
      <c r="AE59" s="1">
        <f t="shared" si="62"/>
        <v>1.6164590964590961</v>
      </c>
      <c r="AF59" s="1">
        <f t="shared" si="62"/>
        <v>1.6958241758241757</v>
      </c>
      <c r="AG59" s="1">
        <f t="shared" si="62"/>
        <v>2.0254945054945055</v>
      </c>
      <c r="AH59" s="1">
        <f t="shared" si="62"/>
        <v>2.361269841269841</v>
      </c>
      <c r="AI59" s="1">
        <f t="shared" si="62"/>
        <v>2.6421001221001221</v>
      </c>
      <c r="AJ59" s="1">
        <f t="shared" si="62"/>
        <v>0.27335775335775342</v>
      </c>
      <c r="AK59" s="1">
        <f t="shared" si="62"/>
        <v>0.91438339438339433</v>
      </c>
      <c r="AL59" s="1">
        <f t="shared" si="62"/>
        <v>1.2196336996336996</v>
      </c>
      <c r="AM59" s="1">
        <f t="shared" si="62"/>
        <v>1.7019291819291817</v>
      </c>
      <c r="AN59" s="1">
        <f t="shared" si="62"/>
        <v>1.9522344322344323</v>
      </c>
      <c r="AO59" s="1">
        <f t="shared" si="62"/>
        <v>2.2941147741147745</v>
      </c>
      <c r="AP59" s="1">
        <f t="shared" si="62"/>
        <v>2.5016849816849813</v>
      </c>
      <c r="AQ59" s="1">
        <f t="shared" si="62"/>
        <v>0.25504273504273506</v>
      </c>
      <c r="AR59" s="1">
        <f t="shared" si="62"/>
        <v>0.69460317460317456</v>
      </c>
      <c r="AS59" s="1">
        <f t="shared" si="62"/>
        <v>0.6823931623931625</v>
      </c>
      <c r="AT59" s="1">
        <f t="shared" si="62"/>
        <v>0.67628815628815642</v>
      </c>
      <c r="AU59" s="1">
        <f t="shared" si="62"/>
        <v>0.71291819291819292</v>
      </c>
      <c r="AV59" s="1">
        <f t="shared" si="62"/>
        <v>0.8044932844932845</v>
      </c>
      <c r="AW59" s="1">
        <f t="shared" si="62"/>
        <v>0.74954822954822953</v>
      </c>
    </row>
    <row r="60" spans="1:49" x14ac:dyDescent="0.35">
      <c r="AA60" t="s">
        <v>345</v>
      </c>
      <c r="AB60" s="30" t="s">
        <v>457</v>
      </c>
      <c r="AC60" s="1">
        <f t="shared" ref="AC60:AW60" si="63">AB7</f>
        <v>1.0842490842490836E-2</v>
      </c>
      <c r="AD60" s="1">
        <f t="shared" si="63"/>
        <v>4.7374847374847245E-3</v>
      </c>
      <c r="AE60" s="1">
        <f t="shared" si="63"/>
        <v>4.7374847374847245E-3</v>
      </c>
      <c r="AF60" s="1">
        <f t="shared" si="63"/>
        <v>2.3052503052503056E-2</v>
      </c>
      <c r="AG60" s="1">
        <f t="shared" si="63"/>
        <v>2.3052503052503056E-2</v>
      </c>
      <c r="AH60" s="1">
        <f t="shared" si="63"/>
        <v>5.9682539682539712E-2</v>
      </c>
      <c r="AI60" s="1">
        <f t="shared" si="63"/>
        <v>0.20009768009768009</v>
      </c>
      <c r="AJ60" s="1">
        <f t="shared" si="63"/>
        <v>0.40156288156288156</v>
      </c>
      <c r="AK60" s="1">
        <f t="shared" si="63"/>
        <v>0.38935286935286934</v>
      </c>
      <c r="AL60" s="1">
        <f t="shared" si="63"/>
        <v>0.35272283272283267</v>
      </c>
      <c r="AM60" s="1">
        <f t="shared" si="63"/>
        <v>0.34661782661782659</v>
      </c>
      <c r="AN60" s="1">
        <f t="shared" si="63"/>
        <v>0.38324786324786325</v>
      </c>
      <c r="AO60" s="1">
        <f t="shared" si="63"/>
        <v>0.38935286935286934</v>
      </c>
      <c r="AP60" s="1">
        <f t="shared" si="63"/>
        <v>0.45040293040293045</v>
      </c>
      <c r="AQ60" s="1">
        <f t="shared" si="63"/>
        <v>0.29777777777777786</v>
      </c>
      <c r="AR60" s="1">
        <f t="shared" si="63"/>
        <v>0.15736263736263739</v>
      </c>
      <c r="AS60" s="1">
        <f t="shared" si="63"/>
        <v>0.19399267399267398</v>
      </c>
      <c r="AT60" s="1">
        <f t="shared" si="63"/>
        <v>0.18178266178266175</v>
      </c>
      <c r="AU60" s="1">
        <f t="shared" si="63"/>
        <v>0.2062026862026862</v>
      </c>
      <c r="AV60" s="1">
        <f t="shared" si="63"/>
        <v>0.20009768009768009</v>
      </c>
      <c r="AW60" s="1">
        <f t="shared" si="63"/>
        <v>0.22451770451770453</v>
      </c>
    </row>
    <row r="61" spans="1:49" x14ac:dyDescent="0.35">
      <c r="AA61" t="s">
        <v>346</v>
      </c>
      <c r="AB61" s="30" t="s">
        <v>457</v>
      </c>
      <c r="AC61" s="1">
        <f t="shared" ref="AC61:AW61" si="64">AB10</f>
        <v>0.82891330891330894</v>
      </c>
      <c r="AD61" s="1">
        <f t="shared" si="64"/>
        <v>0.81059829059829058</v>
      </c>
      <c r="AE61" s="1">
        <f t="shared" si="64"/>
        <v>0.8838583638583638</v>
      </c>
      <c r="AF61" s="1">
        <f t="shared" si="64"/>
        <v>0.73123321123321117</v>
      </c>
      <c r="AG61" s="1">
        <f t="shared" si="64"/>
        <v>0.6823931623931625</v>
      </c>
      <c r="AH61" s="1">
        <f t="shared" si="64"/>
        <v>0.6823931623931625</v>
      </c>
      <c r="AI61" s="1">
        <f t="shared" si="64"/>
        <v>0.74344322344322344</v>
      </c>
      <c r="AJ61" s="1">
        <f t="shared" si="64"/>
        <v>2.2330647130647132</v>
      </c>
      <c r="AK61" s="1">
        <f t="shared" si="64"/>
        <v>1.3356288156288156</v>
      </c>
      <c r="AL61" s="1">
        <f t="shared" si="64"/>
        <v>1.2684737484737485</v>
      </c>
      <c r="AM61" s="1">
        <f t="shared" si="64"/>
        <v>1.3661538461538463</v>
      </c>
      <c r="AN61" s="1">
        <f t="shared" si="64"/>
        <v>1.25015873015873</v>
      </c>
      <c r="AO61" s="1">
        <f t="shared" si="64"/>
        <v>1.2684737484737485</v>
      </c>
      <c r="AP61" s="1">
        <f t="shared" si="64"/>
        <v>1.1036385836385838</v>
      </c>
      <c r="AQ61" s="1">
        <f t="shared" si="64"/>
        <v>0.8044932844932845</v>
      </c>
      <c r="AR61" s="1">
        <f t="shared" si="64"/>
        <v>0.89606837606837597</v>
      </c>
      <c r="AS61" s="1">
        <f t="shared" si="64"/>
        <v>0.8838583638583638</v>
      </c>
      <c r="AT61" s="1">
        <f t="shared" si="64"/>
        <v>0.87164835164835175</v>
      </c>
      <c r="AU61" s="1">
        <f t="shared" si="64"/>
        <v>0.84112332112332122</v>
      </c>
      <c r="AV61" s="1">
        <f t="shared" si="64"/>
        <v>0.73123321123321117</v>
      </c>
      <c r="AW61" s="1">
        <f t="shared" si="64"/>
        <v>0.31609279609279606</v>
      </c>
    </row>
    <row r="62" spans="1:49" x14ac:dyDescent="0.35">
      <c r="AA62" t="s">
        <v>344</v>
      </c>
      <c r="AB62" s="30" t="s">
        <v>458</v>
      </c>
      <c r="AC62" s="1">
        <f t="shared" ref="AC62:AW62" si="65">AB13</f>
        <v>2.0024420024420328E-3</v>
      </c>
      <c r="AD62" s="1">
        <f t="shared" si="65"/>
        <v>0.23399267399267398</v>
      </c>
      <c r="AE62" s="1">
        <f t="shared" si="65"/>
        <v>1.0825885225885228</v>
      </c>
      <c r="AF62" s="1">
        <f t="shared" si="65"/>
        <v>1.155848595848596</v>
      </c>
      <c r="AG62" s="1">
        <f t="shared" si="65"/>
        <v>1.3084737484737485</v>
      </c>
      <c r="AH62" s="1">
        <f t="shared" si="65"/>
        <v>1.3634188034188035</v>
      </c>
      <c r="AI62" s="1">
        <f t="shared" si="65"/>
        <v>1.5282539682539684</v>
      </c>
      <c r="AJ62" s="1">
        <f t="shared" si="65"/>
        <v>0.28893772893772895</v>
      </c>
      <c r="AK62" s="1">
        <f t="shared" si="65"/>
        <v>0.8628083028083029</v>
      </c>
      <c r="AL62" s="1">
        <f t="shared" si="65"/>
        <v>1.0825885225885228</v>
      </c>
      <c r="AM62" s="1">
        <f t="shared" si="65"/>
        <v>1.1314285714285717</v>
      </c>
      <c r="AN62" s="1">
        <f t="shared" si="65"/>
        <v>1.284053724053724</v>
      </c>
      <c r="AO62" s="1">
        <f t="shared" si="65"/>
        <v>1.40004884004884</v>
      </c>
      <c r="AP62" s="1">
        <f t="shared" si="65"/>
        <v>1.5954090354090351</v>
      </c>
      <c r="AQ62" s="1">
        <f t="shared" si="65"/>
        <v>0.29504273504273504</v>
      </c>
      <c r="AR62" s="1">
        <f t="shared" si="65"/>
        <v>0.36830280830280826</v>
      </c>
      <c r="AS62" s="1">
        <f t="shared" si="65"/>
        <v>0.33167277167277176</v>
      </c>
      <c r="AT62" s="1">
        <f t="shared" si="65"/>
        <v>0.33167277167277176</v>
      </c>
      <c r="AU62" s="1">
        <f t="shared" si="65"/>
        <v>0.36830280830280826</v>
      </c>
      <c r="AV62" s="1">
        <f t="shared" si="65"/>
        <v>0.34388278388278382</v>
      </c>
      <c r="AW62" s="1">
        <f t="shared" si="65"/>
        <v>0.3499877899877899</v>
      </c>
    </row>
    <row r="63" spans="1:49" x14ac:dyDescent="0.35">
      <c r="AA63" t="s">
        <v>345</v>
      </c>
      <c r="AB63" s="30" t="s">
        <v>458</v>
      </c>
      <c r="AC63" s="1">
        <f t="shared" ref="AC63:AW63" si="66">AB16</f>
        <v>0.13631257631257629</v>
      </c>
      <c r="AD63" s="1">
        <f t="shared" si="66"/>
        <v>6.9157509157509164E-2</v>
      </c>
      <c r="AE63" s="1">
        <f t="shared" si="66"/>
        <v>6.9157509157509164E-2</v>
      </c>
      <c r="AF63" s="1">
        <f t="shared" si="66"/>
        <v>0.1424175824175824</v>
      </c>
      <c r="AG63" s="1">
        <f t="shared" si="66"/>
        <v>8.7472527472527498E-2</v>
      </c>
      <c r="AH63" s="1">
        <f t="shared" si="66"/>
        <v>0.20957264957264954</v>
      </c>
      <c r="AI63" s="1">
        <f t="shared" si="66"/>
        <v>0.39882783882783879</v>
      </c>
      <c r="AJ63" s="1">
        <f t="shared" si="66"/>
        <v>0.42935286935286932</v>
      </c>
      <c r="AK63" s="1">
        <f t="shared" si="66"/>
        <v>0.30725274725274732</v>
      </c>
      <c r="AL63" s="1">
        <f t="shared" si="66"/>
        <v>0.26451770451770451</v>
      </c>
      <c r="AM63" s="1">
        <f t="shared" si="66"/>
        <v>0.33777777777777784</v>
      </c>
      <c r="AN63" s="1">
        <f t="shared" si="66"/>
        <v>0.38051282051282043</v>
      </c>
      <c r="AO63" s="1">
        <f t="shared" si="66"/>
        <v>0.4781929181929182</v>
      </c>
      <c r="AP63" s="1">
        <f t="shared" si="66"/>
        <v>0.51482295482295481</v>
      </c>
      <c r="AQ63" s="1">
        <f t="shared" si="66"/>
        <v>0.28893772893772895</v>
      </c>
      <c r="AR63" s="1">
        <f t="shared" si="66"/>
        <v>0.28283272283272287</v>
      </c>
      <c r="AS63" s="1">
        <f t="shared" si="66"/>
        <v>0.24009768009768009</v>
      </c>
      <c r="AT63" s="1">
        <f t="shared" si="66"/>
        <v>0.27062271062271065</v>
      </c>
      <c r="AU63" s="1">
        <f t="shared" si="66"/>
        <v>0.24620268620268621</v>
      </c>
      <c r="AV63" s="1">
        <f t="shared" si="66"/>
        <v>0.26451770451770451</v>
      </c>
      <c r="AW63" s="1">
        <f t="shared" si="66"/>
        <v>0.24009768009768009</v>
      </c>
    </row>
    <row r="64" spans="1:49" x14ac:dyDescent="0.35">
      <c r="AA64" t="s">
        <v>346</v>
      </c>
      <c r="AB64" s="30" t="s">
        <v>458</v>
      </c>
      <c r="AC64" s="1">
        <f t="shared" ref="AC64:AW64" si="67">AB19</f>
        <v>0.67965811965811973</v>
      </c>
      <c r="AD64" s="1">
        <f t="shared" si="67"/>
        <v>0.60639804639804629</v>
      </c>
      <c r="AE64" s="1">
        <f t="shared" si="67"/>
        <v>0.51482295482295481</v>
      </c>
      <c r="AF64" s="1">
        <f t="shared" si="67"/>
        <v>0.3133577533577534</v>
      </c>
      <c r="AG64" s="1">
        <f t="shared" si="67"/>
        <v>0.28283272283272287</v>
      </c>
      <c r="AH64" s="1">
        <f t="shared" si="67"/>
        <v>0.30114774114774118</v>
      </c>
      <c r="AI64" s="1">
        <f t="shared" si="67"/>
        <v>0.41714285714285709</v>
      </c>
      <c r="AJ64" s="1">
        <f t="shared" si="67"/>
        <v>1.1863736263736266</v>
      </c>
      <c r="AK64" s="1">
        <f t="shared" si="67"/>
        <v>1.3084737484737485</v>
      </c>
      <c r="AL64" s="1">
        <f t="shared" si="67"/>
        <v>0.88112332112332115</v>
      </c>
      <c r="AM64" s="1">
        <f t="shared" si="67"/>
        <v>0.7284981684981684</v>
      </c>
      <c r="AN64" s="1">
        <f t="shared" si="67"/>
        <v>0.67355311355311365</v>
      </c>
      <c r="AO64" s="1">
        <f t="shared" si="67"/>
        <v>0.64302808302808301</v>
      </c>
      <c r="AP64" s="1">
        <f t="shared" si="67"/>
        <v>0.64913308913308909</v>
      </c>
      <c r="AQ64" s="1">
        <f t="shared" si="67"/>
        <v>1.03985347985348</v>
      </c>
      <c r="AR64" s="1">
        <f t="shared" si="67"/>
        <v>1.0764835164835165</v>
      </c>
      <c r="AS64" s="1">
        <f t="shared" si="67"/>
        <v>0.83838827838827834</v>
      </c>
      <c r="AT64" s="1">
        <f t="shared" si="67"/>
        <v>0.63692307692307693</v>
      </c>
      <c r="AU64" s="1">
        <f t="shared" si="67"/>
        <v>0.36219780219780212</v>
      </c>
      <c r="AV64" s="1">
        <f t="shared" si="67"/>
        <v>0.30725274725274732</v>
      </c>
      <c r="AW64" s="1">
        <f t="shared" si="67"/>
        <v>0.16073260073260073</v>
      </c>
    </row>
    <row r="65" spans="27:49" x14ac:dyDescent="0.35">
      <c r="AA65" t="s">
        <v>344</v>
      </c>
      <c r="AB65" s="30" t="s">
        <v>459</v>
      </c>
      <c r="AC65" s="1">
        <f t="shared" ref="AC65:AW65" si="68">AB22</f>
        <v>0.52092796092796101</v>
      </c>
      <c r="AD65" s="1">
        <f t="shared" si="68"/>
        <v>0.85059829059829051</v>
      </c>
      <c r="AE65" s="1">
        <f t="shared" si="68"/>
        <v>1.1192185592185593</v>
      </c>
      <c r="AF65" s="1">
        <f t="shared" si="68"/>
        <v>1.2657387057387057</v>
      </c>
      <c r="AG65" s="1">
        <f t="shared" si="68"/>
        <v>1.4488888888888889</v>
      </c>
      <c r="AH65" s="1">
        <f t="shared" si="68"/>
        <v>1.6381440781440779</v>
      </c>
      <c r="AI65" s="1">
        <f t="shared" si="68"/>
        <v>1.8945543345543345</v>
      </c>
      <c r="AJ65" s="1">
        <f t="shared" si="68"/>
        <v>0.1424175824175824</v>
      </c>
      <c r="AK65" s="1">
        <f t="shared" si="68"/>
        <v>0.86891330891330898</v>
      </c>
      <c r="AL65" s="1">
        <f t="shared" si="68"/>
        <v>1.1680586080586082</v>
      </c>
      <c r="AM65" s="1">
        <f t="shared" si="68"/>
        <v>1.3695238095238096</v>
      </c>
      <c r="AN65" s="1">
        <f t="shared" si="68"/>
        <v>1.6137240537240534</v>
      </c>
      <c r="AO65" s="1">
        <f t="shared" si="68"/>
        <v>1.7358241758241757</v>
      </c>
      <c r="AP65" s="1">
        <f t="shared" si="68"/>
        <v>1.8396092796092796</v>
      </c>
      <c r="AQ65" s="1">
        <f t="shared" si="68"/>
        <v>0.68576312576312581</v>
      </c>
      <c r="AR65" s="1">
        <f t="shared" si="68"/>
        <v>0.56976800976800979</v>
      </c>
      <c r="AS65" s="1">
        <f t="shared" si="68"/>
        <v>0.59418803418803412</v>
      </c>
      <c r="AT65" s="1">
        <f t="shared" si="68"/>
        <v>0.54534798534798523</v>
      </c>
      <c r="AU65" s="1">
        <f t="shared" si="68"/>
        <v>0.5636630036630037</v>
      </c>
      <c r="AV65" s="1">
        <f t="shared" si="68"/>
        <v>0.46598290598290598</v>
      </c>
      <c r="AW65" s="1">
        <f t="shared" si="68"/>
        <v>0.48429792429792434</v>
      </c>
    </row>
    <row r="66" spans="27:49" x14ac:dyDescent="0.35">
      <c r="AA66" t="s">
        <v>345</v>
      </c>
      <c r="AB66" s="30" t="s">
        <v>459</v>
      </c>
      <c r="AC66" s="1">
        <f t="shared" ref="AC66:AW66" si="69">AB25</f>
        <v>0.28283272283272287</v>
      </c>
      <c r="AD66" s="1">
        <f t="shared" si="69"/>
        <v>0.24620268620268621</v>
      </c>
      <c r="AE66" s="1">
        <f t="shared" si="69"/>
        <v>0.32556776556776562</v>
      </c>
      <c r="AF66" s="1">
        <f t="shared" si="69"/>
        <v>0.5636630036630037</v>
      </c>
      <c r="AG66" s="1">
        <f t="shared" si="69"/>
        <v>0.78344322344322337</v>
      </c>
      <c r="AH66" s="1">
        <f t="shared" si="69"/>
        <v>1.1436385836385838</v>
      </c>
      <c r="AI66" s="1">
        <f t="shared" si="69"/>
        <v>1.2535286935286933</v>
      </c>
      <c r="AJ66" s="1">
        <f t="shared" si="69"/>
        <v>0.82617826617826617</v>
      </c>
      <c r="AK66" s="1">
        <f t="shared" si="69"/>
        <v>0.63692307692307693</v>
      </c>
      <c r="AL66" s="1">
        <f t="shared" si="69"/>
        <v>0.67965811965811973</v>
      </c>
      <c r="AM66" s="1">
        <f t="shared" si="69"/>
        <v>0.8628083028083029</v>
      </c>
      <c r="AN66" s="1">
        <f t="shared" si="69"/>
        <v>1.0886935286935289</v>
      </c>
      <c r="AO66" s="1">
        <f t="shared" si="69"/>
        <v>1.2779487179487179</v>
      </c>
      <c r="AP66" s="1">
        <f t="shared" si="69"/>
        <v>1.4488888888888889</v>
      </c>
      <c r="AQ66" s="1">
        <f t="shared" si="69"/>
        <v>1.6747741147741146</v>
      </c>
      <c r="AR66" s="1">
        <f t="shared" si="69"/>
        <v>0.82617826617826617</v>
      </c>
      <c r="AS66" s="1">
        <f t="shared" si="69"/>
        <v>0.61860805860805868</v>
      </c>
      <c r="AT66" s="1">
        <f t="shared" si="69"/>
        <v>0.58808302808302804</v>
      </c>
      <c r="AU66" s="1">
        <f t="shared" si="69"/>
        <v>0.47208791208791212</v>
      </c>
      <c r="AV66" s="1">
        <f t="shared" si="69"/>
        <v>0.44766788766788768</v>
      </c>
      <c r="AW66" s="1">
        <f t="shared" si="69"/>
        <v>0.4598778998778999</v>
      </c>
    </row>
    <row r="67" spans="27:49" x14ac:dyDescent="0.35">
      <c r="AA67" t="s">
        <v>346</v>
      </c>
      <c r="AB67" s="30" t="s">
        <v>459</v>
      </c>
      <c r="AC67" s="1">
        <f t="shared" ref="AC67:AW67" si="70">AB28</f>
        <v>0.82007326007326009</v>
      </c>
      <c r="AD67" s="1">
        <f t="shared" si="70"/>
        <v>0.66744810744810756</v>
      </c>
      <c r="AE67" s="1">
        <f t="shared" si="70"/>
        <v>0.58197802197802195</v>
      </c>
      <c r="AF67" s="1">
        <f t="shared" si="70"/>
        <v>0.7284981684981684</v>
      </c>
      <c r="AG67" s="1">
        <f t="shared" si="70"/>
        <v>0.6918681318681319</v>
      </c>
      <c r="AH67" s="1">
        <f t="shared" si="70"/>
        <v>1.0215384615384615</v>
      </c>
      <c r="AI67" s="1">
        <f t="shared" si="70"/>
        <v>1.100903540903541</v>
      </c>
      <c r="AJ67" s="1">
        <f t="shared" si="70"/>
        <v>3.6833211233211229</v>
      </c>
      <c r="AK67" s="1">
        <f t="shared" si="70"/>
        <v>2.3646398046398045</v>
      </c>
      <c r="AL67" s="1">
        <f t="shared" si="70"/>
        <v>1.0581684981684982</v>
      </c>
      <c r="AM67" s="1">
        <f t="shared" si="70"/>
        <v>0.96048840048840045</v>
      </c>
      <c r="AN67" s="1">
        <f t="shared" si="70"/>
        <v>0.99711843711843717</v>
      </c>
      <c r="AO67" s="1">
        <f t="shared" si="70"/>
        <v>1.7907692307692307</v>
      </c>
      <c r="AP67" s="1">
        <f t="shared" si="70"/>
        <v>1.2779487179487179</v>
      </c>
      <c r="AQ67" s="1">
        <f t="shared" si="70"/>
        <v>4.6479120879120872</v>
      </c>
      <c r="AR67" s="1">
        <f t="shared" si="70"/>
        <v>2.1936996336996337</v>
      </c>
      <c r="AS67" s="1">
        <f t="shared" si="70"/>
        <v>1.0642735042735043</v>
      </c>
      <c r="AT67" s="1">
        <f t="shared" si="70"/>
        <v>0.73460317460317448</v>
      </c>
      <c r="AU67" s="1">
        <f t="shared" si="70"/>
        <v>0.43545787545787545</v>
      </c>
      <c r="AV67" s="1">
        <f t="shared" si="70"/>
        <v>0.34388278388278382</v>
      </c>
      <c r="AW67" s="1">
        <f t="shared" si="70"/>
        <v>0.35609279609279604</v>
      </c>
    </row>
    <row r="68" spans="27:49" x14ac:dyDescent="0.35">
      <c r="AA68" t="s">
        <v>344</v>
      </c>
      <c r="AB68" s="30" t="s">
        <v>460</v>
      </c>
      <c r="AC68" s="1">
        <f t="shared" ref="AC68:AW68" si="71">AB31</f>
        <v>0.37440781440781434</v>
      </c>
      <c r="AD68" s="1">
        <f t="shared" si="71"/>
        <v>0.3499877899877899</v>
      </c>
      <c r="AE68" s="1">
        <f t="shared" si="71"/>
        <v>0.42935286935286932</v>
      </c>
      <c r="AF68" s="1">
        <f t="shared" si="71"/>
        <v>0.33777777777777784</v>
      </c>
      <c r="AG68" s="1">
        <f t="shared" si="71"/>
        <v>0.32556776556776562</v>
      </c>
      <c r="AH68" s="1">
        <f t="shared" si="71"/>
        <v>0.36830280830280826</v>
      </c>
      <c r="AI68" s="1">
        <f t="shared" si="71"/>
        <v>0.36219780219780212</v>
      </c>
      <c r="AJ68" s="1">
        <f t="shared" si="71"/>
        <v>1.5873015873015817E-3</v>
      </c>
      <c r="AK68" s="1">
        <f t="shared" si="71"/>
        <v>0.91733821733821741</v>
      </c>
      <c r="AL68" s="1">
        <f t="shared" si="71"/>
        <v>1.192063492063492</v>
      </c>
      <c r="AM68" s="1">
        <f t="shared" si="71"/>
        <v>1.4240537240537239</v>
      </c>
      <c r="AN68" s="1">
        <f t="shared" si="71"/>
        <v>2.0528693528693527</v>
      </c>
      <c r="AO68" s="1">
        <f t="shared" si="71"/>
        <v>1.8880341880341878</v>
      </c>
      <c r="AP68" s="1">
        <f t="shared" si="71"/>
        <v>2.0406593406593405</v>
      </c>
      <c r="AQ68" s="1">
        <f t="shared" si="71"/>
        <v>0.87606837606837595</v>
      </c>
      <c r="AR68" s="1">
        <f t="shared" si="71"/>
        <v>0.91269841269841268</v>
      </c>
      <c r="AS68" s="1">
        <f t="shared" si="71"/>
        <v>1.0714285714285716</v>
      </c>
      <c r="AT68" s="1">
        <f t="shared" si="71"/>
        <v>1.3583638583638584</v>
      </c>
      <c r="AU68" s="1">
        <f t="shared" si="71"/>
        <v>1.6514041514041511</v>
      </c>
      <c r="AV68" s="1">
        <f t="shared" si="71"/>
        <v>1.7612942612942613</v>
      </c>
      <c r="AW68" s="1">
        <f t="shared" si="71"/>
        <v>1.9993894993894994</v>
      </c>
    </row>
    <row r="69" spans="27:49" x14ac:dyDescent="0.35">
      <c r="AA69" t="s">
        <v>345</v>
      </c>
      <c r="AB69" s="30" t="s">
        <v>460</v>
      </c>
      <c r="AC69" s="1">
        <f t="shared" ref="AC69:AW69" si="72">AB34</f>
        <v>0.48429792429792434</v>
      </c>
      <c r="AD69" s="1">
        <f t="shared" si="72"/>
        <v>0.4781929181929182</v>
      </c>
      <c r="AE69" s="1">
        <f t="shared" si="72"/>
        <v>0.38661782661782657</v>
      </c>
      <c r="AF69" s="1">
        <f t="shared" si="72"/>
        <v>0.3499877899877899</v>
      </c>
      <c r="AG69" s="1">
        <f t="shared" si="72"/>
        <v>0.33167277167277176</v>
      </c>
      <c r="AH69" s="1">
        <f t="shared" si="72"/>
        <v>0.29504273504273504</v>
      </c>
      <c r="AI69" s="1">
        <f t="shared" si="72"/>
        <v>0.29504273504273504</v>
      </c>
      <c r="AJ69" s="1">
        <f t="shared" si="72"/>
        <v>0.36788766788766791</v>
      </c>
      <c r="AK69" s="1">
        <f t="shared" si="72"/>
        <v>0.35567765567765564</v>
      </c>
      <c r="AL69" s="1">
        <f t="shared" si="72"/>
        <v>0.34346764346764347</v>
      </c>
      <c r="AM69" s="1">
        <f t="shared" si="72"/>
        <v>0.55103785103785108</v>
      </c>
      <c r="AN69" s="1">
        <f t="shared" si="72"/>
        <v>0.75250305250305249</v>
      </c>
      <c r="AO69" s="1">
        <f t="shared" si="72"/>
        <v>1.0089133089133089</v>
      </c>
      <c r="AP69" s="1">
        <f t="shared" si="72"/>
        <v>1.192063492063492</v>
      </c>
      <c r="AQ69" s="1">
        <f t="shared" si="72"/>
        <v>0.70512820512820507</v>
      </c>
      <c r="AR69" s="1">
        <f t="shared" si="72"/>
        <v>0.62576312576312576</v>
      </c>
      <c r="AS69" s="1">
        <f t="shared" si="72"/>
        <v>0.74175824175824179</v>
      </c>
      <c r="AT69" s="1">
        <f t="shared" si="72"/>
        <v>0.6501831501831502</v>
      </c>
      <c r="AU69" s="1">
        <f t="shared" si="72"/>
        <v>0.76617826617826612</v>
      </c>
      <c r="AV69" s="1">
        <f t="shared" si="72"/>
        <v>0.94932844932844929</v>
      </c>
      <c r="AW69" s="1">
        <f t="shared" si="72"/>
        <v>1.1996336996336996</v>
      </c>
    </row>
    <row r="70" spans="27:49" x14ac:dyDescent="0.35">
      <c r="AA70" t="s">
        <v>346</v>
      </c>
      <c r="AB70" s="30" t="s">
        <v>460</v>
      </c>
      <c r="AC70" s="1">
        <f t="shared" ref="AC70:AW70" si="73">AB37</f>
        <v>1.5831990231990232</v>
      </c>
      <c r="AD70" s="1">
        <f t="shared" si="73"/>
        <v>1.6564590964590962</v>
      </c>
      <c r="AE70" s="1">
        <f t="shared" si="73"/>
        <v>0.88112332112332115</v>
      </c>
      <c r="AF70" s="1">
        <f t="shared" si="73"/>
        <v>0.50871794871794873</v>
      </c>
      <c r="AG70" s="1">
        <f t="shared" si="73"/>
        <v>0.42935286935286932</v>
      </c>
      <c r="AH70" s="1">
        <f t="shared" si="73"/>
        <v>0.33777777777777784</v>
      </c>
      <c r="AI70" s="1">
        <f t="shared" si="73"/>
        <v>0.33777777777777784</v>
      </c>
      <c r="AJ70" s="1">
        <f t="shared" si="73"/>
        <v>1.1737484737484738</v>
      </c>
      <c r="AK70" s="1">
        <f t="shared" si="73"/>
        <v>1.1615384615384616</v>
      </c>
      <c r="AL70" s="1">
        <f t="shared" si="73"/>
        <v>0.72808302808302816</v>
      </c>
      <c r="AM70" s="1">
        <f t="shared" si="73"/>
        <v>0.7952380952380953</v>
      </c>
      <c r="AN70" s="1">
        <f t="shared" si="73"/>
        <v>0.72808302808302816</v>
      </c>
      <c r="AO70" s="1">
        <f t="shared" si="73"/>
        <v>0.90512820512820502</v>
      </c>
      <c r="AP70" s="1">
        <f t="shared" si="73"/>
        <v>1.0211233211233213</v>
      </c>
      <c r="AQ70" s="1">
        <f t="shared" si="73"/>
        <v>2.7991452991452994</v>
      </c>
      <c r="AR70" s="1">
        <f t="shared" si="73"/>
        <v>2.872405372405372</v>
      </c>
      <c r="AS70" s="1">
        <f t="shared" si="73"/>
        <v>2.0299145299145298</v>
      </c>
      <c r="AT70" s="1">
        <f t="shared" si="73"/>
        <v>1.3339438339438339</v>
      </c>
      <c r="AU70" s="1">
        <f t="shared" si="73"/>
        <v>1.169108669108669</v>
      </c>
      <c r="AV70" s="1">
        <f t="shared" si="73"/>
        <v>1.1568986568986568</v>
      </c>
      <c r="AW70" s="1">
        <f t="shared" si="73"/>
        <v>1.2545787545787546</v>
      </c>
    </row>
    <row r="71" spans="27:49" x14ac:dyDescent="0.35">
      <c r="AA71" t="s">
        <v>344</v>
      </c>
      <c r="AB71" s="30" t="s">
        <v>461</v>
      </c>
      <c r="AC71" s="1">
        <f t="shared" ref="AC71:AW71" si="74">AB40</f>
        <v>8.5470085470085458E-2</v>
      </c>
      <c r="AD71" s="1">
        <f t="shared" si="74"/>
        <v>4.8840048840048882E-2</v>
      </c>
      <c r="AE71" s="1">
        <f t="shared" si="74"/>
        <v>6.7155067155067125E-2</v>
      </c>
      <c r="AF71" s="1">
        <f t="shared" si="74"/>
        <v>6.1050061050061104E-2</v>
      </c>
      <c r="AG71" s="1">
        <f t="shared" si="74"/>
        <v>6.1050061050061104E-2</v>
      </c>
      <c r="AH71" s="1">
        <f t="shared" si="74"/>
        <v>9.1575091575091569E-2</v>
      </c>
      <c r="AI71" s="1">
        <f t="shared" si="74"/>
        <v>8.5470085470085458E-2</v>
      </c>
      <c r="AJ71" s="1">
        <f t="shared" si="74"/>
        <v>1.101953601953602</v>
      </c>
      <c r="AK71" s="1">
        <f t="shared" si="74"/>
        <v>1.2240537240537239</v>
      </c>
      <c r="AL71" s="1">
        <f t="shared" si="74"/>
        <v>1.529304029304029</v>
      </c>
      <c r="AM71" s="1">
        <f t="shared" si="74"/>
        <v>1.7307692307692306</v>
      </c>
      <c r="AN71" s="1">
        <f t="shared" si="74"/>
        <v>1.8406593406593406</v>
      </c>
      <c r="AO71" s="1">
        <f t="shared" si="74"/>
        <v>1.9078144078144077</v>
      </c>
      <c r="AP71" s="1">
        <f t="shared" si="74"/>
        <v>2.0604395604395607</v>
      </c>
      <c r="AQ71" s="1">
        <f t="shared" si="74"/>
        <v>0.10683760683760685</v>
      </c>
      <c r="AR71" s="1">
        <f t="shared" si="74"/>
        <v>0.11294261294261296</v>
      </c>
      <c r="AS71" s="1">
        <f t="shared" si="74"/>
        <v>0.53418803418803418</v>
      </c>
      <c r="AT71" s="1">
        <f t="shared" si="74"/>
        <v>0.9004884004884004</v>
      </c>
      <c r="AU71" s="1">
        <f t="shared" si="74"/>
        <v>1.095848595848596</v>
      </c>
      <c r="AV71" s="1">
        <f t="shared" si="74"/>
        <v>1.2973137973137974</v>
      </c>
      <c r="AW71" s="1">
        <f t="shared" si="74"/>
        <v>1.5476190476190472</v>
      </c>
    </row>
    <row r="72" spans="27:49" x14ac:dyDescent="0.35">
      <c r="AA72" t="s">
        <v>345</v>
      </c>
      <c r="AB72" s="30" t="s">
        <v>461</v>
      </c>
      <c r="AC72" s="1">
        <f t="shared" ref="AC72:AW72" si="75">AB43</f>
        <v>0.40293040293040294</v>
      </c>
      <c r="AD72" s="1">
        <f t="shared" si="75"/>
        <v>0.37240537240537241</v>
      </c>
      <c r="AE72" s="1">
        <f t="shared" si="75"/>
        <v>0.17704517704517703</v>
      </c>
      <c r="AF72" s="1">
        <f t="shared" si="75"/>
        <v>0.12210012210012212</v>
      </c>
      <c r="AG72" s="1">
        <f t="shared" si="75"/>
        <v>0.12210012210012212</v>
      </c>
      <c r="AH72" s="1">
        <f t="shared" si="75"/>
        <v>9.768009768009768E-2</v>
      </c>
      <c r="AI72" s="1">
        <f t="shared" si="75"/>
        <v>0.1098901098901099</v>
      </c>
      <c r="AJ72" s="1">
        <f t="shared" si="75"/>
        <v>0.1800976800976801</v>
      </c>
      <c r="AK72" s="1">
        <f t="shared" si="75"/>
        <v>0.5219780219780219</v>
      </c>
      <c r="AL72" s="1">
        <f t="shared" si="75"/>
        <v>0.81501831501831501</v>
      </c>
      <c r="AM72" s="1">
        <f t="shared" si="75"/>
        <v>0.98595848595848601</v>
      </c>
      <c r="AN72" s="1">
        <f t="shared" si="75"/>
        <v>1.169108669108669</v>
      </c>
      <c r="AO72" s="1">
        <f t="shared" si="75"/>
        <v>1.3156288156288156</v>
      </c>
      <c r="AP72" s="1">
        <f t="shared" si="75"/>
        <v>1.4865689865689866</v>
      </c>
      <c r="AQ72" s="1">
        <f t="shared" si="75"/>
        <v>0.6562881562881564</v>
      </c>
      <c r="AR72" s="1">
        <f t="shared" si="75"/>
        <v>0.43650793650793657</v>
      </c>
      <c r="AS72" s="1">
        <f t="shared" si="75"/>
        <v>0.22893772893772896</v>
      </c>
      <c r="AT72" s="1">
        <f t="shared" si="75"/>
        <v>0.39377289377289376</v>
      </c>
      <c r="AU72" s="1">
        <f t="shared" si="75"/>
        <v>0.60744810744810751</v>
      </c>
      <c r="AV72" s="1">
        <f t="shared" si="75"/>
        <v>0.85164835164835173</v>
      </c>
      <c r="AW72" s="1">
        <f t="shared" si="75"/>
        <v>0.99206349206349209</v>
      </c>
    </row>
    <row r="73" spans="27:49" x14ac:dyDescent="0.35">
      <c r="AA73" t="s">
        <v>346</v>
      </c>
      <c r="AB73" s="30" t="s">
        <v>461</v>
      </c>
      <c r="AC73" s="1">
        <f t="shared" ref="AC73:AW73" si="76">AB46</f>
        <v>1.2332112332112333</v>
      </c>
      <c r="AD73" s="1">
        <f t="shared" si="76"/>
        <v>0.9218559218559218</v>
      </c>
      <c r="AE73" s="1">
        <f t="shared" si="76"/>
        <v>0.3785103785103785</v>
      </c>
      <c r="AF73" s="1">
        <f t="shared" si="76"/>
        <v>0.17094017094017092</v>
      </c>
      <c r="AG73" s="1">
        <f t="shared" si="76"/>
        <v>7.9365079365079347E-2</v>
      </c>
      <c r="AH73" s="1">
        <f t="shared" si="76"/>
        <v>3.6630036630036659E-2</v>
      </c>
      <c r="AI73" s="1">
        <f t="shared" si="76"/>
        <v>1.221001221001222E-2</v>
      </c>
      <c r="AJ73" s="1">
        <f t="shared" si="76"/>
        <v>0.80891330891330893</v>
      </c>
      <c r="AK73" s="1">
        <f t="shared" si="76"/>
        <v>0.79670329670329676</v>
      </c>
      <c r="AL73" s="1">
        <f t="shared" si="76"/>
        <v>0.69902319902319898</v>
      </c>
      <c r="AM73" s="1">
        <f t="shared" si="76"/>
        <v>0.96764346764346765</v>
      </c>
      <c r="AN73" s="1">
        <f t="shared" si="76"/>
        <v>1.0714285714285716</v>
      </c>
      <c r="AO73" s="1">
        <f t="shared" si="76"/>
        <v>1.2362637362637361</v>
      </c>
      <c r="AP73" s="1">
        <f t="shared" si="76"/>
        <v>1.3095238095238095</v>
      </c>
      <c r="AQ73" s="1">
        <f t="shared" si="76"/>
        <v>1.6575091575091572</v>
      </c>
      <c r="AR73" s="1">
        <f t="shared" si="76"/>
        <v>0.8211233211233212</v>
      </c>
      <c r="AS73" s="1">
        <f t="shared" si="76"/>
        <v>0.36324786324786323</v>
      </c>
      <c r="AT73" s="1">
        <f t="shared" si="76"/>
        <v>0.40598290598290598</v>
      </c>
      <c r="AU73" s="1">
        <f t="shared" si="76"/>
        <v>0.58302808302808307</v>
      </c>
      <c r="AV73" s="1">
        <f t="shared" si="76"/>
        <v>0.74786324786324787</v>
      </c>
      <c r="AW73" s="1">
        <f t="shared" si="76"/>
        <v>0.79670329670329676</v>
      </c>
    </row>
    <row r="74" spans="27:49" x14ac:dyDescent="0.35">
      <c r="AA74" t="s">
        <v>344</v>
      </c>
      <c r="AB74" s="30" t="s">
        <v>462</v>
      </c>
      <c r="AC74" s="1">
        <f t="shared" ref="AC74:AW74" si="77">AB49</f>
        <v>0.51587301587301582</v>
      </c>
      <c r="AD74" s="1">
        <f t="shared" si="77"/>
        <v>0.82722832722832729</v>
      </c>
      <c r="AE74" s="1">
        <f t="shared" si="77"/>
        <v>0.99816849816849818</v>
      </c>
      <c r="AF74" s="1">
        <f t="shared" si="77"/>
        <v>1.1813186813186811</v>
      </c>
      <c r="AG74" s="1">
        <f t="shared" si="77"/>
        <v>1.3949938949938951</v>
      </c>
      <c r="AH74" s="1">
        <f t="shared" si="77"/>
        <v>1.6086691086691083</v>
      </c>
      <c r="AI74" s="1">
        <f t="shared" si="77"/>
        <v>1.6391941391941389</v>
      </c>
      <c r="AJ74" s="1">
        <f t="shared" si="77"/>
        <v>0.63186813186813195</v>
      </c>
      <c r="AK74" s="1">
        <f t="shared" si="77"/>
        <v>0.98595848595848601</v>
      </c>
      <c r="AL74" s="1">
        <f t="shared" si="77"/>
        <v>1.1996336996336996</v>
      </c>
      <c r="AM74" s="1">
        <f t="shared" si="77"/>
        <v>1.4438339438339438</v>
      </c>
      <c r="AN74" s="1">
        <f t="shared" si="77"/>
        <v>1.9810744810744811</v>
      </c>
      <c r="AO74" s="1">
        <f t="shared" si="77"/>
        <v>2.0909645909645911</v>
      </c>
      <c r="AP74" s="1">
        <f t="shared" si="77"/>
        <v>2.1459096459096463</v>
      </c>
      <c r="AQ74" s="1">
        <f t="shared" si="77"/>
        <v>1.0042735042735043</v>
      </c>
      <c r="AR74" s="1">
        <f t="shared" si="77"/>
        <v>0.94932844932844929</v>
      </c>
      <c r="AS74" s="1">
        <f t="shared" si="77"/>
        <v>0.90659340659340659</v>
      </c>
      <c r="AT74" s="1">
        <f t="shared" si="77"/>
        <v>0.83333333333333337</v>
      </c>
      <c r="AU74" s="1">
        <f t="shared" si="77"/>
        <v>0.76617826617826612</v>
      </c>
      <c r="AV74" s="1">
        <f t="shared" si="77"/>
        <v>0.71733821733821734</v>
      </c>
      <c r="AW74" s="1">
        <f t="shared" si="77"/>
        <v>0.72344322344322343</v>
      </c>
    </row>
    <row r="75" spans="27:49" x14ac:dyDescent="0.35">
      <c r="AA75" t="s">
        <v>345</v>
      </c>
      <c r="AB75" s="30" t="s">
        <v>462</v>
      </c>
      <c r="AC75" s="1">
        <f t="shared" ref="AC75:AW75" si="78">AB52</f>
        <v>0.94932844932844929</v>
      </c>
      <c r="AD75" s="1">
        <f t="shared" si="78"/>
        <v>0.37545787545787546</v>
      </c>
      <c r="AE75" s="1">
        <f t="shared" si="78"/>
        <v>0.39377289377289376</v>
      </c>
      <c r="AF75" s="1">
        <f t="shared" si="78"/>
        <v>0.55250305250305243</v>
      </c>
      <c r="AG75" s="1">
        <f t="shared" si="78"/>
        <v>0.38766788766788768</v>
      </c>
      <c r="AH75" s="1">
        <f t="shared" si="78"/>
        <v>0.42429792429792434</v>
      </c>
      <c r="AI75" s="1">
        <f t="shared" si="78"/>
        <v>0.36935286935286932</v>
      </c>
      <c r="AJ75" s="1">
        <f t="shared" si="78"/>
        <v>0.46092796092796101</v>
      </c>
      <c r="AK75" s="1">
        <f t="shared" si="78"/>
        <v>0.38156288156288154</v>
      </c>
      <c r="AL75" s="1">
        <f t="shared" si="78"/>
        <v>0.47924297924297915</v>
      </c>
      <c r="AM75" s="1">
        <f t="shared" si="78"/>
        <v>0.47313797313797307</v>
      </c>
      <c r="AN75" s="1">
        <f t="shared" si="78"/>
        <v>0.50976800976800973</v>
      </c>
      <c r="AO75" s="1">
        <f t="shared" si="78"/>
        <v>0.6868131868131867</v>
      </c>
      <c r="AP75" s="1">
        <f t="shared" si="78"/>
        <v>0.78449328449328448</v>
      </c>
      <c r="AQ75" s="1">
        <f t="shared" si="78"/>
        <v>0.52808302808302809</v>
      </c>
      <c r="AR75" s="1">
        <f t="shared" si="78"/>
        <v>0.51587301587301582</v>
      </c>
      <c r="AS75" s="1">
        <f t="shared" si="78"/>
        <v>0.50366300366300365</v>
      </c>
      <c r="AT75" s="1">
        <f t="shared" si="78"/>
        <v>0.49145299145299137</v>
      </c>
      <c r="AU75" s="1">
        <f t="shared" si="78"/>
        <v>0.5219780219780219</v>
      </c>
      <c r="AV75" s="1">
        <f t="shared" si="78"/>
        <v>0.45482295482295487</v>
      </c>
      <c r="AW75" s="1">
        <f t="shared" si="78"/>
        <v>0.46092796092796101</v>
      </c>
    </row>
    <row r="76" spans="27:49" x14ac:dyDescent="0.35">
      <c r="AA76" t="s">
        <v>346</v>
      </c>
      <c r="AB76" s="30" t="s">
        <v>462</v>
      </c>
      <c r="AC76" s="1">
        <f t="shared" ref="AC76:AW76" si="79">AB55</f>
        <v>1.9566544566544566</v>
      </c>
      <c r="AD76" s="1">
        <f t="shared" si="79"/>
        <v>1.2362637362637361</v>
      </c>
      <c r="AE76" s="1">
        <f t="shared" si="79"/>
        <v>1.2545787545787546</v>
      </c>
      <c r="AF76" s="1">
        <f t="shared" si="79"/>
        <v>1.2484737484737485</v>
      </c>
      <c r="AG76" s="1">
        <f t="shared" si="79"/>
        <v>1.2240537240537239</v>
      </c>
      <c r="AH76" s="1">
        <f t="shared" si="79"/>
        <v>1.1263736263736266</v>
      </c>
      <c r="AI76" s="1">
        <f t="shared" si="79"/>
        <v>1.0775335775335777</v>
      </c>
      <c r="AJ76" s="1">
        <f t="shared" si="79"/>
        <v>1.169108669108669</v>
      </c>
      <c r="AK76" s="1">
        <f t="shared" si="79"/>
        <v>1.1080586080586081</v>
      </c>
      <c r="AL76" s="1">
        <f t="shared" si="79"/>
        <v>1.1446886446886446</v>
      </c>
      <c r="AM76" s="1">
        <f t="shared" si="79"/>
        <v>1.0836385836385838</v>
      </c>
      <c r="AN76" s="1">
        <f t="shared" si="79"/>
        <v>0.96764346764346765</v>
      </c>
      <c r="AO76" s="1">
        <f t="shared" si="79"/>
        <v>0.90659340659340659</v>
      </c>
      <c r="AP76" s="1">
        <f t="shared" si="79"/>
        <v>0.89438339438339431</v>
      </c>
      <c r="AQ76" s="1">
        <f t="shared" si="79"/>
        <v>0.75396825396825395</v>
      </c>
      <c r="AR76" s="1">
        <f t="shared" si="79"/>
        <v>0.9432234432234432</v>
      </c>
      <c r="AS76" s="1">
        <f t="shared" si="79"/>
        <v>0.96764346764346765</v>
      </c>
      <c r="AT76" s="1">
        <f t="shared" si="79"/>
        <v>0.88827838827838823</v>
      </c>
      <c r="AU76" s="1">
        <f t="shared" si="79"/>
        <v>0.80280830280830284</v>
      </c>
      <c r="AV76" s="1">
        <f t="shared" si="79"/>
        <v>0.72344322344322343</v>
      </c>
      <c r="AW76" s="1">
        <f t="shared" si="79"/>
        <v>0.70512820512820507</v>
      </c>
    </row>
    <row r="79" spans="27:49" x14ac:dyDescent="0.35">
      <c r="AA79" t="s">
        <v>530</v>
      </c>
    </row>
    <row r="80" spans="27:49" x14ac:dyDescent="0.35">
      <c r="AA80" t="s">
        <v>529</v>
      </c>
      <c r="AB80" t="s">
        <v>528</v>
      </c>
    </row>
    <row r="81" spans="27:28" x14ac:dyDescent="0.35">
      <c r="AA81">
        <v>0</v>
      </c>
      <c r="AB81" s="1">
        <f>AVERAGE(H52:H53)</f>
        <v>0.49450549450549453</v>
      </c>
    </row>
    <row r="82" spans="27:28" x14ac:dyDescent="0.35">
      <c r="AA82">
        <f t="shared" ref="AA82:AA87" si="80">AA81+30</f>
        <v>30</v>
      </c>
      <c r="AB82" s="1">
        <f>AVERAGE(I51:I53)</f>
        <v>0.42429792429792429</v>
      </c>
    </row>
    <row r="83" spans="27:28" x14ac:dyDescent="0.35">
      <c r="AA83">
        <f t="shared" si="80"/>
        <v>60</v>
      </c>
      <c r="AB83" s="1">
        <f>AVERAGE(J51:J53)</f>
        <v>0.45889295889295889</v>
      </c>
    </row>
    <row r="84" spans="27:28" x14ac:dyDescent="0.35">
      <c r="AA84">
        <f t="shared" si="80"/>
        <v>90</v>
      </c>
      <c r="AB84" s="1">
        <f>AVERAGE(K51:K53)</f>
        <v>0.50569800569800571</v>
      </c>
    </row>
    <row r="85" spans="27:28" x14ac:dyDescent="0.35">
      <c r="AA85">
        <f t="shared" si="80"/>
        <v>120</v>
      </c>
      <c r="AB85" s="1">
        <f>AVERAGE(L51:L53)</f>
        <v>0.47313797313797307</v>
      </c>
    </row>
    <row r="86" spans="27:28" x14ac:dyDescent="0.35">
      <c r="AA86">
        <f t="shared" si="80"/>
        <v>150</v>
      </c>
      <c r="AB86" s="1">
        <f>AVERAGE(M51:M53)</f>
        <v>0.52197802197802201</v>
      </c>
    </row>
    <row r="87" spans="27:28" x14ac:dyDescent="0.35">
      <c r="AA87">
        <f t="shared" si="80"/>
        <v>180</v>
      </c>
      <c r="AB87" s="1">
        <f>AVERAGE(N51:N53)</f>
        <v>0.53825803825803831</v>
      </c>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c551f61c-2804-4ada-99bd-4215dba25943" xsi:nil="true"/>
    <lcf76f155ced4ddcb4097134ff3c332f xmlns="ac7c9f4e-4655-4b95-9faa-770a523a6031">
      <Terms xmlns="http://schemas.microsoft.com/office/infopath/2007/PartnerControls"/>
    </lcf76f155ced4ddcb4097134ff3c332f>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E6A7E68570F95447A3096840F471F80A" ma:contentTypeVersion="14" ma:contentTypeDescription="Create a new document." ma:contentTypeScope="" ma:versionID="ce11d4bf41d467be4329788a20717045">
  <xsd:schema xmlns:xsd="http://www.w3.org/2001/XMLSchema" xmlns:xs="http://www.w3.org/2001/XMLSchema" xmlns:p="http://schemas.microsoft.com/office/2006/metadata/properties" xmlns:ns2="ac7c9f4e-4655-4b95-9faa-770a523a6031" xmlns:ns3="c551f61c-2804-4ada-99bd-4215dba25943" targetNamespace="http://schemas.microsoft.com/office/2006/metadata/properties" ma:root="true" ma:fieldsID="74f86264cd3c3608cc04a3a57ce5c658" ns2:_="" ns3:_="">
    <xsd:import namespace="ac7c9f4e-4655-4b95-9faa-770a523a6031"/>
    <xsd:import namespace="c551f61c-2804-4ada-99bd-4215dba25943"/>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DateTaken" minOccurs="0"/>
                <xsd:element ref="ns2:MediaLengthInSecond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c7c9f4e-4655-4b95-9faa-770a523a603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2" nillable="true" ma:displayName="MediaServiceDateTaken" ma:hidden="true" ma:indexed="true" ma:internalName="MediaServiceDateTaken" ma:readOnly="true">
      <xsd:simpleType>
        <xsd:restriction base="dms:Text"/>
      </xsd:simpleType>
    </xsd:element>
    <xsd:element name="MediaLengthInSeconds" ma:index="13" nillable="true" ma:displayName="MediaLengthInSeconds" ma:hidden="true" ma:internalName="MediaLengthInSeconds" ma:readOnly="true">
      <xsd:simpleType>
        <xsd:restriction base="dms:Unknown"/>
      </xsd:simpleType>
    </xsd:element>
    <xsd:element name="lcf76f155ced4ddcb4097134ff3c332f" ma:index="15" nillable="true" ma:taxonomy="true" ma:internalName="lcf76f155ced4ddcb4097134ff3c332f" ma:taxonomyFieldName="MediaServiceImageTags" ma:displayName="Image Tags" ma:readOnly="false" ma:fieldId="{5cf76f15-5ced-4ddc-b409-7134ff3c332f}" ma:taxonomyMulti="true" ma:sspId="c8cfe719-5118-4d43-ba73-4d58e9725e87" ma:termSetId="09814cd3-568e-fe90-9814-8d621ff8fb84" ma:anchorId="fba54fb3-c3e1-fe81-a776-ca4b69148c4d" ma:open="true" ma:isKeyword="false">
      <xsd:complexType>
        <xsd:sequence>
          <xsd:element ref="pc:Terms" minOccurs="0" maxOccurs="1"/>
        </xsd:sequence>
      </xsd:complexType>
    </xsd:element>
    <xsd:element name="MediaServiceOCR" ma:index="17" nillable="true" ma:displayName="Extracted Text" ma:internalName="MediaServiceOCR"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MediaServiceObjectDetectorVersions" ma:index="20" nillable="true" ma:displayName="MediaServiceObjectDetectorVersions" ma:hidden="true" ma:indexed="true" ma:internalName="MediaServiceObjectDetectorVersions" ma:readOnly="true">
      <xsd:simpleType>
        <xsd:restriction base="dms:Text"/>
      </xsd:simpleType>
    </xsd:element>
    <xsd:element name="MediaServiceSearchProperties" ma:index="21"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c551f61c-2804-4ada-99bd-4215dba25943" elementFormDefault="qualified">
    <xsd:import namespace="http://schemas.microsoft.com/office/2006/documentManagement/types"/>
    <xsd:import namespace="http://schemas.microsoft.com/office/infopath/2007/PartnerControls"/>
    <xsd:element name="TaxCatchAll" ma:index="16" nillable="true" ma:displayName="Taxonomy Catch All Column" ma:hidden="true" ma:list="{86225656-1ef6-4f6d-b417-4da2005c2b8e}" ma:internalName="TaxCatchAll" ma:showField="CatchAllData" ma:web="c551f61c-2804-4ada-99bd-4215dba25943">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40ED8DE5-E5BF-4920-B2B6-DAC07EFD9602}">
  <ds:schemaRefs>
    <ds:schemaRef ds:uri="http://purl.org/dc/dcmitype/"/>
    <ds:schemaRef ds:uri="ac7c9f4e-4655-4b95-9faa-770a523a6031"/>
    <ds:schemaRef ds:uri="http://schemas.microsoft.com/office/2006/documentManagement/types"/>
    <ds:schemaRef ds:uri="http://schemas.microsoft.com/office/2006/metadata/properties"/>
    <ds:schemaRef ds:uri="http://purl.org/dc/terms/"/>
    <ds:schemaRef ds:uri="http://www.w3.org/XML/1998/namespace"/>
    <ds:schemaRef ds:uri="http://purl.org/dc/elements/1.1/"/>
    <ds:schemaRef ds:uri="http://schemas.microsoft.com/office/infopath/2007/PartnerControls"/>
    <ds:schemaRef ds:uri="http://schemas.openxmlformats.org/package/2006/metadata/core-properties"/>
    <ds:schemaRef ds:uri="c551f61c-2804-4ada-99bd-4215dba25943"/>
  </ds:schemaRefs>
</ds:datastoreItem>
</file>

<file path=customXml/itemProps2.xml><?xml version="1.0" encoding="utf-8"?>
<ds:datastoreItem xmlns:ds="http://schemas.openxmlformats.org/officeDocument/2006/customXml" ds:itemID="{4A4AD1B0-CD28-4893-87C2-D9BB4E43F08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c7c9f4e-4655-4b95-9faa-770a523a6031"/>
    <ds:schemaRef ds:uri="c551f61c-2804-4ada-99bd-4215dba2594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77788746-BE55-4FAB-979B-BD4CEA7562FE}">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26</vt:i4>
      </vt:variant>
      <vt:variant>
        <vt:lpstr>Named Ranges</vt:lpstr>
      </vt:variant>
      <vt:variant>
        <vt:i4>1</vt:i4>
      </vt:variant>
    </vt:vector>
  </HeadingPairs>
  <TitlesOfParts>
    <vt:vector size="27" baseType="lpstr">
      <vt:lpstr>Table of Contents</vt:lpstr>
      <vt:lpstr>Calculations</vt:lpstr>
      <vt:lpstr>Date Key</vt:lpstr>
      <vt:lpstr>Summary Report</vt:lpstr>
      <vt:lpstr>Tracer study</vt:lpstr>
      <vt:lpstr>Figures</vt:lpstr>
      <vt:lpstr>Figures (2)</vt:lpstr>
      <vt:lpstr>Tables</vt:lpstr>
      <vt:lpstr>Organized Data</vt:lpstr>
      <vt:lpstr>Master Data Sheet</vt:lpstr>
      <vt:lpstr>ANOVA Data</vt:lpstr>
      <vt:lpstr>ANOVA TIN</vt:lpstr>
      <vt:lpstr>ANOVA TP</vt:lpstr>
      <vt:lpstr>NH4-N</vt:lpstr>
      <vt:lpstr>NO2-N</vt:lpstr>
      <vt:lpstr>NO3-N</vt:lpstr>
      <vt:lpstr>PO4-P</vt:lpstr>
      <vt:lpstr>SO4</vt:lpstr>
      <vt:lpstr>TIN</vt:lpstr>
      <vt:lpstr>Nick's Porosity test and HRT</vt:lpstr>
      <vt:lpstr>Nick's HLR of % area</vt:lpstr>
      <vt:lpstr>DO</vt:lpstr>
      <vt:lpstr>pH</vt:lpstr>
      <vt:lpstr>Alkalinity</vt:lpstr>
      <vt:lpstr>COD</vt:lpstr>
      <vt:lpstr>TP</vt:lpstr>
      <vt:lpstr>SyncSelection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Microsoft Office User;Natchaya Luangphairin</dc:creator>
  <cp:keywords/>
  <dc:description/>
  <cp:lastModifiedBy>Natchaya Luangphairin</cp:lastModifiedBy>
  <cp:revision/>
  <dcterms:created xsi:type="dcterms:W3CDTF">2023-12-13T16:05:31Z</dcterms:created>
  <dcterms:modified xsi:type="dcterms:W3CDTF">2024-07-05T17:10:52Z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0x010100E6A7E68570F95447A3096840F471F80A</vt:lpwstr>
  </property>
  <property fmtid="{D5CDD505-2E9C-101B-9397-08002B2CF9AE}" pid="3" name="MediaServiceImageTags">
    <vt:lpwstr/>
  </property>
</Properties>
</file>