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ospe\Desktop\"/>
    </mc:Choice>
  </mc:AlternateContent>
  <xr:revisionPtr revIDLastSave="0" documentId="8_{0B3B81DC-21FA-4ACD-912A-80AEF4AFCA0D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Pu_actual calculator" sheetId="3" r:id="rId1"/>
    <sheet name="Network pu impedanc calculation" sheetId="5" r:id="rId2"/>
    <sheet name="Droop Formula by AEMO" sheetId="1" r:id="rId3"/>
    <sheet name="Droop and FCAS capacity cal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4" i="5" l="1"/>
  <c r="H21" i="5" s="1"/>
  <c r="K25" i="3" l="1"/>
  <c r="B8" i="3"/>
  <c r="B35" i="3" l="1"/>
  <c r="E4" i="3"/>
  <c r="F25" i="3" s="1"/>
  <c r="F23" i="3"/>
  <c r="F19" i="3" l="1"/>
  <c r="F26" i="3"/>
  <c r="F11" i="3"/>
  <c r="F13" i="3" s="1"/>
  <c r="F17" i="3"/>
  <c r="F20" i="3" s="1"/>
  <c r="B11" i="3"/>
  <c r="B13" i="3" s="1"/>
  <c r="B10" i="5"/>
  <c r="B21" i="5" s="1"/>
  <c r="B23" i="5" s="1"/>
  <c r="B24" i="5" s="1"/>
  <c r="B16" i="3" l="1"/>
  <c r="B17" i="3" s="1"/>
  <c r="B18" i="3" s="1"/>
  <c r="B21" i="3"/>
  <c r="B22" i="3" s="1"/>
  <c r="B23" i="3" s="1"/>
  <c r="B22" i="5"/>
  <c r="H22" i="5" s="1"/>
  <c r="H26" i="5" s="1"/>
  <c r="H23" i="5"/>
  <c r="H27" i="5" s="1"/>
  <c r="H30" i="5" l="1"/>
  <c r="B3" i="2" l="1"/>
  <c r="B17" i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B40" i="2" l="1"/>
  <c r="B30" i="2"/>
  <c r="B39" i="2"/>
  <c r="B20" i="1"/>
  <c r="D31" i="1" s="1"/>
  <c r="B2" i="2"/>
  <c r="B10" i="2"/>
  <c r="E17" i="1"/>
  <c r="B20" i="2"/>
  <c r="B9" i="2"/>
  <c r="B8" i="2"/>
  <c r="B41" i="2"/>
  <c r="B7" i="2"/>
  <c r="B6" i="2"/>
  <c r="B37" i="2"/>
  <c r="B36" i="2"/>
  <c r="B38" i="2"/>
  <c r="B5" i="2"/>
  <c r="B16" i="2"/>
  <c r="B21" i="2"/>
  <c r="B35" i="2"/>
  <c r="B18" i="2"/>
  <c r="B29" i="2"/>
  <c r="B34" i="2"/>
  <c r="B45" i="2"/>
  <c r="B33" i="2"/>
  <c r="B13" i="2"/>
  <c r="B44" i="2"/>
  <c r="B32" i="2"/>
  <c r="B12" i="2"/>
  <c r="B43" i="2"/>
  <c r="B31" i="2"/>
  <c r="B19" i="2"/>
  <c r="B17" i="2"/>
  <c r="B15" i="2"/>
  <c r="B14" i="2"/>
  <c r="B11" i="2"/>
  <c r="B42" i="2"/>
</calcChain>
</file>

<file path=xl/sharedStrings.xml><?xml version="1.0" encoding="utf-8"?>
<sst xmlns="http://schemas.openxmlformats.org/spreadsheetml/2006/main" count="127" uniqueCount="91">
  <si>
    <t>AEMO Droop Standard</t>
  </si>
  <si>
    <t xml:space="preserve">% Droop </t>
  </si>
  <si>
    <t>FB</t>
  </si>
  <si>
    <t>frequency deviation at which the maximum charge or discharge of the BESS</t>
  </si>
  <si>
    <t>D</t>
  </si>
  <si>
    <t>frequency dead band which has a default value, 0.15</t>
  </si>
  <si>
    <t>C</t>
  </si>
  <si>
    <t>registered capacity of the BESS</t>
  </si>
  <si>
    <t>SP</t>
  </si>
  <si>
    <t>capacity of the BESS used to provide an FCAS response.</t>
  </si>
  <si>
    <t>%Droop</t>
  </si>
  <si>
    <t>%droop</t>
  </si>
  <si>
    <t>FR</t>
  </si>
  <si>
    <t>absolute value of the difference between 50 Hz and the raise or lower reference frequency</t>
  </si>
  <si>
    <t xml:space="preserve">C </t>
  </si>
  <si>
    <t>Contringency FACS Capacity</t>
  </si>
  <si>
    <t>Hz</t>
  </si>
  <si>
    <t>MW</t>
  </si>
  <si>
    <t>Droop pu</t>
  </si>
  <si>
    <t>FCAS capacity Cal</t>
  </si>
  <si>
    <t>%</t>
  </si>
  <si>
    <t>Contingency FCAS Capacity(Or manually FCAS capacity can be derived from chaing %Droop below)</t>
  </si>
  <si>
    <t>MVAbase</t>
  </si>
  <si>
    <t>Zbase</t>
  </si>
  <si>
    <t>mH</t>
  </si>
  <si>
    <t>X/R</t>
  </si>
  <si>
    <t>X/R ratio</t>
  </si>
  <si>
    <t>F</t>
  </si>
  <si>
    <t>Z_net = (($Un*1000)**2)/(Sk_net*1.0e6)</t>
  </si>
  <si>
    <t>R_net = Z_net*cos(atan($X_R_net))</t>
  </si>
  <si>
    <t>L_net = (Z_net*sin(atan($X_R_net)))/(2*pi_cons*$i2)</t>
  </si>
  <si>
    <t>Sk_net</t>
  </si>
  <si>
    <t>Sk_net = $i1*$SCR</t>
  </si>
  <si>
    <t>pi_cons = 3.141592653589793238462643</t>
  </si>
  <si>
    <t>PlantMVA</t>
  </si>
  <si>
    <t>Nominal Hz</t>
  </si>
  <si>
    <t>SCR</t>
  </si>
  <si>
    <t>Z_net</t>
  </si>
  <si>
    <t>Vnom</t>
  </si>
  <si>
    <t>R_net</t>
  </si>
  <si>
    <t>L_net[H]</t>
  </si>
  <si>
    <t>ohm</t>
  </si>
  <si>
    <t>Ractual</t>
  </si>
  <si>
    <t>Xl_actual</t>
  </si>
  <si>
    <t>Rpu</t>
  </si>
  <si>
    <t>Xpu</t>
  </si>
  <si>
    <t>pu</t>
  </si>
  <si>
    <t>Input section</t>
  </si>
  <si>
    <t>Calcaulted Section</t>
  </si>
  <si>
    <t>From PVS980 ABB Formula</t>
  </si>
  <si>
    <t>L_net[ohm]</t>
  </si>
  <si>
    <t>H</t>
  </si>
  <si>
    <t xml:space="preserve">Impedance PU-Actual Calculator </t>
  </si>
  <si>
    <t>Input section(Base input)</t>
  </si>
  <si>
    <t>kVbase</t>
  </si>
  <si>
    <t>Calculation of Zbase(ohm)</t>
  </si>
  <si>
    <t>Getting Actual Impedance</t>
  </si>
  <si>
    <t>Zpu?</t>
  </si>
  <si>
    <t>Zactual(ohm)</t>
  </si>
  <si>
    <t>Inductance</t>
  </si>
  <si>
    <t>Freq?</t>
  </si>
  <si>
    <t>hz</t>
  </si>
  <si>
    <t>Henry Converter</t>
  </si>
  <si>
    <t>Farad Converter</t>
  </si>
  <si>
    <t>Conductance</t>
  </si>
  <si>
    <t>uF</t>
  </si>
  <si>
    <t>Getting Pu from actual value(Ohm)</t>
  </si>
  <si>
    <t>R(ohm)?</t>
  </si>
  <si>
    <t>R(pu)</t>
  </si>
  <si>
    <t>Getting pu from actual value(Henry)</t>
  </si>
  <si>
    <t>L?[H]</t>
  </si>
  <si>
    <t>converted Xl</t>
  </si>
  <si>
    <t>XL(pu)</t>
  </si>
  <si>
    <t>Getting pu from actual value(Farad)</t>
  </si>
  <si>
    <t>C?[F]</t>
  </si>
  <si>
    <t>[F]</t>
  </si>
  <si>
    <t>converted Xc</t>
  </si>
  <si>
    <t>XC(pu)</t>
  </si>
  <si>
    <t xml:space="preserve">Changing base </t>
  </si>
  <si>
    <t>new pu</t>
  </si>
  <si>
    <t>new base(MVA)?</t>
  </si>
  <si>
    <t>old base(MVA)?</t>
  </si>
  <si>
    <t>new (kV)?</t>
  </si>
  <si>
    <t>old (kV)?</t>
  </si>
  <si>
    <t>old pu?</t>
  </si>
  <si>
    <t>rules</t>
  </si>
  <si>
    <t>Input!</t>
  </si>
  <si>
    <t>Don't touch</t>
  </si>
  <si>
    <t>As of Three Phase</t>
  </si>
  <si>
    <t>Applying MVA</t>
  </si>
  <si>
    <t>Applying Vnom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</si>
</sst>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  <numFmt numFmtId="166" formatCode="_-* #,##0.00000000_-;\-* #,##0.00000000_-;_-* &quot;-&quot;??_-;_-@_-"/>
    <numFmt numFmtId="167" formatCode="_-* #,##0.0000000000000_-;\-* #,##0.0000000000000_-;_-* &quot;-&quot;??_-;_-@_-"/>
    <numFmt numFmtId="168" formatCode="0.0000000000"/>
    <numFmt numFmtId="169" formatCode="0.000000000000000"/>
    <numFmt numFmtId="170" formatCode="0.0000000000000000000"/>
    <numFmt numFmtId="171" formatCode="_-* #,##0.000000000000000_-;\-* #,##0.000000000000000_-;_-* &quot;-&quot;??_-;_-@_-"/>
    <numFmt numFmtId="172" formatCode="_-* #,##0.0000000_-;\-* #,##0.0000000_-;_-* &quot;-&quot;??_-;_-@_-"/>
    <numFmt numFmtId="173" formatCode="_-* #,##0.000000000_-;\-* #,##0.0000000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0" borderId="0" xfId="1" applyNumberFormat="1" applyFont="1"/>
    <xf numFmtId="165" fontId="0" fillId="0" borderId="0" xfId="1" applyNumberFormat="1" applyFont="1"/>
    <xf numFmtId="43" fontId="0" fillId="0" borderId="0" xfId="0" applyNumberFormat="1"/>
    <xf numFmtId="165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3" fillId="0" borderId="0" xfId="0" applyFont="1"/>
    <xf numFmtId="167" fontId="3" fillId="0" borderId="0" xfId="0" applyNumberFormat="1" applyFont="1"/>
    <xf numFmtId="169" fontId="3" fillId="0" borderId="0" xfId="0" applyNumberFormat="1" applyFont="1"/>
    <xf numFmtId="170" fontId="0" fillId="0" borderId="0" xfId="0" applyNumberFormat="1"/>
    <xf numFmtId="171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5" fillId="0" borderId="0" xfId="0" applyFont="1"/>
    <xf numFmtId="43" fontId="0" fillId="3" borderId="1" xfId="1" applyFont="1" applyFill="1" applyBorder="1"/>
    <xf numFmtId="43" fontId="0" fillId="3" borderId="1" xfId="0" applyNumberFormat="1" applyFill="1" applyBorder="1"/>
    <xf numFmtId="173" fontId="0" fillId="3" borderId="1" xfId="0" applyNumberFormat="1" applyFill="1" applyBorder="1"/>
    <xf numFmtId="0" fontId="0" fillId="0" borderId="0" xfId="0" applyFill="1"/>
    <xf numFmtId="164" fontId="0" fillId="0" borderId="1" xfId="0" applyNumberFormat="1" applyBorder="1"/>
    <xf numFmtId="172" fontId="0" fillId="3" borderId="1" xfId="0" applyNumberFormat="1" applyFill="1" applyBorder="1"/>
    <xf numFmtId="0" fontId="4" fillId="0" borderId="0" xfId="0" applyFont="1"/>
    <xf numFmtId="43" fontId="0" fillId="2" borderId="1" xfId="1" applyFont="1" applyFill="1" applyBorder="1"/>
    <xf numFmtId="166" fontId="0" fillId="2" borderId="1" xfId="1" applyNumberFormat="1" applyFont="1" applyFill="1" applyBorder="1"/>
    <xf numFmtId="166" fontId="0" fillId="3" borderId="1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Frequency</a:t>
            </a:r>
            <a:r>
              <a:rPr lang="en-AU" baseline="0"/>
              <a:t> - Watt Droop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'Droop and FCAS capacity cal'!$A$5:$A$45</c:f>
              <c:numCache>
                <c:formatCode>General</c:formatCode>
                <c:ptCount val="41"/>
                <c:pt idx="0">
                  <c:v>49</c:v>
                </c:pt>
                <c:pt idx="1">
                  <c:v>49.05</c:v>
                </c:pt>
                <c:pt idx="2">
                  <c:v>49.099999999999994</c:v>
                </c:pt>
                <c:pt idx="3">
                  <c:v>49.149999999999991</c:v>
                </c:pt>
                <c:pt idx="4">
                  <c:v>49.199999999999989</c:v>
                </c:pt>
                <c:pt idx="5">
                  <c:v>49.249999999999986</c:v>
                </c:pt>
                <c:pt idx="6">
                  <c:v>49.299999999999983</c:v>
                </c:pt>
                <c:pt idx="7">
                  <c:v>49.34999999999998</c:v>
                </c:pt>
                <c:pt idx="8">
                  <c:v>49.399999999999977</c:v>
                </c:pt>
                <c:pt idx="9">
                  <c:v>49.449999999999974</c:v>
                </c:pt>
                <c:pt idx="10">
                  <c:v>49.499999999999972</c:v>
                </c:pt>
                <c:pt idx="11">
                  <c:v>49.549999999999969</c:v>
                </c:pt>
                <c:pt idx="12">
                  <c:v>49.599999999999966</c:v>
                </c:pt>
                <c:pt idx="13">
                  <c:v>49.649999999999963</c:v>
                </c:pt>
                <c:pt idx="14">
                  <c:v>49.69999999999996</c:v>
                </c:pt>
                <c:pt idx="15">
                  <c:v>49.749999999999957</c:v>
                </c:pt>
                <c:pt idx="16">
                  <c:v>49.799999999999955</c:v>
                </c:pt>
                <c:pt idx="17">
                  <c:v>49.849999999999952</c:v>
                </c:pt>
                <c:pt idx="18">
                  <c:v>49.899999999999949</c:v>
                </c:pt>
                <c:pt idx="19">
                  <c:v>49.949999999999946</c:v>
                </c:pt>
                <c:pt idx="20">
                  <c:v>49.999999999999943</c:v>
                </c:pt>
                <c:pt idx="21">
                  <c:v>50.04999999999994</c:v>
                </c:pt>
                <c:pt idx="22">
                  <c:v>50.099999999999937</c:v>
                </c:pt>
                <c:pt idx="23">
                  <c:v>50.149999999999935</c:v>
                </c:pt>
                <c:pt idx="24">
                  <c:v>50.199999999999932</c:v>
                </c:pt>
                <c:pt idx="25">
                  <c:v>50.249999999999929</c:v>
                </c:pt>
                <c:pt idx="26">
                  <c:v>50.299999999999926</c:v>
                </c:pt>
                <c:pt idx="27">
                  <c:v>50.349999999999923</c:v>
                </c:pt>
                <c:pt idx="28">
                  <c:v>50.39999999999992</c:v>
                </c:pt>
                <c:pt idx="29">
                  <c:v>50.449999999999918</c:v>
                </c:pt>
                <c:pt idx="30">
                  <c:v>50.499999999999915</c:v>
                </c:pt>
                <c:pt idx="31">
                  <c:v>50.549999999999912</c:v>
                </c:pt>
                <c:pt idx="32">
                  <c:v>50.599999999999909</c:v>
                </c:pt>
                <c:pt idx="33">
                  <c:v>50.649999999999906</c:v>
                </c:pt>
                <c:pt idx="34">
                  <c:v>50.699999999999903</c:v>
                </c:pt>
                <c:pt idx="35">
                  <c:v>50.749999999999901</c:v>
                </c:pt>
                <c:pt idx="36">
                  <c:v>50.799999999999898</c:v>
                </c:pt>
                <c:pt idx="37">
                  <c:v>50.849999999999895</c:v>
                </c:pt>
                <c:pt idx="38">
                  <c:v>50.899999999999892</c:v>
                </c:pt>
                <c:pt idx="39">
                  <c:v>50.949999999999889</c:v>
                </c:pt>
                <c:pt idx="40">
                  <c:v>50.999999999999886</c:v>
                </c:pt>
              </c:numCache>
            </c:numRef>
          </c:xVal>
          <c:yVal>
            <c:numRef>
              <c:f>'Droop and FCAS capacity cal'!$B$5:$B$45</c:f>
              <c:numCache>
                <c:formatCode>General</c:formatCode>
                <c:ptCount val="41"/>
                <c:pt idx="0">
                  <c:v>49.999999999999993</c:v>
                </c:pt>
                <c:pt idx="1">
                  <c:v>47.058823529411931</c:v>
                </c:pt>
                <c:pt idx="2">
                  <c:v>44.117647058823863</c:v>
                </c:pt>
                <c:pt idx="3">
                  <c:v>41.176470588235794</c:v>
                </c:pt>
                <c:pt idx="4">
                  <c:v>38.235294117647726</c:v>
                </c:pt>
                <c:pt idx="5">
                  <c:v>35.294117647059657</c:v>
                </c:pt>
                <c:pt idx="6">
                  <c:v>32.352941176471589</c:v>
                </c:pt>
                <c:pt idx="7">
                  <c:v>29.41176470588352</c:v>
                </c:pt>
                <c:pt idx="8">
                  <c:v>26.470588235295452</c:v>
                </c:pt>
                <c:pt idx="9">
                  <c:v>23.529411764707383</c:v>
                </c:pt>
                <c:pt idx="10">
                  <c:v>20.588235294119318</c:v>
                </c:pt>
                <c:pt idx="11">
                  <c:v>17.64705882353125</c:v>
                </c:pt>
                <c:pt idx="12">
                  <c:v>14.705882352943181</c:v>
                </c:pt>
                <c:pt idx="13">
                  <c:v>11.764705882355114</c:v>
                </c:pt>
                <c:pt idx="14">
                  <c:v>8.823529411767046</c:v>
                </c:pt>
                <c:pt idx="15">
                  <c:v>5.8823529411789783</c:v>
                </c:pt>
                <c:pt idx="16">
                  <c:v>2.9411764705909103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-2.9411764705842232</c:v>
                </c:pt>
                <c:pt idx="25">
                  <c:v>-5.8823529411722912</c:v>
                </c:pt>
                <c:pt idx="26">
                  <c:v>-8.8235294117603598</c:v>
                </c:pt>
                <c:pt idx="27">
                  <c:v>-11.764705882348427</c:v>
                </c:pt>
                <c:pt idx="28">
                  <c:v>-14.705882352936495</c:v>
                </c:pt>
                <c:pt idx="29">
                  <c:v>-17.64705882352456</c:v>
                </c:pt>
                <c:pt idx="30">
                  <c:v>-20.588235294112629</c:v>
                </c:pt>
                <c:pt idx="31">
                  <c:v>-23.529411764700697</c:v>
                </c:pt>
                <c:pt idx="32">
                  <c:v>-26.470588235288766</c:v>
                </c:pt>
                <c:pt idx="33">
                  <c:v>-29.411764705876838</c:v>
                </c:pt>
                <c:pt idx="34">
                  <c:v>-32.352941176464903</c:v>
                </c:pt>
                <c:pt idx="35">
                  <c:v>-35.294117647052971</c:v>
                </c:pt>
                <c:pt idx="36">
                  <c:v>-38.23529411764104</c:v>
                </c:pt>
                <c:pt idx="37">
                  <c:v>-41.176470588229108</c:v>
                </c:pt>
                <c:pt idx="38">
                  <c:v>-44.11764705881717</c:v>
                </c:pt>
                <c:pt idx="39">
                  <c:v>-47.058823529405238</c:v>
                </c:pt>
                <c:pt idx="40">
                  <c:v>-49.999999999993307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AC-4D53-831D-C77EFB03B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603776"/>
        <c:axId val="518572288"/>
      </c:scatterChart>
      <c:valAx>
        <c:axId val="51860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72288"/>
        <c:crosses val="autoZero"/>
        <c:crossBetween val="midCat"/>
      </c:valAx>
      <c:valAx>
        <c:axId val="51857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0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604630</xdr:colOff>
      <xdr:row>22</xdr:row>
      <xdr:rowOff>157369</xdr:rowOff>
    </xdr:from>
    <xdr:to>
      <xdr:col>5</xdr:col>
      <xdr:colOff>128712</xdr:colOff>
      <xdr:row>25</xdr:row>
      <xdr:rowOff>157369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1F4B681D-14E6-4280-90F9-CA2CC19890BB}"/>
            </a:ext>
          </a:extLst>
        </xdr:cNvPr>
        <xdr:cNvSpPr/>
      </xdr:nvSpPr>
      <xdr:spPr>
        <a:xfrm>
          <a:off x="2882347" y="4166152"/>
          <a:ext cx="749908" cy="54665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6</xdr:col>
      <xdr:colOff>323351</xdr:colOff>
      <xdr:row>14</xdr:row>
      <xdr:rowOff>37976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714500"/>
          <a:ext cx="3990476" cy="9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10</xdr:col>
      <xdr:colOff>211455</xdr:colOff>
      <xdr:row>28</xdr:row>
      <xdr:rowOff>129959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62500"/>
          <a:ext cx="6315075" cy="7052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268941</xdr:colOff>
      <xdr:row>2</xdr:row>
      <xdr:rowOff>85162</xdr:rowOff>
    </xdr:from>
    <xdr:to>
      <xdr:col>14</xdr:col>
      <xdr:colOff>224117</xdr:colOff>
      <xdr:row>26</xdr:row>
      <xdr:rowOff>11206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6"/>
  <sheetViews>
    <sheetView topLeftCell="A10" zoomScale="115" zoomScaleNormal="115" workbookViewId="0">
      <selection activeCell="D36" sqref="D36"/>
    </sheetView>
  </sheetViews>
  <sheetFormatPr defaultRowHeight="15" x14ac:dyDescent="0.25"/>
  <cols>
    <col min="1" max="1" width="19.5703125" customWidth="1"/>
    <col min="2" max="2" width="18.28515625" customWidth="1"/>
    <col min="5" max="5" width="12.28515625" bestFit="1" customWidth="1"/>
    <col min="6" max="6" width="20.85546875" customWidth="1"/>
    <col min="10" max="10" width="11.5703125" customWidth="1"/>
    <col min="11" max="11" width="39.28515625" customWidth="1"/>
    <col min="12" max="12" width="40" customWidth="1"/>
  </cols>
  <sheetData>
    <row r="1" spans="1:10" ht="46.5" x14ac:dyDescent="0.7">
      <c r="A1" s="21" t="s">
        <v>52</v>
      </c>
    </row>
    <row r="2" spans="1:10" x14ac:dyDescent="0.25">
      <c r="A2" t="s">
        <v>88</v>
      </c>
    </row>
    <row r="3" spans="1:10" x14ac:dyDescent="0.25">
      <c r="A3" s="28" t="s">
        <v>53</v>
      </c>
    </row>
    <row r="4" spans="1:10" x14ac:dyDescent="0.25">
      <c r="A4" s="16" t="s">
        <v>54</v>
      </c>
      <c r="B4" s="17">
        <v>33</v>
      </c>
      <c r="D4" s="16" t="s">
        <v>60</v>
      </c>
      <c r="E4" s="17">
        <f>50</f>
        <v>50</v>
      </c>
      <c r="F4" s="16" t="s">
        <v>61</v>
      </c>
      <c r="I4" s="17"/>
      <c r="J4" s="16" t="s">
        <v>86</v>
      </c>
    </row>
    <row r="5" spans="1:10" x14ac:dyDescent="0.25">
      <c r="A5" s="16" t="s">
        <v>22</v>
      </c>
      <c r="B5" s="17">
        <v>100</v>
      </c>
      <c r="I5" s="18"/>
      <c r="J5" s="16" t="s">
        <v>87</v>
      </c>
    </row>
    <row r="7" spans="1:10" x14ac:dyDescent="0.25">
      <c r="A7" s="28" t="s">
        <v>55</v>
      </c>
      <c r="E7" s="25"/>
      <c r="F7" s="25"/>
    </row>
    <row r="8" spans="1:10" x14ac:dyDescent="0.25">
      <c r="A8" s="16" t="s">
        <v>23</v>
      </c>
      <c r="B8" s="22">
        <f>(B4*1000)^2/(B5*1000000)</f>
        <v>10.89</v>
      </c>
      <c r="C8" t="s">
        <v>41</v>
      </c>
      <c r="E8" s="25"/>
      <c r="F8" s="25"/>
    </row>
    <row r="9" spans="1:10" x14ac:dyDescent="0.25">
      <c r="E9" s="25"/>
      <c r="F9" s="25"/>
    </row>
    <row r="10" spans="1:10" x14ac:dyDescent="0.25">
      <c r="A10" s="28" t="s">
        <v>56</v>
      </c>
      <c r="E10" s="28" t="s">
        <v>66</v>
      </c>
    </row>
    <row r="11" spans="1:10" x14ac:dyDescent="0.25">
      <c r="A11" s="16" t="s">
        <v>23</v>
      </c>
      <c r="B11" s="23">
        <f>B8</f>
        <v>10.89</v>
      </c>
      <c r="E11" s="16" t="s">
        <v>23</v>
      </c>
      <c r="F11" s="23">
        <f>B8</f>
        <v>10.89</v>
      </c>
      <c r="G11" s="16" t="s">
        <v>41</v>
      </c>
    </row>
    <row r="12" spans="1:10" x14ac:dyDescent="0.25">
      <c r="A12" s="16" t="s">
        <v>57</v>
      </c>
      <c r="B12" s="17">
        <v>3.9399999999999998E-4</v>
      </c>
      <c r="E12" s="16" t="s">
        <v>67</v>
      </c>
      <c r="F12" s="17">
        <v>2.3332000000000002</v>
      </c>
      <c r="G12" s="16" t="s">
        <v>41</v>
      </c>
    </row>
    <row r="13" spans="1:10" x14ac:dyDescent="0.25">
      <c r="A13" s="16" t="s">
        <v>58</v>
      </c>
      <c r="B13" s="31">
        <f>B11*B12</f>
        <v>4.29066E-3</v>
      </c>
      <c r="E13" s="16" t="s">
        <v>68</v>
      </c>
      <c r="F13" s="23">
        <f>F12/F11</f>
        <v>0.21425160697887971</v>
      </c>
      <c r="G13" s="16" t="s">
        <v>46</v>
      </c>
    </row>
    <row r="15" spans="1:10" x14ac:dyDescent="0.25">
      <c r="A15" s="28" t="s">
        <v>62</v>
      </c>
    </row>
    <row r="16" spans="1:10" x14ac:dyDescent="0.25">
      <c r="A16" s="16" t="s">
        <v>58</v>
      </c>
      <c r="B16" s="23">
        <f>B13</f>
        <v>4.29066E-3</v>
      </c>
      <c r="C16" s="16" t="s">
        <v>41</v>
      </c>
      <c r="E16" s="28" t="s">
        <v>69</v>
      </c>
    </row>
    <row r="17" spans="1:12" x14ac:dyDescent="0.25">
      <c r="A17" s="16" t="s">
        <v>59</v>
      </c>
      <c r="B17" s="18">
        <f>B16/(2*PI()*E4)</f>
        <v>1.3657594962533433E-5</v>
      </c>
      <c r="C17" s="16" t="s">
        <v>51</v>
      </c>
      <c r="E17" s="16" t="s">
        <v>23</v>
      </c>
      <c r="F17" s="23">
        <f>B8</f>
        <v>10.89</v>
      </c>
      <c r="G17" s="16" t="s">
        <v>41</v>
      </c>
    </row>
    <row r="18" spans="1:12" x14ac:dyDescent="0.25">
      <c r="A18" s="16"/>
      <c r="B18" s="18">
        <f>B17*1000</f>
        <v>1.3657594962533433E-2</v>
      </c>
      <c r="C18" s="16" t="s">
        <v>24</v>
      </c>
      <c r="E18" s="16" t="s">
        <v>70</v>
      </c>
      <c r="F18" s="17">
        <v>4.8274399999999997E-3</v>
      </c>
      <c r="G18" s="16" t="s">
        <v>51</v>
      </c>
    </row>
    <row r="19" spans="1:12" x14ac:dyDescent="0.25">
      <c r="E19" s="16" t="s">
        <v>71</v>
      </c>
      <c r="F19" s="18">
        <f>2*PI()*E4*F18</f>
        <v>1.516585003964551</v>
      </c>
      <c r="G19" s="16" t="s">
        <v>41</v>
      </c>
    </row>
    <row r="20" spans="1:12" x14ac:dyDescent="0.25">
      <c r="A20" s="28" t="s">
        <v>63</v>
      </c>
      <c r="E20" s="16" t="s">
        <v>72</v>
      </c>
      <c r="F20" s="24">
        <f>F19/F17</f>
        <v>0.13926400403714884</v>
      </c>
      <c r="G20" s="16" t="s">
        <v>46</v>
      </c>
    </row>
    <row r="21" spans="1:12" x14ac:dyDescent="0.25">
      <c r="A21" s="16" t="s">
        <v>58</v>
      </c>
      <c r="B21" s="24">
        <f>B13</f>
        <v>4.29066E-3</v>
      </c>
      <c r="C21" s="16" t="s">
        <v>41</v>
      </c>
    </row>
    <row r="22" spans="1:12" x14ac:dyDescent="0.25">
      <c r="A22" s="16" t="s">
        <v>64</v>
      </c>
      <c r="B22" s="24">
        <f>1/(2*PI()*E4*B21)</f>
        <v>0.74186695329807228</v>
      </c>
      <c r="C22" s="16" t="s">
        <v>27</v>
      </c>
      <c r="E22" s="28" t="s">
        <v>73</v>
      </c>
    </row>
    <row r="23" spans="1:12" x14ac:dyDescent="0.25">
      <c r="A23" s="16"/>
      <c r="B23" s="23">
        <f>B22*1000000</f>
        <v>741866.95329807233</v>
      </c>
      <c r="C23" s="16" t="s">
        <v>65</v>
      </c>
      <c r="E23" s="16" t="s">
        <v>23</v>
      </c>
      <c r="F23" s="23">
        <f>B8</f>
        <v>10.89</v>
      </c>
      <c r="G23" s="16" t="s">
        <v>41</v>
      </c>
    </row>
    <row r="24" spans="1:12" x14ac:dyDescent="0.25">
      <c r="E24" s="16" t="s">
        <v>74</v>
      </c>
      <c r="F24" s="17">
        <v>2.0988600000000001E-3</v>
      </c>
      <c r="G24" s="16" t="s">
        <v>75</v>
      </c>
    </row>
    <row r="25" spans="1:12" x14ac:dyDescent="0.25">
      <c r="B25" s="5"/>
      <c r="E25" s="26" t="s">
        <v>76</v>
      </c>
      <c r="F25" s="18">
        <f>1/(2*PI()*E4*F24)</f>
        <v>1.5165846515908192</v>
      </c>
      <c r="G25" s="16" t="s">
        <v>41</v>
      </c>
      <c r="J25">
        <v>0.29699999999999999</v>
      </c>
      <c r="K25">
        <f>J25/1000000</f>
        <v>2.9699999999999997E-7</v>
      </c>
    </row>
    <row r="26" spans="1:12" x14ac:dyDescent="0.25">
      <c r="B26" s="5"/>
      <c r="E26" s="26" t="s">
        <v>77</v>
      </c>
      <c r="F26" s="27">
        <f>F25/F23</f>
        <v>0.13926397167959773</v>
      </c>
      <c r="G26" s="16" t="s">
        <v>46</v>
      </c>
      <c r="L26" s="7"/>
    </row>
    <row r="27" spans="1:12" x14ac:dyDescent="0.25">
      <c r="B27" s="5"/>
      <c r="K27" s="9"/>
    </row>
    <row r="28" spans="1:12" x14ac:dyDescent="0.25">
      <c r="B28" s="6"/>
      <c r="K28" s="9"/>
    </row>
    <row r="29" spans="1:12" x14ac:dyDescent="0.25">
      <c r="A29" s="28" t="s">
        <v>78</v>
      </c>
      <c r="L29" s="7"/>
    </row>
    <row r="30" spans="1:12" x14ac:dyDescent="0.25">
      <c r="A30" s="16" t="s">
        <v>80</v>
      </c>
      <c r="B30" s="29">
        <v>100</v>
      </c>
      <c r="F30" s="8"/>
    </row>
    <row r="31" spans="1:12" x14ac:dyDescent="0.25">
      <c r="A31" s="16" t="s">
        <v>81</v>
      </c>
      <c r="B31" s="29">
        <v>123.42</v>
      </c>
    </row>
    <row r="32" spans="1:12" ht="15.6" customHeight="1" x14ac:dyDescent="0.35">
      <c r="A32" s="16" t="s">
        <v>82</v>
      </c>
      <c r="B32" s="29">
        <v>132</v>
      </c>
      <c r="F32" s="9"/>
      <c r="J32" s="11"/>
      <c r="K32" s="12"/>
    </row>
    <row r="33" spans="1:12" ht="15" customHeight="1" x14ac:dyDescent="0.35">
      <c r="A33" s="16" t="s">
        <v>83</v>
      </c>
      <c r="B33" s="29">
        <v>132</v>
      </c>
      <c r="F33" s="15"/>
      <c r="J33" s="11"/>
      <c r="K33" s="13"/>
      <c r="L33" s="14"/>
    </row>
    <row r="34" spans="1:12" x14ac:dyDescent="0.25">
      <c r="A34" s="16" t="s">
        <v>84</v>
      </c>
      <c r="B34" s="30">
        <v>1.0880000000000001E-2</v>
      </c>
    </row>
    <row r="35" spans="1:12" x14ac:dyDescent="0.25">
      <c r="A35" s="16" t="s">
        <v>79</v>
      </c>
      <c r="B35" s="31">
        <f>B34*(B33/B32)^2*(B30/B31)</f>
        <v>8.81542699724518E-3</v>
      </c>
    </row>
    <row r="36" spans="1:12" x14ac:dyDescent="0.25">
      <c r="B36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BCDE0-1B54-45A5-9067-5F925AE4D32D}">
  <dimension ref="A1:I30"/>
  <sheetViews>
    <sheetView tabSelected="1" topLeftCell="A10" zoomScale="115" zoomScaleNormal="115" workbookViewId="0">
      <selection activeCell="B17" sqref="B17"/>
    </sheetView>
  </sheetViews>
  <sheetFormatPr defaultRowHeight="15" x14ac:dyDescent="0.25"/>
  <cols>
    <col min="1" max="1" width="12.28515625" customWidth="1"/>
    <col min="2" max="2" width="12" bestFit="1" customWidth="1"/>
    <col min="8" max="8" width="26.7109375" customWidth="1"/>
  </cols>
  <sheetData>
    <row r="1" spans="1:9" x14ac:dyDescent="0.25">
      <c r="A1" s="28" t="s">
        <v>49</v>
      </c>
    </row>
    <row r="2" spans="1:9" x14ac:dyDescent="0.25">
      <c r="A2" t="s">
        <v>85</v>
      </c>
    </row>
    <row r="3" spans="1:9" x14ac:dyDescent="0.25">
      <c r="A3" t="s">
        <v>32</v>
      </c>
    </row>
    <row r="4" spans="1:9" x14ac:dyDescent="0.25">
      <c r="A4" t="s">
        <v>33</v>
      </c>
      <c r="G4" s="16" t="s">
        <v>60</v>
      </c>
      <c r="H4" s="17">
        <v>50</v>
      </c>
    </row>
    <row r="5" spans="1:9" x14ac:dyDescent="0.25">
      <c r="A5" t="s">
        <v>28</v>
      </c>
    </row>
    <row r="6" spans="1:9" x14ac:dyDescent="0.25">
      <c r="A6" t="s">
        <v>29</v>
      </c>
    </row>
    <row r="7" spans="1:9" x14ac:dyDescent="0.25">
      <c r="A7" t="s">
        <v>30</v>
      </c>
    </row>
    <row r="10" spans="1:9" x14ac:dyDescent="0.25">
      <c r="A10" s="16" t="s">
        <v>31</v>
      </c>
      <c r="B10" s="18">
        <f>B14*B15</f>
        <v>312.18</v>
      </c>
    </row>
    <row r="12" spans="1:9" x14ac:dyDescent="0.25">
      <c r="A12" s="28" t="s">
        <v>47</v>
      </c>
      <c r="H12" t="s">
        <v>89</v>
      </c>
      <c r="I12">
        <v>100</v>
      </c>
    </row>
    <row r="13" spans="1:9" x14ac:dyDescent="0.25">
      <c r="A13" s="16" t="s">
        <v>35</v>
      </c>
      <c r="B13" s="17">
        <v>50</v>
      </c>
      <c r="H13" t="s">
        <v>90</v>
      </c>
      <c r="I13">
        <v>132</v>
      </c>
    </row>
    <row r="14" spans="1:9" x14ac:dyDescent="0.25">
      <c r="A14" s="16" t="s">
        <v>34</v>
      </c>
      <c r="B14" s="17">
        <v>156.09</v>
      </c>
      <c r="I14" s="18">
        <f>(I13*1000)^2/(I12*1000000)</f>
        <v>174.24</v>
      </c>
    </row>
    <row r="15" spans="1:9" x14ac:dyDescent="0.25">
      <c r="A15" s="16" t="s">
        <v>36</v>
      </c>
      <c r="B15" s="17">
        <v>2</v>
      </c>
    </row>
    <row r="16" spans="1:9" x14ac:dyDescent="0.25">
      <c r="A16" s="16" t="s">
        <v>38</v>
      </c>
      <c r="B16" s="17">
        <v>132</v>
      </c>
    </row>
    <row r="17" spans="1:9" x14ac:dyDescent="0.25">
      <c r="A17" s="16" t="s">
        <v>26</v>
      </c>
      <c r="B17" s="17">
        <v>10</v>
      </c>
    </row>
    <row r="19" spans="1:9" x14ac:dyDescent="0.25">
      <c r="A19" s="28" t="s">
        <v>48</v>
      </c>
    </row>
    <row r="20" spans="1:9" x14ac:dyDescent="0.25">
      <c r="A20" s="16"/>
      <c r="B20" s="18"/>
    </row>
    <row r="21" spans="1:9" x14ac:dyDescent="0.25">
      <c r="A21" s="16" t="s">
        <v>37</v>
      </c>
      <c r="B21" s="18">
        <f>(B16*1000)^2/(B10*1000000)</f>
        <v>55.813953488372093</v>
      </c>
      <c r="C21" t="s">
        <v>41</v>
      </c>
      <c r="G21" s="19" t="s">
        <v>23</v>
      </c>
      <c r="H21" s="19">
        <f>I14</f>
        <v>174.24</v>
      </c>
      <c r="I21" s="19" t="s">
        <v>41</v>
      </c>
    </row>
    <row r="22" spans="1:9" x14ac:dyDescent="0.25">
      <c r="A22" s="16" t="s">
        <v>39</v>
      </c>
      <c r="B22" s="18">
        <f>B21*COS(ATAN(B17))</f>
        <v>5.553695945358073</v>
      </c>
      <c r="C22" t="s">
        <v>41</v>
      </c>
      <c r="G22" s="19" t="s">
        <v>42</v>
      </c>
      <c r="H22" s="19">
        <f>B22</f>
        <v>5.553695945358073</v>
      </c>
      <c r="I22" s="19" t="s">
        <v>41</v>
      </c>
    </row>
    <row r="23" spans="1:9" x14ac:dyDescent="0.25">
      <c r="A23" s="16" t="s">
        <v>40</v>
      </c>
      <c r="B23" s="18">
        <f>(B21*SIN(ATAN(B17)))/(2*PI()*B13)</f>
        <v>0.176779632426631</v>
      </c>
      <c r="C23" t="s">
        <v>51</v>
      </c>
      <c r="G23" s="19" t="s">
        <v>43</v>
      </c>
      <c r="H23" s="19">
        <f>B24</f>
        <v>55.536959453580792</v>
      </c>
      <c r="I23" s="19" t="s">
        <v>41</v>
      </c>
    </row>
    <row r="24" spans="1:9" x14ac:dyDescent="0.25">
      <c r="A24" s="16" t="s">
        <v>50</v>
      </c>
      <c r="B24" s="18">
        <f>B23*2*PI()*B13</f>
        <v>55.536959453580792</v>
      </c>
      <c r="C24" t="s">
        <v>41</v>
      </c>
      <c r="G24" s="19"/>
      <c r="H24" s="19"/>
      <c r="I24" s="19"/>
    </row>
    <row r="25" spans="1:9" x14ac:dyDescent="0.25">
      <c r="G25" s="19"/>
      <c r="H25" s="19"/>
      <c r="I25" s="19"/>
    </row>
    <row r="26" spans="1:9" ht="21" x14ac:dyDescent="0.35">
      <c r="G26" s="20" t="s">
        <v>44</v>
      </c>
      <c r="H26" s="20">
        <f>H22/H21</f>
        <v>3.187382888750042E-2</v>
      </c>
      <c r="I26" s="20" t="s">
        <v>46</v>
      </c>
    </row>
    <row r="27" spans="1:9" ht="21" x14ac:dyDescent="0.35">
      <c r="G27" s="20" t="s">
        <v>45</v>
      </c>
      <c r="H27" s="20">
        <f>H23/H21</f>
        <v>0.31873828887500455</v>
      </c>
      <c r="I27" s="20" t="s">
        <v>46</v>
      </c>
    </row>
    <row r="30" spans="1:9" x14ac:dyDescent="0.25">
      <c r="G30" t="s">
        <v>25</v>
      </c>
      <c r="H30" s="10">
        <f>H27/H26</f>
        <v>10.000000000000011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31"/>
  <sheetViews>
    <sheetView workbookViewId="0">
      <selection activeCell="A34" sqref="A34"/>
    </sheetView>
  </sheetViews>
  <sheetFormatPr defaultRowHeight="15" x14ac:dyDescent="0.25"/>
  <sheetData>
    <row r="2" spans="1:3" x14ac:dyDescent="0.25">
      <c r="A2" t="s">
        <v>0</v>
      </c>
    </row>
    <row r="4" spans="1:3" x14ac:dyDescent="0.25">
      <c r="A4" t="s">
        <v>1</v>
      </c>
    </row>
    <row r="5" spans="1:3" x14ac:dyDescent="0.25">
      <c r="A5" t="s">
        <v>2</v>
      </c>
      <c r="B5" s="1">
        <v>1</v>
      </c>
      <c r="C5" t="s">
        <v>3</v>
      </c>
    </row>
    <row r="6" spans="1:3" x14ac:dyDescent="0.25">
      <c r="A6" t="s">
        <v>4</v>
      </c>
      <c r="B6">
        <v>0.15</v>
      </c>
      <c r="C6" t="s">
        <v>5</v>
      </c>
    </row>
    <row r="7" spans="1:3" x14ac:dyDescent="0.25">
      <c r="A7" t="s">
        <v>6</v>
      </c>
      <c r="B7" s="1">
        <v>50</v>
      </c>
      <c r="C7" t="s">
        <v>7</v>
      </c>
    </row>
    <row r="8" spans="1:3" x14ac:dyDescent="0.25">
      <c r="A8" t="s">
        <v>8</v>
      </c>
      <c r="B8" s="1">
        <v>50</v>
      </c>
      <c r="C8" t="s">
        <v>9</v>
      </c>
    </row>
    <row r="17" spans="1:5" x14ac:dyDescent="0.25">
      <c r="A17" t="s">
        <v>10</v>
      </c>
      <c r="B17" s="2">
        <f>100*((B5-B6)/50)*(B7/B8)</f>
        <v>1.7000000000000002</v>
      </c>
      <c r="C17" t="s">
        <v>20</v>
      </c>
      <c r="D17" t="s">
        <v>18</v>
      </c>
      <c r="E17">
        <f>B17/100</f>
        <v>1.7000000000000001E-2</v>
      </c>
    </row>
    <row r="19" spans="1:5" x14ac:dyDescent="0.25">
      <c r="A19" t="s">
        <v>21</v>
      </c>
    </row>
    <row r="20" spans="1:5" x14ac:dyDescent="0.25">
      <c r="A20" t="s">
        <v>11</v>
      </c>
      <c r="B20" s="4">
        <f>B17</f>
        <v>1.7000000000000002</v>
      </c>
      <c r="C20" t="s">
        <v>20</v>
      </c>
    </row>
    <row r="21" spans="1:5" x14ac:dyDescent="0.25">
      <c r="A21" t="s">
        <v>2</v>
      </c>
      <c r="B21" s="1">
        <v>1</v>
      </c>
      <c r="C21" t="s">
        <v>3</v>
      </c>
    </row>
    <row r="22" spans="1:5" x14ac:dyDescent="0.25">
      <c r="A22" t="s">
        <v>12</v>
      </c>
      <c r="B22" s="1">
        <v>1</v>
      </c>
      <c r="C22" t="s">
        <v>13</v>
      </c>
    </row>
    <row r="23" spans="1:5" x14ac:dyDescent="0.25">
      <c r="A23" t="s">
        <v>4</v>
      </c>
      <c r="B23">
        <v>0.15</v>
      </c>
      <c r="C23" t="s">
        <v>5</v>
      </c>
    </row>
    <row r="24" spans="1:5" x14ac:dyDescent="0.25">
      <c r="A24" t="s">
        <v>14</v>
      </c>
      <c r="B24" s="1">
        <v>50</v>
      </c>
      <c r="C24" t="s">
        <v>7</v>
      </c>
    </row>
    <row r="31" spans="1:5" x14ac:dyDescent="0.25">
      <c r="A31" t="s">
        <v>15</v>
      </c>
      <c r="D31">
        <f>ROUNDDOWN(100*(1/B20)*(MIN(B21,B22)-B23)/50*B24,0)</f>
        <v>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5"/>
  <sheetViews>
    <sheetView zoomScale="85" zoomScaleNormal="85" workbookViewId="0">
      <selection activeCell="K40" sqref="K40"/>
    </sheetView>
  </sheetViews>
  <sheetFormatPr defaultRowHeight="15" x14ac:dyDescent="0.25"/>
  <cols>
    <col min="1" max="1" width="16.28515625" customWidth="1"/>
    <col min="2" max="2" width="12.42578125" customWidth="1"/>
  </cols>
  <sheetData>
    <row r="1" spans="1:2" x14ac:dyDescent="0.25">
      <c r="A1" t="s">
        <v>19</v>
      </c>
    </row>
    <row r="2" spans="1:2" x14ac:dyDescent="0.25">
      <c r="A2" t="s">
        <v>10</v>
      </c>
      <c r="B2">
        <f>'Droop Formula by AEMO'!B17</f>
        <v>1.7000000000000002</v>
      </c>
    </row>
    <row r="3" spans="1:2" x14ac:dyDescent="0.25">
      <c r="A3" t="s">
        <v>12</v>
      </c>
      <c r="B3" s="4">
        <f>'Droop Formula by AEMO'!B22</f>
        <v>1</v>
      </c>
    </row>
    <row r="4" spans="1:2" x14ac:dyDescent="0.25">
      <c r="A4" t="s">
        <v>16</v>
      </c>
      <c r="B4" t="s">
        <v>17</v>
      </c>
    </row>
    <row r="5" spans="1:2" x14ac:dyDescent="0.25">
      <c r="A5">
        <v>49</v>
      </c>
      <c r="B5">
        <f>(100/'Droop Formula by AEMO'!$B$17)*(MIN(50-'Droop and FCAS capacity cal'!A5,$B$3)-0.15)/50*'Droop Formula by AEMO'!$B$24</f>
        <v>49.999999999999993</v>
      </c>
    </row>
    <row r="6" spans="1:2" x14ac:dyDescent="0.25">
      <c r="A6">
        <f>A5+0.05</f>
        <v>49.05</v>
      </c>
      <c r="B6">
        <f>(100/'Droop Formula by AEMO'!$B$17)*(MIN(50-'Droop and FCAS capacity cal'!A6,$B$3)-0.15)/50*'Droop Formula by AEMO'!$B$24</f>
        <v>47.058823529411931</v>
      </c>
    </row>
    <row r="7" spans="1:2" x14ac:dyDescent="0.25">
      <c r="A7">
        <f>A6+0.05</f>
        <v>49.099999999999994</v>
      </c>
      <c r="B7">
        <f>(100/'Droop Formula by AEMO'!$B$17)*(MIN(50-'Droop and FCAS capacity cal'!A7,$B$3)-0.15)/50*'Droop Formula by AEMO'!$B$24</f>
        <v>44.117647058823863</v>
      </c>
    </row>
    <row r="8" spans="1:2" x14ac:dyDescent="0.25">
      <c r="A8">
        <f t="shared" ref="A8:A31" si="0">A7+0.05</f>
        <v>49.149999999999991</v>
      </c>
      <c r="B8">
        <f>(100/'Droop Formula by AEMO'!$B$17)*(MIN(50-'Droop and FCAS capacity cal'!A8,$B$3)-0.15)/50*'Droop Formula by AEMO'!$B$24</f>
        <v>41.176470588235794</v>
      </c>
    </row>
    <row r="9" spans="1:2" x14ac:dyDescent="0.25">
      <c r="A9">
        <f t="shared" si="0"/>
        <v>49.199999999999989</v>
      </c>
      <c r="B9">
        <f>(100/'Droop Formula by AEMO'!$B$17)*(MIN(50-'Droop and FCAS capacity cal'!A9,$B$3)-0.15)/50*'Droop Formula by AEMO'!$B$24</f>
        <v>38.235294117647726</v>
      </c>
    </row>
    <row r="10" spans="1:2" x14ac:dyDescent="0.25">
      <c r="A10">
        <f t="shared" si="0"/>
        <v>49.249999999999986</v>
      </c>
      <c r="B10">
        <f>(100/'Droop Formula by AEMO'!$B$17)*(MIN(50-'Droop and FCAS capacity cal'!A10,$B$3)-0.15)/50*'Droop Formula by AEMO'!$B$24</f>
        <v>35.294117647059657</v>
      </c>
    </row>
    <row r="11" spans="1:2" x14ac:dyDescent="0.25">
      <c r="A11">
        <f t="shared" si="0"/>
        <v>49.299999999999983</v>
      </c>
      <c r="B11">
        <f>(100/'Droop Formula by AEMO'!$B$17)*(MIN(50-'Droop and FCAS capacity cal'!A11,$B$3)-0.15)/50*'Droop Formula by AEMO'!$B$24</f>
        <v>32.352941176471589</v>
      </c>
    </row>
    <row r="12" spans="1:2" x14ac:dyDescent="0.25">
      <c r="A12">
        <f t="shared" si="0"/>
        <v>49.34999999999998</v>
      </c>
      <c r="B12">
        <f>(100/'Droop Formula by AEMO'!$B$17)*(MIN(50-'Droop and FCAS capacity cal'!A12,$B$3)-0.15)/50*'Droop Formula by AEMO'!$B$24</f>
        <v>29.41176470588352</v>
      </c>
    </row>
    <row r="13" spans="1:2" x14ac:dyDescent="0.25">
      <c r="A13">
        <f t="shared" si="0"/>
        <v>49.399999999999977</v>
      </c>
      <c r="B13">
        <f>(100/'Droop Formula by AEMO'!$B$17)*(MIN(50-'Droop and FCAS capacity cal'!A13,$B$3)-0.15)/50*'Droop Formula by AEMO'!$B$24</f>
        <v>26.470588235295452</v>
      </c>
    </row>
    <row r="14" spans="1:2" x14ac:dyDescent="0.25">
      <c r="A14">
        <f t="shared" si="0"/>
        <v>49.449999999999974</v>
      </c>
      <c r="B14">
        <f>(100/'Droop Formula by AEMO'!$B$17)*(MIN(50-'Droop and FCAS capacity cal'!A14,$B$3)-0.15)/50*'Droop Formula by AEMO'!$B$24</f>
        <v>23.529411764707383</v>
      </c>
    </row>
    <row r="15" spans="1:2" x14ac:dyDescent="0.25">
      <c r="A15" s="3">
        <f t="shared" si="0"/>
        <v>49.499999999999972</v>
      </c>
      <c r="B15" s="3">
        <f>(100/'Droop Formula by AEMO'!$B$17)*(MIN(50-'Droop and FCAS capacity cal'!A15,$B$3)-0.15)/50*'Droop Formula by AEMO'!$B$24</f>
        <v>20.588235294119318</v>
      </c>
    </row>
    <row r="16" spans="1:2" x14ac:dyDescent="0.25">
      <c r="A16">
        <f t="shared" si="0"/>
        <v>49.549999999999969</v>
      </c>
      <c r="B16">
        <f>(100/'Droop Formula by AEMO'!$B$17)*(MIN(50-'Droop and FCAS capacity cal'!A16,$B$3)-0.15)/50*'Droop Formula by AEMO'!$B$24</f>
        <v>17.64705882353125</v>
      </c>
    </row>
    <row r="17" spans="1:2" x14ac:dyDescent="0.25">
      <c r="A17">
        <f t="shared" si="0"/>
        <v>49.599999999999966</v>
      </c>
      <c r="B17">
        <f>(100/'Droop Formula by AEMO'!$B$17)*(MIN(50-'Droop and FCAS capacity cal'!A17,$B$3)-0.15)/50*'Droop Formula by AEMO'!$B$24</f>
        <v>14.705882352943181</v>
      </c>
    </row>
    <row r="18" spans="1:2" x14ac:dyDescent="0.25">
      <c r="A18">
        <f t="shared" si="0"/>
        <v>49.649999999999963</v>
      </c>
      <c r="B18">
        <f>(100/'Droop Formula by AEMO'!$B$17)*(MIN(50-'Droop and FCAS capacity cal'!A18,$B$3)-0.15)/50*'Droop Formula by AEMO'!$B$24</f>
        <v>11.764705882355114</v>
      </c>
    </row>
    <row r="19" spans="1:2" x14ac:dyDescent="0.25">
      <c r="A19">
        <f t="shared" si="0"/>
        <v>49.69999999999996</v>
      </c>
      <c r="B19">
        <f>(100/'Droop Formula by AEMO'!$B$17)*(MIN(50-'Droop and FCAS capacity cal'!A19,$B$3)-0.15)/50*'Droop Formula by AEMO'!$B$24</f>
        <v>8.823529411767046</v>
      </c>
    </row>
    <row r="20" spans="1:2" x14ac:dyDescent="0.25">
      <c r="A20">
        <f t="shared" si="0"/>
        <v>49.749999999999957</v>
      </c>
      <c r="B20">
        <f>(100/'Droop Formula by AEMO'!$B$17)*(MIN(50-'Droop and FCAS capacity cal'!A20,$B$3)-0.15)/50*'Droop Formula by AEMO'!$B$24</f>
        <v>5.8823529411789783</v>
      </c>
    </row>
    <row r="21" spans="1:2" x14ac:dyDescent="0.25">
      <c r="A21">
        <f t="shared" si="0"/>
        <v>49.799999999999955</v>
      </c>
      <c r="B21">
        <f>(100/'Droop Formula by AEMO'!$B$17)*(MIN(50-'Droop and FCAS capacity cal'!A21,$B$3)-0.15)/50*'Droop Formula by AEMO'!$B$24</f>
        <v>2.9411764705909103</v>
      </c>
    </row>
    <row r="22" spans="1:2" x14ac:dyDescent="0.25">
      <c r="A22">
        <f t="shared" si="0"/>
        <v>49.849999999999952</v>
      </c>
      <c r="B22">
        <v>0</v>
      </c>
    </row>
    <row r="23" spans="1:2" x14ac:dyDescent="0.25">
      <c r="A23">
        <f t="shared" si="0"/>
        <v>49.899999999999949</v>
      </c>
      <c r="B23">
        <v>0</v>
      </c>
    </row>
    <row r="24" spans="1:2" x14ac:dyDescent="0.25">
      <c r="A24">
        <f t="shared" si="0"/>
        <v>49.949999999999946</v>
      </c>
      <c r="B24">
        <v>0</v>
      </c>
    </row>
    <row r="25" spans="1:2" x14ac:dyDescent="0.25">
      <c r="A25">
        <f t="shared" si="0"/>
        <v>49.999999999999943</v>
      </c>
      <c r="B25">
        <v>0</v>
      </c>
    </row>
    <row r="26" spans="1:2" x14ac:dyDescent="0.25">
      <c r="A26">
        <f t="shared" si="0"/>
        <v>50.04999999999994</v>
      </c>
      <c r="B26">
        <v>0</v>
      </c>
    </row>
    <row r="27" spans="1:2" x14ac:dyDescent="0.25">
      <c r="A27">
        <f t="shared" si="0"/>
        <v>50.099999999999937</v>
      </c>
      <c r="B27">
        <v>0</v>
      </c>
    </row>
    <row r="28" spans="1:2" x14ac:dyDescent="0.25">
      <c r="A28">
        <f t="shared" si="0"/>
        <v>50.149999999999935</v>
      </c>
      <c r="B28">
        <v>0</v>
      </c>
    </row>
    <row r="29" spans="1:2" x14ac:dyDescent="0.25">
      <c r="A29">
        <f t="shared" si="0"/>
        <v>50.199999999999932</v>
      </c>
      <c r="B29">
        <f>(100/'Droop Formula by AEMO'!$B$17)*-1*(MIN('Droop and FCAS capacity cal'!A29-50,$B$3)-0.15)/50*'Droop Formula by AEMO'!$B$24</f>
        <v>-2.9411764705842232</v>
      </c>
    </row>
    <row r="30" spans="1:2" x14ac:dyDescent="0.25">
      <c r="A30">
        <f t="shared" si="0"/>
        <v>50.249999999999929</v>
      </c>
      <c r="B30">
        <f>(100/'Droop Formula by AEMO'!$B$17)*-1*(MIN('Droop and FCAS capacity cal'!A30-50,$B$3)-0.15)/50*'Droop Formula by AEMO'!$B$24</f>
        <v>-5.8823529411722912</v>
      </c>
    </row>
    <row r="31" spans="1:2" x14ac:dyDescent="0.25">
      <c r="A31">
        <f t="shared" si="0"/>
        <v>50.299999999999926</v>
      </c>
      <c r="B31">
        <f>(100/'Droop Formula by AEMO'!$B$17)*-1*(MIN('Droop and FCAS capacity cal'!A31-50,$B$3)-0.15)/50*'Droop Formula by AEMO'!$B$24</f>
        <v>-8.8235294117603598</v>
      </c>
    </row>
    <row r="32" spans="1:2" x14ac:dyDescent="0.25">
      <c r="A32">
        <f>A31+0.05</f>
        <v>50.349999999999923</v>
      </c>
      <c r="B32">
        <f>(100/'Droop Formula by AEMO'!$B$17)*-1*(MIN('Droop and FCAS capacity cal'!A32-50,$B$3)-0.15)/50*'Droop Formula by AEMO'!$B$24</f>
        <v>-11.764705882348427</v>
      </c>
    </row>
    <row r="33" spans="1:2" x14ac:dyDescent="0.25">
      <c r="A33">
        <f>A32+0.05</f>
        <v>50.39999999999992</v>
      </c>
      <c r="B33">
        <f>(100/'Droop Formula by AEMO'!$B$17)*-1*(MIN('Droop and FCAS capacity cal'!A33-50,$B$3)-0.15)/50*'Droop Formula by AEMO'!$B$24</f>
        <v>-14.705882352936495</v>
      </c>
    </row>
    <row r="34" spans="1:2" x14ac:dyDescent="0.25">
      <c r="A34">
        <f t="shared" ref="A34:A38" si="1">A33+0.05</f>
        <v>50.449999999999918</v>
      </c>
      <c r="B34">
        <f>(100/'Droop Formula by AEMO'!$B$17)*-1*(MIN('Droop and FCAS capacity cal'!A34-50,$B$3)-0.15)/50*'Droop Formula by AEMO'!$B$24</f>
        <v>-17.64705882352456</v>
      </c>
    </row>
    <row r="35" spans="1:2" x14ac:dyDescent="0.25">
      <c r="A35" s="3">
        <f t="shared" si="1"/>
        <v>50.499999999999915</v>
      </c>
      <c r="B35" s="3">
        <f>(100/'Droop Formula by AEMO'!$B$17)*-1*(MIN('Droop and FCAS capacity cal'!A35-50,$B$3)-0.15)/50*'Droop Formula by AEMO'!$B$24</f>
        <v>-20.588235294112629</v>
      </c>
    </row>
    <row r="36" spans="1:2" x14ac:dyDescent="0.25">
      <c r="A36">
        <f t="shared" si="1"/>
        <v>50.549999999999912</v>
      </c>
      <c r="B36">
        <f>(100/'Droop Formula by AEMO'!$B$17)*-1*(MIN('Droop and FCAS capacity cal'!A36-50,$B$3)-0.15)/50*'Droop Formula by AEMO'!$B$24</f>
        <v>-23.529411764700697</v>
      </c>
    </row>
    <row r="37" spans="1:2" x14ac:dyDescent="0.25">
      <c r="A37">
        <f t="shared" si="1"/>
        <v>50.599999999999909</v>
      </c>
      <c r="B37">
        <f>(100/'Droop Formula by AEMO'!$B$17)*-1*(MIN('Droop and FCAS capacity cal'!A37-50,$B$3)-0.15)/50*'Droop Formula by AEMO'!$B$24</f>
        <v>-26.470588235288766</v>
      </c>
    </row>
    <row r="38" spans="1:2" x14ac:dyDescent="0.25">
      <c r="A38">
        <f t="shared" si="1"/>
        <v>50.649999999999906</v>
      </c>
      <c r="B38">
        <f>(100/'Droop Formula by AEMO'!$B$17)*-1*(MIN('Droop and FCAS capacity cal'!A38-50,$B$3)-0.15)/50*'Droop Formula by AEMO'!$B$24</f>
        <v>-29.411764705876838</v>
      </c>
    </row>
    <row r="39" spans="1:2" x14ac:dyDescent="0.25">
      <c r="A39">
        <f>A38+0.05</f>
        <v>50.699999999999903</v>
      </c>
      <c r="B39">
        <f>(100/'Droop Formula by AEMO'!$B$17)*-1*(MIN('Droop and FCAS capacity cal'!A39-50,$B$3)-0.15)/50*'Droop Formula by AEMO'!$B$24</f>
        <v>-32.352941176464903</v>
      </c>
    </row>
    <row r="40" spans="1:2" x14ac:dyDescent="0.25">
      <c r="A40">
        <f>A39+0.05</f>
        <v>50.749999999999901</v>
      </c>
      <c r="B40">
        <f>(100/'Droop Formula by AEMO'!$B$17)*-1*(MIN('Droop and FCAS capacity cal'!A40-50,$B$3)-0.15)/50*'Droop Formula by AEMO'!$B$24</f>
        <v>-35.294117647052971</v>
      </c>
    </row>
    <row r="41" spans="1:2" x14ac:dyDescent="0.25">
      <c r="A41">
        <f t="shared" ref="A41:A42" si="2">A40+0.05</f>
        <v>50.799999999999898</v>
      </c>
      <c r="B41">
        <f>(100/'Droop Formula by AEMO'!$B$17)*-1*(MIN('Droop and FCAS capacity cal'!A41-50,$B$3)-0.15)/50*'Droop Formula by AEMO'!$B$24</f>
        <v>-38.23529411764104</v>
      </c>
    </row>
    <row r="42" spans="1:2" x14ac:dyDescent="0.25">
      <c r="A42">
        <f t="shared" si="2"/>
        <v>50.849999999999895</v>
      </c>
      <c r="B42">
        <f>(100/'Droop Formula by AEMO'!$B$17)*-1*(MIN('Droop and FCAS capacity cal'!A42-50,$B$3)-0.15)/50*'Droop Formula by AEMO'!$B$24</f>
        <v>-41.176470588229108</v>
      </c>
    </row>
    <row r="43" spans="1:2" x14ac:dyDescent="0.25">
      <c r="A43">
        <f>A42+0.05</f>
        <v>50.899999999999892</v>
      </c>
      <c r="B43">
        <f>(100/'Droop Formula by AEMO'!$B$17)*-1*(MIN('Droop and FCAS capacity cal'!A43-50,$B$3)-0.15)/50*'Droop Formula by AEMO'!$B$24</f>
        <v>-44.11764705881717</v>
      </c>
    </row>
    <row r="44" spans="1:2" x14ac:dyDescent="0.25">
      <c r="A44">
        <f>A43+0.05</f>
        <v>50.949999999999889</v>
      </c>
      <c r="B44">
        <f>(100/'Droop Formula by AEMO'!$B$17)*-1*(MIN('Droop and FCAS capacity cal'!A44-50,$B$3)-0.15)/50*'Droop Formula by AEMO'!$B$24</f>
        <v>-47.058823529405238</v>
      </c>
    </row>
    <row r="45" spans="1:2" x14ac:dyDescent="0.25">
      <c r="A45">
        <f t="shared" ref="A45" si="3">A44+0.05</f>
        <v>50.999999999999886</v>
      </c>
      <c r="B45">
        <f>(100/'Droop Formula by AEMO'!$B$17)*-1*(MIN('Droop and FCAS capacity cal'!A45-50,$B$3)-0.15)/50*'Droop Formula by AEMO'!$B$24</f>
        <v>-49.999999999993307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Pu_actual calculator</vt:lpstr>
      <vt:lpstr>Network pu impedanc calculation</vt:lpstr>
      <vt:lpstr>Droop Formula by AEMO</vt:lpstr>
      <vt:lpstr>Droop and FCAS capacity cal</vt:lpstr>
    </vt:vector>
  </TitlesOfParts>
  <Company>Queensland University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Park</dc:creator>
  <cp:lastModifiedBy>Nathan Park</cp:lastModifiedBy>
  <dcterms:created xsi:type="dcterms:W3CDTF">2019-10-26T03:15:56Z</dcterms:created>
  <dcterms:modified xsi:type="dcterms:W3CDTF">2020-11-01T05:50:22Z</dcterms:modified>
</cp:coreProperties>
</file>