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4.xml" ContentType="application/vnd.openxmlformats-officedocument.drawing+xml"/>
  <Override PartName="/xl/charts/chart7.xml" ContentType="application/vnd.openxmlformats-officedocument.drawingml.chart+xml"/>
  <Override PartName="/xl/comments8.xml" ContentType="application/vnd.openxmlformats-officedocument.spreadsheetml.comments+xml"/>
  <Override PartName="/xl/comments9.xml" ContentType="application/vnd.openxmlformats-officedocument.spreadsheetml.comments+xml"/>
  <Override PartName="/xl/drawings/drawing5.xml" ContentType="application/vnd.openxmlformats-officedocument.drawing+xml"/>
  <Override PartName="/xl/comments10.xml" ContentType="application/vnd.openxmlformats-officedocument.spreadsheetml.comments+xml"/>
  <Override PartName="/xl/charts/chart8.xml" ContentType="application/vnd.openxmlformats-officedocument.drawingml.chart+xml"/>
  <Override PartName="/xl/charts/style1.xml" ContentType="application/vnd.ms-office.chartstyle+xml"/>
  <Override PartName="/xl/charts/colors1.xml" ContentType="application/vnd.ms-office.chartcolorstyle+xml"/>
  <Override PartName="/xl/comments11.xml" ContentType="application/vnd.openxmlformats-officedocument.spreadsheetml.comments+xml"/>
  <Override PartName="/xl/drawings/drawing6.xml" ContentType="application/vnd.openxmlformats-officedocument.drawing+xml"/>
  <Override PartName="/xl/charts/chart9.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nesau\Asna2016\Excel\"/>
    </mc:Choice>
  </mc:AlternateContent>
  <bookViews>
    <workbookView xWindow="0" yWindow="0" windowWidth="15345" windowHeight="4635" tabRatio="793"/>
  </bookViews>
  <sheets>
    <sheet name="Team Info" sheetId="17" r:id="rId1"/>
    <sheet name="Intro" sheetId="1" r:id="rId2"/>
    <sheet name="Safety Feature Description" sheetId="21" r:id="rId3"/>
    <sheet name="Inputs" sheetId="13" r:id="rId4"/>
    <sheet name="0. Adjust losses for new book" sheetId="16" r:id="rId5"/>
    <sheet name="1. Loss Development Factor" sheetId="15" r:id="rId6"/>
    <sheet name="Loss Trend Factor - Selection" sheetId="22" r:id="rId7"/>
    <sheet name="2. Loss Trend Factor -- 1" sheetId="9" r:id="rId8"/>
    <sheet name="2. Loss Trend Factor -- 2" sheetId="11" r:id="rId9"/>
    <sheet name="3. ULAE Factor" sheetId="10" r:id="rId10"/>
    <sheet name="4. Expected loss and loss ratio" sheetId="2" r:id="rId11"/>
    <sheet name="Projected insurance cost" sheetId="23" r:id="rId12"/>
    <sheet name="Return on Investment" sheetId="19" r:id="rId13"/>
    <sheet name="Loss Costs Plot" sheetId="24" r:id="rId14"/>
    <sheet name="UO Premium" sheetId="25" r:id="rId15"/>
    <sheet name="Projected (Premium) Cost" sheetId="31" r:id="rId16"/>
    <sheet name="Premium Summary" sheetId="28" r:id="rId17"/>
    <sheet name="Max premium (no safety)" sheetId="30" r:id="rId18"/>
    <sheet name="ROI Plot" sheetId="33" r:id="rId19"/>
    <sheet name="Presentation" sheetId="32" r:id="rId20"/>
  </sheet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TRUE</definedName>
    <definedName name="_AtRisk_SimSetting_ConvergencePerformStdDeviationTest" hidden="1">FALSE</definedName>
    <definedName name="_AtRisk_SimSetting_ConvergenceTestAllOutputs" hidden="1">TRUE</definedName>
    <definedName name="_AtRisk_SimSetting_ConvergenceTestingPeriod" hidden="1">1000</definedName>
    <definedName name="_AtRisk_SimSetting_ConvergenceTolerance" hidden="1">0.03</definedName>
    <definedName name="_AtRisk_SimSetting_LiveUpdate" hidden="1">FALSE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FALSE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Company">Inputs!$A$8</definedName>
    <definedName name="EffDate">Inputs!$A$5</definedName>
    <definedName name="EvalDate">Inputs!$A$4</definedName>
    <definedName name="Institution">Inputs!$A$7</definedName>
    <definedName name="LatestYear">Inputs!$A$3</definedName>
    <definedName name="LOB">Inputs!$A$9</definedName>
    <definedName name="_xlnm.Print_Area" localSheetId="7">'2. Loss Trend Factor -- 1'!$A$1:$H$28</definedName>
    <definedName name="_xlnm.Print_Area" localSheetId="10">'4. Expected loss and loss ratio'!$A$1:$H$18</definedName>
    <definedName name="_xlnm.Print_Area" localSheetId="1">Intro!$B$2:$E$54</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0</definedName>
    <definedName name="RiskFixedSeed" hidden="1">315000</definedName>
    <definedName name="RiskHasSettings" hidden="1">6</definedName>
    <definedName name="RiskMinimizeOnStart" hidden="1">TRUE</definedName>
    <definedName name="RiskMonitorConvergence" hidden="1">TRUE</definedName>
    <definedName name="RiskMultipleCPUSupportEnabled" hidden="1">TRUE</definedName>
    <definedName name="RiskNumIterations" hidden="1">50000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TRUE</definedName>
    <definedName name="solver_adj" localSheetId="17" hidden="1">'Max premium (no safety)'!$B$6</definedName>
    <definedName name="solver_cvg" localSheetId="17" hidden="1">0.0001</definedName>
    <definedName name="solver_drv" localSheetId="17" hidden="1">1</definedName>
    <definedName name="solver_eng" localSheetId="17" hidden="1">1</definedName>
    <definedName name="solver_eng" localSheetId="15" hidden="1">1</definedName>
    <definedName name="solver_eng" localSheetId="18" hidden="1">1</definedName>
    <definedName name="solver_est" localSheetId="17" hidden="1">1</definedName>
    <definedName name="solver_itr" localSheetId="17" hidden="1">2147483647</definedName>
    <definedName name="solver_mip" localSheetId="17" hidden="1">2147483647</definedName>
    <definedName name="solver_mni" localSheetId="17" hidden="1">30</definedName>
    <definedName name="solver_mrt" localSheetId="17" hidden="1">0.075</definedName>
    <definedName name="solver_msl" localSheetId="17" hidden="1">2</definedName>
    <definedName name="solver_neg" localSheetId="17" hidden="1">1</definedName>
    <definedName name="solver_neg" localSheetId="15" hidden="1">1</definedName>
    <definedName name="solver_neg" localSheetId="18" hidden="1">1</definedName>
    <definedName name="solver_nod" localSheetId="17" hidden="1">2147483647</definedName>
    <definedName name="solver_num" localSheetId="17" hidden="1">0</definedName>
    <definedName name="solver_num" localSheetId="15" hidden="1">0</definedName>
    <definedName name="solver_num" localSheetId="18" hidden="1">0</definedName>
    <definedName name="solver_nwt" localSheetId="17" hidden="1">1</definedName>
    <definedName name="solver_opt" localSheetId="17" hidden="1">'Max premium (no safety)'!$E$20</definedName>
    <definedName name="solver_opt" localSheetId="18" hidden="1">'ROI Plot'!$A$11</definedName>
    <definedName name="solver_pre" localSheetId="17" hidden="1">0.000001</definedName>
    <definedName name="solver_rbv" localSheetId="17" hidden="1">1</definedName>
    <definedName name="solver_rlx" localSheetId="17" hidden="1">2</definedName>
    <definedName name="solver_rsd" localSheetId="17" hidden="1">0</definedName>
    <definedName name="solver_scl" localSheetId="17" hidden="1">1</definedName>
    <definedName name="solver_sho" localSheetId="17" hidden="1">2</definedName>
    <definedName name="solver_ssz" localSheetId="17" hidden="1">100</definedName>
    <definedName name="solver_tim" localSheetId="17" hidden="1">2147483647</definedName>
    <definedName name="solver_tol" localSheetId="17" hidden="1">0.01</definedName>
    <definedName name="solver_typ" localSheetId="17" hidden="1">3</definedName>
    <definedName name="solver_typ" localSheetId="15" hidden="1">3</definedName>
    <definedName name="solver_typ" localSheetId="18" hidden="1">1</definedName>
    <definedName name="solver_val" localSheetId="17" hidden="1">-0.02</definedName>
    <definedName name="solver_val" localSheetId="15" hidden="1">0.04</definedName>
    <definedName name="solver_val" localSheetId="18" hidden="1">0</definedName>
    <definedName name="solver_ver" localSheetId="17" hidden="1">3</definedName>
    <definedName name="solver_ver" localSheetId="15" hidden="1">3</definedName>
    <definedName name="solver_ver" localSheetId="18" hidden="1">3</definedName>
  </definedNames>
  <calcPr calcId="171027"/>
  <extLst>
    <ext xmlns:mx="http://schemas.microsoft.com/office/mac/excel/2008/main" uri="{7523E5D3-25F3-A5E0-1632-64F254C22452}">
      <mx:ArchID Flags="2"/>
    </ext>
  </extLst>
</workbook>
</file>

<file path=xl/calcChain.xml><?xml version="1.0" encoding="utf-8"?>
<calcChain xmlns="http://schemas.openxmlformats.org/spreadsheetml/2006/main">
  <c r="J16" i="28" l="1"/>
  <c r="J17" i="28" s="1"/>
  <c r="K14" i="28"/>
  <c r="K15" i="28" s="1"/>
  <c r="J14" i="28"/>
  <c r="C5" i="31" l="1"/>
  <c r="B5" i="19"/>
  <c r="D23" i="16"/>
  <c r="C28" i="16" s="1"/>
  <c r="B35" i="33"/>
  <c r="B36" i="33" s="1"/>
  <c r="B37" i="33" s="1"/>
  <c r="B38" i="33" s="1"/>
  <c r="B39" i="33" s="1"/>
  <c r="B40" i="33" s="1"/>
  <c r="B41" i="33" s="1"/>
  <c r="B42" i="33" s="1"/>
  <c r="B43" i="33" s="1"/>
  <c r="B44" i="33" s="1"/>
  <c r="B45" i="33" s="1"/>
  <c r="B46" i="33"/>
  <c r="B47" i="33" s="1"/>
  <c r="B48" i="33" s="1"/>
  <c r="B49" i="33" s="1"/>
  <c r="B50" i="33" s="1"/>
  <c r="B51" i="33" s="1"/>
  <c r="B52" i="33" s="1"/>
  <c r="B16" i="33"/>
  <c r="B17" i="33" s="1"/>
  <c r="B18" i="33" s="1"/>
  <c r="B19" i="33" s="1"/>
  <c r="B20" i="33" s="1"/>
  <c r="B21" i="33" s="1"/>
  <c r="B22" i="33" s="1"/>
  <c r="B23" i="33" s="1"/>
  <c r="B24" i="33" s="1"/>
  <c r="B25" i="33" s="1"/>
  <c r="B26" i="33" s="1"/>
  <c r="B27" i="33" s="1"/>
  <c r="B28" i="33" s="1"/>
  <c r="B29" i="33" s="1"/>
  <c r="B30" i="33" s="1"/>
  <c r="B31" i="33" s="1"/>
  <c r="B32" i="33" s="1"/>
  <c r="B33" i="33" s="1"/>
  <c r="B7" i="33"/>
  <c r="B8" i="33" s="1"/>
  <c r="B9" i="33" s="1"/>
  <c r="B10" i="33"/>
  <c r="B11" i="33" s="1"/>
  <c r="B12" i="33" s="1"/>
  <c r="B13" i="33" s="1"/>
  <c r="B14" i="33"/>
  <c r="B8" i="32"/>
  <c r="E23" i="16"/>
  <c r="C29" i="16" s="1"/>
  <c r="F23" i="16"/>
  <c r="B16" i="25"/>
  <c r="B2" i="30"/>
  <c r="D6" i="31"/>
  <c r="D7" i="31"/>
  <c r="D8" i="31"/>
  <c r="D9" i="31"/>
  <c r="D10" i="31"/>
  <c r="D11" i="31"/>
  <c r="D12" i="31"/>
  <c r="D13" i="31"/>
  <c r="D14" i="31"/>
  <c r="D5" i="31"/>
  <c r="F5" i="31" s="1"/>
  <c r="A14" i="11"/>
  <c r="F14" i="11"/>
  <c r="F13" i="11"/>
  <c r="F12" i="11" s="1"/>
  <c r="F11" i="11" s="1"/>
  <c r="F10" i="11" s="1"/>
  <c r="L14" i="11"/>
  <c r="L13" i="11"/>
  <c r="Q14" i="11"/>
  <c r="Q13" i="11" s="1"/>
  <c r="Q12" i="11" s="1"/>
  <c r="Q11" i="11" s="1"/>
  <c r="Q10" i="11" s="1"/>
  <c r="N14" i="11"/>
  <c r="B5" i="30"/>
  <c r="D10" i="30" s="1"/>
  <c r="B1" i="30"/>
  <c r="D19" i="30"/>
  <c r="D18" i="30"/>
  <c r="D17" i="30"/>
  <c r="D16" i="30"/>
  <c r="D15" i="30"/>
  <c r="D14" i="30"/>
  <c r="D13" i="30"/>
  <c r="D12" i="30"/>
  <c r="D11" i="30"/>
  <c r="H5" i="25"/>
  <c r="H6" i="25"/>
  <c r="B5" i="25"/>
  <c r="B10" i="25"/>
  <c r="B3" i="25"/>
  <c r="D24" i="24"/>
  <c r="A25" i="24"/>
  <c r="C8" i="2"/>
  <c r="H33" i="15"/>
  <c r="P16" i="9"/>
  <c r="B10" i="11" s="1"/>
  <c r="H16" i="9"/>
  <c r="H17" i="9"/>
  <c r="H18" i="9"/>
  <c r="H19" i="9"/>
  <c r="H20" i="9"/>
  <c r="H21" i="9"/>
  <c r="H22" i="9"/>
  <c r="H23" i="9"/>
  <c r="H24" i="9"/>
  <c r="H25" i="9"/>
  <c r="H26" i="9"/>
  <c r="H27" i="9"/>
  <c r="D16" i="10"/>
  <c r="F8" i="2"/>
  <c r="B8" i="2"/>
  <c r="B14" i="2" s="1"/>
  <c r="C9" i="2"/>
  <c r="G33" i="15"/>
  <c r="D9" i="2"/>
  <c r="B11" i="11"/>
  <c r="F9" i="2"/>
  <c r="B9" i="2"/>
  <c r="C10" i="2"/>
  <c r="F33" i="15"/>
  <c r="D10" i="2" s="1"/>
  <c r="B12" i="11"/>
  <c r="F10" i="2"/>
  <c r="B10" i="2"/>
  <c r="C11" i="2"/>
  <c r="E33" i="15"/>
  <c r="D11" i="2" s="1"/>
  <c r="F11" i="2"/>
  <c r="B11" i="2"/>
  <c r="C12" i="2"/>
  <c r="D33" i="15"/>
  <c r="D12" i="2"/>
  <c r="F12" i="2"/>
  <c r="B12" i="2"/>
  <c r="D5" i="23"/>
  <c r="R11" i="15"/>
  <c r="B16" i="16"/>
  <c r="B2" i="19"/>
  <c r="D8" i="19" s="1"/>
  <c r="D6" i="23"/>
  <c r="D7" i="23"/>
  <c r="D8" i="23"/>
  <c r="D9" i="23"/>
  <c r="D10" i="23"/>
  <c r="D11" i="23"/>
  <c r="D12" i="23"/>
  <c r="D13" i="23"/>
  <c r="D14" i="23"/>
  <c r="A26" i="24"/>
  <c r="A27" i="24"/>
  <c r="A28" i="24"/>
  <c r="A29" i="24"/>
  <c r="A30" i="24"/>
  <c r="A31" i="24"/>
  <c r="A32" i="24"/>
  <c r="A33" i="24"/>
  <c r="A34" i="24"/>
  <c r="D9" i="19"/>
  <c r="H4" i="25" s="1"/>
  <c r="D10" i="19"/>
  <c r="D27" i="24"/>
  <c r="D11" i="19"/>
  <c r="D28" i="24" s="1"/>
  <c r="D12" i="19"/>
  <c r="H7" i="25" s="1"/>
  <c r="D29" i="24"/>
  <c r="D13" i="19"/>
  <c r="H8" i="25" s="1"/>
  <c r="D14" i="19"/>
  <c r="D31" i="24"/>
  <c r="D15" i="19"/>
  <c r="H10" i="25" s="1"/>
  <c r="D16" i="19"/>
  <c r="H11" i="25" s="1"/>
  <c r="D33" i="24"/>
  <c r="D17" i="19"/>
  <c r="H12" i="25" s="1"/>
  <c r="A24" i="24"/>
  <c r="A10" i="24"/>
  <c r="C19" i="16"/>
  <c r="C23" i="16" s="1"/>
  <c r="C27" i="16" s="1"/>
  <c r="Q12" i="15"/>
  <c r="P13" i="15"/>
  <c r="O14" i="15"/>
  <c r="N15" i="15"/>
  <c r="A11" i="24"/>
  <c r="A12" i="24"/>
  <c r="A13" i="24"/>
  <c r="A14" i="24"/>
  <c r="A15" i="24"/>
  <c r="A16" i="24"/>
  <c r="A17" i="24"/>
  <c r="A18" i="24"/>
  <c r="A9" i="24"/>
  <c r="A12" i="2"/>
  <c r="B11" i="16"/>
  <c r="B12" i="16"/>
  <c r="B20" i="16"/>
  <c r="B1" i="19"/>
  <c r="S17" i="2"/>
  <c r="H17" i="2"/>
  <c r="Z16" i="9"/>
  <c r="AC16" i="9" s="1"/>
  <c r="X16" i="9"/>
  <c r="Z17" i="9"/>
  <c r="X17" i="9"/>
  <c r="Z18" i="9"/>
  <c r="X18" i="9"/>
  <c r="AC18" i="9"/>
  <c r="AF43" i="9" s="1"/>
  <c r="Z19" i="9"/>
  <c r="X19" i="9"/>
  <c r="AC19" i="9"/>
  <c r="Z20" i="9"/>
  <c r="AC20" i="9" s="1"/>
  <c r="X20" i="9"/>
  <c r="Z21" i="9"/>
  <c r="X21" i="9"/>
  <c r="M11" i="2" s="1"/>
  <c r="Z22" i="9"/>
  <c r="X22" i="9"/>
  <c r="AC22" i="9"/>
  <c r="Z23" i="9"/>
  <c r="X23" i="9"/>
  <c r="AC23" i="9"/>
  <c r="Z24" i="9"/>
  <c r="AC24" i="9" s="1"/>
  <c r="X24" i="9"/>
  <c r="Z25" i="9"/>
  <c r="X25" i="9"/>
  <c r="Z26" i="9"/>
  <c r="X26" i="9"/>
  <c r="M12" i="2" s="1"/>
  <c r="AC26" i="9"/>
  <c r="AF51" i="9" s="1"/>
  <c r="Z27" i="9"/>
  <c r="X27" i="9"/>
  <c r="AC27" i="9"/>
  <c r="AF52" i="9" s="1"/>
  <c r="G16" i="9"/>
  <c r="G17" i="9"/>
  <c r="G18" i="9"/>
  <c r="G43" i="9" s="1"/>
  <c r="G19" i="9"/>
  <c r="G20" i="9"/>
  <c r="G21" i="9"/>
  <c r="G22" i="9"/>
  <c r="G23" i="9"/>
  <c r="G24" i="9"/>
  <c r="G25" i="9"/>
  <c r="G26" i="9"/>
  <c r="G27" i="9"/>
  <c r="F16" i="9"/>
  <c r="F17" i="9"/>
  <c r="F18" i="9"/>
  <c r="F19" i="9"/>
  <c r="F20" i="9"/>
  <c r="F21" i="9"/>
  <c r="F22" i="9"/>
  <c r="F23" i="9"/>
  <c r="F24" i="9"/>
  <c r="F25" i="9"/>
  <c r="F26" i="9"/>
  <c r="F27" i="9"/>
  <c r="N10" i="9"/>
  <c r="H12" i="9"/>
  <c r="H13" i="9"/>
  <c r="H14" i="9"/>
  <c r="H15" i="9"/>
  <c r="H8" i="9"/>
  <c r="H9" i="9"/>
  <c r="H10" i="9"/>
  <c r="H11" i="9"/>
  <c r="F12" i="9"/>
  <c r="F13" i="9"/>
  <c r="N9" i="9" s="1"/>
  <c r="B4" i="22" s="1"/>
  <c r="F14" i="9"/>
  <c r="F15" i="9"/>
  <c r="G12" i="9"/>
  <c r="G13" i="9"/>
  <c r="G14" i="9"/>
  <c r="G15" i="9"/>
  <c r="N12" i="9"/>
  <c r="B80" i="9" s="1"/>
  <c r="O13" i="9"/>
  <c r="D8" i="22" s="1"/>
  <c r="F8" i="9"/>
  <c r="F9" i="9"/>
  <c r="N8" i="9" s="1"/>
  <c r="B3" i="22" s="1"/>
  <c r="F10" i="9"/>
  <c r="F11" i="9"/>
  <c r="G8" i="9"/>
  <c r="G9" i="9"/>
  <c r="G10" i="9"/>
  <c r="G11" i="9"/>
  <c r="E8" i="22"/>
  <c r="E7" i="22"/>
  <c r="C6" i="22"/>
  <c r="C5" i="22"/>
  <c r="B10" i="16"/>
  <c r="B2" i="16"/>
  <c r="B1" i="16"/>
  <c r="E12" i="16"/>
  <c r="D10" i="16"/>
  <c r="E10" i="16"/>
  <c r="B22" i="16" s="1"/>
  <c r="D11" i="16"/>
  <c r="E11" i="16" s="1"/>
  <c r="Z9" i="9"/>
  <c r="Y9" i="9"/>
  <c r="AB9" i="9"/>
  <c r="AB34" i="9" s="1"/>
  <c r="Z10" i="9"/>
  <c r="Y10" i="9"/>
  <c r="AB10" i="9"/>
  <c r="AB35" i="9" s="1"/>
  <c r="Z11" i="9"/>
  <c r="Y11" i="9"/>
  <c r="Z12" i="9"/>
  <c r="Y12" i="9"/>
  <c r="Z13" i="9"/>
  <c r="Y13" i="9"/>
  <c r="AB13" i="9"/>
  <c r="AB38" i="9" s="1"/>
  <c r="Z14" i="9"/>
  <c r="Y14" i="9"/>
  <c r="AB14" i="9"/>
  <c r="AB39" i="9" s="1"/>
  <c r="Z15" i="9"/>
  <c r="AB15" i="9" s="1"/>
  <c r="AB40" i="9" s="1"/>
  <c r="Y15" i="9"/>
  <c r="Y16" i="9"/>
  <c r="Y17" i="9"/>
  <c r="Y18" i="9"/>
  <c r="AB18" i="9"/>
  <c r="Y19" i="9"/>
  <c r="AB19" i="9"/>
  <c r="AB44" i="9" s="1"/>
  <c r="Y20" i="9"/>
  <c r="AB20" i="9"/>
  <c r="Y21" i="9"/>
  <c r="AB21" i="9"/>
  <c r="Y22" i="9"/>
  <c r="AB22" i="9"/>
  <c r="Y23" i="9"/>
  <c r="AB23" i="9"/>
  <c r="Y24" i="9"/>
  <c r="AB24" i="9"/>
  <c r="AB49" i="9" s="1"/>
  <c r="Y25" i="9"/>
  <c r="Y26" i="9"/>
  <c r="AB26" i="9"/>
  <c r="AB51" i="9" s="1"/>
  <c r="Y27" i="9"/>
  <c r="AB27" i="9"/>
  <c r="AB52" i="9" s="1"/>
  <c r="Z8" i="9"/>
  <c r="Y8" i="9"/>
  <c r="B13" i="16"/>
  <c r="E2" i="15"/>
  <c r="O2" i="15"/>
  <c r="E40" i="1"/>
  <c r="E23" i="1"/>
  <c r="E18" i="2"/>
  <c r="P18" i="2"/>
  <c r="E17" i="2"/>
  <c r="P17" i="2"/>
  <c r="X9" i="9"/>
  <c r="AC9" i="9" s="1"/>
  <c r="X10" i="9"/>
  <c r="AC10" i="9" s="1"/>
  <c r="AB43" i="9"/>
  <c r="AB48" i="9"/>
  <c r="X8" i="9"/>
  <c r="X11" i="9"/>
  <c r="X12" i="9"/>
  <c r="X13" i="9"/>
  <c r="X14" i="9"/>
  <c r="X15" i="9"/>
  <c r="AC15" i="9"/>
  <c r="AF40" i="9" s="1"/>
  <c r="I11" i="10"/>
  <c r="J11" i="10"/>
  <c r="I12" i="10"/>
  <c r="J12" i="10"/>
  <c r="J10" i="10"/>
  <c r="K10" i="10" s="1"/>
  <c r="I10" i="10"/>
  <c r="N10" i="15"/>
  <c r="O10" i="15"/>
  <c r="P10" i="15"/>
  <c r="Q10" i="15"/>
  <c r="R10" i="15"/>
  <c r="Q20" i="15"/>
  <c r="N11" i="15"/>
  <c r="N21" i="15" s="1"/>
  <c r="O11" i="15"/>
  <c r="P11" i="15"/>
  <c r="Q11" i="15"/>
  <c r="Q21" i="15" s="1"/>
  <c r="P21" i="15"/>
  <c r="N12" i="15"/>
  <c r="O12" i="15"/>
  <c r="P12" i="15"/>
  <c r="P22" i="15" s="1"/>
  <c r="O22" i="15"/>
  <c r="N13" i="15"/>
  <c r="O13" i="15"/>
  <c r="N23" i="15"/>
  <c r="N14" i="15"/>
  <c r="N24" i="15" s="1"/>
  <c r="N27" i="15" s="1"/>
  <c r="O9" i="15"/>
  <c r="P9" i="15"/>
  <c r="Q9" i="15"/>
  <c r="R9" i="15"/>
  <c r="N9" i="15"/>
  <c r="L4" i="2"/>
  <c r="H4" i="10"/>
  <c r="L4" i="11"/>
  <c r="X4" i="9"/>
  <c r="E4" i="15"/>
  <c r="O4" i="15"/>
  <c r="A33" i="9"/>
  <c r="K47" i="9"/>
  <c r="K48" i="9"/>
  <c r="K50" i="9"/>
  <c r="K51" i="9"/>
  <c r="K52" i="9"/>
  <c r="K42" i="9"/>
  <c r="K43" i="9"/>
  <c r="K44" i="9"/>
  <c r="K46" i="9"/>
  <c r="K34" i="9"/>
  <c r="K35" i="9"/>
  <c r="K36" i="9"/>
  <c r="K37" i="9"/>
  <c r="K39" i="9"/>
  <c r="K40" i="9"/>
  <c r="G47" i="9"/>
  <c r="G48" i="9"/>
  <c r="G49" i="9"/>
  <c r="G50" i="9"/>
  <c r="G51" i="9"/>
  <c r="G52" i="9"/>
  <c r="G41" i="9"/>
  <c r="G42" i="9"/>
  <c r="G44" i="9"/>
  <c r="G45" i="9"/>
  <c r="G46" i="9"/>
  <c r="G33" i="9"/>
  <c r="G34" i="9"/>
  <c r="G35" i="9"/>
  <c r="G36" i="9"/>
  <c r="G37" i="9"/>
  <c r="G38" i="9"/>
  <c r="G39" i="9"/>
  <c r="G40" i="9"/>
  <c r="C47" i="9"/>
  <c r="C48" i="9"/>
  <c r="C49" i="9"/>
  <c r="C50" i="9"/>
  <c r="C51" i="9"/>
  <c r="C52" i="9"/>
  <c r="C41" i="9"/>
  <c r="C42" i="9"/>
  <c r="C43" i="9"/>
  <c r="C44" i="9"/>
  <c r="C45" i="9"/>
  <c r="C46" i="9"/>
  <c r="C33" i="9"/>
  <c r="C34" i="9"/>
  <c r="C35" i="9"/>
  <c r="C36" i="9"/>
  <c r="C38" i="9"/>
  <c r="C39" i="9"/>
  <c r="C40" i="9"/>
  <c r="AF48" i="9"/>
  <c r="AF47" i="9"/>
  <c r="AF44" i="9"/>
  <c r="AF41" i="9"/>
  <c r="AF35" i="9"/>
  <c r="C45" i="1"/>
  <c r="O33" i="15"/>
  <c r="P33" i="15"/>
  <c r="Q33" i="15"/>
  <c r="R33" i="15"/>
  <c r="N33" i="15"/>
  <c r="O11" i="2"/>
  <c r="K16" i="10"/>
  <c r="M9" i="2" a="1"/>
  <c r="M9" i="2" s="1"/>
  <c r="O10" i="2"/>
  <c r="O9" i="2"/>
  <c r="C14" i="2"/>
  <c r="M10" i="11"/>
  <c r="N6" i="2"/>
  <c r="O6" i="2"/>
  <c r="P6" i="2" s="1"/>
  <c r="Q6" i="2" s="1"/>
  <c r="R6" i="2"/>
  <c r="S6" i="2" s="1"/>
  <c r="O16" i="2" s="1"/>
  <c r="O17" i="2" s="1"/>
  <c r="O18" i="2" s="1"/>
  <c r="L12" i="2"/>
  <c r="L11" i="2"/>
  <c r="L10" i="2"/>
  <c r="L9" i="2"/>
  <c r="L8" i="2" s="1"/>
  <c r="L3" i="2"/>
  <c r="L2" i="2"/>
  <c r="J6" i="10"/>
  <c r="K6" i="10" s="1"/>
  <c r="I15" i="10" s="1"/>
  <c r="I16" i="10"/>
  <c r="K12" i="10"/>
  <c r="H12" i="10"/>
  <c r="H11" i="10"/>
  <c r="H10" i="10"/>
  <c r="H3" i="10"/>
  <c r="H2" i="10"/>
  <c r="L17" i="11"/>
  <c r="L18" i="11"/>
  <c r="L19" i="11" s="1"/>
  <c r="L20" i="11" s="1"/>
  <c r="L21" i="11"/>
  <c r="L22" i="11" s="1"/>
  <c r="M20" i="11"/>
  <c r="N6" i="11"/>
  <c r="O6" i="11"/>
  <c r="P6" i="11" s="1"/>
  <c r="Q6" i="11" s="1"/>
  <c r="R6" i="11" s="1"/>
  <c r="S6" i="11" s="1"/>
  <c r="L3" i="11"/>
  <c r="L2" i="11"/>
  <c r="AB80" i="9"/>
  <c r="AI80" i="9"/>
  <c r="AB79" i="9"/>
  <c r="AI79" i="9" s="1"/>
  <c r="AK16" i="9"/>
  <c r="AM78" i="9"/>
  <c r="AB78" i="9"/>
  <c r="AI78" i="9" s="1"/>
  <c r="AF78" i="9"/>
  <c r="Z78" i="9"/>
  <c r="AB77" i="9"/>
  <c r="AI77" i="9" s="1"/>
  <c r="V33" i="9"/>
  <c r="V34" i="9"/>
  <c r="V35" i="9"/>
  <c r="V36" i="9" s="1"/>
  <c r="V37" i="9" s="1"/>
  <c r="V38" i="9" s="1"/>
  <c r="V39" i="9" s="1"/>
  <c r="V40" i="9" s="1"/>
  <c r="V41" i="9" s="1"/>
  <c r="V42" i="9" s="1"/>
  <c r="V43" i="9" s="1"/>
  <c r="V44" i="9" s="1"/>
  <c r="V45" i="9" s="1"/>
  <c r="V46" i="9" s="1"/>
  <c r="V47" i="9" s="1"/>
  <c r="V48" i="9" s="1"/>
  <c r="V49" i="9" s="1"/>
  <c r="V50" i="9" s="1"/>
  <c r="V51" i="9" s="1"/>
  <c r="V52" i="9" s="1"/>
  <c r="W26" i="9"/>
  <c r="W25" i="9"/>
  <c r="W24" i="9"/>
  <c r="AD20" i="9"/>
  <c r="AD21" i="9" s="1"/>
  <c r="AD22" i="9" s="1"/>
  <c r="AD23" i="9" s="1"/>
  <c r="AD24" i="9" s="1"/>
  <c r="Y6" i="9"/>
  <c r="Z6" i="9"/>
  <c r="AA6" i="9" s="1"/>
  <c r="AB6" i="9" s="1"/>
  <c r="AC6" i="9" s="1"/>
  <c r="X3" i="9"/>
  <c r="X2" i="9"/>
  <c r="K36" i="15"/>
  <c r="K37" i="15" s="1"/>
  <c r="K38" i="15" s="1"/>
  <c r="K39" i="15" s="1"/>
  <c r="K40" i="15" s="1"/>
  <c r="K27" i="15"/>
  <c r="K28" i="15"/>
  <c r="K29" i="15" s="1"/>
  <c r="K30" i="15" s="1"/>
  <c r="K32" i="15" s="1"/>
  <c r="K33" i="15" s="1"/>
  <c r="Q19" i="15"/>
  <c r="Q26" i="15" s="1"/>
  <c r="Q22" i="15"/>
  <c r="Q23" i="15"/>
  <c r="Q24" i="15"/>
  <c r="Q30" i="15"/>
  <c r="P19" i="15"/>
  <c r="P23" i="15"/>
  <c r="P24" i="15"/>
  <c r="O19" i="15"/>
  <c r="O21" i="15"/>
  <c r="O23" i="15"/>
  <c r="O24" i="15"/>
  <c r="N19" i="15"/>
  <c r="N20" i="15"/>
  <c r="N22" i="15"/>
  <c r="N29" i="15"/>
  <c r="N28" i="15"/>
  <c r="R24" i="15"/>
  <c r="L15" i="15"/>
  <c r="L14" i="15"/>
  <c r="L24" i="15"/>
  <c r="R23" i="15"/>
  <c r="R22" i="15"/>
  <c r="R21" i="15"/>
  <c r="R20" i="15"/>
  <c r="R19" i="15"/>
  <c r="R18" i="15"/>
  <c r="Q18" i="15"/>
  <c r="P18" i="15"/>
  <c r="O18" i="15"/>
  <c r="N18" i="15"/>
  <c r="O3" i="15"/>
  <c r="E3" i="15"/>
  <c r="A36" i="15"/>
  <c r="A37" i="15" s="1"/>
  <c r="A38" i="15"/>
  <c r="A39" i="15" s="1"/>
  <c r="A40" i="15" s="1"/>
  <c r="A27" i="15"/>
  <c r="A28" i="15"/>
  <c r="A29" i="15" s="1"/>
  <c r="A30" i="15" s="1"/>
  <c r="A32" i="15" s="1"/>
  <c r="A33" i="15" s="1"/>
  <c r="G19" i="15"/>
  <c r="G20" i="15"/>
  <c r="G21" i="15"/>
  <c r="G22" i="15"/>
  <c r="G23" i="15"/>
  <c r="G24" i="15"/>
  <c r="F19" i="15"/>
  <c r="F20" i="15"/>
  <c r="F21" i="15"/>
  <c r="F22" i="15"/>
  <c r="F23" i="15"/>
  <c r="F26" i="15" s="1"/>
  <c r="F24" i="15"/>
  <c r="E19" i="15"/>
  <c r="E20" i="15"/>
  <c r="E28" i="15" s="1"/>
  <c r="E21" i="15"/>
  <c r="E22" i="15"/>
  <c r="E23" i="15"/>
  <c r="E27" i="15"/>
  <c r="E24" i="15"/>
  <c r="D19" i="15"/>
  <c r="D20" i="15"/>
  <c r="D21" i="15"/>
  <c r="D28" i="15" s="1"/>
  <c r="D22" i="15"/>
  <c r="D23" i="15"/>
  <c r="D24" i="15"/>
  <c r="E29" i="15"/>
  <c r="F27" i="15"/>
  <c r="H24" i="15"/>
  <c r="B15" i="15"/>
  <c r="B14" i="15"/>
  <c r="B13" i="15" s="1"/>
  <c r="B12" i="15" s="1"/>
  <c r="H23" i="15"/>
  <c r="H22" i="15"/>
  <c r="H21" i="15"/>
  <c r="H20" i="15"/>
  <c r="H19" i="15"/>
  <c r="H18" i="15"/>
  <c r="G18" i="15"/>
  <c r="F18" i="15"/>
  <c r="E18" i="15"/>
  <c r="D18" i="15"/>
  <c r="G77" i="9"/>
  <c r="N77" i="9"/>
  <c r="G78" i="9"/>
  <c r="N78" i="9" s="1"/>
  <c r="G79" i="9"/>
  <c r="N79" i="9"/>
  <c r="G80" i="9"/>
  <c r="N80" i="9" s="1"/>
  <c r="K78" i="9"/>
  <c r="E78" i="9"/>
  <c r="B79" i="9"/>
  <c r="B20" i="11"/>
  <c r="C6" i="2"/>
  <c r="D6" i="2" s="1"/>
  <c r="E6" i="2" s="1"/>
  <c r="F6" i="2" s="1"/>
  <c r="G6" i="2" s="1"/>
  <c r="H6" i="2" s="1"/>
  <c r="A4" i="9"/>
  <c r="A3" i="9"/>
  <c r="A2" i="9"/>
  <c r="A4" i="11"/>
  <c r="A3" i="11"/>
  <c r="A2" i="11"/>
  <c r="A4" i="10"/>
  <c r="A3" i="10"/>
  <c r="A2" i="10"/>
  <c r="A4" i="2"/>
  <c r="A3" i="2"/>
  <c r="A2" i="2"/>
  <c r="C6" i="10"/>
  <c r="D6" i="10"/>
  <c r="B15" i="10"/>
  <c r="B16" i="10"/>
  <c r="A12" i="10"/>
  <c r="A11" i="10"/>
  <c r="A10" i="10"/>
  <c r="A17" i="11"/>
  <c r="A18" i="11" s="1"/>
  <c r="A19" i="11" s="1"/>
  <c r="A20" i="11"/>
  <c r="A21" i="11" s="1"/>
  <c r="A22" i="11" s="1"/>
  <c r="C6" i="11"/>
  <c r="D6" i="11"/>
  <c r="E6" i="11" s="1"/>
  <c r="F6" i="11" s="1"/>
  <c r="G6" i="11" s="1"/>
  <c r="H6" i="11" s="1"/>
  <c r="I20" i="9"/>
  <c r="I21" i="9" s="1"/>
  <c r="I22" i="9" s="1"/>
  <c r="I23" i="9"/>
  <c r="I24" i="9"/>
  <c r="D6" i="9"/>
  <c r="E6" i="9"/>
  <c r="F6" i="9"/>
  <c r="G6" i="9"/>
  <c r="H6" i="9" s="1"/>
  <c r="D16" i="2"/>
  <c r="D17" i="2"/>
  <c r="D18" i="2" s="1"/>
  <c r="D11" i="10"/>
  <c r="D12" i="10"/>
  <c r="D10" i="10"/>
  <c r="C13" i="10"/>
  <c r="B13" i="10"/>
  <c r="B26" i="9"/>
  <c r="B25" i="9"/>
  <c r="B24" i="9" s="1"/>
  <c r="B23" i="9" s="1"/>
  <c r="B22" i="9"/>
  <c r="D13" i="10"/>
  <c r="R78" i="9"/>
  <c r="AF49" i="9"/>
  <c r="AB46" i="9"/>
  <c r="K33" i="9"/>
  <c r="A34" i="9"/>
  <c r="A35" i="9" s="1"/>
  <c r="A36" i="9" s="1"/>
  <c r="A37" i="9" s="1"/>
  <c r="A38" i="9" s="1"/>
  <c r="A39" i="9" s="1"/>
  <c r="A40" i="9" s="1"/>
  <c r="A41" i="9" s="1"/>
  <c r="AF34" i="9"/>
  <c r="B78" i="9"/>
  <c r="M10" i="2"/>
  <c r="O12" i="2"/>
  <c r="G30" i="15"/>
  <c r="AC8" i="9"/>
  <c r="AC14" i="9"/>
  <c r="AF39" i="9" s="1"/>
  <c r="AC13" i="9"/>
  <c r="AF38" i="9"/>
  <c r="L13" i="15"/>
  <c r="AF33" i="9"/>
  <c r="B23" i="15"/>
  <c r="B18" i="16"/>
  <c r="B21" i="16"/>
  <c r="A42" i="9" l="1"/>
  <c r="W23" i="9"/>
  <c r="Q11" i="2"/>
  <c r="Q12" i="2"/>
  <c r="Q9" i="2"/>
  <c r="Q10" i="2"/>
  <c r="Q8" i="2"/>
  <c r="L12" i="15"/>
  <c r="L23" i="15"/>
  <c r="B24" i="15"/>
  <c r="J13" i="10"/>
  <c r="B21" i="9"/>
  <c r="AB47" i="9"/>
  <c r="AB45" i="9"/>
  <c r="AJ11" i="9"/>
  <c r="P10" i="9"/>
  <c r="B11" i="15"/>
  <c r="B22" i="15"/>
  <c r="P20" i="15"/>
  <c r="O20" i="15"/>
  <c r="AB16" i="9"/>
  <c r="AB11" i="9"/>
  <c r="AB36" i="9" s="1"/>
  <c r="AC11" i="9"/>
  <c r="AF36" i="9" s="1"/>
  <c r="N30" i="15"/>
  <c r="N26" i="15"/>
  <c r="O27" i="15"/>
  <c r="P28" i="15"/>
  <c r="M11" i="11"/>
  <c r="AA8" i="9"/>
  <c r="AC25" i="9"/>
  <c r="AB25" i="9"/>
  <c r="AJ12" i="9" s="1"/>
  <c r="AC80" i="9" s="1"/>
  <c r="AF45" i="9"/>
  <c r="AC17" i="9"/>
  <c r="AB17" i="9"/>
  <c r="AB42" i="9" s="1"/>
  <c r="B13" i="11"/>
  <c r="Q29" i="15"/>
  <c r="Q27" i="15"/>
  <c r="I13" i="10"/>
  <c r="K11" i="10"/>
  <c r="A11" i="2"/>
  <c r="A8" i="24"/>
  <c r="P13" i="9"/>
  <c r="F8" i="22" s="1"/>
  <c r="C16" i="22" s="1"/>
  <c r="G8" i="22"/>
  <c r="P12" i="9"/>
  <c r="G7" i="22"/>
  <c r="P11" i="9"/>
  <c r="F6" i="22" s="1"/>
  <c r="C14" i="22" s="1"/>
  <c r="G6" i="22"/>
  <c r="G5" i="22"/>
  <c r="E26" i="15"/>
  <c r="E30" i="15"/>
  <c r="G27" i="15"/>
  <c r="G26" i="15"/>
  <c r="G29" i="15"/>
  <c r="K45" i="9"/>
  <c r="K41" i="9"/>
  <c r="K49" i="9"/>
  <c r="AB8" i="9"/>
  <c r="AB12" i="9"/>
  <c r="AC12" i="9"/>
  <c r="B7" i="22"/>
  <c r="G4" i="22"/>
  <c r="P9" i="9"/>
  <c r="F4" i="22" s="1"/>
  <c r="C12" i="22" s="1"/>
  <c r="K38" i="9"/>
  <c r="P8" i="9"/>
  <c r="O12" i="9"/>
  <c r="O11" i="9"/>
  <c r="D6" i="22" s="1"/>
  <c r="N11" i="2"/>
  <c r="B23" i="16"/>
  <c r="C26" i="16" s="1"/>
  <c r="AA20" i="9" s="1"/>
  <c r="D27" i="15"/>
  <c r="D30" i="15"/>
  <c r="D29" i="15"/>
  <c r="D26" i="15"/>
  <c r="F29" i="15"/>
  <c r="F28" i="15"/>
  <c r="F30" i="15"/>
  <c r="M8" i="2"/>
  <c r="M14" i="2" s="1"/>
  <c r="E4" i="22"/>
  <c r="E3" i="22"/>
  <c r="C4" i="22"/>
  <c r="C37" i="9"/>
  <c r="D8" i="2"/>
  <c r="O8" i="2"/>
  <c r="C16" i="25"/>
  <c r="B7" i="25"/>
  <c r="B11" i="25"/>
  <c r="B4" i="25"/>
  <c r="B8" i="25"/>
  <c r="B12" i="25"/>
  <c r="B6" i="25"/>
  <c r="B18" i="25"/>
  <c r="C18" i="25" s="1"/>
  <c r="B9" i="25"/>
  <c r="O9" i="9"/>
  <c r="D4" i="22" s="1"/>
  <c r="B12" i="22" s="1"/>
  <c r="D12" i="22" s="1"/>
  <c r="G3" i="22"/>
  <c r="N17" i="9"/>
  <c r="E79" i="9" s="1"/>
  <c r="B5" i="22"/>
  <c r="N13" i="9"/>
  <c r="B8" i="22" s="1"/>
  <c r="B16" i="22" s="1"/>
  <c r="C8" i="22"/>
  <c r="N11" i="9"/>
  <c r="B6" i="22" s="1"/>
  <c r="B14" i="22" s="1"/>
  <c r="D14" i="22" s="1"/>
  <c r="E6" i="22"/>
  <c r="O10" i="9"/>
  <c r="E5" i="22"/>
  <c r="AC21" i="9"/>
  <c r="AF46" i="9" s="1"/>
  <c r="N12" i="2"/>
  <c r="D34" i="24"/>
  <c r="D32" i="24"/>
  <c r="D30" i="24"/>
  <c r="D26" i="24"/>
  <c r="B4" i="19"/>
  <c r="B4" i="30"/>
  <c r="O8" i="9"/>
  <c r="C3" i="22"/>
  <c r="C7" i="22"/>
  <c r="H3" i="25"/>
  <c r="D25" i="24"/>
  <c r="H9" i="25"/>
  <c r="L12" i="11"/>
  <c r="N13" i="11"/>
  <c r="B3" i="19"/>
  <c r="C8" i="19" s="1"/>
  <c r="B3" i="30"/>
  <c r="C10" i="30" s="1"/>
  <c r="N10" i="2"/>
  <c r="N8" i="2"/>
  <c r="N9" i="2"/>
  <c r="A13" i="11"/>
  <c r="C14" i="11"/>
  <c r="X45" i="9" l="1"/>
  <c r="AJ9" i="9"/>
  <c r="AB37" i="9"/>
  <c r="A10" i="2"/>
  <c r="A7" i="24"/>
  <c r="AF42" i="9"/>
  <c r="AK10" i="9"/>
  <c r="O30" i="15"/>
  <c r="O26" i="15"/>
  <c r="O28" i="15"/>
  <c r="O29" i="15"/>
  <c r="D3" i="22"/>
  <c r="B11" i="22" s="1"/>
  <c r="H78" i="9"/>
  <c r="D5" i="22"/>
  <c r="O17" i="9"/>
  <c r="K79" i="9" s="1"/>
  <c r="H79" i="9"/>
  <c r="D16" i="22"/>
  <c r="AK8" i="9"/>
  <c r="AJ78" i="9" s="1"/>
  <c r="D7" i="22"/>
  <c r="H80" i="9"/>
  <c r="AJ8" i="9"/>
  <c r="AC78" i="9" s="1"/>
  <c r="AB33" i="9"/>
  <c r="B14" i="11"/>
  <c r="AK11" i="9"/>
  <c r="M12" i="11"/>
  <c r="P27" i="15"/>
  <c r="P29" i="15"/>
  <c r="P26" i="15"/>
  <c r="P30" i="15"/>
  <c r="L22" i="15"/>
  <c r="L11" i="15"/>
  <c r="G3" i="25"/>
  <c r="I3" i="25" s="1"/>
  <c r="C25" i="24"/>
  <c r="AF50" i="9"/>
  <c r="AK12" i="9"/>
  <c r="AJ80" i="9" s="1"/>
  <c r="AK13" i="9"/>
  <c r="F5" i="22"/>
  <c r="C13" i="22" s="1"/>
  <c r="O79" i="9"/>
  <c r="P17" i="9"/>
  <c r="B20" i="9"/>
  <c r="N14" i="2"/>
  <c r="A12" i="11"/>
  <c r="C13" i="11"/>
  <c r="D13" i="11" s="1"/>
  <c r="L11" i="11"/>
  <c r="N12" i="11"/>
  <c r="C13" i="30"/>
  <c r="C17" i="30"/>
  <c r="C14" i="30"/>
  <c r="C18" i="30"/>
  <c r="C11" i="30"/>
  <c r="C15" i="30"/>
  <c r="C19" i="30"/>
  <c r="C12" i="30"/>
  <c r="C16" i="30"/>
  <c r="B13" i="22"/>
  <c r="D13" i="22" s="1"/>
  <c r="AA25" i="9"/>
  <c r="X50" i="9" s="1"/>
  <c r="AA14" i="9"/>
  <c r="X39" i="9" s="1"/>
  <c r="AA11" i="9"/>
  <c r="X36" i="9" s="1"/>
  <c r="AA21" i="9"/>
  <c r="X46" i="9" s="1"/>
  <c r="AA27" i="9"/>
  <c r="X52" i="9" s="1"/>
  <c r="AA26" i="9"/>
  <c r="X51" i="9" s="1"/>
  <c r="AA17" i="9"/>
  <c r="X42" i="9" s="1"/>
  <c r="AA10" i="9"/>
  <c r="X35" i="9" s="1"/>
  <c r="AA15" i="9"/>
  <c r="X40" i="9" s="1"/>
  <c r="AA19" i="9"/>
  <c r="X44" i="9" s="1"/>
  <c r="AA18" i="9"/>
  <c r="X43" i="9" s="1"/>
  <c r="AA23" i="9"/>
  <c r="X48" i="9" s="1"/>
  <c r="AA13" i="9"/>
  <c r="X38" i="9" s="1"/>
  <c r="AA24" i="9"/>
  <c r="F3" i="22"/>
  <c r="C11" i="22" s="1"/>
  <c r="O78" i="9"/>
  <c r="B15" i="22"/>
  <c r="D15" i="22" s="1"/>
  <c r="O80" i="9"/>
  <c r="F7" i="22"/>
  <c r="C15" i="22" s="1"/>
  <c r="AA22" i="9"/>
  <c r="AA16" i="9"/>
  <c r="AA9" i="9"/>
  <c r="X34" i="9" s="1"/>
  <c r="K13" i="10"/>
  <c r="W22" i="9"/>
  <c r="C10" i="19"/>
  <c r="C12" i="19"/>
  <c r="C14" i="19"/>
  <c r="C16" i="19"/>
  <c r="C9" i="19"/>
  <c r="C11" i="19"/>
  <c r="C13" i="19"/>
  <c r="C15" i="19"/>
  <c r="C17" i="19"/>
  <c r="AF37" i="9"/>
  <c r="AK9" i="9"/>
  <c r="AB50" i="9"/>
  <c r="AJ13" i="9"/>
  <c r="X33" i="9"/>
  <c r="AJ10" i="9"/>
  <c r="AB41" i="9"/>
  <c r="B21" i="15"/>
  <c r="B10" i="15"/>
  <c r="AA12" i="9"/>
  <c r="A43" i="9"/>
  <c r="AI9" i="9" l="1"/>
  <c r="X37" i="9"/>
  <c r="C26" i="24"/>
  <c r="G4" i="25"/>
  <c r="I4" i="25" s="1"/>
  <c r="C27" i="24"/>
  <c r="G5" i="25"/>
  <c r="I5" i="25" s="1"/>
  <c r="X47" i="9"/>
  <c r="AI12" i="9"/>
  <c r="W80" i="9" s="1"/>
  <c r="L10" i="11"/>
  <c r="N11" i="11"/>
  <c r="O11" i="11" s="1"/>
  <c r="E10" i="11"/>
  <c r="G10" i="11" s="1"/>
  <c r="E11" i="11"/>
  <c r="G11" i="11" s="1"/>
  <c r="E14" i="11"/>
  <c r="G14" i="11" s="1"/>
  <c r="E12" i="11"/>
  <c r="G12" i="11" s="1"/>
  <c r="E13" i="11"/>
  <c r="G13" i="11" s="1"/>
  <c r="H13" i="11" s="1"/>
  <c r="E11" i="2" s="1"/>
  <c r="G11" i="2" s="1"/>
  <c r="H11" i="2" s="1"/>
  <c r="B7" i="24" s="1"/>
  <c r="R79" i="9"/>
  <c r="B20" i="15"/>
  <c r="B9" i="15"/>
  <c r="B19" i="15" s="1"/>
  <c r="AI8" i="9"/>
  <c r="W78" i="9" s="1"/>
  <c r="C32" i="24"/>
  <c r="G10" i="25"/>
  <c r="I10" i="25" s="1"/>
  <c r="G11" i="25"/>
  <c r="I11" i="25" s="1"/>
  <c r="C33" i="24"/>
  <c r="D11" i="22"/>
  <c r="A6" i="24"/>
  <c r="A9" i="2"/>
  <c r="AI11" i="9"/>
  <c r="C28" i="24"/>
  <c r="G6" i="25"/>
  <c r="I6" i="25" s="1"/>
  <c r="G7" i="25"/>
  <c r="I7" i="25" s="1"/>
  <c r="C29" i="24"/>
  <c r="X41" i="9"/>
  <c r="AI10" i="9"/>
  <c r="A11" i="11"/>
  <c r="C12" i="11"/>
  <c r="D12" i="11" s="1"/>
  <c r="H12" i="11" s="1"/>
  <c r="E10" i="2" s="1"/>
  <c r="G10" i="2" s="1"/>
  <c r="H10" i="2" s="1"/>
  <c r="B6" i="24" s="1"/>
  <c r="B19" i="9"/>
  <c r="AJ17" i="9"/>
  <c r="AF79" i="9" s="1"/>
  <c r="AC79" i="9"/>
  <c r="C34" i="24"/>
  <c r="G12" i="25"/>
  <c r="I12" i="25" s="1"/>
  <c r="W21" i="9"/>
  <c r="L10" i="15"/>
  <c r="L21" i="15"/>
  <c r="A44" i="9"/>
  <c r="C30" i="24"/>
  <c r="G8" i="25"/>
  <c r="I8" i="25" s="1"/>
  <c r="G9" i="25"/>
  <c r="I9" i="25" s="1"/>
  <c r="C31" i="24"/>
  <c r="AI13" i="9"/>
  <c r="X49" i="9"/>
  <c r="O12" i="11"/>
  <c r="M13" i="11"/>
  <c r="B1" i="31"/>
  <c r="D14" i="11"/>
  <c r="H14" i="11" s="1"/>
  <c r="E12" i="2" s="1"/>
  <c r="G12" i="2" s="1"/>
  <c r="H12" i="2" s="1"/>
  <c r="B8" i="24" s="1"/>
  <c r="B1" i="23"/>
  <c r="AK17" i="9"/>
  <c r="AJ79" i="9"/>
  <c r="A45" i="9" l="1"/>
  <c r="C11" i="11"/>
  <c r="D11" i="11" s="1"/>
  <c r="H11" i="11" s="1"/>
  <c r="E9" i="2" s="1"/>
  <c r="G9" i="2" s="1"/>
  <c r="H9" i="2" s="1"/>
  <c r="B5" i="24" s="1"/>
  <c r="A10" i="11"/>
  <c r="A5" i="24"/>
  <c r="A8" i="2"/>
  <c r="AI17" i="9"/>
  <c r="Z79" i="9" s="1"/>
  <c r="W79" i="9"/>
  <c r="N10" i="11"/>
  <c r="O10" i="11" s="1"/>
  <c r="M17" i="11"/>
  <c r="L9" i="15"/>
  <c r="L19" i="15" s="1"/>
  <c r="L20" i="15"/>
  <c r="B18" i="9"/>
  <c r="P13" i="11"/>
  <c r="R13" i="11" s="1"/>
  <c r="P14" i="11"/>
  <c r="R14" i="11" s="1"/>
  <c r="P10" i="11"/>
  <c r="R10" i="11" s="1"/>
  <c r="P11" i="11"/>
  <c r="R11" i="11" s="1"/>
  <c r="S11" i="11" s="1"/>
  <c r="P9" i="2" s="1"/>
  <c r="R9" i="2" s="1"/>
  <c r="S9" i="2" s="1"/>
  <c r="AM79" i="9"/>
  <c r="P12" i="11"/>
  <c r="R12" i="11" s="1"/>
  <c r="S12" i="11" s="1"/>
  <c r="P10" i="2" s="1"/>
  <c r="R10" i="2" s="1"/>
  <c r="S10" i="2" s="1"/>
  <c r="O13" i="11"/>
  <c r="M14" i="11"/>
  <c r="O14" i="11" s="1"/>
  <c r="S14" i="11" s="1"/>
  <c r="P12" i="2" s="1"/>
  <c r="R12" i="2" s="1"/>
  <c r="S12" i="2" s="1"/>
  <c r="C9" i="31"/>
  <c r="F9" i="31" s="1"/>
  <c r="C13" i="31"/>
  <c r="F13" i="31" s="1"/>
  <c r="C10" i="31"/>
  <c r="F10" i="31" s="1"/>
  <c r="C14" i="31"/>
  <c r="F14" i="31" s="1"/>
  <c r="C11" i="31"/>
  <c r="F11" i="31" s="1"/>
  <c r="C12" i="31"/>
  <c r="F12" i="31" s="1"/>
  <c r="C8" i="31"/>
  <c r="F8" i="31" s="1"/>
  <c r="C6" i="31"/>
  <c r="F6" i="31" s="1"/>
  <c r="C7" i="31"/>
  <c r="F7" i="31" s="1"/>
  <c r="W20" i="9"/>
  <c r="S10" i="11" l="1"/>
  <c r="P8" i="2" s="1"/>
  <c r="R8" i="2" s="1"/>
  <c r="A4" i="24"/>
  <c r="V24" i="9"/>
  <c r="V26" i="9"/>
  <c r="W51" i="9" s="1"/>
  <c r="A24" i="9"/>
  <c r="A26" i="9"/>
  <c r="B51" i="9" s="1"/>
  <c r="A27" i="9"/>
  <c r="B52" i="9" s="1"/>
  <c r="V25" i="9"/>
  <c r="W50" i="9" s="1"/>
  <c r="A25" i="9"/>
  <c r="B50" i="9" s="1"/>
  <c r="V27" i="9"/>
  <c r="W52" i="9" s="1"/>
  <c r="S13" i="11"/>
  <c r="P11" i="2" s="1"/>
  <c r="R11" i="2" s="1"/>
  <c r="S11" i="2" s="1"/>
  <c r="W19" i="9"/>
  <c r="B17" i="9"/>
  <c r="C10" i="11"/>
  <c r="D10" i="11" s="1"/>
  <c r="H10" i="11" s="1"/>
  <c r="E8" i="2" s="1"/>
  <c r="G8" i="2" s="1"/>
  <c r="B17" i="11"/>
  <c r="A46" i="9"/>
  <c r="H8" i="2" l="1"/>
  <c r="G14" i="2"/>
  <c r="H14" i="2" s="1"/>
  <c r="W18" i="9"/>
  <c r="B16" i="9"/>
  <c r="W49" i="9"/>
  <c r="V23" i="9"/>
  <c r="A47" i="9"/>
  <c r="B49" i="9"/>
  <c r="A23" i="9"/>
  <c r="S8" i="2"/>
  <c r="S16" i="2" s="1"/>
  <c r="R14" i="2"/>
  <c r="S14" i="2" s="1"/>
  <c r="W48" i="9" l="1"/>
  <c r="V22" i="9"/>
  <c r="W17" i="9"/>
  <c r="C5" i="23"/>
  <c r="S18" i="2"/>
  <c r="B48" i="9"/>
  <c r="A22" i="9"/>
  <c r="A48" i="9"/>
  <c r="B15" i="9"/>
  <c r="H16" i="2"/>
  <c r="B4" i="24"/>
  <c r="A49" i="9" l="1"/>
  <c r="B47" i="9"/>
  <c r="A21" i="9"/>
  <c r="W16" i="9"/>
  <c r="B5" i="23"/>
  <c r="H18" i="2"/>
  <c r="B14" i="9"/>
  <c r="W47" i="9"/>
  <c r="V21" i="9"/>
  <c r="F5" i="23"/>
  <c r="E3" i="25"/>
  <c r="F3" i="25" s="1"/>
  <c r="C6" i="23"/>
  <c r="C9" i="24"/>
  <c r="C19" i="25" l="1"/>
  <c r="F6" i="23"/>
  <c r="C7" i="23"/>
  <c r="E4" i="25"/>
  <c r="F4" i="25" s="1"/>
  <c r="C10" i="24"/>
  <c r="W46" i="9"/>
  <c r="V20" i="9"/>
  <c r="W15" i="9"/>
  <c r="B9" i="24"/>
  <c r="B6" i="23"/>
  <c r="C3" i="25"/>
  <c r="D3" i="25" s="1"/>
  <c r="E5" i="23"/>
  <c r="G5" i="23" s="1"/>
  <c r="B8" i="19" s="1"/>
  <c r="B13" i="9"/>
  <c r="B46" i="9"/>
  <c r="A20" i="9"/>
  <c r="A50" i="9"/>
  <c r="B12" i="9" l="1"/>
  <c r="E6" i="23"/>
  <c r="G6" i="23" s="1"/>
  <c r="B9" i="19" s="1"/>
  <c r="B7" i="23"/>
  <c r="B10" i="24"/>
  <c r="C4" i="25"/>
  <c r="D4" i="25" s="1"/>
  <c r="W45" i="9"/>
  <c r="V19" i="9"/>
  <c r="F7" i="23"/>
  <c r="C8" i="23"/>
  <c r="E5" i="25"/>
  <c r="F5" i="25" s="1"/>
  <c r="C11" i="24"/>
  <c r="A51" i="9"/>
  <c r="B45" i="9"/>
  <c r="A19" i="9"/>
  <c r="E8" i="19"/>
  <c r="B25" i="24"/>
  <c r="E25" i="24" s="1"/>
  <c r="F25" i="24" s="1"/>
  <c r="B19" i="25"/>
  <c r="W14" i="9"/>
  <c r="B19" i="28"/>
  <c r="B7" i="30"/>
  <c r="G8" i="19" l="1"/>
  <c r="F8" i="19"/>
  <c r="C9" i="23"/>
  <c r="E6" i="25"/>
  <c r="F6" i="25" s="1"/>
  <c r="F8" i="23"/>
  <c r="C12" i="24"/>
  <c r="A32" i="33"/>
  <c r="A28" i="33"/>
  <c r="A17" i="33"/>
  <c r="A21" i="33"/>
  <c r="A25" i="33"/>
  <c r="A31" i="33"/>
  <c r="A18" i="33"/>
  <c r="A22" i="33"/>
  <c r="A26" i="33"/>
  <c r="B5" i="32"/>
  <c r="A30" i="33"/>
  <c r="A19" i="33"/>
  <c r="A23" i="33"/>
  <c r="A27" i="33"/>
  <c r="A15" i="33"/>
  <c r="A16" i="33"/>
  <c r="A24" i="33"/>
  <c r="A20" i="33"/>
  <c r="A33" i="33"/>
  <c r="A29" i="33"/>
  <c r="B18" i="28"/>
  <c r="B2" i="32" s="1"/>
  <c r="B5" i="31"/>
  <c r="B44" i="9"/>
  <c r="A18" i="9"/>
  <c r="A52" i="9"/>
  <c r="J52" i="9"/>
  <c r="N47" i="9"/>
  <c r="AE50" i="9"/>
  <c r="F49" i="9"/>
  <c r="AA52" i="9"/>
  <c r="F48" i="9"/>
  <c r="F52" i="9"/>
  <c r="AI52" i="9"/>
  <c r="AE51" i="9"/>
  <c r="AE48" i="9"/>
  <c r="J47" i="9"/>
  <c r="AE52" i="9"/>
  <c r="F47" i="9"/>
  <c r="J51" i="9"/>
  <c r="AI48" i="9"/>
  <c r="N49" i="9"/>
  <c r="AE49" i="9"/>
  <c r="N50" i="9"/>
  <c r="AE47" i="9"/>
  <c r="AA48" i="9"/>
  <c r="B11" i="9"/>
  <c r="W44" i="9"/>
  <c r="V18" i="9"/>
  <c r="C5" i="25"/>
  <c r="D5" i="25" s="1"/>
  <c r="E7" i="23"/>
  <c r="G7" i="23" s="1"/>
  <c r="B10" i="19" s="1"/>
  <c r="B11" i="24"/>
  <c r="B8" i="23"/>
  <c r="J49" i="9"/>
  <c r="W13" i="9"/>
  <c r="B26" i="24"/>
  <c r="E26" i="24" s="1"/>
  <c r="F26" i="24" s="1"/>
  <c r="E9" i="19"/>
  <c r="F9" i="19" s="1"/>
  <c r="AI47" i="9"/>
  <c r="W12" i="9" l="1"/>
  <c r="E10" i="19"/>
  <c r="F10" i="19" s="1"/>
  <c r="B27" i="24"/>
  <c r="E27" i="24" s="1"/>
  <c r="F27" i="24" s="1"/>
  <c r="E8" i="23"/>
  <c r="G8" i="23" s="1"/>
  <c r="B11" i="19" s="1"/>
  <c r="B12" i="24"/>
  <c r="B9" i="23"/>
  <c r="C6" i="25"/>
  <c r="D6" i="25" s="1"/>
  <c r="W43" i="9"/>
  <c r="V17" i="9"/>
  <c r="AH41" i="9"/>
  <c r="AD44" i="9"/>
  <c r="M47" i="9"/>
  <c r="I45" i="9"/>
  <c r="E45" i="9"/>
  <c r="L47" i="9"/>
  <c r="AH44" i="9"/>
  <c r="AC48" i="9"/>
  <c r="L50" i="9"/>
  <c r="Y43" i="9"/>
  <c r="H43" i="9"/>
  <c r="AC46" i="9"/>
  <c r="L39" i="9"/>
  <c r="H49" i="9"/>
  <c r="M49" i="9"/>
  <c r="AC35" i="9"/>
  <c r="H42" i="9"/>
  <c r="M52" i="9"/>
  <c r="L48" i="9"/>
  <c r="Y52" i="9"/>
  <c r="AC49" i="9"/>
  <c r="H37" i="9"/>
  <c r="AH48" i="9"/>
  <c r="L44" i="9"/>
  <c r="Z45" i="9"/>
  <c r="Y49" i="9"/>
  <c r="AG43" i="9"/>
  <c r="L49" i="9"/>
  <c r="AG35" i="9"/>
  <c r="AH51" i="9"/>
  <c r="Z42" i="9"/>
  <c r="AG42" i="9"/>
  <c r="AC37" i="9"/>
  <c r="E49" i="9"/>
  <c r="AH50" i="9"/>
  <c r="Y35" i="9"/>
  <c r="H50" i="9"/>
  <c r="AG41" i="9"/>
  <c r="AG33" i="9"/>
  <c r="E46" i="9"/>
  <c r="Y46" i="9"/>
  <c r="AH42" i="9"/>
  <c r="AD46" i="9"/>
  <c r="H52" i="9"/>
  <c r="AD42" i="9"/>
  <c r="AC50" i="9"/>
  <c r="AC52" i="9"/>
  <c r="AD41" i="9"/>
  <c r="H35" i="9"/>
  <c r="L38" i="9"/>
  <c r="Z47" i="9"/>
  <c r="I50" i="9"/>
  <c r="Y33" i="9"/>
  <c r="I46" i="9"/>
  <c r="AC39" i="9"/>
  <c r="AC34" i="9"/>
  <c r="AH46" i="9"/>
  <c r="I42" i="9"/>
  <c r="M42" i="9"/>
  <c r="L34" i="9"/>
  <c r="H33" i="9"/>
  <c r="AG40" i="9"/>
  <c r="M51" i="9"/>
  <c r="D51" i="9"/>
  <c r="D34" i="9"/>
  <c r="M50" i="9"/>
  <c r="D33" i="9"/>
  <c r="D50" i="9"/>
  <c r="AD47" i="9"/>
  <c r="AH52" i="9"/>
  <c r="Z51" i="9"/>
  <c r="M46" i="9"/>
  <c r="M48" i="9"/>
  <c r="L51" i="9"/>
  <c r="E44" i="9"/>
  <c r="AD50" i="9"/>
  <c r="Y51" i="9"/>
  <c r="D40" i="9"/>
  <c r="M41" i="9"/>
  <c r="L52" i="9"/>
  <c r="D48" i="9"/>
  <c r="L37" i="9"/>
  <c r="Y45" i="9"/>
  <c r="Z49" i="9"/>
  <c r="AD43" i="9"/>
  <c r="D47" i="9"/>
  <c r="H41" i="9"/>
  <c r="I44" i="9"/>
  <c r="D41" i="9"/>
  <c r="L42" i="9"/>
  <c r="AC44" i="9"/>
  <c r="Z46" i="9"/>
  <c r="AC43" i="9"/>
  <c r="H39" i="9"/>
  <c r="AG52" i="9"/>
  <c r="E47" i="9"/>
  <c r="AC38" i="9"/>
  <c r="AC36" i="9"/>
  <c r="I51" i="9"/>
  <c r="Y50" i="9"/>
  <c r="Z52" i="9"/>
  <c r="Z41" i="9"/>
  <c r="D38" i="9"/>
  <c r="AG49" i="9"/>
  <c r="E52" i="9"/>
  <c r="H38" i="9"/>
  <c r="I52" i="9"/>
  <c r="M45" i="9"/>
  <c r="L45" i="9"/>
  <c r="L36" i="9"/>
  <c r="Y47" i="9"/>
  <c r="AD52" i="9"/>
  <c r="M43" i="9"/>
  <c r="E51" i="9"/>
  <c r="AG38" i="9"/>
  <c r="M44" i="9"/>
  <c r="E43" i="9"/>
  <c r="AC42" i="9"/>
  <c r="AC47" i="9"/>
  <c r="AG36" i="9"/>
  <c r="I49" i="9"/>
  <c r="H45" i="9"/>
  <c r="Y41" i="9"/>
  <c r="Y42" i="9"/>
  <c r="Y34" i="9"/>
  <c r="AG51" i="9"/>
  <c r="Y44" i="9"/>
  <c r="D43" i="9"/>
  <c r="AG50" i="9"/>
  <c r="D36" i="9"/>
  <c r="AG34" i="9"/>
  <c r="AC40" i="9"/>
  <c r="D42" i="9"/>
  <c r="Z50" i="9"/>
  <c r="L33" i="9"/>
  <c r="AG39" i="9"/>
  <c r="AH49" i="9"/>
  <c r="H40" i="9"/>
  <c r="Y36" i="9"/>
  <c r="AD49" i="9"/>
  <c r="I41" i="9"/>
  <c r="AD45" i="9"/>
  <c r="AC51" i="9"/>
  <c r="E50" i="9"/>
  <c r="Y38" i="9"/>
  <c r="D46" i="9"/>
  <c r="H48" i="9"/>
  <c r="Y48" i="9"/>
  <c r="Y39" i="9"/>
  <c r="D35" i="9"/>
  <c r="H34" i="9"/>
  <c r="L40" i="9"/>
  <c r="H44" i="9"/>
  <c r="H46" i="9"/>
  <c r="Y40" i="9"/>
  <c r="AG46" i="9"/>
  <c r="Z43" i="9"/>
  <c r="H36" i="9"/>
  <c r="AD48" i="9"/>
  <c r="D49" i="9"/>
  <c r="AG47" i="9"/>
  <c r="AC45" i="9"/>
  <c r="D37" i="9"/>
  <c r="AG37" i="9"/>
  <c r="D52" i="9"/>
  <c r="N48" i="9"/>
  <c r="E41" i="9"/>
  <c r="AG48" i="9"/>
  <c r="AI50" i="9"/>
  <c r="AD51" i="9"/>
  <c r="E48" i="9"/>
  <c r="AH43" i="9"/>
  <c r="AC41" i="9"/>
  <c r="L41" i="9"/>
  <c r="AA47" i="9"/>
  <c r="I43" i="9"/>
  <c r="I48" i="9"/>
  <c r="L46" i="9"/>
  <c r="J48" i="9"/>
  <c r="H51" i="9"/>
  <c r="J50" i="9"/>
  <c r="H47" i="9"/>
  <c r="AG44" i="9"/>
  <c r="AI51" i="9"/>
  <c r="L35" i="9"/>
  <c r="F51" i="9"/>
  <c r="AH47" i="9"/>
  <c r="AG45" i="9"/>
  <c r="AC33" i="9"/>
  <c r="D44" i="9"/>
  <c r="AH45" i="9"/>
  <c r="AA51" i="9"/>
  <c r="Y37" i="9"/>
  <c r="AI49" i="9"/>
  <c r="L43" i="9"/>
  <c r="Z44" i="9"/>
  <c r="F50" i="9"/>
  <c r="E42" i="9"/>
  <c r="Z48" i="9"/>
  <c r="N52" i="9"/>
  <c r="D45" i="9"/>
  <c r="D39" i="9"/>
  <c r="AA49" i="9"/>
  <c r="I47" i="9"/>
  <c r="AA50" i="9"/>
  <c r="N51" i="9"/>
  <c r="F9" i="23"/>
  <c r="C10" i="23"/>
  <c r="C13" i="24"/>
  <c r="E7" i="25"/>
  <c r="F7" i="25" s="1"/>
  <c r="B43" i="9"/>
  <c r="A17" i="9"/>
  <c r="B10" i="9"/>
  <c r="B8" i="31"/>
  <c r="E8" i="31" s="1"/>
  <c r="G8" i="31" s="1"/>
  <c r="B13" i="30" s="1"/>
  <c r="E13" i="30" s="1"/>
  <c r="B12" i="31"/>
  <c r="E12" i="31" s="1"/>
  <c r="G12" i="31" s="1"/>
  <c r="B17" i="30" s="1"/>
  <c r="E17" i="30" s="1"/>
  <c r="B9" i="31"/>
  <c r="E9" i="31" s="1"/>
  <c r="G9" i="31" s="1"/>
  <c r="B14" i="30" s="1"/>
  <c r="E14" i="30" s="1"/>
  <c r="B13" i="31"/>
  <c r="E13" i="31" s="1"/>
  <c r="G13" i="31" s="1"/>
  <c r="B18" i="30" s="1"/>
  <c r="E18" i="30" s="1"/>
  <c r="E5" i="31"/>
  <c r="G5" i="31" s="1"/>
  <c r="B10" i="30" s="1"/>
  <c r="E10" i="30" s="1"/>
  <c r="B10" i="31"/>
  <c r="E10" i="31" s="1"/>
  <c r="G10" i="31" s="1"/>
  <c r="B15" i="30" s="1"/>
  <c r="E15" i="30" s="1"/>
  <c r="B14" i="31"/>
  <c r="E14" i="31" s="1"/>
  <c r="G14" i="31" s="1"/>
  <c r="B19" i="30" s="1"/>
  <c r="E19" i="30" s="1"/>
  <c r="B7" i="31"/>
  <c r="E7" i="31" s="1"/>
  <c r="G7" i="31" s="1"/>
  <c r="B12" i="30" s="1"/>
  <c r="E12" i="30" s="1"/>
  <c r="B11" i="31"/>
  <c r="E11" i="31" s="1"/>
  <c r="G11" i="31" s="1"/>
  <c r="B16" i="30" s="1"/>
  <c r="E16" i="30" s="1"/>
  <c r="B6" i="31"/>
  <c r="E6" i="31" s="1"/>
  <c r="G6" i="31" s="1"/>
  <c r="B11" i="30" s="1"/>
  <c r="E11" i="30" s="1"/>
  <c r="G9" i="19"/>
  <c r="G10" i="19" s="1"/>
  <c r="B9" i="9" l="1"/>
  <c r="B42" i="9"/>
  <c r="A16" i="9"/>
  <c r="C11" i="23"/>
  <c r="F10" i="23"/>
  <c r="E8" i="25"/>
  <c r="F8" i="25" s="1"/>
  <c r="C14" i="24"/>
  <c r="W42" i="9"/>
  <c r="V16" i="9"/>
  <c r="B28" i="24"/>
  <c r="E28" i="24" s="1"/>
  <c r="F28" i="24" s="1"/>
  <c r="E11" i="19"/>
  <c r="E20" i="30"/>
  <c r="F10" i="30"/>
  <c r="F11" i="30" s="1"/>
  <c r="F12" i="30" s="1"/>
  <c r="F13" i="30" s="1"/>
  <c r="F14" i="30" s="1"/>
  <c r="F15" i="30" s="1"/>
  <c r="F16" i="30" s="1"/>
  <c r="F17" i="30" s="1"/>
  <c r="F18" i="30" s="1"/>
  <c r="F19" i="30" s="1"/>
  <c r="W11" i="9"/>
  <c r="E9" i="23"/>
  <c r="G9" i="23" s="1"/>
  <c r="B12" i="19" s="1"/>
  <c r="C7" i="25"/>
  <c r="D7" i="25" s="1"/>
  <c r="B10" i="23"/>
  <c r="B13" i="24"/>
  <c r="G11" i="19" l="1"/>
  <c r="B41" i="9"/>
  <c r="A15" i="9"/>
  <c r="E12" i="19"/>
  <c r="B29" i="24"/>
  <c r="E29" i="24" s="1"/>
  <c r="F29" i="24" s="1"/>
  <c r="W41" i="9"/>
  <c r="V15" i="9"/>
  <c r="F11" i="19"/>
  <c r="B8" i="9"/>
  <c r="E10" i="23"/>
  <c r="G10" i="23" s="1"/>
  <c r="B13" i="19" s="1"/>
  <c r="C8" i="25"/>
  <c r="D8" i="25" s="1"/>
  <c r="B11" i="23"/>
  <c r="B14" i="24"/>
  <c r="W10" i="9"/>
  <c r="F11" i="23"/>
  <c r="C12" i="23"/>
  <c r="E9" i="25"/>
  <c r="F9" i="25" s="1"/>
  <c r="C15" i="24"/>
  <c r="B12" i="23" l="1"/>
  <c r="C9" i="25"/>
  <c r="D9" i="25" s="1"/>
  <c r="B15" i="24"/>
  <c r="E11" i="23"/>
  <c r="G11" i="23" s="1"/>
  <c r="B14" i="19" s="1"/>
  <c r="F12" i="19"/>
  <c r="F13" i="19" s="1"/>
  <c r="G12" i="19"/>
  <c r="W9" i="9"/>
  <c r="E13" i="19"/>
  <c r="B30" i="24"/>
  <c r="E30" i="24" s="1"/>
  <c r="F30" i="24" s="1"/>
  <c r="W40" i="9"/>
  <c r="V14" i="9"/>
  <c r="B40" i="9"/>
  <c r="A14" i="9"/>
  <c r="C13" i="23"/>
  <c r="E10" i="25"/>
  <c r="F10" i="25" s="1"/>
  <c r="F12" i="23"/>
  <c r="C16" i="24"/>
  <c r="W39" i="9" l="1"/>
  <c r="V13" i="9"/>
  <c r="F14" i="19"/>
  <c r="E12" i="23"/>
  <c r="G12" i="23" s="1"/>
  <c r="B15" i="19" s="1"/>
  <c r="B13" i="23"/>
  <c r="C10" i="25"/>
  <c r="D10" i="25" s="1"/>
  <c r="B16" i="24"/>
  <c r="W8" i="9"/>
  <c r="B39" i="9"/>
  <c r="A13" i="9"/>
  <c r="E14" i="19"/>
  <c r="B31" i="24"/>
  <c r="E31" i="24" s="1"/>
  <c r="F31" i="24" s="1"/>
  <c r="F13" i="23"/>
  <c r="C14" i="23"/>
  <c r="E11" i="25"/>
  <c r="F11" i="25" s="1"/>
  <c r="C17" i="24"/>
  <c r="G13" i="19"/>
  <c r="E12" i="25" l="1"/>
  <c r="F12" i="25" s="1"/>
  <c r="C17" i="25" s="1"/>
  <c r="F14" i="23"/>
  <c r="C18" i="24"/>
  <c r="W38" i="9"/>
  <c r="V12" i="9"/>
  <c r="B38" i="9"/>
  <c r="A12" i="9"/>
  <c r="B14" i="23"/>
  <c r="C11" i="25"/>
  <c r="D11" i="25" s="1"/>
  <c r="B17" i="24"/>
  <c r="E13" i="23"/>
  <c r="G13" i="23" s="1"/>
  <c r="B16" i="19" s="1"/>
  <c r="G14" i="19"/>
  <c r="G15" i="19" s="1"/>
  <c r="E15" i="19"/>
  <c r="F15" i="19" s="1"/>
  <c r="B32" i="24"/>
  <c r="E32" i="24" s="1"/>
  <c r="F32" i="24" s="1"/>
  <c r="E16" i="19" l="1"/>
  <c r="G16" i="19" s="1"/>
  <c r="B33" i="24"/>
  <c r="E33" i="24" s="1"/>
  <c r="F33" i="24" s="1"/>
  <c r="W37" i="9"/>
  <c r="V11" i="9"/>
  <c r="F3" i="28"/>
  <c r="E3" i="28" s="1"/>
  <c r="G3" i="28" s="1"/>
  <c r="F7" i="28"/>
  <c r="E7" i="28" s="1"/>
  <c r="G7" i="28" s="1"/>
  <c r="F13" i="28"/>
  <c r="E13" i="28" s="1"/>
  <c r="G13" i="28" s="1"/>
  <c r="F8" i="28"/>
  <c r="E8" i="28" s="1"/>
  <c r="G8" i="28" s="1"/>
  <c r="F4" i="28"/>
  <c r="E4" i="28" s="1"/>
  <c r="G4" i="28" s="1"/>
  <c r="F9" i="28"/>
  <c r="E9" i="28" s="1"/>
  <c r="G9" i="28" s="1"/>
  <c r="F12" i="28"/>
  <c r="E12" i="28" s="1"/>
  <c r="G12" i="28" s="1"/>
  <c r="F6" i="28"/>
  <c r="E6" i="28" s="1"/>
  <c r="G6" i="28" s="1"/>
  <c r="F5" i="28"/>
  <c r="E5" i="28" s="1"/>
  <c r="G5" i="28" s="1"/>
  <c r="F11" i="28"/>
  <c r="E11" i="28" s="1"/>
  <c r="G11" i="28" s="1"/>
  <c r="F10" i="28"/>
  <c r="E10" i="28" s="1"/>
  <c r="G10" i="28" s="1"/>
  <c r="B37" i="9"/>
  <c r="A11" i="9"/>
  <c r="E14" i="23"/>
  <c r="G14" i="23" s="1"/>
  <c r="B17" i="19" s="1"/>
  <c r="C12" i="25"/>
  <c r="D12" i="25" s="1"/>
  <c r="B17" i="25" s="1"/>
  <c r="B18" i="24"/>
  <c r="B22" i="19" l="1"/>
  <c r="W36" i="9"/>
  <c r="V10" i="9"/>
  <c r="B36" i="9"/>
  <c r="A10" i="9"/>
  <c r="C6" i="28"/>
  <c r="B6" i="28" s="1"/>
  <c r="D6" i="28" s="1"/>
  <c r="C10" i="28"/>
  <c r="B10" i="28" s="1"/>
  <c r="D10" i="28" s="1"/>
  <c r="C3" i="28"/>
  <c r="B3" i="28" s="1"/>
  <c r="D3" i="28" s="1"/>
  <c r="C5" i="28"/>
  <c r="B5" i="28" s="1"/>
  <c r="D5" i="28" s="1"/>
  <c r="C9" i="28"/>
  <c r="B9" i="28" s="1"/>
  <c r="D9" i="28" s="1"/>
  <c r="C13" i="28"/>
  <c r="B13" i="28" s="1"/>
  <c r="D13" i="28" s="1"/>
  <c r="C4" i="28"/>
  <c r="B4" i="28" s="1"/>
  <c r="D4" i="28" s="1"/>
  <c r="C12" i="28"/>
  <c r="B12" i="28" s="1"/>
  <c r="D12" i="28" s="1"/>
  <c r="C7" i="28"/>
  <c r="B7" i="28" s="1"/>
  <c r="D7" i="28" s="1"/>
  <c r="C11" i="28"/>
  <c r="B11" i="28" s="1"/>
  <c r="D11" i="28" s="1"/>
  <c r="C8" i="28"/>
  <c r="B8" i="28" s="1"/>
  <c r="D8" i="28" s="1"/>
  <c r="F16" i="19"/>
  <c r="E17" i="19"/>
  <c r="E18" i="19" s="1"/>
  <c r="G25" i="16" s="1"/>
  <c r="B34" i="24"/>
  <c r="E34" i="24" s="1"/>
  <c r="F34" i="24" s="1"/>
  <c r="B35" i="9" l="1"/>
  <c r="A9" i="9"/>
  <c r="G17" i="19"/>
  <c r="F17" i="19"/>
  <c r="B21" i="19" s="1"/>
  <c r="W35" i="9"/>
  <c r="V9" i="9"/>
  <c r="W34" i="9" l="1"/>
  <c r="V8" i="9"/>
  <c r="W33" i="9" s="1"/>
  <c r="B34" i="9"/>
  <c r="A8" i="9"/>
  <c r="B33" i="9" s="1"/>
</calcChain>
</file>

<file path=xl/comments1.xml><?xml version="1.0" encoding="utf-8"?>
<comments xmlns="http://schemas.openxmlformats.org/spreadsheetml/2006/main">
  <authors>
    <author>nathan</author>
    <author>Layla Trummer</author>
  </authors>
  <commentList>
    <comment ref="B3" authorId="0" shapeId="0">
      <text>
        <r>
          <rPr>
            <b/>
            <sz val="9"/>
            <color indexed="81"/>
            <rFont val="Tahoma"/>
            <family val="2"/>
          </rPr>
          <t>nathan:</t>
        </r>
        <r>
          <rPr>
            <sz val="9"/>
            <color indexed="81"/>
            <rFont val="Tahoma"/>
            <family val="2"/>
          </rPr>
          <t xml:space="preserve">
https://en.wikipedia.org/wiki/Airbag#Side_airbag</t>
        </r>
      </text>
    </comment>
    <comment ref="B4" authorId="0" shapeId="0">
      <text>
        <r>
          <rPr>
            <b/>
            <sz val="9"/>
            <color indexed="81"/>
            <rFont val="Tahoma"/>
            <family val="2"/>
          </rPr>
          <t>nathan:</t>
        </r>
        <r>
          <rPr>
            <sz val="9"/>
            <color indexed="81"/>
            <rFont val="Tahoma"/>
            <family val="2"/>
          </rPr>
          <t xml:space="preserve">
We observed a "winter claim" peak in the OU data</t>
        </r>
      </text>
    </comment>
    <comment ref="B7" authorId="0" shapeId="0">
      <text>
        <r>
          <rPr>
            <b/>
            <sz val="9"/>
            <color indexed="81"/>
            <rFont val="Tahoma"/>
            <family val="2"/>
          </rPr>
          <t>nathan:</t>
        </r>
        <r>
          <rPr>
            <sz val="9"/>
            <color indexed="81"/>
            <rFont val="Tahoma"/>
            <family val="2"/>
          </rPr>
          <t xml:space="preserve">
Cost is approximately $800. </t>
        </r>
      </text>
    </comment>
    <comment ref="C7" authorId="0" shapeId="0">
      <text>
        <r>
          <rPr>
            <b/>
            <sz val="9"/>
            <color indexed="81"/>
            <rFont val="Tahoma"/>
            <family val="2"/>
          </rPr>
          <t>nathan:</t>
        </r>
        <r>
          <rPr>
            <sz val="9"/>
            <color indexed="81"/>
            <rFont val="Tahoma"/>
            <family val="2"/>
          </rPr>
          <t xml:space="preserve">
See here http://www.digitaltrends.com/cars/study-says-lane-departure-warning-systems-dont-prevent-crashes/</t>
        </r>
      </text>
    </comment>
    <comment ref="B8" authorId="1" shapeId="0">
      <text>
        <r>
          <rPr>
            <b/>
            <sz val="9"/>
            <color indexed="81"/>
            <rFont val="Calibri"/>
            <family val="2"/>
          </rPr>
          <t>Layla Trummer:</t>
        </r>
        <r>
          <rPr>
            <sz val="9"/>
            <color indexed="81"/>
            <rFont val="Calibri"/>
            <family val="2"/>
          </rPr>
          <t xml:space="preserve">
http://intercoreinc.com</t>
        </r>
      </text>
    </comment>
  </commentList>
</comments>
</file>

<file path=xl/comments2.xml><?xml version="1.0" encoding="utf-8"?>
<comments xmlns="http://schemas.openxmlformats.org/spreadsheetml/2006/main">
  <authors>
    <author>nathan</author>
    <author>Layla Trummer</author>
  </authors>
  <commentList>
    <comment ref="B6" authorId="0" shapeId="0">
      <text>
        <r>
          <rPr>
            <b/>
            <sz val="9"/>
            <color indexed="81"/>
            <rFont val="Tahoma"/>
            <family val="2"/>
          </rPr>
          <t>nathan:</t>
        </r>
        <r>
          <rPr>
            <sz val="9"/>
            <color indexed="81"/>
            <rFont val="Tahoma"/>
            <family val="2"/>
          </rPr>
          <t xml:space="preserve">
Based on ICBC 2012 annual report</t>
        </r>
      </text>
    </comment>
    <comment ref="C8" authorId="0" shapeId="0">
      <text>
        <r>
          <rPr>
            <b/>
            <sz val="9"/>
            <color indexed="81"/>
            <rFont val="Tahoma"/>
            <family val="2"/>
          </rPr>
          <t>nathan:</t>
        </r>
        <r>
          <rPr>
            <sz val="9"/>
            <color indexed="81"/>
            <rFont val="Tahoma"/>
            <family val="2"/>
          </rPr>
          <t xml:space="preserve">
For assumption see here http://brainonboard.ca/safety_features/driver_assistance_technology_adaptive_headlights.php</t>
        </r>
      </text>
    </comment>
    <comment ref="F8" authorId="0" shapeId="0">
      <text>
        <r>
          <rPr>
            <b/>
            <sz val="9"/>
            <color indexed="81"/>
            <rFont val="Tahoma"/>
            <family val="2"/>
          </rPr>
          <t>nathan:</t>
        </r>
        <r>
          <rPr>
            <sz val="9"/>
            <color indexed="81"/>
            <rFont val="Tahoma"/>
            <family val="2"/>
          </rPr>
          <t xml:space="preserve">
For assumption see here http://brainonboard.ca/safety_features/active_safety_features_abs.php</t>
        </r>
      </text>
    </comment>
    <comment ref="G8" authorId="1" shapeId="0">
      <text>
        <r>
          <rPr>
            <b/>
            <sz val="9"/>
            <color indexed="81"/>
            <rFont val="Calibri"/>
            <family val="2"/>
          </rPr>
          <t>Layla Trummer:</t>
        </r>
        <r>
          <rPr>
            <sz val="9"/>
            <color indexed="81"/>
            <rFont val="Calibri"/>
            <family val="2"/>
          </rPr>
          <t xml:space="preserve">
Driving in a state of excessive fatigue or drowsiness has been identified to be a key factor in one out of five accidents involving death or injury.</t>
        </r>
      </text>
    </comment>
    <comment ref="H8" authorId="1" shapeId="0">
      <text>
        <r>
          <rPr>
            <b/>
            <sz val="9"/>
            <color indexed="81"/>
            <rFont val="Calibri"/>
            <family val="2"/>
          </rPr>
          <t>Layla Trummer:</t>
        </r>
        <r>
          <rPr>
            <sz val="9"/>
            <color indexed="81"/>
            <rFont val="Calibri"/>
            <family val="2"/>
          </rPr>
          <t xml:space="preserve">
https://www.aaafoundation.org/sites/default/files/Evaluating%20Vehicle%20Safety%20Techs%20FINAL%20FTS.pdf</t>
        </r>
      </text>
    </comment>
    <comment ref="B10" authorId="0" shapeId="0">
      <text>
        <r>
          <rPr>
            <b/>
            <sz val="9"/>
            <color indexed="81"/>
            <rFont val="Tahoma"/>
            <family val="2"/>
          </rPr>
          <t>nathan:</t>
        </r>
        <r>
          <rPr>
            <sz val="9"/>
            <color indexed="81"/>
            <rFont val="Tahoma"/>
            <family val="2"/>
          </rPr>
          <t xml:space="preserve">
This column based on 2013 Stat Can data. See here https://www.tc.gc.ca/media/documents/roadsafety/cmvtcs2013_eng.pdf</t>
        </r>
      </text>
    </comment>
    <comment ref="C10" authorId="0" shapeId="0">
      <text>
        <r>
          <rPr>
            <b/>
            <sz val="9"/>
            <color indexed="81"/>
            <rFont val="Tahoma"/>
            <family val="2"/>
          </rPr>
          <t>nathan:</t>
        </r>
        <r>
          <rPr>
            <sz val="9"/>
            <color indexed="81"/>
            <rFont val="Tahoma"/>
            <family val="2"/>
          </rPr>
          <t xml:space="preserve">
Estimated no injury crashes prevented in 2008 USA</t>
        </r>
      </text>
    </comment>
    <comment ref="C11" authorId="0" shapeId="0">
      <text>
        <r>
          <rPr>
            <b/>
            <sz val="9"/>
            <color indexed="81"/>
            <rFont val="Tahoma"/>
            <family val="2"/>
          </rPr>
          <t>nathan:</t>
        </r>
        <r>
          <rPr>
            <sz val="9"/>
            <color indexed="81"/>
            <rFont val="Tahoma"/>
            <family val="2"/>
          </rPr>
          <t xml:space="preserve">
Estimated injury crashes prevented in 2008 USA</t>
        </r>
      </text>
    </comment>
    <comment ref="C12" authorId="0" shapeId="0">
      <text>
        <r>
          <rPr>
            <b/>
            <sz val="9"/>
            <color indexed="81"/>
            <rFont val="Tahoma"/>
            <family val="2"/>
          </rPr>
          <t>nathan:</t>
        </r>
        <r>
          <rPr>
            <sz val="9"/>
            <color indexed="81"/>
            <rFont val="Tahoma"/>
            <family val="2"/>
          </rPr>
          <t xml:space="preserve">
Estimated fatal crashes prevented in 2008 USA</t>
        </r>
      </text>
    </comment>
    <comment ref="D12" authorId="0" shapeId="0">
      <text>
        <r>
          <rPr>
            <b/>
            <sz val="9"/>
            <color indexed="81"/>
            <rFont val="Tahoma"/>
            <family val="2"/>
          </rPr>
          <t>nathan:</t>
        </r>
        <r>
          <rPr>
            <sz val="9"/>
            <color indexed="81"/>
            <rFont val="Tahoma"/>
            <family val="2"/>
          </rPr>
          <t xml:space="preserve">
2008 Fatal crashes in USA (IIHS)</t>
        </r>
      </text>
    </comment>
    <comment ref="D15" authorId="0" shapeId="0">
      <text>
        <r>
          <rPr>
            <b/>
            <sz val="9"/>
            <color indexed="81"/>
            <rFont val="Tahoma"/>
            <family val="2"/>
          </rPr>
          <t>nathan:</t>
        </r>
        <r>
          <rPr>
            <sz val="9"/>
            <color indexed="81"/>
            <rFont val="Tahoma"/>
            <family val="2"/>
          </rPr>
          <t xml:space="preserve">
Costs include installation costs</t>
        </r>
      </text>
    </comment>
    <comment ref="F15" authorId="0" shapeId="0">
      <text>
        <r>
          <rPr>
            <b/>
            <sz val="9"/>
            <color indexed="81"/>
            <rFont val="Tahoma"/>
            <family val="2"/>
          </rPr>
          <t>nathan:</t>
        </r>
        <r>
          <rPr>
            <sz val="9"/>
            <color indexed="81"/>
            <rFont val="Tahoma"/>
            <family val="2"/>
          </rPr>
          <t xml:space="preserve">
Should the feature be used?</t>
        </r>
      </text>
    </comment>
    <comment ref="B16" authorId="0" shapeId="0">
      <text>
        <r>
          <rPr>
            <b/>
            <sz val="9"/>
            <color indexed="81"/>
            <rFont val="Tahoma"/>
            <family val="2"/>
          </rPr>
          <t>nathan:</t>
        </r>
        <r>
          <rPr>
            <sz val="9"/>
            <color indexed="81"/>
            <rFont val="Tahoma"/>
            <family val="2"/>
          </rPr>
          <t xml:space="preserve">
Given</t>
        </r>
      </text>
    </comment>
    <comment ref="D16" authorId="0" shapeId="0">
      <text>
        <r>
          <rPr>
            <b/>
            <sz val="9"/>
            <color indexed="81"/>
            <rFont val="Tahoma"/>
            <family val="2"/>
          </rPr>
          <t>nathan:</t>
        </r>
        <r>
          <rPr>
            <sz val="9"/>
            <color indexed="81"/>
            <rFont val="Tahoma"/>
            <family val="2"/>
          </rPr>
          <t xml:space="preserve">
Given</t>
        </r>
      </text>
    </comment>
    <comment ref="E16" authorId="0" shapeId="0">
      <text>
        <r>
          <rPr>
            <b/>
            <sz val="9"/>
            <color indexed="81"/>
            <rFont val="Tahoma"/>
            <family val="2"/>
          </rPr>
          <t>nathan:</t>
        </r>
        <r>
          <rPr>
            <sz val="9"/>
            <color indexed="81"/>
            <rFont val="Tahoma"/>
            <family val="2"/>
          </rPr>
          <t xml:space="preserve">
Given</t>
        </r>
      </text>
    </comment>
    <comment ref="C17" authorId="0" shapeId="0">
      <text>
        <r>
          <rPr>
            <b/>
            <sz val="9"/>
            <color indexed="81"/>
            <rFont val="Tahoma"/>
            <family val="2"/>
          </rPr>
          <t>nathan:</t>
        </r>
        <r>
          <rPr>
            <sz val="9"/>
            <color indexed="81"/>
            <rFont val="Tahoma"/>
            <family val="2"/>
          </rPr>
          <t xml:space="preserve">
Given</t>
        </r>
      </text>
    </comment>
    <comment ref="D17" authorId="0" shapeId="0">
      <text>
        <r>
          <rPr>
            <b/>
            <sz val="9"/>
            <color indexed="81"/>
            <rFont val="Tahoma"/>
            <family val="2"/>
          </rPr>
          <t>nathan:</t>
        </r>
        <r>
          <rPr>
            <sz val="9"/>
            <color indexed="81"/>
            <rFont val="Tahoma"/>
            <family val="2"/>
          </rPr>
          <t xml:space="preserve">
Given</t>
        </r>
      </text>
    </comment>
    <comment ref="B18" authorId="0" shapeId="0">
      <text>
        <r>
          <rPr>
            <b/>
            <sz val="9"/>
            <color indexed="81"/>
            <rFont val="Tahoma"/>
            <family val="2"/>
          </rPr>
          <t>nathan:</t>
        </r>
        <r>
          <rPr>
            <sz val="9"/>
            <color indexed="81"/>
            <rFont val="Tahoma"/>
            <family val="2"/>
          </rPr>
          <t xml:space="preserve">
Weighted average</t>
        </r>
      </text>
    </comment>
    <comment ref="D18" authorId="0" shapeId="0">
      <text>
        <r>
          <rPr>
            <b/>
            <sz val="9"/>
            <color indexed="81"/>
            <rFont val="Tahoma"/>
            <family val="2"/>
          </rPr>
          <t>nathan:</t>
        </r>
        <r>
          <rPr>
            <sz val="9"/>
            <color indexed="81"/>
            <rFont val="Tahoma"/>
            <family val="2"/>
          </rPr>
          <t xml:space="preserve">
See here        http://repairpal.com/estimator/abs-brake-control-module-replacement-cost </t>
        </r>
      </text>
    </comment>
    <comment ref="C19" authorId="0" shapeId="0">
      <text>
        <r>
          <rPr>
            <b/>
            <sz val="9"/>
            <color indexed="81"/>
            <rFont val="Tahoma"/>
            <family val="2"/>
          </rPr>
          <t>nathan:</t>
        </r>
        <r>
          <rPr>
            <sz val="9"/>
            <color indexed="81"/>
            <rFont val="Tahoma"/>
            <family val="2"/>
          </rPr>
          <t xml:space="preserve">
17% of property damage liability severity reduced. See here http://www.iihs.org/iihs/sr/statusreport/article/49/2/2</t>
        </r>
      </text>
    </comment>
    <comment ref="D19" authorId="0" shapeId="0">
      <text>
        <r>
          <rPr>
            <b/>
            <sz val="9"/>
            <color indexed="81"/>
            <rFont val="Tahoma"/>
            <family val="2"/>
          </rPr>
          <t>nathan:</t>
        </r>
        <r>
          <rPr>
            <sz val="9"/>
            <color indexed="81"/>
            <rFont val="Tahoma"/>
            <family val="2"/>
          </rPr>
          <t xml:space="preserve">
See here  http://www.autoevolution.com/news/how-to-buy-and-install-parking-sensors-43994.html</t>
        </r>
      </text>
    </comment>
    <comment ref="B20" authorId="1" shapeId="0">
      <text>
        <r>
          <rPr>
            <b/>
            <sz val="9"/>
            <color indexed="81"/>
            <rFont val="Calibri"/>
            <family val="2"/>
          </rPr>
          <t>Layla Trummer:</t>
        </r>
        <r>
          <rPr>
            <sz val="9"/>
            <color indexed="81"/>
            <rFont val="Calibri"/>
            <family val="2"/>
          </rPr>
          <t xml:space="preserve">
20% of serious and fatal injuries caused by drowsy drivers</t>
        </r>
      </text>
    </comment>
    <comment ref="D20" authorId="1" shapeId="0">
      <text>
        <r>
          <rPr>
            <b/>
            <sz val="9"/>
            <color indexed="81"/>
            <rFont val="Calibri"/>
            <family val="2"/>
          </rPr>
          <t>Layla Trummer:</t>
        </r>
        <r>
          <rPr>
            <sz val="9"/>
            <color indexed="81"/>
            <rFont val="Calibri"/>
            <family val="2"/>
          </rPr>
          <t xml:space="preserve">
http://www.edmunds.com/car-safety/technology-aimed-at-helping-drowsy-drivers-stay-awake.html
On the 2012 Volvo S60, S80, XC60 and XC70, the technology package that offers lane departure warning, driver alert control, collision warning with auto brake and other features adds $2,100 to the price of a car.
</t>
        </r>
      </text>
    </comment>
    <comment ref="D21" authorId="1" shapeId="0">
      <text>
        <r>
          <rPr>
            <b/>
            <sz val="9"/>
            <color indexed="81"/>
            <rFont val="Calibri"/>
            <family val="2"/>
          </rPr>
          <t>Layla Trummer:</t>
        </r>
        <r>
          <rPr>
            <sz val="9"/>
            <color indexed="81"/>
            <rFont val="Calibri"/>
            <family val="2"/>
          </rPr>
          <t xml:space="preserve">
Safe Drive Systems are available now through the company website. The Premier System includes forward-collision warning only and retails for $1,100. Premier Plus adds lane-departure warning and costs $1,700.
http://www.consumerreports.org/cro/news/2014/05/how-to-update-any-car-with-forward-collision-and-lane-departure-warnings/index.htm</t>
        </r>
      </text>
    </comment>
    <comment ref="B22" authorId="0" shapeId="0">
      <text>
        <r>
          <rPr>
            <b/>
            <sz val="9"/>
            <color indexed="81"/>
            <rFont val="Tahoma"/>
            <family val="2"/>
          </rPr>
          <t>nathan:</t>
        </r>
        <r>
          <rPr>
            <sz val="9"/>
            <color indexed="81"/>
            <rFont val="Tahoma"/>
            <family val="2"/>
          </rPr>
          <t xml:space="preserve">
Weighted average</t>
        </r>
      </text>
    </comment>
    <comment ref="D22" authorId="0" shapeId="0">
      <text>
        <r>
          <rPr>
            <b/>
            <sz val="9"/>
            <color indexed="81"/>
            <rFont val="Tahoma"/>
            <family val="2"/>
          </rPr>
          <t>nathan:</t>
        </r>
        <r>
          <rPr>
            <sz val="9"/>
            <color indexed="81"/>
            <rFont val="Tahoma"/>
            <family val="2"/>
          </rPr>
          <t xml:space="preserve">
Based on prices seen on Ebay</t>
        </r>
      </text>
    </comment>
    <comment ref="E22" authorId="0" shapeId="0">
      <text>
        <r>
          <rPr>
            <b/>
            <sz val="9"/>
            <color indexed="81"/>
            <rFont val="Tahoma"/>
            <family val="2"/>
          </rPr>
          <t>nathan:</t>
        </r>
        <r>
          <rPr>
            <sz val="9"/>
            <color indexed="81"/>
            <rFont val="Tahoma"/>
            <family val="2"/>
          </rPr>
          <t xml:space="preserve">
Headlights usually last a long time. See here https://www:quora:com/What-is-the-lifespan-of-led-tail-lights-and-led-headlights</t>
        </r>
      </text>
    </comment>
    <comment ref="F23" authorId="0" shapeId="0">
      <text>
        <r>
          <rPr>
            <b/>
            <sz val="9"/>
            <color indexed="81"/>
            <rFont val="Tahoma"/>
            <family val="2"/>
          </rPr>
          <t>nathan:</t>
        </r>
        <r>
          <rPr>
            <sz val="9"/>
            <color indexed="81"/>
            <rFont val="Tahoma"/>
            <family val="2"/>
          </rPr>
          <t xml:space="preserve">
Number of safety features</t>
        </r>
      </text>
    </comment>
    <comment ref="A30" authorId="0" shapeId="0">
      <text>
        <r>
          <rPr>
            <b/>
            <sz val="9"/>
            <color indexed="81"/>
            <rFont val="Tahoma"/>
            <family val="2"/>
          </rPr>
          <t>nathan:</t>
        </r>
        <r>
          <rPr>
            <sz val="9"/>
            <color indexed="81"/>
            <rFont val="Tahoma"/>
            <family val="2"/>
          </rPr>
          <t xml:space="preserve">
About $300. Assume drivers can train for all features at once.</t>
        </r>
      </text>
    </comment>
  </commentList>
</comments>
</file>

<file path=xl/comments3.xml><?xml version="1.0" encoding="utf-8"?>
<comments xmlns="http://schemas.openxmlformats.org/spreadsheetml/2006/main">
  <authors>
    <author>nathan</author>
  </authors>
  <commentList>
    <comment ref="F5" authorId="0" shapeId="0">
      <text>
        <r>
          <rPr>
            <b/>
            <sz val="9"/>
            <color indexed="81"/>
            <rFont val="Tahoma"/>
            <family val="2"/>
          </rPr>
          <t>nathan:</t>
        </r>
        <r>
          <rPr>
            <sz val="9"/>
            <color indexed="81"/>
            <rFont val="Tahoma"/>
            <family val="2"/>
          </rPr>
          <t xml:space="preserve">
Second highest R^2. (For pure premium R^2 column). And using 4pt might be a bad idea since trend is VERY LARGE. So we chose a 12pt trend</t>
        </r>
      </text>
    </comment>
  </commentList>
</comments>
</file>

<file path=xl/comments4.xml><?xml version="1.0" encoding="utf-8"?>
<comments xmlns="http://schemas.openxmlformats.org/spreadsheetml/2006/main">
  <authors>
    <author>nathan</author>
  </authors>
  <commentList>
    <comment ref="P13" authorId="0" shapeId="0">
      <text>
        <r>
          <rPr>
            <b/>
            <sz val="9"/>
            <color indexed="81"/>
            <rFont val="Tahoma"/>
            <family val="2"/>
          </rPr>
          <t>nathan:</t>
        </r>
        <r>
          <rPr>
            <sz val="9"/>
            <color indexed="81"/>
            <rFont val="Tahoma"/>
            <family val="2"/>
          </rPr>
          <t xml:space="preserve">
These estimates are too large. Data appears to have seasonal trends.</t>
        </r>
      </text>
    </comment>
    <comment ref="P17" authorId="0" shapeId="0">
      <text>
        <r>
          <rPr>
            <b/>
            <sz val="9"/>
            <color indexed="81"/>
            <rFont val="Tahoma"/>
            <family val="2"/>
          </rPr>
          <t>nathan:</t>
        </r>
        <r>
          <rPr>
            <sz val="9"/>
            <color indexed="81"/>
            <rFont val="Tahoma"/>
            <family val="2"/>
          </rPr>
          <t xml:space="preserve">
See sheet "Loss Trend Factor - Selection". The 12 pt model has second lowest R^2 (compared to 4 pt) model. 4 pt model trend may be unreliable since 4 pt is a short time period.</t>
        </r>
      </text>
    </comment>
    <comment ref="AK17" authorId="0" shapeId="0">
      <text>
        <r>
          <rPr>
            <b/>
            <sz val="9"/>
            <color indexed="81"/>
            <rFont val="Tahoma"/>
            <family val="2"/>
          </rPr>
          <t>nathan:</t>
        </r>
        <r>
          <rPr>
            <sz val="9"/>
            <color indexed="81"/>
            <rFont val="Tahoma"/>
            <family val="2"/>
          </rPr>
          <t xml:space="preserve">
Note that frequency and severity and proportionately smaller for all quarters, but trend won't change. Adjustment for lower frequency and severity is made in reported paid losses column of sheet "4. Excepted loss and loss ratio"</t>
        </r>
      </text>
    </comment>
  </commentList>
</comments>
</file>

<file path=xl/comments5.xml><?xml version="1.0" encoding="utf-8"?>
<comments xmlns="http://schemas.openxmlformats.org/spreadsheetml/2006/main">
  <authors>
    <author>nathan</author>
  </authors>
  <commentList>
    <comment ref="N7" authorId="0" shapeId="0">
      <text>
        <r>
          <rPr>
            <b/>
            <sz val="9"/>
            <color indexed="81"/>
            <rFont val="Tahoma"/>
            <family val="2"/>
          </rPr>
          <t>nathan:</t>
        </r>
        <r>
          <rPr>
            <sz val="9"/>
            <color indexed="81"/>
            <rFont val="Tahoma"/>
            <family val="2"/>
          </rPr>
          <t xml:space="preserve">
Multiply by lower frequency and severity (if cars had safety features, we except lower reported losses)</t>
        </r>
      </text>
    </comment>
    <comment ref="H16" authorId="0" shapeId="0">
      <text>
        <r>
          <rPr>
            <b/>
            <sz val="9"/>
            <color indexed="81"/>
            <rFont val="Tahoma"/>
            <family val="2"/>
          </rPr>
          <t>nathan:</t>
        </r>
        <r>
          <rPr>
            <sz val="9"/>
            <color indexed="81"/>
            <rFont val="Tahoma"/>
            <family val="2"/>
          </rPr>
          <t xml:space="preserve">
Average of projected loss and LAE cost</t>
        </r>
      </text>
    </comment>
    <comment ref="S16" authorId="0" shapeId="0">
      <text>
        <r>
          <rPr>
            <b/>
            <sz val="9"/>
            <color indexed="81"/>
            <rFont val="Tahoma"/>
            <family val="2"/>
          </rPr>
          <t>nathan:</t>
        </r>
        <r>
          <rPr>
            <sz val="9"/>
            <color indexed="81"/>
            <rFont val="Tahoma"/>
            <family val="2"/>
          </rPr>
          <t xml:space="preserve">
average of projected Loss and LAE cost</t>
        </r>
      </text>
    </comment>
    <comment ref="F17" authorId="0" shapeId="0">
      <text>
        <r>
          <rPr>
            <b/>
            <sz val="9"/>
            <color indexed="81"/>
            <rFont val="Tahoma"/>
            <family val="2"/>
          </rPr>
          <t>nathan:</t>
        </r>
        <r>
          <rPr>
            <sz val="9"/>
            <color indexed="81"/>
            <rFont val="Tahoma"/>
            <family val="2"/>
          </rPr>
          <t xml:space="preserve">
Number of vehicles</t>
        </r>
      </text>
    </comment>
    <comment ref="S17" authorId="0" shapeId="0">
      <text>
        <r>
          <rPr>
            <b/>
            <sz val="9"/>
            <color indexed="81"/>
            <rFont val="Tahoma"/>
            <family val="2"/>
          </rPr>
          <t>nathan:</t>
        </r>
        <r>
          <rPr>
            <sz val="9"/>
            <color indexed="81"/>
            <rFont val="Tahoma"/>
            <family val="2"/>
          </rPr>
          <t xml:space="preserve">
Number of vehicles</t>
        </r>
      </text>
    </comment>
  </commentList>
</comments>
</file>

<file path=xl/comments6.xml><?xml version="1.0" encoding="utf-8"?>
<comments xmlns="http://schemas.openxmlformats.org/spreadsheetml/2006/main">
  <authors>
    <author>nathan</author>
  </authors>
  <commentList>
    <comment ref="A1" authorId="0" shapeId="0">
      <text>
        <r>
          <rPr>
            <b/>
            <sz val="9"/>
            <color indexed="81"/>
            <rFont val="Tahoma"/>
            <family val="2"/>
          </rPr>
          <t>nathan:</t>
        </r>
        <r>
          <rPr>
            <sz val="9"/>
            <color indexed="81"/>
            <rFont val="Tahoma"/>
            <family val="2"/>
          </rPr>
          <t xml:space="preserve">
Equal to trend factor of 20 pt pure premium</t>
        </r>
      </text>
    </comment>
    <comment ref="A4" authorId="0" shapeId="0">
      <text>
        <r>
          <rPr>
            <b/>
            <sz val="9"/>
            <color indexed="81"/>
            <rFont val="Tahoma"/>
            <family val="2"/>
          </rPr>
          <t>nathan:</t>
        </r>
        <r>
          <rPr>
            <sz val="9"/>
            <color indexed="81"/>
            <rFont val="Tahoma"/>
            <family val="2"/>
          </rPr>
          <t xml:space="preserve">
Follow cash flows for 10 years (number of years that vehicles last for)</t>
        </r>
      </text>
    </comment>
    <comment ref="D4" authorId="0" shapeId="0">
      <text>
        <r>
          <rPr>
            <b/>
            <sz val="9"/>
            <color indexed="81"/>
            <rFont val="Tahoma"/>
            <family val="2"/>
          </rPr>
          <t>nathan:</t>
        </r>
        <r>
          <rPr>
            <sz val="9"/>
            <color indexed="81"/>
            <rFont val="Tahoma"/>
            <family val="2"/>
          </rPr>
          <t xml:space="preserve">
We are only interested in the cost of these vehicles (original fleet), so number of vehicles is same for all year</t>
        </r>
      </text>
    </comment>
  </commentList>
</comments>
</file>

<file path=xl/comments7.xml><?xml version="1.0" encoding="utf-8"?>
<comments xmlns="http://schemas.openxmlformats.org/spreadsheetml/2006/main">
  <authors>
    <author>Nathan Esau</author>
  </authors>
  <commentList>
    <comment ref="G7" authorId="0" shapeId="0">
      <text>
        <r>
          <rPr>
            <b/>
            <sz val="9"/>
            <color indexed="81"/>
            <rFont val="Tahoma"/>
            <family val="2"/>
          </rPr>
          <t>Nathan Esau:</t>
        </r>
        <r>
          <rPr>
            <sz val="9"/>
            <color indexed="81"/>
            <rFont val="Tahoma"/>
            <family val="2"/>
          </rPr>
          <t xml:space="preserve">
No discount</t>
        </r>
      </text>
    </comment>
  </commentList>
</comments>
</file>

<file path=xl/comments8.xml><?xml version="1.0" encoding="utf-8"?>
<comments xmlns="http://schemas.openxmlformats.org/spreadsheetml/2006/main">
  <authors>
    <author>Nathan Esau</author>
  </authors>
  <commentList>
    <comment ref="A2" authorId="0" shapeId="0">
      <text>
        <r>
          <rPr>
            <b/>
            <sz val="9"/>
            <color indexed="81"/>
            <rFont val="Tahoma"/>
            <family val="2"/>
          </rPr>
          <t>Nathan Esau:</t>
        </r>
        <r>
          <rPr>
            <sz val="9"/>
            <color indexed="81"/>
            <rFont val="Tahoma"/>
            <family val="2"/>
          </rPr>
          <t xml:space="preserve">
All costs here are on a PER VEHICLE basis</t>
        </r>
      </text>
    </comment>
    <comment ref="D2" authorId="0" shapeId="0">
      <text>
        <r>
          <rPr>
            <b/>
            <sz val="9"/>
            <color indexed="81"/>
            <rFont val="Tahoma"/>
            <family val="2"/>
          </rPr>
          <t>Nathan Esau:</t>
        </r>
        <r>
          <rPr>
            <sz val="9"/>
            <color indexed="81"/>
            <rFont val="Tahoma"/>
            <family val="2"/>
          </rPr>
          <t xml:space="preserve">
Set equal to loss cost. Note we aren't really considering costs below deductible for loss cost (not covered in insurance policy)</t>
        </r>
      </text>
    </comment>
    <comment ref="I2" authorId="0" shapeId="0">
      <text>
        <r>
          <rPr>
            <b/>
            <sz val="9"/>
            <color indexed="81"/>
            <rFont val="Tahoma"/>
            <family val="2"/>
          </rPr>
          <t>Nathan Esau:</t>
        </r>
        <r>
          <rPr>
            <sz val="9"/>
            <color indexed="81"/>
            <rFont val="Tahoma"/>
            <family val="2"/>
          </rPr>
          <t xml:space="preserve">
These costs are there REGARDLESS of whether UO purchases third party insurance</t>
        </r>
      </text>
    </comment>
    <comment ref="B16" authorId="0" shapeId="0">
      <text>
        <r>
          <rPr>
            <b/>
            <sz val="9"/>
            <color indexed="81"/>
            <rFont val="Tahoma"/>
            <family val="2"/>
          </rPr>
          <t>Nathan Esau:</t>
        </r>
        <r>
          <rPr>
            <sz val="9"/>
            <color indexed="81"/>
            <rFont val="Tahoma"/>
            <family val="2"/>
          </rPr>
          <t xml:space="preserve">
Assume flat term structure of interest rates for calculations.</t>
        </r>
      </text>
    </comment>
  </commentList>
</comments>
</file>

<file path=xl/comments9.xml><?xml version="1.0" encoding="utf-8"?>
<comments xmlns="http://schemas.openxmlformats.org/spreadsheetml/2006/main">
  <authors>
    <author>Nathan Esau</author>
    <author>nathan</author>
  </authors>
  <commentList>
    <comment ref="B1" authorId="0" shapeId="0">
      <text>
        <r>
          <rPr>
            <b/>
            <sz val="9"/>
            <color indexed="81"/>
            <rFont val="Tahoma"/>
            <family val="2"/>
          </rPr>
          <t>Nathan Esau:</t>
        </r>
        <r>
          <rPr>
            <sz val="9"/>
            <color indexed="81"/>
            <rFont val="Tahoma"/>
            <family val="2"/>
          </rPr>
          <t xml:space="preserve">
Not used (FOR NOW)</t>
        </r>
      </text>
    </comment>
    <comment ref="A4" authorId="1" shapeId="0">
      <text>
        <r>
          <rPr>
            <b/>
            <sz val="9"/>
            <color indexed="81"/>
            <rFont val="Tahoma"/>
            <family val="2"/>
          </rPr>
          <t>nathan:</t>
        </r>
        <r>
          <rPr>
            <sz val="9"/>
            <color indexed="81"/>
            <rFont val="Tahoma"/>
            <family val="2"/>
          </rPr>
          <t xml:space="preserve">
Follow cash flows for 10 years (number of years that vehicles last for)</t>
        </r>
      </text>
    </comment>
    <comment ref="D4" authorId="1" shapeId="0">
      <text>
        <r>
          <rPr>
            <b/>
            <sz val="9"/>
            <color indexed="81"/>
            <rFont val="Tahoma"/>
            <family val="2"/>
          </rPr>
          <t>nathan:</t>
        </r>
        <r>
          <rPr>
            <sz val="9"/>
            <color indexed="81"/>
            <rFont val="Tahoma"/>
            <family val="2"/>
          </rPr>
          <t xml:space="preserve">
We are only interested in the cost of these vehicles (original fleet), so number of vehicles is same for all year</t>
        </r>
      </text>
    </comment>
  </commentList>
</comments>
</file>

<file path=xl/comments10.xml><?xml version="1.0" encoding="utf-8"?>
<comments xmlns="http://schemas.openxmlformats.org/spreadsheetml/2006/main">
  <authors>
    <author>Nathan Esau</author>
  </authors>
  <commentList>
    <comment ref="A2" authorId="0" shapeId="0">
      <text>
        <r>
          <rPr>
            <b/>
            <sz val="9"/>
            <color indexed="81"/>
            <rFont val="Tahoma"/>
            <family val="2"/>
          </rPr>
          <t>Nathan Esau:</t>
        </r>
        <r>
          <rPr>
            <sz val="9"/>
            <color indexed="81"/>
            <rFont val="Tahoma"/>
            <family val="2"/>
          </rPr>
          <t xml:space="preserve">
Still on a per-vehicle basis</t>
        </r>
      </text>
    </comment>
    <comment ref="B2" authorId="0" shapeId="0">
      <text>
        <r>
          <rPr>
            <b/>
            <sz val="9"/>
            <color indexed="81"/>
            <rFont val="Tahoma"/>
            <family val="2"/>
          </rPr>
          <t>Nathan Esau:</t>
        </r>
        <r>
          <rPr>
            <sz val="9"/>
            <color indexed="81"/>
            <rFont val="Tahoma"/>
            <family val="2"/>
          </rPr>
          <t xml:space="preserve">
Based on discount rate from 'UO Premium'!B16</t>
        </r>
      </text>
    </comment>
    <comment ref="C2" authorId="0" shapeId="0">
      <text>
        <r>
          <rPr>
            <b/>
            <sz val="9"/>
            <color indexed="81"/>
            <rFont val="Tahoma"/>
            <family val="2"/>
          </rPr>
          <t>Nathan Esau:</t>
        </r>
        <r>
          <rPr>
            <sz val="9"/>
            <color indexed="81"/>
            <rFont val="Tahoma"/>
            <family val="2"/>
          </rPr>
          <t xml:space="preserve">
Using break-even premium</t>
        </r>
      </text>
    </comment>
    <comment ref="A18" authorId="0" shapeId="0">
      <text>
        <r>
          <rPr>
            <b/>
            <sz val="9"/>
            <color indexed="81"/>
            <rFont val="Tahoma"/>
            <family val="2"/>
          </rPr>
          <t>Nathan Esau:</t>
        </r>
        <r>
          <rPr>
            <sz val="9"/>
            <color indexed="81"/>
            <rFont val="Tahoma"/>
            <family val="2"/>
          </rPr>
          <t xml:space="preserve">
Depends on discount rate used. TO DO: make table of break-even premium with different discount rates used</t>
        </r>
      </text>
    </comment>
    <comment ref="B18" authorId="0" shapeId="0">
      <text>
        <r>
          <rPr>
            <b/>
            <sz val="9"/>
            <color indexed="81"/>
            <rFont val="Tahoma"/>
            <family val="2"/>
          </rPr>
          <t>Nathan Esau:</t>
        </r>
        <r>
          <rPr>
            <sz val="9"/>
            <color indexed="81"/>
            <rFont val="Tahoma"/>
            <family val="2"/>
          </rPr>
          <t xml:space="preserve">
Don't pay more than it would cost to self insure.</t>
        </r>
      </text>
    </comment>
  </commentList>
</comments>
</file>

<file path=xl/comments11.xml><?xml version="1.0" encoding="utf-8"?>
<comments xmlns="http://schemas.openxmlformats.org/spreadsheetml/2006/main">
  <authors>
    <author>Nathan Esau</author>
  </authors>
  <commentList>
    <comment ref="D6" authorId="0" shapeId="0">
      <text>
        <r>
          <rPr>
            <b/>
            <sz val="9"/>
            <color indexed="81"/>
            <rFont val="Tahoma"/>
            <family val="2"/>
          </rPr>
          <t>Nathan Esau:</t>
        </r>
        <r>
          <rPr>
            <sz val="9"/>
            <color indexed="81"/>
            <rFont val="Tahoma"/>
            <family val="2"/>
          </rPr>
          <t xml:space="preserve">
Excel solver</t>
        </r>
      </text>
    </comment>
    <comment ref="E20" authorId="0" shapeId="0">
      <text>
        <r>
          <rPr>
            <b/>
            <sz val="9"/>
            <color indexed="81"/>
            <rFont val="Tahoma"/>
            <family val="2"/>
          </rPr>
          <t xml:space="preserve">Nathan Esau:
</t>
        </r>
        <r>
          <rPr>
            <sz val="9"/>
            <color indexed="81"/>
            <rFont val="Tahoma"/>
            <family val="2"/>
          </rPr>
          <t xml:space="preserve">Suppose markup = 0. This isn't 7.9% because flat premium used. If </t>
        </r>
        <r>
          <rPr>
            <b/>
            <sz val="9"/>
            <color indexed="81"/>
            <rFont val="Tahoma"/>
            <family val="2"/>
          </rPr>
          <t>break-even 2015 premium used, this will match.</t>
        </r>
      </text>
    </comment>
  </commentList>
</comments>
</file>

<file path=xl/sharedStrings.xml><?xml version="1.0" encoding="utf-8"?>
<sst xmlns="http://schemas.openxmlformats.org/spreadsheetml/2006/main" count="614" uniqueCount="303">
  <si>
    <t>Introduction</t>
  </si>
  <si>
    <t>Loss Development Factor</t>
  </si>
  <si>
    <t>Loss Trend Factor</t>
  </si>
  <si>
    <t>ULAE Factor</t>
  </si>
  <si>
    <t>Projected Ultimate Losses and LAE</t>
  </si>
  <si>
    <t>Total</t>
  </si>
  <si>
    <t>Reported Losses and Paid ALAE</t>
  </si>
  <si>
    <t>Calendar Year</t>
  </si>
  <si>
    <t>Quarter</t>
  </si>
  <si>
    <t>Exponential Trend</t>
  </si>
  <si>
    <t>20 pt</t>
  </si>
  <si>
    <t>16 pt</t>
  </si>
  <si>
    <t>12 pt</t>
  </si>
  <si>
    <t>8 pt</t>
  </si>
  <si>
    <t>6 pt</t>
  </si>
  <si>
    <t>4 pt</t>
  </si>
  <si>
    <t>Earned Exposure</t>
  </si>
  <si>
    <t>Accident Year</t>
  </si>
  <si>
    <t>Age-to-Age Factors</t>
  </si>
  <si>
    <t>Reported  Losses and Paid ALAE Evaluated as of</t>
  </si>
  <si>
    <t>All Year Average</t>
  </si>
  <si>
    <t>3 Yr Average</t>
  </si>
  <si>
    <t>4 Yr Average</t>
  </si>
  <si>
    <t>Average x Hi/Lo</t>
  </si>
  <si>
    <t>Geometric Average</t>
  </si>
  <si>
    <t>Selected</t>
  </si>
  <si>
    <t>Age to Ultimate</t>
  </si>
  <si>
    <t>Year</t>
  </si>
  <si>
    <t>Paid Losses</t>
  </si>
  <si>
    <t>Closed Claim Count</t>
  </si>
  <si>
    <t>Frequency</t>
  </si>
  <si>
    <t>Severity</t>
  </si>
  <si>
    <t>Pure Premium</t>
  </si>
  <si>
    <t>Selections</t>
  </si>
  <si>
    <t>Current</t>
  </si>
  <si>
    <t>Projected</t>
  </si>
  <si>
    <t>Accident</t>
  </si>
  <si>
    <t>Trend</t>
  </si>
  <si>
    <t>Cost Trend</t>
  </si>
  <si>
    <t>Period</t>
  </si>
  <si>
    <t>Factor</t>
  </si>
  <si>
    <t xml:space="preserve">Cost Trend </t>
  </si>
  <si>
    <t>Loss</t>
  </si>
  <si>
    <t>Paid Losses and</t>
  </si>
  <si>
    <t>ALAE</t>
  </si>
  <si>
    <t>Paid ULAE</t>
  </si>
  <si>
    <t>ULAE Ratio</t>
  </si>
  <si>
    <t>Selected Ratio</t>
  </si>
  <si>
    <t>Latest Year of Experience Period</t>
  </si>
  <si>
    <t>Evaluation Date</t>
  </si>
  <si>
    <t>Proposed Effective Date</t>
  </si>
  <si>
    <t>[3]</t>
  </si>
  <si>
    <t>= [3] / [2]</t>
  </si>
  <si>
    <t>Year Ending</t>
  </si>
  <si>
    <t>Straight Average</t>
  </si>
  <si>
    <t>Straight Average Excluding Highest and Lowest Values</t>
  </si>
  <si>
    <t>= ( Product of Age-to-Age Factors ) ^ ( 1.0 / Number of Age-to-Age Factors )</t>
  </si>
  <si>
    <t>= Cumulative Product of [6]</t>
  </si>
  <si>
    <t>Shown of a 4-Quarter Rolling Basis</t>
  </si>
  <si>
    <t>= [2] / [1]</t>
  </si>
  <si>
    <t>= [3] / [1]</t>
  </si>
  <si>
    <t>= ( 1.0 + [1] ) ^ [2]</t>
  </si>
  <si>
    <t>= ( 1.0 + [4] ) ^ [5]</t>
  </si>
  <si>
    <t>= [3] x [6]</t>
  </si>
  <si>
    <t>[5]</t>
  </si>
  <si>
    <t>= 1.0 + [4]</t>
  </si>
  <si>
    <t>State</t>
  </si>
  <si>
    <t>Company</t>
  </si>
  <si>
    <t>Year Ending Quarter</t>
  </si>
  <si>
    <t>Average Premium</t>
  </si>
  <si>
    <t>20-pt fit</t>
  </si>
  <si>
    <t>12-pt fit</t>
  </si>
  <si>
    <t>6-pt fit</t>
  </si>
  <si>
    <t>Selections*</t>
  </si>
  <si>
    <t>* Calculated using Frequency and Severity Selections</t>
  </si>
  <si>
    <t>CHART</t>
  </si>
  <si>
    <t>Average Severity</t>
  </si>
  <si>
    <t>PP</t>
  </si>
  <si>
    <t>SEV</t>
  </si>
  <si>
    <t>FREQ</t>
  </si>
  <si>
    <t>Average Frequency</t>
  </si>
  <si>
    <t>Projected Loss and LAE Cost</t>
  </si>
  <si>
    <t>Shown of a 4-Quarter Rolling Basis, Closed Claims Only</t>
  </si>
  <si>
    <t>Self-Insured Auto Program</t>
  </si>
  <si>
    <t>12 Mo.</t>
  </si>
  <si>
    <t>24 Mo.</t>
  </si>
  <si>
    <t>36 Mo.</t>
  </si>
  <si>
    <t>48 Mo.</t>
  </si>
  <si>
    <t>60 Mo.</t>
  </si>
  <si>
    <t>Program</t>
  </si>
  <si>
    <t>Frequency Trend</t>
  </si>
  <si>
    <t>Severity Trend</t>
  </si>
  <si>
    <t>Shown of a 4-Quarter Rolling Basis, refers to the number of vehicles.</t>
  </si>
  <si>
    <t>Average Earned Exposure (# of Vehicles)</t>
  </si>
  <si>
    <t>A</t>
  </si>
  <si>
    <t>B</t>
  </si>
  <si>
    <t>C</t>
  </si>
  <si>
    <t>University</t>
  </si>
  <si>
    <t>Insurance</t>
  </si>
  <si>
    <t xml:space="preserve">Pure Premium Trend </t>
  </si>
  <si>
    <t>From Loss Trend Factor Exhibit</t>
  </si>
  <si>
    <t>Step</t>
  </si>
  <si>
    <t>Tab Names</t>
  </si>
  <si>
    <t>1. Loss Development Factor</t>
  </si>
  <si>
    <t>2. Loss Trend Factor -- 1</t>
  </si>
  <si>
    <t>3. ULAE Factor</t>
  </si>
  <si>
    <t>Instructions</t>
  </si>
  <si>
    <t>0. Adjust losses for new book</t>
  </si>
  <si>
    <t>2. Loss Trend Factor -- 2</t>
  </si>
  <si>
    <t>4. Expected loss and loss ratio</t>
  </si>
  <si>
    <t>Selected Projected Loss and LAE Cost</t>
  </si>
  <si>
    <t>EDU</t>
  </si>
  <si>
    <t>GoStats</t>
  </si>
  <si>
    <t>1.2 In the "1. Loss Development Factor" speadsheet. the blue reported losses are given by previous policy years and hence should not be changed;</t>
  </si>
  <si>
    <t>1.3 Select Age-to-Age factos in the boxes of "1. Loss Development Factor";</t>
  </si>
  <si>
    <t>1.4 The Age-to-Ultimate factors highted in yellow would change accordingly.</t>
  </si>
  <si>
    <t>2.2 In the "2. Loss Trend Factor -- 1" spreadsheet, the blue reported losses are given by previous policy years and hence should not be changed;</t>
  </si>
  <si>
    <t>3.2 In the "3. ULAE Factor" spreadsheet, the blue reported losses are given by previous policy years and hence should not be changed;</t>
  </si>
  <si>
    <t>3.3 Select ULAE Ratio in the box of "3. ULAE Factor";</t>
  </si>
  <si>
    <t>3.4 The ULAE Factor highlighted in blue would change accordingly.</t>
  </si>
  <si>
    <t>2.1 Select Age-to-Age factos in the boxes of "2. Loss Trend Factor -- 1;</t>
  </si>
  <si>
    <t>2.2 The Age-to-Ultimate factors highted in yellow would change accordingly.</t>
  </si>
  <si>
    <t>4.1 Select ULAE Ratio in the box of "3. ULAE Factor";</t>
  </si>
  <si>
    <t>4.2 The ULAE Factor highlighted in blue would change accordingly.</t>
  </si>
  <si>
    <t>Product1</t>
  </si>
  <si>
    <t>Product2</t>
  </si>
  <si>
    <t>Cars without Safety Features</t>
  </si>
  <si>
    <t>Cars with Safety Features</t>
  </si>
  <si>
    <t>Loss Costs/Pure Premium</t>
  </si>
  <si>
    <t>Impacts</t>
  </si>
  <si>
    <t>1.1 When safety features are added to the cars, we want to make some adjustments to the frequency and severity in loss trending.</t>
  </si>
  <si>
    <t>1.2 Feel free to do some research about safety features</t>
  </si>
  <si>
    <t xml:space="preserve">1.4 What is more, change any other tables or triangles where you see appropriate and present the reasons to the judges. </t>
  </si>
  <si>
    <t xml:space="preserve">      For example, satefy feature B leading to 20% reduction in collision severity give a severity impact of 80% in the table of "0. Adjust losses for new book", which then affecting the severity column in "2. Loss Trend Factor -- 2". </t>
  </si>
  <si>
    <t>1.3 According to your research, you can either change the impact table in "0. Adjust losses for new book"or, directly, the values or functions of the frequency and severity columns in "2. Loss Trend Factor -- 1".</t>
  </si>
  <si>
    <r>
      <t xml:space="preserve">When the new cars have safety features, the templates are given on the </t>
    </r>
    <r>
      <rPr>
        <sz val="11"/>
        <color rgb="FFFF0000"/>
        <rFont val="Calibri"/>
        <family val="2"/>
        <scheme val="minor"/>
      </rPr>
      <t>right</t>
    </r>
    <r>
      <rPr>
        <sz val="11"/>
        <color theme="1"/>
        <rFont val="Calibri"/>
        <family val="2"/>
        <scheme val="minor"/>
      </rPr>
      <t xml:space="preserve"> of each spreadsheets.</t>
    </r>
  </si>
  <si>
    <r>
      <t xml:space="preserve">When the cars do not have safety features, templates for loss development and loss trending are given on the </t>
    </r>
    <r>
      <rPr>
        <sz val="11"/>
        <color rgb="FFFF0000"/>
        <rFont val="Calibri"/>
        <family val="2"/>
        <scheme val="minor"/>
      </rPr>
      <t xml:space="preserve">left </t>
    </r>
    <r>
      <rPr>
        <sz val="11"/>
        <color theme="1"/>
        <rFont val="Calibri"/>
        <family val="2"/>
        <scheme val="minor"/>
      </rPr>
      <t>of each spreadsheet.</t>
    </r>
  </si>
  <si>
    <t>1.1 Read "LOSS DEVELOPMENT EXHIBIT" in page 4 of Appendix A in Wener's textbook and/or Chapter 7 of Friedland's textbook;</t>
  </si>
  <si>
    <t>2.1 Read "LOSS TREND EXHIBIT" in page 5 of Appendix A in Wener's textbook and/or Chapet 1 &amp; 6 of Werner's textbook;</t>
  </si>
  <si>
    <t>3.1 Read "ULAE RATIO EXHIBIT" in page 5 of Appendix A in Wener's textbook and/or Chapet 7 of Werner's textbook;</t>
  </si>
  <si>
    <t>4.1 Read "LR Indication" in page 7 of Appendix A in Wener's textbook and/or Chapet 9 of Werner's textbook;</t>
  </si>
  <si>
    <t>Werner's textbook</t>
  </si>
  <si>
    <t>Friedland's textbook</t>
  </si>
  <si>
    <t>Are NOT</t>
  </si>
  <si>
    <t>Responsible</t>
  </si>
  <si>
    <t>for</t>
  </si>
  <si>
    <t>this</t>
  </si>
  <si>
    <t>for this Step</t>
  </si>
  <si>
    <t>Participants</t>
  </si>
  <si>
    <t xml:space="preserve">Participants are not responsible for anything in this tab. You may skip this tab. </t>
  </si>
  <si>
    <t>Participants are NOT</t>
  </si>
  <si>
    <t>Responsible for this Step</t>
  </si>
  <si>
    <t>4.2 In the "4. Expected loss and loss ratio" spreadsheet, the cells highlighted in red are outputs from the previous spreadsheet;</t>
  </si>
  <si>
    <t>4.4 The project insurance cost is automatically calculated (cells H18 &amp; S18)</t>
  </si>
  <si>
    <t>2.4 The Loss Trend Factor in "2. Loss Trend Factor -- 2" highlighted in red will change accordingly.</t>
  </si>
  <si>
    <r>
      <t xml:space="preserve">3.1 Based on the data, select Projected Trending Factors in </t>
    </r>
    <r>
      <rPr>
        <sz val="11"/>
        <color rgb="FFFF0000"/>
        <rFont val="Calibri"/>
        <family val="2"/>
        <scheme val="minor"/>
      </rPr>
      <t>red font</t>
    </r>
    <r>
      <rPr>
        <sz val="11"/>
        <color theme="1"/>
        <rFont val="Calibri"/>
        <family val="2"/>
        <scheme val="minor"/>
      </rPr>
      <t xml:space="preserve"> (cells AI17 &amp; AJ17) in "2. Loss Trend Factor -- 1";</t>
    </r>
  </si>
  <si>
    <r>
      <t xml:space="preserve">2.3 Based on the data, select Projected Trending Factors in </t>
    </r>
    <r>
      <rPr>
        <sz val="11"/>
        <color rgb="FFFF0000"/>
        <rFont val="Calibri"/>
        <family val="2"/>
        <scheme val="minor"/>
      </rPr>
      <t>red font</t>
    </r>
    <r>
      <rPr>
        <sz val="11"/>
        <color theme="1"/>
        <rFont val="Calibri"/>
        <family val="2"/>
        <scheme val="minor"/>
      </rPr>
      <t xml:space="preserve"> (cells N17 &amp; O17) in "2. Loss Trend Factor -- 1";</t>
    </r>
  </si>
  <si>
    <t>3.2 The Loss Trend Factor in "2. Loss Trend Factor -- 2" highlighted in red will change accordingly.</t>
  </si>
  <si>
    <t>5.2 The project insurance cost is automatically calculated (cell S18)</t>
  </si>
  <si>
    <t>OU</t>
  </si>
  <si>
    <t>Nathan Esau</t>
  </si>
  <si>
    <t>Layla Trummer</t>
  </si>
  <si>
    <t xml:space="preserve">School </t>
  </si>
  <si>
    <t>Simon Fraser University</t>
  </si>
  <si>
    <t>Students</t>
  </si>
  <si>
    <t>Savings</t>
  </si>
  <si>
    <t>Safety Cost</t>
  </si>
  <si>
    <t>Net CF</t>
  </si>
  <si>
    <t>Safety Feature</t>
  </si>
  <si>
    <t>Fatal</t>
  </si>
  <si>
    <t>Crashes Prevented</t>
  </si>
  <si>
    <t>Size group</t>
  </si>
  <si>
    <t>Reduction frequency</t>
  </si>
  <si>
    <t>Safety feature</t>
  </si>
  <si>
    <t>Computerized car collision</t>
  </si>
  <si>
    <t>Reduction severity</t>
  </si>
  <si>
    <t>Initial cost</t>
  </si>
  <si>
    <t>Annual cost</t>
  </si>
  <si>
    <t>Passenger side airbag</t>
  </si>
  <si>
    <t>Adaptive headlights</t>
  </si>
  <si>
    <t xml:space="preserve"> Yes = 1; No = 0</t>
  </si>
  <si>
    <t>Proportion portfolio</t>
  </si>
  <si>
    <t>Institution</t>
  </si>
  <si>
    <t>Cars without safety features</t>
  </si>
  <si>
    <t>Not serious injury</t>
  </si>
  <si>
    <t>Serious injury</t>
  </si>
  <si>
    <t>Anti-lock bracking system</t>
  </si>
  <si>
    <t>Anti-lock braking system</t>
  </si>
  <si>
    <t>Type of crash</t>
  </si>
  <si>
    <t>Parking assistant technology</t>
  </si>
  <si>
    <t>Type liability</t>
  </si>
  <si>
    <t>Property Damage</t>
  </si>
  <si>
    <t>Bodily Injury</t>
  </si>
  <si>
    <t>Proportion losses</t>
  </si>
  <si>
    <t>Initial Cost</t>
  </si>
  <si>
    <t>Annual Cost</t>
  </si>
  <si>
    <t>Training Cost</t>
  </si>
  <si>
    <t>Description</t>
  </si>
  <si>
    <t>Most effective when …</t>
  </si>
  <si>
    <t>Designed to make driving at night or in low-light conditions safer by increasing visibility around curves and over hills. This is usually an optional feature on luxuy brands. Almost half of all serious injuries occur at night, supporting the argument that adaptive headlights are effective.</t>
  </si>
  <si>
    <t>Driving at night</t>
  </si>
  <si>
    <t>Lane Departure Warning</t>
  </si>
  <si>
    <t>IIHS doesn't recommend using lane departure warning</t>
  </si>
  <si>
    <t>Warns driver when vehicle beings to move out of its lane.</t>
  </si>
  <si>
    <t>Most effective for large vehicles like SUVS, while our case are mid-size private passenger sedans</t>
  </si>
  <si>
    <t>The crash avoidance systems rely on a variety of sensors, camera and lasers. They prompt some action from the car or driver.</t>
  </si>
  <si>
    <t>Date Updated</t>
  </si>
  <si>
    <t>Normal weather (i.e. don't work well in rain or fog)</t>
  </si>
  <si>
    <t>Inflate between seat occupant and door</t>
  </si>
  <si>
    <t>Reducing risk of injury to pelvic and lower abdomen regions</t>
  </si>
  <si>
    <t>Reduce frequency of frontal collision on wet roads; most added value during winter</t>
  </si>
  <si>
    <t>Allow driver to retain sterring control while braking, so car can maneuver around an obstacle. Usually installed withh another safety featured called a traction control system which optimizes the grip and stability of the car so that it can run smoothly even on slipperty surfaces in winter</t>
  </si>
  <si>
    <t>R^2</t>
  </si>
  <si>
    <t>Coef</t>
  </si>
  <si>
    <t xml:space="preserve">8 pt </t>
  </si>
  <si>
    <t>Abs (Difference)</t>
  </si>
  <si>
    <t>(1+Frequency) * (1+Severity) - 1</t>
  </si>
  <si>
    <t>Long term trend factor</t>
  </si>
  <si>
    <t>Projected loss and LAE Cost</t>
  </si>
  <si>
    <t>Number of vehicles</t>
  </si>
  <si>
    <t>Size of fleet (2015)</t>
  </si>
  <si>
    <t>No Safety</t>
  </si>
  <si>
    <t>Safety</t>
  </si>
  <si>
    <t>Projected insurance Cost</t>
  </si>
  <si>
    <t>Insurance Cost Savings</t>
  </si>
  <si>
    <t>Fleet size</t>
  </si>
  <si>
    <t>Initial safety cost</t>
  </si>
  <si>
    <t>Annual safety cost</t>
  </si>
  <si>
    <t>Initial training cost</t>
  </si>
  <si>
    <t>NPV</t>
  </si>
  <si>
    <t>Projection year</t>
  </si>
  <si>
    <t>IRR / ROI</t>
  </si>
  <si>
    <t>Driver Alertness Detection System</t>
  </si>
  <si>
    <t xml:space="preserve">Lane Departure Warning </t>
  </si>
  <si>
    <t>Projected Loss Costs</t>
  </si>
  <si>
    <t>Una (Mengyi) Li</t>
  </si>
  <si>
    <t>Adelaide (Di) Wu</t>
  </si>
  <si>
    <t>Lillian (Yan) Lin</t>
  </si>
  <si>
    <t>Without Safety Features</t>
  </si>
  <si>
    <t>With Safety Features</t>
  </si>
  <si>
    <t>Cost of Having Safety Features</t>
  </si>
  <si>
    <t>Savings from Having Safer Vehicles</t>
  </si>
  <si>
    <t>Net Cash Flow</t>
  </si>
  <si>
    <t>Net Present Value</t>
  </si>
  <si>
    <t>The Driver Alertness Detection System (DADS) monitors a driver's state of alertness in real-time to reduce the risk of road accidents caused by drowsiness and fatigue. The Driver Alertness Detection System (DADS) identifies and alerts drivers of microsleeps which provide invaluable early-stage alerts well in advance of dangerous fatigue levels.</t>
  </si>
  <si>
    <t>*20% of serious and fatal injuries</t>
  </si>
  <si>
    <t>ROI: (linked to here for convenience when comparing combinations)</t>
  </si>
  <si>
    <t>Return on Investment (Table for Presentation)</t>
  </si>
  <si>
    <t>Loss Cost</t>
  </si>
  <si>
    <t>Premium</t>
  </si>
  <si>
    <t>Non-premium costs</t>
  </si>
  <si>
    <t>Training costs</t>
  </si>
  <si>
    <t>Discount rate</t>
  </si>
  <si>
    <t>NPV premiums</t>
  </si>
  <si>
    <r>
      <rPr>
        <u/>
        <sz val="11"/>
        <color theme="1"/>
        <rFont val="Calibri"/>
        <family val="2"/>
        <scheme val="minor"/>
      </rPr>
      <t>Note</t>
    </r>
    <r>
      <rPr>
        <sz val="11"/>
        <color theme="1"/>
        <rFont val="Calibri"/>
        <family val="2"/>
        <scheme val="minor"/>
      </rPr>
      <t>: Safety installation / maintenance costs wouldn't be covered by an insurance policy.</t>
    </r>
  </si>
  <si>
    <t>NPV Premiums</t>
  </si>
  <si>
    <r>
      <rPr>
        <b/>
        <sz val="11"/>
        <color theme="1"/>
        <rFont val="Calibri"/>
        <family val="2"/>
      </rPr>
      <t>ä</t>
    </r>
    <r>
      <rPr>
        <b/>
        <sz val="11"/>
        <color theme="1"/>
        <rFont val="Calibri"/>
        <family val="2"/>
        <scheme val="minor"/>
      </rPr>
      <t>(10)</t>
    </r>
  </si>
  <si>
    <t>Discount factor</t>
  </si>
  <si>
    <t>With Safety</t>
  </si>
  <si>
    <t>Safety / maintenance costs</t>
  </si>
  <si>
    <t xml:space="preserve">No Safety </t>
  </si>
  <si>
    <t>Losses (% of expected)</t>
  </si>
  <si>
    <t>NPV losses</t>
  </si>
  <si>
    <t>No safety</t>
  </si>
  <si>
    <t>Savings (from third-party insurance)</t>
  </si>
  <si>
    <t>Note: if losses are higher than expected, buying insurance was worth it (takes away upside volatility)</t>
  </si>
  <si>
    <t>With safety</t>
  </si>
  <si>
    <t>Savings (from third party insurance)</t>
  </si>
  <si>
    <t>Answers to questions</t>
  </si>
  <si>
    <t>Markup</t>
  </si>
  <si>
    <t>&lt;-</t>
  </si>
  <si>
    <t>2015 premium (premiums increase at 4.03%)</t>
  </si>
  <si>
    <t>Long-term trend factor</t>
  </si>
  <si>
    <t>Return on conservative Investment</t>
  </si>
  <si>
    <t>Break-even 2015 premium</t>
  </si>
  <si>
    <r>
      <t xml:space="preserve">The premium we calculated is expected to cover losses. But there may be a markup/ conservative assumptions used by the third-party insurer, so premium charged will be higher. </t>
    </r>
    <r>
      <rPr>
        <b/>
        <sz val="11"/>
        <color theme="1"/>
        <rFont val="Calibri"/>
        <family val="2"/>
        <scheme val="minor"/>
      </rPr>
      <t>Ex. 3rd party insurer might not be as optimistic as us about reduction in frequency + severity due to safety features.</t>
    </r>
  </si>
  <si>
    <t>(2015) Break-even premium without safety</t>
  </si>
  <si>
    <t>(2015) Break-even premium with safety</t>
  </si>
  <si>
    <t>TO DO: Break-even premium will DECREASE as DISCOUNT RATE USED (here 4%) decreases. So try different discount rates.</t>
  </si>
  <si>
    <t>Comments on graph: We expected losses to be larger (and thus higher  volatility) with no safety features. Advantage of third-party insurance is savings when losses exceed what is expected</t>
  </si>
  <si>
    <t>This sheet is needed for "Break-even premium (no safety)"</t>
  </si>
  <si>
    <t>Cars with safety features</t>
  </si>
  <si>
    <t>Use training costs?</t>
  </si>
  <si>
    <t>No-safety</t>
  </si>
  <si>
    <t>Break-even premium</t>
  </si>
  <si>
    <t>Max premium</t>
  </si>
  <si>
    <t>Return on investment</t>
  </si>
  <si>
    <r>
      <rPr>
        <i/>
        <sz val="11"/>
        <color theme="1"/>
        <rFont val="Calibri"/>
        <family val="2"/>
        <scheme val="minor"/>
      </rPr>
      <t>Set</t>
    </r>
    <r>
      <rPr>
        <sz val="11"/>
        <color theme="1"/>
        <rFont val="Calibri"/>
        <family val="2"/>
        <scheme val="minor"/>
      </rPr>
      <t xml:space="preserve"> 'E20' equal to 0.04 </t>
    </r>
    <r>
      <rPr>
        <b/>
        <sz val="11"/>
        <color theme="1"/>
        <rFont val="Calibri"/>
        <family val="2"/>
        <scheme val="minor"/>
      </rPr>
      <t xml:space="preserve">by changing cell </t>
    </r>
    <r>
      <rPr>
        <sz val="11"/>
        <color theme="1"/>
        <rFont val="Calibri"/>
        <family val="2"/>
        <scheme val="minor"/>
      </rPr>
      <t>'B6'</t>
    </r>
  </si>
  <si>
    <t>Conservative Investment</t>
  </si>
  <si>
    <t>Payback Period</t>
  </si>
  <si>
    <t>CumSum</t>
  </si>
  <si>
    <t>Discounted Payback Period</t>
  </si>
  <si>
    <t>no-safety</t>
  </si>
  <si>
    <t>safety</t>
  </si>
  <si>
    <t>Premium discount needed</t>
  </si>
  <si>
    <r>
      <rPr>
        <b/>
        <sz val="11"/>
        <color theme="1"/>
        <rFont val="Calibri"/>
        <family val="2"/>
        <scheme val="minor"/>
      </rPr>
      <t>No-safety</t>
    </r>
    <r>
      <rPr>
        <sz val="11"/>
        <color theme="1"/>
        <rFont val="Calibri"/>
        <family val="2"/>
        <scheme val="minor"/>
      </rPr>
      <t xml:space="preserve"> 787,000</t>
    </r>
  </si>
  <si>
    <r>
      <rPr>
        <b/>
        <sz val="11"/>
        <color theme="1"/>
        <rFont val="Calibri"/>
        <family val="2"/>
        <scheme val="minor"/>
      </rPr>
      <t>With safety</t>
    </r>
    <r>
      <rPr>
        <sz val="11"/>
        <color theme="1"/>
        <rFont val="Calibri"/>
        <family val="2"/>
        <scheme val="minor"/>
      </rPr>
      <t>: 303,000</t>
    </r>
  </si>
  <si>
    <r>
      <rPr>
        <b/>
        <sz val="11"/>
        <color theme="1"/>
        <rFont val="Calibri"/>
        <family val="2"/>
        <scheme val="minor"/>
      </rPr>
      <t>No-safety</t>
    </r>
    <r>
      <rPr>
        <sz val="11"/>
        <color theme="1"/>
        <rFont val="Calibri"/>
        <family val="2"/>
        <scheme val="minor"/>
      </rPr>
      <t xml:space="preserve"> Premium &lt; 787,000</t>
    </r>
  </si>
  <si>
    <r>
      <rPr>
        <b/>
        <sz val="11"/>
        <color theme="1"/>
        <rFont val="Calibri"/>
        <family val="2"/>
        <scheme val="minor"/>
      </rPr>
      <t>With safety</t>
    </r>
    <r>
      <rPr>
        <sz val="11"/>
        <color theme="1"/>
        <rFont val="Calibri"/>
        <family val="2"/>
        <scheme val="minor"/>
      </rPr>
      <t xml:space="preserve"> Premium &lt; 323,000</t>
    </r>
  </si>
  <si>
    <t>Buy 3rd party insurance if…</t>
  </si>
  <si>
    <t>Implications of decision</t>
  </si>
  <si>
    <t>Purchase third party insurance: Protected from large losses, but fluctuations in pricing and coverage availability</t>
  </si>
  <si>
    <t>Purchase self insurance: Potential cost savings, but unprotected from upside volatility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</si>
</sst>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44" formatCode="_(&quot;$&quot;* #,##0.00_);_(&quot;$&quot;* \(#,##0.00\);_(&quot;$&quot;* &quot;-&quot;??_);_(@_)"/>
    <numFmt numFmtId="43" formatCode="_(* #,##0.00_);_(* \(#,##0.00\);_(* &quot;-&quot;??_);_(@_)"/>
    <numFmt numFmtId="164" formatCode="_-&quot;$&quot;* #,##0.00_-;\-&quot;$&quot;* #,##0.00_-;_-&quot;$&quot;* &quot;-&quot;??_-;_-@_-"/>
    <numFmt numFmtId="165" formatCode="&quot;$&quot;#,##0"/>
    <numFmt numFmtId="166" formatCode="0.0%"/>
    <numFmt numFmtId="167" formatCode="#,##0.0000"/>
    <numFmt numFmtId="168" formatCode="0.0000"/>
    <numFmt numFmtId="169" formatCode="&quot;$&quot;#,##0.00"/>
    <numFmt numFmtId="170" formatCode="0.000"/>
    <numFmt numFmtId="171" formatCode="&quot;[&quot;0&quot;]&quot;"/>
    <numFmt numFmtId="172" formatCode="_(* #,##0_);_(* \(#,##0\);_(* &quot;-&quot;??_);_(@_)"/>
    <numFmt numFmtId="173" formatCode="_(&quot;$&quot;* #,##0_);_(&quot;$&quot;* \(#,##0\);_(&quot;$&quot;* &quot;-&quot;??_);_(@_)"/>
    <numFmt numFmtId="174" formatCode="&quot;$&quot;#,##0;[Red]&quot;$&quot;#,##0"/>
    <numFmt numFmtId="175" formatCode="_-&quot;$&quot;* #,##0_-;\-&quot;$&quot;* #,##0_-;_-&quot;$&quot;* &quot;-&quot;??_-;_-@_-"/>
  </numFmts>
  <fonts count="24" x14ac:knownFonts="1">
    <font>
      <sz val="11"/>
      <color theme="1"/>
      <name val="Calibri"/>
      <family val="2"/>
      <scheme val="minor"/>
    </font>
    <font>
      <i/>
      <u/>
      <sz val="11"/>
      <color theme="1"/>
      <name val="Calibri"/>
      <family val="2"/>
      <scheme val="minor"/>
    </font>
    <font>
      <u/>
      <sz val="11"/>
      <color theme="10"/>
      <name val="Calibri"/>
      <family val="2"/>
    </font>
    <font>
      <sz val="11"/>
      <color rgb="FFFF0000"/>
      <name val="Calibri"/>
      <family val="2"/>
      <scheme val="minor"/>
    </font>
    <font>
      <u/>
      <sz val="11"/>
      <color theme="1"/>
      <name val="Calibri"/>
      <family val="2"/>
      <scheme val="minor"/>
    </font>
    <font>
      <sz val="11"/>
      <color theme="3"/>
      <name val="Calibri"/>
      <family val="2"/>
      <scheme val="minor"/>
    </font>
    <font>
      <sz val="11"/>
      <color rgb="FF0070C0"/>
      <name val="Calibri"/>
      <family val="2"/>
      <scheme val="minor"/>
    </font>
    <font>
      <sz val="11"/>
      <color theme="1"/>
      <name val="Calibri"/>
      <family val="2"/>
      <scheme val="minor"/>
    </font>
    <font>
      <i/>
      <sz val="11"/>
      <name val="Calibri"/>
      <family val="2"/>
    </font>
    <font>
      <u/>
      <sz val="11"/>
      <color theme="11"/>
      <name val="Calibri"/>
      <family val="2"/>
      <scheme val="minor"/>
    </font>
    <font>
      <sz val="11"/>
      <color rgb="FF3366FF"/>
      <name val="Calibri"/>
      <family val="2"/>
      <scheme val="minor"/>
    </font>
    <font>
      <sz val="11"/>
      <color rgb="FF008000"/>
      <name val="Calibri"/>
      <family val="2"/>
      <scheme val="minor"/>
    </font>
    <font>
      <sz val="11"/>
      <color rgb="FF00B050"/>
      <name val="Calibri"/>
      <family val="2"/>
      <scheme val="minor"/>
    </font>
    <font>
      <sz val="11"/>
      <name val="Calibri"/>
      <family val="2"/>
      <scheme val="minor"/>
    </font>
    <font>
      <b/>
      <sz val="11"/>
      <color theme="1"/>
      <name val="Calibri"/>
      <family val="2"/>
      <scheme val="minor"/>
    </font>
    <font>
      <sz val="9"/>
      <color indexed="81"/>
      <name val="Tahoma"/>
      <family val="2"/>
    </font>
    <font>
      <b/>
      <sz val="9"/>
      <color indexed="81"/>
      <name val="Tahoma"/>
      <family val="2"/>
    </font>
    <font>
      <b/>
      <sz val="11"/>
      <name val="Calibri"/>
      <family val="2"/>
      <scheme val="minor"/>
    </font>
    <font>
      <sz val="9"/>
      <color indexed="81"/>
      <name val="Calibri"/>
      <family val="2"/>
    </font>
    <font>
      <b/>
      <sz val="9"/>
      <color indexed="81"/>
      <name val="Calibri"/>
      <family val="2"/>
    </font>
    <font>
      <b/>
      <sz val="11"/>
      <color theme="1"/>
      <name val="Calibri"/>
      <family val="2"/>
    </font>
    <font>
      <i/>
      <sz val="11"/>
      <color theme="1"/>
      <name val="Calibri"/>
      <family val="2"/>
      <scheme val="minor"/>
    </font>
    <font>
      <b/>
      <sz val="20"/>
      <color theme="1"/>
      <name val="Calibri"/>
      <family val="2"/>
      <scheme val="minor"/>
    </font>
    <font>
      <sz val="10"/>
      <color rgb="FF333333"/>
      <name val="Verdana"/>
      <family val="2"/>
    </font>
  </fonts>
  <fills count="12">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lightDown">
        <bgColor theme="0"/>
      </patternFill>
    </fill>
    <fill>
      <patternFill patternType="lightDown"/>
    </fill>
    <fill>
      <patternFill patternType="solid">
        <fgColor theme="8"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59999389629810485"/>
        <bgColor indexed="64"/>
      </patternFill>
    </fill>
  </fills>
  <borders count="24">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diagonalDown="1">
      <left/>
      <right style="thin">
        <color auto="1"/>
      </right>
      <top/>
      <bottom/>
      <diagonal style="thin">
        <color auto="1"/>
      </diagonal>
    </border>
    <border diagonalDown="1">
      <left style="thin">
        <color auto="1"/>
      </left>
      <right style="thin">
        <color auto="1"/>
      </right>
      <top/>
      <bottom/>
      <diagonal style="thin">
        <color auto="1"/>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s>
  <cellStyleXfs count="82">
    <xf numFmtId="0" fontId="0" fillId="0" borderId="0"/>
    <xf numFmtId="0" fontId="2" fillId="0" borderId="0" applyNumberFormat="0" applyFill="0" applyBorder="0" applyAlignment="0" applyProtection="0">
      <alignment vertical="top"/>
      <protection locked="0"/>
    </xf>
    <xf numFmtId="43" fontId="7"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44" fontId="7" fillId="0" borderId="0" applyFont="0" applyFill="0" applyBorder="0" applyAlignment="0" applyProtection="0"/>
    <xf numFmtId="9" fontId="7"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263">
    <xf numFmtId="0" fontId="0" fillId="0" borderId="0" xfId="0"/>
    <xf numFmtId="0" fontId="1" fillId="0" borderId="0" xfId="0" applyFont="1"/>
    <xf numFmtId="0" fontId="0" fillId="0" borderId="0" xfId="0" applyFont="1"/>
    <xf numFmtId="0" fontId="0" fillId="0" borderId="0" xfId="0" applyAlignment="1">
      <alignment wrapText="1"/>
    </xf>
    <xf numFmtId="165" fontId="0" fillId="0" borderId="0" xfId="0" applyNumberFormat="1"/>
    <xf numFmtId="166" fontId="0" fillId="0" borderId="0" xfId="0" applyNumberFormat="1"/>
    <xf numFmtId="168" fontId="0" fillId="0" borderId="0" xfId="0" applyNumberFormat="1"/>
    <xf numFmtId="169" fontId="0" fillId="0" borderId="0" xfId="0" applyNumberFormat="1"/>
    <xf numFmtId="0" fontId="4" fillId="0" borderId="0" xfId="0" applyFont="1" applyAlignment="1">
      <alignment horizontal="centerContinuous"/>
    </xf>
    <xf numFmtId="3" fontId="0" fillId="0" borderId="0" xfId="0" applyNumberFormat="1"/>
    <xf numFmtId="166" fontId="3" fillId="0" borderId="0" xfId="0" applyNumberFormat="1" applyFont="1"/>
    <xf numFmtId="166" fontId="6" fillId="0" borderId="0" xfId="0" applyNumberFormat="1" applyFont="1"/>
    <xf numFmtId="171" fontId="0" fillId="0" borderId="0" xfId="0" applyNumberFormat="1"/>
    <xf numFmtId="0" fontId="0" fillId="0" borderId="0" xfId="0" quotePrefix="1"/>
    <xf numFmtId="0" fontId="0" fillId="0" borderId="0" xfId="0" applyAlignment="1">
      <alignment horizontal="centerContinuous"/>
    </xf>
    <xf numFmtId="0" fontId="0" fillId="0" borderId="0" xfId="0" applyAlignment="1">
      <alignment horizontal="center"/>
    </xf>
    <xf numFmtId="171" fontId="0" fillId="0" borderId="0" xfId="0" applyNumberFormat="1" applyAlignment="1">
      <alignment horizontal="right"/>
    </xf>
    <xf numFmtId="0" fontId="4" fillId="0" borderId="0" xfId="0" applyFont="1"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169" fontId="0" fillId="0" borderId="3" xfId="0" applyNumberFormat="1" applyBorder="1"/>
    <xf numFmtId="169" fontId="0" fillId="0" borderId="0" xfId="0" applyNumberFormat="1" applyBorder="1"/>
    <xf numFmtId="169" fontId="0" fillId="0" borderId="4" xfId="0" applyNumberFormat="1" applyBorder="1"/>
    <xf numFmtId="169" fontId="0" fillId="0" borderId="5" xfId="0" applyNumberFormat="1" applyBorder="1"/>
    <xf numFmtId="169" fontId="0" fillId="0" borderId="8" xfId="0" applyNumberFormat="1" applyBorder="1"/>
    <xf numFmtId="169" fontId="0" fillId="0" borderId="6" xfId="0" applyNumberFormat="1" applyBorder="1"/>
    <xf numFmtId="170" fontId="0" fillId="0" borderId="3" xfId="0" applyNumberFormat="1" applyBorder="1"/>
    <xf numFmtId="170" fontId="0" fillId="0" borderId="0" xfId="0" applyNumberFormat="1" applyBorder="1"/>
    <xf numFmtId="170" fontId="0" fillId="0" borderId="4" xfId="0" applyNumberFormat="1" applyBorder="1"/>
    <xf numFmtId="170" fontId="0" fillId="0" borderId="5" xfId="0" applyNumberFormat="1" applyBorder="1"/>
    <xf numFmtId="170" fontId="0" fillId="0" borderId="8" xfId="0" applyNumberFormat="1" applyBorder="1"/>
    <xf numFmtId="170" fontId="0" fillId="0" borderId="6" xfId="0" applyNumberFormat="1" applyBorder="1"/>
    <xf numFmtId="171" fontId="0" fillId="0" borderId="0" xfId="0" applyNumberFormat="1" applyAlignment="1">
      <alignment horizontal="center"/>
    </xf>
    <xf numFmtId="0" fontId="0" fillId="0" borderId="0" xfId="0" applyAlignment="1">
      <alignment horizontal="center" wrapText="1"/>
    </xf>
    <xf numFmtId="166" fontId="0" fillId="0" borderId="0" xfId="0" applyNumberFormat="1" applyAlignment="1">
      <alignment horizontal="center"/>
    </xf>
    <xf numFmtId="168" fontId="0" fillId="0" borderId="0" xfId="0" applyNumberFormat="1" applyAlignment="1">
      <alignment horizontal="center"/>
    </xf>
    <xf numFmtId="167" fontId="0" fillId="0" borderId="0" xfId="0" applyNumberFormat="1" applyAlignment="1">
      <alignment horizontal="center"/>
    </xf>
    <xf numFmtId="4" fontId="5" fillId="0" borderId="0" xfId="0" applyNumberFormat="1" applyFont="1" applyAlignment="1">
      <alignment horizontal="center"/>
    </xf>
    <xf numFmtId="3" fontId="6" fillId="0" borderId="0" xfId="0" applyNumberFormat="1" applyFont="1" applyAlignment="1">
      <alignment horizontal="center"/>
    </xf>
    <xf numFmtId="165" fontId="0" fillId="0" borderId="0" xfId="0" applyNumberFormat="1" applyAlignment="1">
      <alignment horizontal="center"/>
    </xf>
    <xf numFmtId="172" fontId="0" fillId="0" borderId="0" xfId="2" applyNumberFormat="1" applyFont="1"/>
    <xf numFmtId="0" fontId="0" fillId="0" borderId="9" xfId="0" applyBorder="1"/>
    <xf numFmtId="14" fontId="0" fillId="0" borderId="9" xfId="0" applyNumberFormat="1" applyBorder="1"/>
    <xf numFmtId="172" fontId="0" fillId="0" borderId="0" xfId="0" applyNumberFormat="1"/>
    <xf numFmtId="172" fontId="6" fillId="0" borderId="0" xfId="2" applyNumberFormat="1" applyFont="1"/>
    <xf numFmtId="172" fontId="0" fillId="0" borderId="0" xfId="2" applyNumberFormat="1" applyFont="1" applyAlignment="1">
      <alignment horizontal="center"/>
    </xf>
    <xf numFmtId="165" fontId="6" fillId="0" borderId="0" xfId="0" applyNumberFormat="1" applyFont="1" applyAlignment="1">
      <alignment horizontal="right"/>
    </xf>
    <xf numFmtId="169" fontId="0" fillId="0" borderId="0" xfId="0" applyNumberFormat="1" applyAlignment="1">
      <alignment horizontal="right"/>
    </xf>
    <xf numFmtId="0" fontId="0" fillId="0" borderId="9" xfId="0" applyFill="1" applyBorder="1"/>
    <xf numFmtId="0" fontId="0" fillId="3" borderId="0" xfId="0" applyFill="1" applyAlignment="1">
      <alignment horizontal="center"/>
    </xf>
    <xf numFmtId="167" fontId="0" fillId="3" borderId="0" xfId="0" applyNumberFormat="1" applyFill="1" applyAlignment="1">
      <alignment horizontal="center"/>
    </xf>
    <xf numFmtId="168" fontId="0" fillId="3" borderId="0" xfId="0" applyNumberFormat="1" applyFill="1" applyAlignment="1">
      <alignment horizontal="center"/>
    </xf>
    <xf numFmtId="0" fontId="0" fillId="4" borderId="0" xfId="0" applyFill="1" applyBorder="1"/>
    <xf numFmtId="0" fontId="0" fillId="4" borderId="0" xfId="0" applyFill="1"/>
    <xf numFmtId="166" fontId="0" fillId="3" borderId="0" xfId="0" applyNumberFormat="1" applyFill="1" applyAlignment="1">
      <alignment horizontal="center"/>
    </xf>
    <xf numFmtId="0" fontId="0" fillId="4" borderId="9" xfId="0" applyFill="1" applyBorder="1"/>
    <xf numFmtId="0" fontId="8" fillId="0" borderId="0" xfId="1" applyFont="1" applyAlignment="1" applyProtection="1"/>
    <xf numFmtId="172" fontId="3" fillId="0" borderId="9" xfId="2" applyNumberFormat="1" applyFont="1" applyBorder="1"/>
    <xf numFmtId="0" fontId="0" fillId="4" borderId="0" xfId="0" applyFill="1" applyAlignment="1"/>
    <xf numFmtId="0" fontId="0" fillId="4" borderId="0" xfId="0" applyFill="1" applyAlignment="1">
      <alignment horizontal="center"/>
    </xf>
    <xf numFmtId="3" fontId="6" fillId="4" borderId="0" xfId="0" applyNumberFormat="1" applyFont="1" applyFill="1" applyAlignment="1">
      <alignment horizontal="center"/>
    </xf>
    <xf numFmtId="0" fontId="4" fillId="4" borderId="0" xfId="0" applyFont="1" applyFill="1" applyAlignment="1">
      <alignment horizontal="center"/>
    </xf>
    <xf numFmtId="168" fontId="0" fillId="4" borderId="0" xfId="0" applyNumberFormat="1" applyFill="1" applyAlignment="1">
      <alignment horizontal="center"/>
    </xf>
    <xf numFmtId="171" fontId="0" fillId="4" borderId="0" xfId="0" applyNumberFormat="1" applyFill="1"/>
    <xf numFmtId="0" fontId="0" fillId="4" borderId="0" xfId="0" quotePrefix="1" applyFill="1"/>
    <xf numFmtId="0" fontId="0" fillId="4" borderId="4" xfId="0" applyFill="1" applyBorder="1"/>
    <xf numFmtId="0" fontId="0" fillId="4" borderId="13" xfId="0" applyFill="1" applyBorder="1"/>
    <xf numFmtId="0" fontId="0" fillId="4" borderId="13" xfId="0" applyFill="1" applyBorder="1" applyAlignment="1">
      <alignment horizontal="center"/>
    </xf>
    <xf numFmtId="3" fontId="6" fillId="4" borderId="13" xfId="0" applyNumberFormat="1" applyFont="1" applyFill="1" applyBorder="1" applyAlignment="1">
      <alignment horizontal="center"/>
    </xf>
    <xf numFmtId="0" fontId="0" fillId="4" borderId="4" xfId="0" applyFill="1" applyBorder="1" applyAlignment="1"/>
    <xf numFmtId="0" fontId="0" fillId="0" borderId="4" xfId="0" applyBorder="1" applyAlignment="1">
      <alignment wrapText="1"/>
    </xf>
    <xf numFmtId="0" fontId="0" fillId="0" borderId="14" xfId="0" applyBorder="1"/>
    <xf numFmtId="0" fontId="0" fillId="0" borderId="14" xfId="0" applyBorder="1" applyAlignment="1">
      <alignment horizontal="centerContinuous"/>
    </xf>
    <xf numFmtId="0" fontId="0" fillId="0" borderId="14" xfId="0" applyBorder="1" applyAlignment="1">
      <alignment wrapText="1"/>
    </xf>
    <xf numFmtId="0" fontId="0" fillId="0" borderId="0" xfId="0" applyBorder="1" applyAlignment="1">
      <alignment horizontal="centerContinuous"/>
    </xf>
    <xf numFmtId="0" fontId="0" fillId="0" borderId="0" xfId="0" applyBorder="1" applyAlignment="1">
      <alignment wrapText="1"/>
    </xf>
    <xf numFmtId="0" fontId="0" fillId="0" borderId="13" xfId="0" applyBorder="1"/>
    <xf numFmtId="166" fontId="0" fillId="0" borderId="13" xfId="0" applyNumberFormat="1" applyBorder="1"/>
    <xf numFmtId="0" fontId="0" fillId="0" borderId="13" xfId="0" applyBorder="1" applyAlignment="1">
      <alignment horizontal="centerContinuous"/>
    </xf>
    <xf numFmtId="0" fontId="0" fillId="0" borderId="13" xfId="0" applyBorder="1" applyAlignment="1">
      <alignment wrapText="1"/>
    </xf>
    <xf numFmtId="0" fontId="0" fillId="0" borderId="10" xfId="0" applyBorder="1"/>
    <xf numFmtId="0" fontId="0" fillId="0" borderId="12" xfId="0" applyBorder="1"/>
    <xf numFmtId="165" fontId="10" fillId="0" borderId="0" xfId="0" applyNumberFormat="1" applyFont="1"/>
    <xf numFmtId="165" fontId="11" fillId="0" borderId="0" xfId="0" applyNumberFormat="1" applyFont="1"/>
    <xf numFmtId="0" fontId="0" fillId="0" borderId="15" xfId="0" applyBorder="1"/>
    <xf numFmtId="0" fontId="0" fillId="4" borderId="16" xfId="0" applyFill="1" applyBorder="1"/>
    <xf numFmtId="0" fontId="0" fillId="4" borderId="17" xfId="0" applyFill="1" applyBorder="1"/>
    <xf numFmtId="0" fontId="0" fillId="0" borderId="16" xfId="0" applyBorder="1"/>
    <xf numFmtId="0" fontId="0" fillId="0" borderId="15" xfId="0" applyFill="1" applyBorder="1"/>
    <xf numFmtId="0" fontId="0" fillId="4" borderId="15" xfId="0" applyFill="1" applyBorder="1"/>
    <xf numFmtId="0" fontId="0" fillId="0" borderId="16" xfId="0" applyFill="1" applyBorder="1"/>
    <xf numFmtId="0" fontId="0" fillId="0" borderId="17" xfId="0" applyBorder="1"/>
    <xf numFmtId="0" fontId="0" fillId="4" borderId="17" xfId="0" applyFill="1" applyBorder="1" applyAlignment="1">
      <alignment horizontal="left" wrapText="1"/>
    </xf>
    <xf numFmtId="0" fontId="0" fillId="4" borderId="15" xfId="0" applyFill="1" applyBorder="1" applyAlignment="1">
      <alignment horizontal="left" wrapText="1"/>
    </xf>
    <xf numFmtId="0" fontId="4" fillId="0" borderId="1" xfId="0" applyFont="1" applyBorder="1" applyAlignment="1">
      <alignment horizontal="centerContinuous"/>
    </xf>
    <xf numFmtId="0" fontId="4" fillId="0" borderId="7" xfId="0" applyFont="1" applyBorder="1" applyAlignment="1">
      <alignment horizontal="centerContinuous"/>
    </xf>
    <xf numFmtId="0" fontId="0" fillId="0" borderId="7" xfId="0" applyBorder="1" applyAlignment="1">
      <alignment wrapText="1"/>
    </xf>
    <xf numFmtId="0" fontId="4" fillId="0" borderId="2" xfId="0" applyFont="1" applyBorder="1" applyAlignment="1">
      <alignment wrapText="1"/>
    </xf>
    <xf numFmtId="166" fontId="0" fillId="0" borderId="0" xfId="0" applyNumberFormat="1" applyBorder="1"/>
    <xf numFmtId="166" fontId="0" fillId="0" borderId="4" xfId="0" applyNumberFormat="1" applyBorder="1"/>
    <xf numFmtId="0" fontId="0" fillId="0" borderId="8" xfId="0" applyBorder="1"/>
    <xf numFmtId="0" fontId="0" fillId="0" borderId="6" xfId="0" applyBorder="1" applyAlignment="1">
      <alignment wrapText="1"/>
    </xf>
    <xf numFmtId="166" fontId="0" fillId="0" borderId="5" xfId="0" applyNumberFormat="1" applyBorder="1"/>
    <xf numFmtId="165" fontId="6" fillId="4" borderId="0" xfId="0" applyNumberFormat="1" applyFont="1" applyFill="1" applyAlignment="1">
      <alignment horizontal="center"/>
    </xf>
    <xf numFmtId="172" fontId="12" fillId="0" borderId="0" xfId="2" applyNumberFormat="1" applyFont="1"/>
    <xf numFmtId="0" fontId="0" fillId="0" borderId="7" xfId="0" applyBorder="1" applyAlignment="1">
      <alignment horizontal="center"/>
    </xf>
    <xf numFmtId="0" fontId="0" fillId="0" borderId="0" xfId="0" applyBorder="1" applyAlignment="1">
      <alignment horizontal="center"/>
    </xf>
    <xf numFmtId="170" fontId="0" fillId="0" borderId="0" xfId="0" applyNumberFormat="1" applyBorder="1" applyAlignment="1">
      <alignment horizontal="center"/>
    </xf>
    <xf numFmtId="170" fontId="0" fillId="0" borderId="8" xfId="0" applyNumberFormat="1" applyBorder="1" applyAlignment="1">
      <alignment horizontal="center"/>
    </xf>
    <xf numFmtId="0" fontId="4" fillId="0" borderId="0" xfId="0" applyFont="1" applyAlignment="1">
      <alignment horizontal="center"/>
    </xf>
    <xf numFmtId="166" fontId="0" fillId="0" borderId="0" xfId="0" applyNumberFormat="1" applyBorder="1" applyAlignment="1">
      <alignment horizontal="center"/>
    </xf>
    <xf numFmtId="0" fontId="0" fillId="0" borderId="8" xfId="0" applyBorder="1" applyAlignment="1">
      <alignment horizontal="center"/>
    </xf>
    <xf numFmtId="165" fontId="11" fillId="4" borderId="0" xfId="0" applyNumberFormat="1" applyFont="1" applyFill="1" applyAlignment="1">
      <alignment horizontal="center"/>
    </xf>
    <xf numFmtId="3" fontId="12" fillId="0" borderId="0" xfId="2" applyNumberFormat="1" applyFont="1"/>
    <xf numFmtId="3" fontId="12" fillId="0" borderId="0" xfId="2" applyNumberFormat="1" applyFont="1" applyAlignment="1">
      <alignment horizontal="center"/>
    </xf>
    <xf numFmtId="165" fontId="12" fillId="0" borderId="0" xfId="2" applyNumberFormat="1" applyFont="1"/>
    <xf numFmtId="168" fontId="12" fillId="0" borderId="0" xfId="0" applyNumberFormat="1" applyFont="1" applyAlignment="1">
      <alignment horizontal="center"/>
    </xf>
    <xf numFmtId="172" fontId="12" fillId="0" borderId="0" xfId="2" applyNumberFormat="1" applyFont="1" applyAlignment="1">
      <alignment horizontal="center"/>
    </xf>
    <xf numFmtId="0" fontId="0" fillId="0" borderId="15" xfId="0" applyBorder="1" applyAlignment="1">
      <alignment wrapText="1"/>
    </xf>
    <xf numFmtId="0" fontId="2" fillId="5" borderId="15" xfId="1" applyFill="1" applyBorder="1" applyAlignment="1" applyProtection="1">
      <alignment horizontal="left" indent="2"/>
    </xf>
    <xf numFmtId="0" fontId="0" fillId="6" borderId="15" xfId="0" applyFill="1" applyBorder="1"/>
    <xf numFmtId="0" fontId="0" fillId="5" borderId="17" xfId="0" applyFill="1" applyBorder="1"/>
    <xf numFmtId="0" fontId="0" fillId="5" borderId="15" xfId="0" applyFill="1" applyBorder="1"/>
    <xf numFmtId="0" fontId="0" fillId="2" borderId="0" xfId="0" applyFill="1"/>
    <xf numFmtId="168" fontId="0" fillId="0" borderId="0" xfId="0" applyNumberFormat="1" applyFill="1" applyAlignment="1">
      <alignment horizontal="center"/>
    </xf>
    <xf numFmtId="168" fontId="13" fillId="0" borderId="10" xfId="0" applyNumberFormat="1" applyFont="1" applyFill="1" applyBorder="1" applyAlignment="1">
      <alignment horizontal="center"/>
    </xf>
    <xf numFmtId="168" fontId="13" fillId="0" borderId="11" xfId="0" applyNumberFormat="1" applyFont="1" applyFill="1" applyBorder="1" applyAlignment="1">
      <alignment horizontal="center"/>
    </xf>
    <xf numFmtId="168" fontId="13" fillId="0" borderId="12" xfId="0" applyNumberFormat="1" applyFont="1" applyFill="1" applyBorder="1" applyAlignment="1">
      <alignment horizontal="center"/>
    </xf>
    <xf numFmtId="168" fontId="13" fillId="0" borderId="0" xfId="0" applyNumberFormat="1" applyFont="1" applyFill="1" applyAlignment="1">
      <alignment horizontal="center"/>
    </xf>
    <xf numFmtId="166" fontId="13" fillId="0" borderId="9" xfId="0" applyNumberFormat="1" applyFont="1" applyFill="1" applyBorder="1"/>
    <xf numFmtId="170" fontId="13" fillId="0" borderId="0" xfId="0" applyNumberFormat="1" applyFont="1" applyFill="1"/>
    <xf numFmtId="0" fontId="0" fillId="0" borderId="0" xfId="0" applyFill="1" applyAlignment="1">
      <alignment horizontal="center"/>
    </xf>
    <xf numFmtId="0" fontId="0" fillId="6" borderId="17" xfId="0" applyFill="1" applyBorder="1"/>
    <xf numFmtId="0" fontId="0" fillId="6" borderId="16" xfId="0" applyFill="1" applyBorder="1"/>
    <xf numFmtId="0" fontId="0" fillId="5" borderId="16" xfId="0" applyFill="1" applyBorder="1"/>
    <xf numFmtId="0" fontId="3" fillId="0" borderId="0" xfId="0" applyFont="1" applyBorder="1"/>
    <xf numFmtId="166" fontId="3" fillId="0" borderId="10" xfId="0" applyNumberFormat="1" applyFont="1" applyBorder="1" applyAlignment="1">
      <alignment horizontal="center"/>
    </xf>
    <xf numFmtId="166" fontId="3" fillId="0" borderId="12" xfId="0" applyNumberFormat="1" applyFont="1" applyBorder="1" applyAlignment="1">
      <alignment horizontal="center"/>
    </xf>
    <xf numFmtId="0" fontId="4" fillId="0" borderId="0" xfId="0" applyFont="1" applyBorder="1"/>
    <xf numFmtId="166" fontId="6" fillId="0" borderId="0" xfId="0" applyNumberFormat="1" applyFont="1" applyBorder="1" applyAlignment="1">
      <alignment horizontal="center"/>
    </xf>
    <xf numFmtId="166" fontId="0" fillId="4" borderId="0" xfId="0" applyNumberFormat="1" applyFill="1" applyAlignment="1">
      <alignment horizontal="center"/>
    </xf>
    <xf numFmtId="0" fontId="14" fillId="0" borderId="0" xfId="0" applyFont="1"/>
    <xf numFmtId="166" fontId="13" fillId="3" borderId="0" xfId="0" applyNumberFormat="1" applyFont="1" applyFill="1" applyBorder="1" applyAlignment="1">
      <alignment horizontal="center"/>
    </xf>
    <xf numFmtId="9" fontId="0" fillId="0" borderId="0" xfId="0" applyNumberFormat="1"/>
    <xf numFmtId="0" fontId="14" fillId="4" borderId="0" xfId="0" applyFont="1" applyFill="1"/>
    <xf numFmtId="10" fontId="0" fillId="4" borderId="0" xfId="0" applyNumberFormat="1" applyFill="1"/>
    <xf numFmtId="3" fontId="0" fillId="4" borderId="0" xfId="0" applyNumberFormat="1" applyFill="1"/>
    <xf numFmtId="0" fontId="14" fillId="7" borderId="0" xfId="0" applyFont="1" applyFill="1"/>
    <xf numFmtId="10" fontId="0" fillId="4" borderId="18" xfId="0" applyNumberFormat="1" applyFill="1" applyBorder="1"/>
    <xf numFmtId="172" fontId="0" fillId="4" borderId="0" xfId="2" applyNumberFormat="1" applyFont="1" applyFill="1"/>
    <xf numFmtId="0" fontId="14" fillId="7" borderId="0" xfId="0" applyFont="1" applyFill="1" applyAlignment="1">
      <alignment horizontal="center"/>
    </xf>
    <xf numFmtId="166" fontId="0" fillId="4" borderId="0" xfId="63" applyNumberFormat="1" applyFont="1" applyFill="1" applyAlignment="1">
      <alignment horizontal="center"/>
    </xf>
    <xf numFmtId="0" fontId="0" fillId="4" borderId="0" xfId="0" applyFont="1" applyFill="1"/>
    <xf numFmtId="0" fontId="14" fillId="8" borderId="0" xfId="0" applyFont="1" applyFill="1"/>
    <xf numFmtId="0" fontId="14" fillId="9" borderId="0" xfId="0" applyFont="1" applyFill="1"/>
    <xf numFmtId="9" fontId="0" fillId="4" borderId="0" xfId="63" applyFont="1" applyFill="1"/>
    <xf numFmtId="9" fontId="0" fillId="4" borderId="0" xfId="0" applyNumberFormat="1" applyFill="1"/>
    <xf numFmtId="44" fontId="0" fillId="4" borderId="0" xfId="62" applyFont="1" applyFill="1"/>
    <xf numFmtId="10" fontId="0" fillId="4" borderId="0" xfId="63" applyNumberFormat="1" applyFont="1" applyFill="1"/>
    <xf numFmtId="10" fontId="0" fillId="4" borderId="18" xfId="63" applyNumberFormat="1" applyFont="1" applyFill="1" applyBorder="1"/>
    <xf numFmtId="9" fontId="0" fillId="4" borderId="18" xfId="0" applyNumberFormat="1" applyFill="1" applyBorder="1"/>
    <xf numFmtId="0" fontId="13" fillId="0" borderId="0" xfId="0" applyFont="1" applyFill="1" applyAlignment="1"/>
    <xf numFmtId="3" fontId="13" fillId="4" borderId="0" xfId="0" applyNumberFormat="1" applyFont="1" applyFill="1"/>
    <xf numFmtId="166" fontId="0" fillId="4" borderId="0" xfId="0" applyNumberFormat="1" applyFill="1"/>
    <xf numFmtId="10" fontId="0" fillId="0" borderId="0" xfId="63" applyNumberFormat="1" applyFont="1"/>
    <xf numFmtId="0" fontId="14" fillId="9" borderId="0" xfId="0" applyFont="1" applyFill="1" applyAlignment="1">
      <alignment horizontal="center"/>
    </xf>
    <xf numFmtId="9" fontId="0" fillId="4" borderId="0" xfId="0" applyNumberFormat="1" applyFill="1" applyAlignment="1">
      <alignment horizontal="center"/>
    </xf>
    <xf numFmtId="44" fontId="0" fillId="4" borderId="18" xfId="62" applyFont="1" applyFill="1" applyBorder="1"/>
    <xf numFmtId="44" fontId="0" fillId="4" borderId="0" xfId="62" applyFont="1" applyFill="1" applyBorder="1"/>
    <xf numFmtId="44" fontId="0" fillId="4" borderId="0" xfId="0" applyNumberFormat="1" applyFill="1"/>
    <xf numFmtId="0" fontId="0" fillId="0" borderId="0" xfId="0" applyFont="1" applyFill="1"/>
    <xf numFmtId="44" fontId="7" fillId="4" borderId="0" xfId="62" applyFont="1" applyFill="1"/>
    <xf numFmtId="0" fontId="0" fillId="4" borderId="18" xfId="0" applyFill="1" applyBorder="1" applyAlignment="1">
      <alignment horizontal="center"/>
    </xf>
    <xf numFmtId="0" fontId="3" fillId="0" borderId="0" xfId="0" applyFont="1"/>
    <xf numFmtId="15" fontId="0" fillId="0" borderId="0" xfId="0" applyNumberFormat="1"/>
    <xf numFmtId="0" fontId="0" fillId="7" borderId="0" xfId="0" applyFill="1"/>
    <xf numFmtId="10" fontId="0" fillId="7" borderId="0" xfId="63" applyNumberFormat="1" applyFont="1" applyFill="1"/>
    <xf numFmtId="0" fontId="0" fillId="9" borderId="0" xfId="0" applyFill="1"/>
    <xf numFmtId="10" fontId="0" fillId="9" borderId="0" xfId="63" applyNumberFormat="1" applyFont="1" applyFill="1"/>
    <xf numFmtId="10" fontId="0" fillId="7" borderId="19" xfId="63" applyNumberFormat="1" applyFont="1" applyFill="1" applyBorder="1"/>
    <xf numFmtId="10" fontId="0" fillId="0" borderId="0" xfId="0" applyNumberFormat="1"/>
    <xf numFmtId="0" fontId="0" fillId="0" borderId="9" xfId="0" applyBorder="1" applyAlignment="1">
      <alignment horizontal="left"/>
    </xf>
    <xf numFmtId="43" fontId="14" fillId="0" borderId="0" xfId="2" applyNumberFormat="1" applyFont="1"/>
    <xf numFmtId="44" fontId="0" fillId="0" borderId="0" xfId="0" applyNumberFormat="1"/>
    <xf numFmtId="44" fontId="0" fillId="0" borderId="0" xfId="62" applyFont="1"/>
    <xf numFmtId="173" fontId="0" fillId="0" borderId="0" xfId="62" applyNumberFormat="1" applyFont="1"/>
    <xf numFmtId="173" fontId="0" fillId="0" borderId="0" xfId="62" applyNumberFormat="1" applyFont="1" applyAlignment="1">
      <alignment horizontal="left"/>
    </xf>
    <xf numFmtId="173" fontId="0" fillId="0" borderId="0" xfId="62" applyNumberFormat="1" applyFont="1" applyAlignment="1">
      <alignment horizontal="right"/>
    </xf>
    <xf numFmtId="166" fontId="0" fillId="0" borderId="19" xfId="0" applyNumberFormat="1" applyFill="1" applyBorder="1"/>
    <xf numFmtId="0" fontId="14" fillId="9" borderId="0" xfId="0" applyFont="1" applyFill="1" applyAlignment="1">
      <alignment horizontal="center" wrapText="1"/>
    </xf>
    <xf numFmtId="9" fontId="0" fillId="4" borderId="17" xfId="0" applyNumberFormat="1" applyFill="1" applyBorder="1" applyAlignment="1"/>
    <xf numFmtId="9" fontId="0" fillId="4" borderId="16" xfId="0" applyNumberFormat="1" applyFill="1" applyBorder="1" applyAlignment="1"/>
    <xf numFmtId="10" fontId="0" fillId="4" borderId="0" xfId="0" applyNumberFormat="1" applyFill="1" applyAlignment="1">
      <alignment horizontal="center"/>
    </xf>
    <xf numFmtId="9" fontId="0" fillId="4" borderId="0" xfId="63" applyFont="1" applyFill="1" applyAlignment="1">
      <alignment horizontal="center"/>
    </xf>
    <xf numFmtId="10" fontId="0" fillId="4" borderId="0" xfId="63" applyNumberFormat="1" applyFont="1" applyFill="1" applyAlignment="1">
      <alignment horizontal="center"/>
    </xf>
    <xf numFmtId="1" fontId="0" fillId="0" borderId="0" xfId="0" applyNumberFormat="1"/>
    <xf numFmtId="174" fontId="0" fillId="0" borderId="0" xfId="0" applyNumberFormat="1"/>
    <xf numFmtId="0" fontId="17" fillId="4" borderId="0" xfId="0" applyFont="1" applyFill="1" applyAlignment="1"/>
    <xf numFmtId="0" fontId="14" fillId="4" borderId="0" xfId="0" applyFont="1" applyFill="1" applyAlignment="1">
      <alignment horizontal="center"/>
    </xf>
    <xf numFmtId="0" fontId="14" fillId="4" borderId="0" xfId="0" applyFont="1" applyFill="1" applyAlignment="1">
      <alignment horizontal="center" wrapText="1"/>
    </xf>
    <xf numFmtId="164" fontId="0" fillId="0" borderId="0" xfId="0" applyNumberFormat="1"/>
    <xf numFmtId="173" fontId="0" fillId="0" borderId="0" xfId="0" applyNumberFormat="1"/>
    <xf numFmtId="175" fontId="0" fillId="0" borderId="0" xfId="0" applyNumberFormat="1"/>
    <xf numFmtId="0" fontId="0" fillId="0" borderId="0" xfId="0" applyAlignment="1">
      <alignment horizontal="right"/>
    </xf>
    <xf numFmtId="0" fontId="0" fillId="0" borderId="0" xfId="0" applyAlignment="1">
      <alignment horizontal="left"/>
    </xf>
    <xf numFmtId="0" fontId="0" fillId="10" borderId="22" xfId="0" applyFill="1" applyBorder="1"/>
    <xf numFmtId="10" fontId="0" fillId="10" borderId="21" xfId="63" applyNumberFormat="1" applyFont="1" applyFill="1" applyBorder="1" applyAlignment="1">
      <alignment horizontal="left" vertical="center"/>
    </xf>
    <xf numFmtId="0" fontId="0" fillId="10" borderId="23" xfId="0" applyFill="1" applyBorder="1"/>
    <xf numFmtId="0" fontId="14" fillId="10" borderId="20" xfId="0" applyFont="1" applyFill="1" applyBorder="1"/>
    <xf numFmtId="0" fontId="14" fillId="11" borderId="0" xfId="0" applyFont="1" applyFill="1"/>
    <xf numFmtId="0" fontId="14" fillId="0" borderId="0" xfId="0" applyFont="1" applyFill="1"/>
    <xf numFmtId="0" fontId="0" fillId="0" borderId="0" xfId="0" applyAlignment="1">
      <alignment vertical="top" wrapText="1"/>
    </xf>
    <xf numFmtId="168" fontId="0" fillId="0" borderId="0" xfId="62" applyNumberFormat="1" applyFont="1"/>
    <xf numFmtId="0" fontId="14" fillId="0" borderId="0" xfId="0" applyFont="1" applyAlignment="1">
      <alignment wrapText="1"/>
    </xf>
    <xf numFmtId="0" fontId="14" fillId="11" borderId="0" xfId="0" applyFont="1" applyFill="1" applyAlignment="1">
      <alignment horizontal="center" wrapText="1"/>
    </xf>
    <xf numFmtId="0" fontId="14" fillId="8" borderId="0" xfId="0" applyFont="1" applyFill="1" applyAlignment="1">
      <alignment horizontal="center" vertical="top" wrapText="1"/>
    </xf>
    <xf numFmtId="0" fontId="4" fillId="0" borderId="0" xfId="0" applyFont="1"/>
    <xf numFmtId="10" fontId="22" fillId="0" borderId="0" xfId="0" applyNumberFormat="1" applyFont="1" applyAlignment="1">
      <alignment horizontal="center" vertical="center"/>
    </xf>
    <xf numFmtId="0" fontId="14" fillId="2" borderId="0" xfId="0" applyFont="1" applyFill="1"/>
    <xf numFmtId="0" fontId="0" fillId="2" borderId="9" xfId="0" applyFill="1" applyBorder="1"/>
    <xf numFmtId="9" fontId="0" fillId="2" borderId="9" xfId="0" applyNumberFormat="1" applyFill="1" applyBorder="1"/>
    <xf numFmtId="44" fontId="0" fillId="0" borderId="19" xfId="0" applyNumberFormat="1" applyFill="1" applyBorder="1"/>
    <xf numFmtId="0" fontId="22" fillId="0" borderId="0" xfId="0" applyFont="1" applyAlignment="1">
      <alignment horizontal="center" vertical="center"/>
    </xf>
    <xf numFmtId="0" fontId="0" fillId="0" borderId="0" xfId="0" applyAlignment="1">
      <alignment horizontal="left" vertical="top" wrapText="1"/>
    </xf>
    <xf numFmtId="173" fontId="0" fillId="2" borderId="19" xfId="0" applyNumberFormat="1" applyFill="1" applyBorder="1"/>
    <xf numFmtId="9" fontId="0" fillId="0" borderId="19" xfId="0" applyNumberFormat="1" applyFill="1" applyBorder="1"/>
    <xf numFmtId="44" fontId="0" fillId="7" borderId="19" xfId="0" applyNumberFormat="1" applyFill="1" applyBorder="1"/>
    <xf numFmtId="0" fontId="23" fillId="0" borderId="0" xfId="0" applyFont="1"/>
    <xf numFmtId="43" fontId="0" fillId="0" borderId="0" xfId="0" applyNumberFormat="1"/>
    <xf numFmtId="44" fontId="3" fillId="0" borderId="19" xfId="0" applyNumberFormat="1" applyFont="1" applyFill="1" applyBorder="1"/>
    <xf numFmtId="10" fontId="3" fillId="0" borderId="0" xfId="0" applyNumberFormat="1" applyFont="1"/>
    <xf numFmtId="9" fontId="0" fillId="0" borderId="0" xfId="63" applyFont="1"/>
    <xf numFmtId="9" fontId="0" fillId="0" borderId="0" xfId="0" applyNumberFormat="1" applyAlignment="1">
      <alignment horizontal="left"/>
    </xf>
    <xf numFmtId="49" fontId="0" fillId="0" borderId="0" xfId="0" applyNumberFormat="1"/>
    <xf numFmtId="49" fontId="0" fillId="0" borderId="0" xfId="0" applyNumberFormat="1" applyAlignment="1">
      <alignment wrapText="1"/>
    </xf>
    <xf numFmtId="0" fontId="0" fillId="5" borderId="17" xfId="0" applyFill="1" applyBorder="1" applyAlignment="1">
      <alignment horizontal="left" wrapText="1"/>
    </xf>
    <xf numFmtId="0" fontId="0" fillId="5" borderId="16" xfId="0" applyFill="1" applyBorder="1" applyAlignment="1">
      <alignment horizontal="left" wrapText="1"/>
    </xf>
    <xf numFmtId="0" fontId="0" fillId="4" borderId="17" xfId="0" applyFill="1" applyBorder="1" applyAlignment="1">
      <alignment horizontal="left" wrapText="1"/>
    </xf>
    <xf numFmtId="0" fontId="0" fillId="4" borderId="16" xfId="0" applyFill="1" applyBorder="1" applyAlignment="1">
      <alignment horizontal="left" wrapText="1"/>
    </xf>
    <xf numFmtId="0" fontId="0" fillId="6" borderId="9" xfId="0" applyFill="1" applyBorder="1" applyAlignment="1">
      <alignment horizontal="center"/>
    </xf>
    <xf numFmtId="0" fontId="0" fillId="0" borderId="9" xfId="0" applyBorder="1" applyAlignment="1">
      <alignment horizontal="center"/>
    </xf>
    <xf numFmtId="0" fontId="0" fillId="5" borderId="9" xfId="0" applyFill="1" applyBorder="1" applyAlignment="1">
      <alignment horizontal="center"/>
    </xf>
    <xf numFmtId="0" fontId="0" fillId="4" borderId="9" xfId="0" applyFill="1" applyBorder="1" applyAlignment="1">
      <alignment horizontal="center"/>
    </xf>
    <xf numFmtId="0" fontId="0" fillId="0" borderId="17"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5" borderId="15" xfId="0" applyFill="1" applyBorder="1" applyAlignment="1">
      <alignment horizontal="left" wrapText="1"/>
    </xf>
    <xf numFmtId="0" fontId="0" fillId="4" borderId="15" xfId="0" applyFill="1" applyBorder="1" applyAlignment="1">
      <alignment horizontal="left" wrapText="1"/>
    </xf>
    <xf numFmtId="0" fontId="17" fillId="9" borderId="0" xfId="0" applyFont="1" applyFill="1" applyAlignment="1">
      <alignment horizontal="center"/>
    </xf>
    <xf numFmtId="0" fontId="0" fillId="8" borderId="0" xfId="0" applyFill="1" applyAlignment="1">
      <alignment horizontal="center"/>
    </xf>
    <xf numFmtId="0" fontId="0" fillId="0" borderId="0" xfId="0" applyAlignment="1">
      <alignment horizontal="center"/>
    </xf>
    <xf numFmtId="0" fontId="0" fillId="0" borderId="0" xfId="0" applyAlignment="1">
      <alignment horizontal="left" vertical="top" wrapText="1"/>
    </xf>
    <xf numFmtId="0" fontId="0" fillId="2" borderId="0" xfId="0" applyFill="1" applyAlignment="1">
      <alignment horizontal="left"/>
    </xf>
    <xf numFmtId="0" fontId="0" fillId="0" borderId="0" xfId="0" applyAlignment="1">
      <alignment horizontal="center" vertical="top" wrapText="1"/>
    </xf>
  </cellXfs>
  <cellStyles count="82">
    <cellStyle name="Comma" xfId="2" builtinId="3"/>
    <cellStyle name="Currency" xfId="62" builtinId="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Hyperlink" xfId="1" builtinId="8"/>
    <cellStyle name="Normal" xfId="0" builtinId="0"/>
    <cellStyle name="Percent" xfId="6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8.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9.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 Loss Trend Factor -- 1'!$C$32</c:f>
              <c:strCache>
                <c:ptCount val="1"/>
                <c:pt idx="0">
                  <c:v>Average Frequency</c:v>
                </c:pt>
              </c:strCache>
            </c:strRef>
          </c:tx>
          <c:cat>
            <c:multiLvlStrRef>
              <c:f>'2. Loss Trend Factor -- 1'!$B$33:$B$52</c:f>
            </c:multiLvlStrRef>
          </c:cat>
          <c:val>
            <c:numRef>
              <c:f>'2. Loss Trend Factor -- 1'!$C$33:$C$52</c:f>
            </c:numRef>
          </c:val>
          <c:smooth val="0"/>
          <c:extLst>
            <c:ext xmlns:c16="http://schemas.microsoft.com/office/drawing/2014/chart" uri="{C3380CC4-5D6E-409C-BE32-E72D297353CC}">
              <c16:uniqueId val="{00000000-B0AC-49A8-9412-646654CA72C3}"/>
            </c:ext>
          </c:extLst>
        </c:ser>
        <c:ser>
          <c:idx val="1"/>
          <c:order val="1"/>
          <c:tx>
            <c:strRef>
              <c:f>'2. Loss Trend Factor -- 1'!$D$32</c:f>
              <c:strCache>
                <c:ptCount val="1"/>
                <c:pt idx="0">
                  <c:v>20-pt fit</c:v>
                </c:pt>
              </c:strCache>
            </c:strRef>
          </c:tx>
          <c:spPr>
            <a:ln>
              <a:solidFill>
                <a:srgbClr val="FFFF00"/>
              </a:solidFill>
            </a:ln>
          </c:spPr>
          <c:marker>
            <c:symbol val="diamond"/>
            <c:size val="7"/>
            <c:spPr>
              <a:solidFill>
                <a:srgbClr val="FFFF00"/>
              </a:solidFill>
              <a:ln>
                <a:noFill/>
              </a:ln>
            </c:spPr>
          </c:marker>
          <c:cat>
            <c:multiLvlStrRef>
              <c:f>'2. Loss Trend Factor -- 1'!$B$33:$B$52</c:f>
            </c:multiLvlStrRef>
          </c:cat>
          <c:val>
            <c:numRef>
              <c:f>'2. Loss Trend Factor -- 1'!$D$33:$D$52</c:f>
            </c:numRef>
          </c:val>
          <c:smooth val="0"/>
          <c:extLst>
            <c:ext xmlns:c16="http://schemas.microsoft.com/office/drawing/2014/chart" uri="{C3380CC4-5D6E-409C-BE32-E72D297353CC}">
              <c16:uniqueId val="{00000001-B0AC-49A8-9412-646654CA72C3}"/>
            </c:ext>
          </c:extLst>
        </c:ser>
        <c:ser>
          <c:idx val="2"/>
          <c:order val="2"/>
          <c:tx>
            <c:strRef>
              <c:f>'2. Loss Trend Factor -- 1'!$E$32</c:f>
              <c:strCache>
                <c:ptCount val="1"/>
                <c:pt idx="0">
                  <c:v>12-pt fit</c:v>
                </c:pt>
              </c:strCache>
            </c:strRef>
          </c:tx>
          <c:spPr>
            <a:ln>
              <a:solidFill>
                <a:srgbClr val="00B050"/>
              </a:solidFill>
            </a:ln>
          </c:spPr>
          <c:marker>
            <c:symbol val="star"/>
            <c:size val="7"/>
            <c:spPr>
              <a:solidFill>
                <a:srgbClr val="00B050"/>
              </a:solidFill>
              <a:ln>
                <a:noFill/>
              </a:ln>
            </c:spPr>
          </c:marker>
          <c:cat>
            <c:multiLvlStrRef>
              <c:f>'2. Loss Trend Factor -- 1'!$B$33:$B$52</c:f>
            </c:multiLvlStrRef>
          </c:cat>
          <c:val>
            <c:numRef>
              <c:f>'2. Loss Trend Factor -- 1'!$E$33:$E$52</c:f>
            </c:numRef>
          </c:val>
          <c:smooth val="0"/>
          <c:extLst>
            <c:ext xmlns:c16="http://schemas.microsoft.com/office/drawing/2014/chart" uri="{C3380CC4-5D6E-409C-BE32-E72D297353CC}">
              <c16:uniqueId val="{00000002-B0AC-49A8-9412-646654CA72C3}"/>
            </c:ext>
          </c:extLst>
        </c:ser>
        <c:ser>
          <c:idx val="3"/>
          <c:order val="3"/>
          <c:tx>
            <c:strRef>
              <c:f>'2. Loss Trend Factor -- 1'!$F$32</c:f>
              <c:strCache>
                <c:ptCount val="1"/>
                <c:pt idx="0">
                  <c:v>6-pt fit</c:v>
                </c:pt>
              </c:strCache>
            </c:strRef>
          </c:tx>
          <c:spPr>
            <a:ln>
              <a:solidFill>
                <a:srgbClr val="FF0000"/>
              </a:solidFill>
            </a:ln>
          </c:spPr>
          <c:marker>
            <c:spPr>
              <a:solidFill>
                <a:srgbClr val="FF0000"/>
              </a:solidFill>
              <a:ln>
                <a:noFill/>
              </a:ln>
            </c:spPr>
          </c:marker>
          <c:cat>
            <c:multiLvlStrRef>
              <c:f>'2. Loss Trend Factor -- 1'!$B$33:$B$52</c:f>
            </c:multiLvlStrRef>
          </c:cat>
          <c:val>
            <c:numRef>
              <c:f>'2. Loss Trend Factor -- 1'!$F$33:$F$52</c:f>
            </c:numRef>
          </c:val>
          <c:smooth val="0"/>
          <c:extLst>
            <c:ext xmlns:c16="http://schemas.microsoft.com/office/drawing/2014/chart" uri="{C3380CC4-5D6E-409C-BE32-E72D297353CC}">
              <c16:uniqueId val="{00000003-B0AC-49A8-9412-646654CA72C3}"/>
            </c:ext>
          </c:extLst>
        </c:ser>
        <c:dLbls>
          <c:showLegendKey val="0"/>
          <c:showVal val="0"/>
          <c:showCatName val="0"/>
          <c:showSerName val="0"/>
          <c:showPercent val="0"/>
          <c:showBubbleSize val="0"/>
        </c:dLbls>
        <c:marker val="1"/>
        <c:smooth val="0"/>
        <c:axId val="-15005200"/>
        <c:axId val="-15010096"/>
      </c:lineChart>
      <c:catAx>
        <c:axId val="-15005200"/>
        <c:scaling>
          <c:orientation val="minMax"/>
        </c:scaling>
        <c:delete val="0"/>
        <c:axPos val="b"/>
        <c:title>
          <c:tx>
            <c:rich>
              <a:bodyPr/>
              <a:lstStyle/>
              <a:p>
                <a:pPr>
                  <a:defRPr/>
                </a:pPr>
                <a:r>
                  <a:rPr lang="en-US"/>
                  <a:t>Year Ending Quarter</a:t>
                </a:r>
              </a:p>
            </c:rich>
          </c:tx>
          <c:overlay val="0"/>
        </c:title>
        <c:numFmt formatCode="General" sourceLinked="0"/>
        <c:majorTickMark val="out"/>
        <c:minorTickMark val="none"/>
        <c:tickLblPos val="nextTo"/>
        <c:crossAx val="-15010096"/>
        <c:crosses val="autoZero"/>
        <c:auto val="1"/>
        <c:lblAlgn val="ctr"/>
        <c:lblOffset val="100"/>
        <c:noMultiLvlLbl val="0"/>
      </c:catAx>
      <c:valAx>
        <c:axId val="-15010096"/>
        <c:scaling>
          <c:orientation val="minMax"/>
        </c:scaling>
        <c:delete val="0"/>
        <c:axPos val="l"/>
        <c:majorGridlines/>
        <c:title>
          <c:tx>
            <c:rich>
              <a:bodyPr rot="-5400000" vert="horz"/>
              <a:lstStyle/>
              <a:p>
                <a:pPr>
                  <a:defRPr/>
                </a:pPr>
                <a:r>
                  <a:rPr lang="en-US"/>
                  <a:t>Frequency</a:t>
                </a:r>
              </a:p>
            </c:rich>
          </c:tx>
          <c:overlay val="0"/>
        </c:title>
        <c:numFmt formatCode="0.000" sourceLinked="1"/>
        <c:majorTickMark val="out"/>
        <c:minorTickMark val="none"/>
        <c:tickLblPos val="nextTo"/>
        <c:crossAx val="-15005200"/>
        <c:crosses val="autoZero"/>
        <c:crossBetween val="between"/>
      </c:valAx>
    </c:plotArea>
    <c:legend>
      <c:legendPos val="r"/>
      <c:layout>
        <c:manualLayout>
          <c:xMode val="edge"/>
          <c:yMode val="edge"/>
          <c:x val="0.73033703888894397"/>
          <c:y val="0.40752164961415699"/>
          <c:w val="0.207865199189772"/>
          <c:h val="0.32068524368585699"/>
        </c:manualLayout>
      </c:layout>
      <c:overlay val="0"/>
    </c:legend>
    <c:plotVisOnly val="1"/>
    <c:dispBlanksAs val="gap"/>
    <c:showDLblsOverMax val="0"/>
  </c:chart>
  <c:printSettings>
    <c:headerFooter/>
    <c:pageMargins b="0.750000000000002" l="0.70000000000000095" r="0.70000000000000095" t="0.750000000000002"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 Loss Trend Factor -- 1'!$G$32</c:f>
              <c:strCache>
                <c:ptCount val="1"/>
                <c:pt idx="0">
                  <c:v>Average Severity</c:v>
                </c:pt>
              </c:strCache>
            </c:strRef>
          </c:tx>
          <c:cat>
            <c:multiLvlStrRef>
              <c:f>'2. Loss Trend Factor -- 1'!$B$33:$B$52</c:f>
            </c:multiLvlStrRef>
          </c:cat>
          <c:val>
            <c:numRef>
              <c:f>'2. Loss Trend Factor -- 1'!$G$33:$G$52</c:f>
            </c:numRef>
          </c:val>
          <c:smooth val="0"/>
          <c:extLst>
            <c:ext xmlns:c16="http://schemas.microsoft.com/office/drawing/2014/chart" uri="{C3380CC4-5D6E-409C-BE32-E72D297353CC}">
              <c16:uniqueId val="{00000000-3010-4F64-AFF5-63C0B900BE1A}"/>
            </c:ext>
          </c:extLst>
        </c:ser>
        <c:ser>
          <c:idx val="1"/>
          <c:order val="1"/>
          <c:tx>
            <c:strRef>
              <c:f>'2. Loss Trend Factor -- 1'!$H$32</c:f>
              <c:strCache>
                <c:ptCount val="1"/>
                <c:pt idx="0">
                  <c:v>20-pt fit</c:v>
                </c:pt>
              </c:strCache>
            </c:strRef>
          </c:tx>
          <c:spPr>
            <a:ln>
              <a:solidFill>
                <a:srgbClr val="FFFF00"/>
              </a:solidFill>
            </a:ln>
          </c:spPr>
          <c:marker>
            <c:symbol val="diamond"/>
            <c:size val="7"/>
            <c:spPr>
              <a:solidFill>
                <a:srgbClr val="FFFF00"/>
              </a:solidFill>
              <a:ln>
                <a:noFill/>
              </a:ln>
            </c:spPr>
          </c:marker>
          <c:cat>
            <c:multiLvlStrRef>
              <c:f>'2. Loss Trend Factor -- 1'!$B$33:$B$52</c:f>
            </c:multiLvlStrRef>
          </c:cat>
          <c:val>
            <c:numRef>
              <c:f>'2. Loss Trend Factor -- 1'!$H$33:$H$52</c:f>
            </c:numRef>
          </c:val>
          <c:smooth val="0"/>
          <c:extLst>
            <c:ext xmlns:c16="http://schemas.microsoft.com/office/drawing/2014/chart" uri="{C3380CC4-5D6E-409C-BE32-E72D297353CC}">
              <c16:uniqueId val="{00000001-3010-4F64-AFF5-63C0B900BE1A}"/>
            </c:ext>
          </c:extLst>
        </c:ser>
        <c:ser>
          <c:idx val="2"/>
          <c:order val="2"/>
          <c:tx>
            <c:strRef>
              <c:f>'2. Loss Trend Factor -- 1'!$I$32</c:f>
              <c:strCache>
                <c:ptCount val="1"/>
                <c:pt idx="0">
                  <c:v>12-pt fit</c:v>
                </c:pt>
              </c:strCache>
            </c:strRef>
          </c:tx>
          <c:spPr>
            <a:ln>
              <a:solidFill>
                <a:srgbClr val="00B050"/>
              </a:solidFill>
            </a:ln>
          </c:spPr>
          <c:marker>
            <c:symbol val="star"/>
            <c:size val="7"/>
            <c:spPr>
              <a:solidFill>
                <a:srgbClr val="00B050"/>
              </a:solidFill>
              <a:ln>
                <a:noFill/>
              </a:ln>
            </c:spPr>
          </c:marker>
          <c:cat>
            <c:multiLvlStrRef>
              <c:f>'2. Loss Trend Factor -- 1'!$B$33:$B$52</c:f>
            </c:multiLvlStrRef>
          </c:cat>
          <c:val>
            <c:numRef>
              <c:f>'2. Loss Trend Factor -- 1'!$I$33:$I$52</c:f>
            </c:numRef>
          </c:val>
          <c:smooth val="0"/>
          <c:extLst>
            <c:ext xmlns:c16="http://schemas.microsoft.com/office/drawing/2014/chart" uri="{C3380CC4-5D6E-409C-BE32-E72D297353CC}">
              <c16:uniqueId val="{00000002-3010-4F64-AFF5-63C0B900BE1A}"/>
            </c:ext>
          </c:extLst>
        </c:ser>
        <c:ser>
          <c:idx val="3"/>
          <c:order val="3"/>
          <c:tx>
            <c:strRef>
              <c:f>'2. Loss Trend Factor -- 1'!$J$32</c:f>
              <c:strCache>
                <c:ptCount val="1"/>
                <c:pt idx="0">
                  <c:v>6-pt fit</c:v>
                </c:pt>
              </c:strCache>
            </c:strRef>
          </c:tx>
          <c:spPr>
            <a:ln>
              <a:solidFill>
                <a:srgbClr val="FF0000"/>
              </a:solidFill>
            </a:ln>
          </c:spPr>
          <c:marker>
            <c:spPr>
              <a:solidFill>
                <a:srgbClr val="FF0000"/>
              </a:solidFill>
              <a:ln>
                <a:noFill/>
              </a:ln>
            </c:spPr>
          </c:marker>
          <c:cat>
            <c:multiLvlStrRef>
              <c:f>'2. Loss Trend Factor -- 1'!$B$33:$B$52</c:f>
            </c:multiLvlStrRef>
          </c:cat>
          <c:val>
            <c:numRef>
              <c:f>'2. Loss Trend Factor -- 1'!$J$33:$J$52</c:f>
            </c:numRef>
          </c:val>
          <c:smooth val="0"/>
          <c:extLst>
            <c:ext xmlns:c16="http://schemas.microsoft.com/office/drawing/2014/chart" uri="{C3380CC4-5D6E-409C-BE32-E72D297353CC}">
              <c16:uniqueId val="{00000003-3010-4F64-AFF5-63C0B900BE1A}"/>
            </c:ext>
          </c:extLst>
        </c:ser>
        <c:dLbls>
          <c:showLegendKey val="0"/>
          <c:showVal val="0"/>
          <c:showCatName val="0"/>
          <c:showSerName val="0"/>
          <c:showPercent val="0"/>
          <c:showBubbleSize val="0"/>
        </c:dLbls>
        <c:marker val="1"/>
        <c:smooth val="0"/>
        <c:axId val="-14999216"/>
        <c:axId val="-14997040"/>
      </c:lineChart>
      <c:catAx>
        <c:axId val="-14999216"/>
        <c:scaling>
          <c:orientation val="minMax"/>
        </c:scaling>
        <c:delete val="0"/>
        <c:axPos val="b"/>
        <c:title>
          <c:tx>
            <c:rich>
              <a:bodyPr/>
              <a:lstStyle/>
              <a:p>
                <a:pPr>
                  <a:defRPr/>
                </a:pPr>
                <a:r>
                  <a:rPr lang="en-US"/>
                  <a:t>Year Ending Quarter</a:t>
                </a:r>
              </a:p>
            </c:rich>
          </c:tx>
          <c:overlay val="0"/>
        </c:title>
        <c:numFmt formatCode="General" sourceLinked="0"/>
        <c:majorTickMark val="out"/>
        <c:minorTickMark val="none"/>
        <c:tickLblPos val="nextTo"/>
        <c:crossAx val="-14997040"/>
        <c:crosses val="autoZero"/>
        <c:auto val="1"/>
        <c:lblAlgn val="ctr"/>
        <c:lblOffset val="100"/>
        <c:noMultiLvlLbl val="0"/>
      </c:catAx>
      <c:valAx>
        <c:axId val="-14997040"/>
        <c:scaling>
          <c:orientation val="minMax"/>
        </c:scaling>
        <c:delete val="0"/>
        <c:axPos val="l"/>
        <c:majorGridlines/>
        <c:title>
          <c:tx>
            <c:rich>
              <a:bodyPr rot="-5400000" vert="horz"/>
              <a:lstStyle/>
              <a:p>
                <a:pPr>
                  <a:defRPr/>
                </a:pPr>
                <a:r>
                  <a:rPr lang="en-US"/>
                  <a:t>Severity</a:t>
                </a:r>
              </a:p>
            </c:rich>
          </c:tx>
          <c:overlay val="0"/>
        </c:title>
        <c:numFmt formatCode="&quot;$&quot;#,##0.00" sourceLinked="1"/>
        <c:majorTickMark val="out"/>
        <c:minorTickMark val="none"/>
        <c:tickLblPos val="nextTo"/>
        <c:crossAx val="-14999216"/>
        <c:crosses val="autoZero"/>
        <c:crossBetween val="between"/>
      </c:valAx>
    </c:plotArea>
    <c:legend>
      <c:legendPos val="r"/>
      <c:overlay val="0"/>
    </c:legend>
    <c:plotVisOnly val="1"/>
    <c:dispBlanksAs val="gap"/>
    <c:showDLblsOverMax val="0"/>
  </c:chart>
  <c:printSettings>
    <c:headerFooter/>
    <c:pageMargins b="0.750000000000001" l="0.70000000000000095" r="0.70000000000000095" t="0.750000000000001"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 Loss Trend Factor -- 1'!$K$32</c:f>
              <c:strCache>
                <c:ptCount val="1"/>
                <c:pt idx="0">
                  <c:v>Average Premium</c:v>
                </c:pt>
              </c:strCache>
            </c:strRef>
          </c:tx>
          <c:cat>
            <c:multiLvlStrRef>
              <c:f>'2. Loss Trend Factor -- 1'!$B$33:$B$52</c:f>
            </c:multiLvlStrRef>
          </c:cat>
          <c:val>
            <c:numRef>
              <c:f>'2. Loss Trend Factor -- 1'!$K$33:$K$52</c:f>
            </c:numRef>
          </c:val>
          <c:smooth val="0"/>
          <c:extLst>
            <c:ext xmlns:c16="http://schemas.microsoft.com/office/drawing/2014/chart" uri="{C3380CC4-5D6E-409C-BE32-E72D297353CC}">
              <c16:uniqueId val="{00000000-CD8B-4925-BC9B-D7B89DEF4736}"/>
            </c:ext>
          </c:extLst>
        </c:ser>
        <c:ser>
          <c:idx val="1"/>
          <c:order val="1"/>
          <c:tx>
            <c:strRef>
              <c:f>'2. Loss Trend Factor -- 1'!$L$32</c:f>
              <c:strCache>
                <c:ptCount val="1"/>
                <c:pt idx="0">
                  <c:v>20-pt fit</c:v>
                </c:pt>
              </c:strCache>
            </c:strRef>
          </c:tx>
          <c:spPr>
            <a:ln>
              <a:solidFill>
                <a:srgbClr val="FFFF00"/>
              </a:solidFill>
            </a:ln>
          </c:spPr>
          <c:marker>
            <c:symbol val="diamond"/>
            <c:size val="7"/>
            <c:spPr>
              <a:solidFill>
                <a:srgbClr val="FFFF00"/>
              </a:solidFill>
              <a:ln>
                <a:noFill/>
              </a:ln>
            </c:spPr>
          </c:marker>
          <c:cat>
            <c:multiLvlStrRef>
              <c:f>'2. Loss Trend Factor -- 1'!$B$33:$B$52</c:f>
            </c:multiLvlStrRef>
          </c:cat>
          <c:val>
            <c:numRef>
              <c:f>'2. Loss Trend Factor -- 1'!$L$33:$L$52</c:f>
            </c:numRef>
          </c:val>
          <c:smooth val="0"/>
          <c:extLst>
            <c:ext xmlns:c16="http://schemas.microsoft.com/office/drawing/2014/chart" uri="{C3380CC4-5D6E-409C-BE32-E72D297353CC}">
              <c16:uniqueId val="{00000001-CD8B-4925-BC9B-D7B89DEF4736}"/>
            </c:ext>
          </c:extLst>
        </c:ser>
        <c:ser>
          <c:idx val="2"/>
          <c:order val="2"/>
          <c:tx>
            <c:strRef>
              <c:f>'2. Loss Trend Factor -- 1'!$M$32</c:f>
              <c:strCache>
                <c:ptCount val="1"/>
                <c:pt idx="0">
                  <c:v>12-pt fit</c:v>
                </c:pt>
              </c:strCache>
            </c:strRef>
          </c:tx>
          <c:spPr>
            <a:ln>
              <a:solidFill>
                <a:srgbClr val="00B050"/>
              </a:solidFill>
            </a:ln>
          </c:spPr>
          <c:marker>
            <c:symbol val="star"/>
            <c:size val="7"/>
            <c:spPr>
              <a:solidFill>
                <a:srgbClr val="00B050"/>
              </a:solidFill>
              <a:ln>
                <a:noFill/>
              </a:ln>
            </c:spPr>
          </c:marker>
          <c:cat>
            <c:multiLvlStrRef>
              <c:f>'2. Loss Trend Factor -- 1'!$B$33:$B$52</c:f>
            </c:multiLvlStrRef>
          </c:cat>
          <c:val>
            <c:numRef>
              <c:f>'2. Loss Trend Factor -- 1'!$M$33:$M$52</c:f>
            </c:numRef>
          </c:val>
          <c:smooth val="0"/>
          <c:extLst>
            <c:ext xmlns:c16="http://schemas.microsoft.com/office/drawing/2014/chart" uri="{C3380CC4-5D6E-409C-BE32-E72D297353CC}">
              <c16:uniqueId val="{00000002-CD8B-4925-BC9B-D7B89DEF4736}"/>
            </c:ext>
          </c:extLst>
        </c:ser>
        <c:ser>
          <c:idx val="3"/>
          <c:order val="3"/>
          <c:tx>
            <c:strRef>
              <c:f>'2. Loss Trend Factor -- 1'!$N$32</c:f>
              <c:strCache>
                <c:ptCount val="1"/>
                <c:pt idx="0">
                  <c:v>6-pt fit</c:v>
                </c:pt>
              </c:strCache>
            </c:strRef>
          </c:tx>
          <c:spPr>
            <a:ln>
              <a:solidFill>
                <a:srgbClr val="FF0000"/>
              </a:solidFill>
            </a:ln>
          </c:spPr>
          <c:marker>
            <c:spPr>
              <a:solidFill>
                <a:srgbClr val="FF0000"/>
              </a:solidFill>
              <a:ln>
                <a:noFill/>
              </a:ln>
            </c:spPr>
          </c:marker>
          <c:cat>
            <c:multiLvlStrRef>
              <c:f>'2. Loss Trend Factor -- 1'!$B$33:$B$52</c:f>
            </c:multiLvlStrRef>
          </c:cat>
          <c:val>
            <c:numRef>
              <c:f>'2. Loss Trend Factor -- 1'!$N$33:$N$52</c:f>
            </c:numRef>
          </c:val>
          <c:smooth val="0"/>
          <c:extLst>
            <c:ext xmlns:c16="http://schemas.microsoft.com/office/drawing/2014/chart" uri="{C3380CC4-5D6E-409C-BE32-E72D297353CC}">
              <c16:uniqueId val="{00000003-CD8B-4925-BC9B-D7B89DEF4736}"/>
            </c:ext>
          </c:extLst>
        </c:ser>
        <c:dLbls>
          <c:showLegendKey val="0"/>
          <c:showVal val="0"/>
          <c:showCatName val="0"/>
          <c:showSerName val="0"/>
          <c:showPercent val="0"/>
          <c:showBubbleSize val="0"/>
        </c:dLbls>
        <c:marker val="1"/>
        <c:smooth val="0"/>
        <c:axId val="-14996496"/>
        <c:axId val="-15011184"/>
      </c:lineChart>
      <c:catAx>
        <c:axId val="-14996496"/>
        <c:scaling>
          <c:orientation val="minMax"/>
        </c:scaling>
        <c:delete val="0"/>
        <c:axPos val="b"/>
        <c:title>
          <c:tx>
            <c:rich>
              <a:bodyPr/>
              <a:lstStyle/>
              <a:p>
                <a:pPr>
                  <a:defRPr/>
                </a:pPr>
                <a:r>
                  <a:rPr lang="en-US"/>
                  <a:t>Year Ending Quarter</a:t>
                </a:r>
              </a:p>
            </c:rich>
          </c:tx>
          <c:overlay val="0"/>
        </c:title>
        <c:numFmt formatCode="General" sourceLinked="0"/>
        <c:majorTickMark val="out"/>
        <c:minorTickMark val="none"/>
        <c:tickLblPos val="nextTo"/>
        <c:crossAx val="-15011184"/>
        <c:crosses val="autoZero"/>
        <c:auto val="1"/>
        <c:lblAlgn val="ctr"/>
        <c:lblOffset val="100"/>
        <c:noMultiLvlLbl val="0"/>
      </c:catAx>
      <c:valAx>
        <c:axId val="-15011184"/>
        <c:scaling>
          <c:orientation val="minMax"/>
          <c:min val="59"/>
        </c:scaling>
        <c:delete val="0"/>
        <c:axPos val="l"/>
        <c:majorGridlines/>
        <c:title>
          <c:tx>
            <c:rich>
              <a:bodyPr rot="-5400000" vert="horz"/>
              <a:lstStyle/>
              <a:p>
                <a:pPr>
                  <a:defRPr/>
                </a:pPr>
                <a:r>
                  <a:rPr lang="en-US"/>
                  <a:t>Loss Cost</a:t>
                </a:r>
              </a:p>
            </c:rich>
          </c:tx>
          <c:overlay val="0"/>
        </c:title>
        <c:numFmt formatCode="&quot;$&quot;#,##0.00" sourceLinked="1"/>
        <c:majorTickMark val="out"/>
        <c:minorTickMark val="none"/>
        <c:tickLblPos val="nextTo"/>
        <c:crossAx val="-14996496"/>
        <c:crosses val="autoZero"/>
        <c:crossBetween val="between"/>
      </c:valAx>
    </c:plotArea>
    <c:legend>
      <c:legendPos val="r"/>
      <c:overlay val="0"/>
    </c:legend>
    <c:plotVisOnly val="1"/>
    <c:dispBlanksAs val="gap"/>
    <c:showDLblsOverMax val="0"/>
  </c:chart>
  <c:printSettings>
    <c:headerFooter/>
    <c:pageMargins b="0.750000000000001" l="0.70000000000000095" r="0.70000000000000095" t="0.750000000000001"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 Loss Trend Factor -- 1'!$X$32</c:f>
              <c:strCache>
                <c:ptCount val="1"/>
                <c:pt idx="0">
                  <c:v>Average Frequency</c:v>
                </c:pt>
              </c:strCache>
            </c:strRef>
          </c:tx>
          <c:cat>
            <c:multiLvlStrRef>
              <c:f>'2. Loss Trend Factor -- 1'!$W$33:$W$52</c:f>
            </c:multiLvlStrRef>
          </c:cat>
          <c:val>
            <c:numRef>
              <c:f>'2. Loss Trend Factor -- 1'!$X$33:$X$52</c:f>
            </c:numRef>
          </c:val>
          <c:smooth val="0"/>
          <c:extLst>
            <c:ext xmlns:c16="http://schemas.microsoft.com/office/drawing/2014/chart" uri="{C3380CC4-5D6E-409C-BE32-E72D297353CC}">
              <c16:uniqueId val="{00000000-23C8-49EB-9E0E-DD7B1FFEAC39}"/>
            </c:ext>
          </c:extLst>
        </c:ser>
        <c:ser>
          <c:idx val="1"/>
          <c:order val="1"/>
          <c:tx>
            <c:strRef>
              <c:f>'2. Loss Trend Factor -- 1'!$Y$32</c:f>
              <c:strCache>
                <c:ptCount val="1"/>
                <c:pt idx="0">
                  <c:v>20-pt fit</c:v>
                </c:pt>
              </c:strCache>
            </c:strRef>
          </c:tx>
          <c:spPr>
            <a:ln>
              <a:solidFill>
                <a:srgbClr val="FFFF00"/>
              </a:solidFill>
            </a:ln>
          </c:spPr>
          <c:marker>
            <c:symbol val="diamond"/>
            <c:size val="7"/>
            <c:spPr>
              <a:solidFill>
                <a:srgbClr val="FFFF00"/>
              </a:solidFill>
              <a:ln>
                <a:noFill/>
              </a:ln>
            </c:spPr>
          </c:marker>
          <c:cat>
            <c:multiLvlStrRef>
              <c:f>'2. Loss Trend Factor -- 1'!$W$33:$W$52</c:f>
            </c:multiLvlStrRef>
          </c:cat>
          <c:val>
            <c:numRef>
              <c:f>'2. Loss Trend Factor -- 1'!$Y$33:$Y$52</c:f>
            </c:numRef>
          </c:val>
          <c:smooth val="0"/>
          <c:extLst>
            <c:ext xmlns:c16="http://schemas.microsoft.com/office/drawing/2014/chart" uri="{C3380CC4-5D6E-409C-BE32-E72D297353CC}">
              <c16:uniqueId val="{00000001-23C8-49EB-9E0E-DD7B1FFEAC39}"/>
            </c:ext>
          </c:extLst>
        </c:ser>
        <c:ser>
          <c:idx val="2"/>
          <c:order val="2"/>
          <c:tx>
            <c:strRef>
              <c:f>'2. Loss Trend Factor -- 1'!$E$32</c:f>
              <c:strCache>
                <c:ptCount val="1"/>
                <c:pt idx="0">
                  <c:v>12-pt fit</c:v>
                </c:pt>
              </c:strCache>
            </c:strRef>
          </c:tx>
          <c:spPr>
            <a:ln>
              <a:solidFill>
                <a:srgbClr val="00B050"/>
              </a:solidFill>
            </a:ln>
          </c:spPr>
          <c:marker>
            <c:symbol val="star"/>
            <c:size val="7"/>
            <c:spPr>
              <a:solidFill>
                <a:srgbClr val="00B050"/>
              </a:solidFill>
              <a:ln>
                <a:noFill/>
              </a:ln>
            </c:spPr>
          </c:marker>
          <c:cat>
            <c:multiLvlStrRef>
              <c:f>'2. Loss Trend Factor -- 1'!$W$33:$W$52</c:f>
            </c:multiLvlStrRef>
          </c:cat>
          <c:val>
            <c:numRef>
              <c:f>'2. Loss Trend Factor -- 1'!$Z$33:$Z$52</c:f>
            </c:numRef>
          </c:val>
          <c:smooth val="0"/>
          <c:extLst>
            <c:ext xmlns:c16="http://schemas.microsoft.com/office/drawing/2014/chart" uri="{C3380CC4-5D6E-409C-BE32-E72D297353CC}">
              <c16:uniqueId val="{00000002-23C8-49EB-9E0E-DD7B1FFEAC39}"/>
            </c:ext>
          </c:extLst>
        </c:ser>
        <c:ser>
          <c:idx val="3"/>
          <c:order val="3"/>
          <c:tx>
            <c:strRef>
              <c:f>'2. Loss Trend Factor -- 1'!$AA$32</c:f>
              <c:strCache>
                <c:ptCount val="1"/>
                <c:pt idx="0">
                  <c:v>6-pt fit</c:v>
                </c:pt>
              </c:strCache>
            </c:strRef>
          </c:tx>
          <c:spPr>
            <a:ln>
              <a:solidFill>
                <a:srgbClr val="FF0000"/>
              </a:solidFill>
            </a:ln>
          </c:spPr>
          <c:marker>
            <c:spPr>
              <a:solidFill>
                <a:srgbClr val="FF0000"/>
              </a:solidFill>
              <a:ln>
                <a:noFill/>
              </a:ln>
            </c:spPr>
          </c:marker>
          <c:cat>
            <c:multiLvlStrRef>
              <c:f>'2. Loss Trend Factor -- 1'!$W$33:$W$52</c:f>
            </c:multiLvlStrRef>
          </c:cat>
          <c:val>
            <c:numRef>
              <c:f>'2. Loss Trend Factor -- 1'!$AA$33:$AA$52</c:f>
            </c:numRef>
          </c:val>
          <c:smooth val="0"/>
          <c:extLst>
            <c:ext xmlns:c16="http://schemas.microsoft.com/office/drawing/2014/chart" uri="{C3380CC4-5D6E-409C-BE32-E72D297353CC}">
              <c16:uniqueId val="{00000003-23C8-49EB-9E0E-DD7B1FFEAC39}"/>
            </c:ext>
          </c:extLst>
        </c:ser>
        <c:dLbls>
          <c:showLegendKey val="0"/>
          <c:showVal val="0"/>
          <c:showCatName val="0"/>
          <c:showSerName val="0"/>
          <c:showPercent val="0"/>
          <c:showBubbleSize val="0"/>
        </c:dLbls>
        <c:marker val="1"/>
        <c:smooth val="0"/>
        <c:axId val="-15008464"/>
        <c:axId val="-110490784"/>
      </c:lineChart>
      <c:catAx>
        <c:axId val="-15008464"/>
        <c:scaling>
          <c:orientation val="minMax"/>
        </c:scaling>
        <c:delete val="0"/>
        <c:axPos val="b"/>
        <c:title>
          <c:tx>
            <c:rich>
              <a:bodyPr/>
              <a:lstStyle/>
              <a:p>
                <a:pPr>
                  <a:defRPr/>
                </a:pPr>
                <a:r>
                  <a:rPr lang="en-US"/>
                  <a:t>Year Ending Quarter</a:t>
                </a:r>
              </a:p>
            </c:rich>
          </c:tx>
          <c:overlay val="0"/>
        </c:title>
        <c:numFmt formatCode="General" sourceLinked="0"/>
        <c:majorTickMark val="out"/>
        <c:minorTickMark val="none"/>
        <c:tickLblPos val="nextTo"/>
        <c:crossAx val="-110490784"/>
        <c:crosses val="autoZero"/>
        <c:auto val="1"/>
        <c:lblAlgn val="ctr"/>
        <c:lblOffset val="100"/>
        <c:noMultiLvlLbl val="0"/>
      </c:catAx>
      <c:valAx>
        <c:axId val="-110490784"/>
        <c:scaling>
          <c:orientation val="minMax"/>
        </c:scaling>
        <c:delete val="0"/>
        <c:axPos val="l"/>
        <c:majorGridlines/>
        <c:title>
          <c:tx>
            <c:rich>
              <a:bodyPr rot="-5400000" vert="horz"/>
              <a:lstStyle/>
              <a:p>
                <a:pPr>
                  <a:defRPr/>
                </a:pPr>
                <a:r>
                  <a:rPr lang="en-US"/>
                  <a:t>Frequency</a:t>
                </a:r>
              </a:p>
            </c:rich>
          </c:tx>
          <c:overlay val="0"/>
        </c:title>
        <c:numFmt formatCode="0.000" sourceLinked="1"/>
        <c:majorTickMark val="out"/>
        <c:minorTickMark val="none"/>
        <c:tickLblPos val="nextTo"/>
        <c:crossAx val="-15008464"/>
        <c:crosses val="autoZero"/>
        <c:crossBetween val="between"/>
      </c:valAx>
    </c:plotArea>
    <c:legend>
      <c:legendPos val="r"/>
      <c:layout>
        <c:manualLayout>
          <c:xMode val="edge"/>
          <c:yMode val="edge"/>
          <c:x val="0.73033703888894397"/>
          <c:y val="0.40752164961415699"/>
          <c:w val="0.207865199189772"/>
          <c:h val="0.32068524368585699"/>
        </c:manualLayout>
      </c:layout>
      <c:overlay val="0"/>
    </c:legend>
    <c:plotVisOnly val="1"/>
    <c:dispBlanksAs val="gap"/>
    <c:showDLblsOverMax val="0"/>
  </c:chart>
  <c:printSettings>
    <c:headerFooter/>
    <c:pageMargins b="0.750000000000002" l="0.70000000000000095" r="0.70000000000000095" t="0.750000000000002"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 Loss Trend Factor -- 1'!$AB$32</c:f>
              <c:strCache>
                <c:ptCount val="1"/>
                <c:pt idx="0">
                  <c:v>Average Severity</c:v>
                </c:pt>
              </c:strCache>
            </c:strRef>
          </c:tx>
          <c:cat>
            <c:multiLvlStrRef>
              <c:f>'2. Loss Trend Factor -- 1'!$W$33:$W$52</c:f>
            </c:multiLvlStrRef>
          </c:cat>
          <c:val>
            <c:numRef>
              <c:f>'2. Loss Trend Factor -- 1'!$AB$33:$AB$52</c:f>
            </c:numRef>
          </c:val>
          <c:smooth val="0"/>
          <c:extLst>
            <c:ext xmlns:c16="http://schemas.microsoft.com/office/drawing/2014/chart" uri="{C3380CC4-5D6E-409C-BE32-E72D297353CC}">
              <c16:uniqueId val="{00000000-E08C-4074-B383-47826E684012}"/>
            </c:ext>
          </c:extLst>
        </c:ser>
        <c:ser>
          <c:idx val="1"/>
          <c:order val="1"/>
          <c:tx>
            <c:strRef>
              <c:f>'2. Loss Trend Factor -- 1'!$AC$32</c:f>
              <c:strCache>
                <c:ptCount val="1"/>
                <c:pt idx="0">
                  <c:v>20-pt fit</c:v>
                </c:pt>
              </c:strCache>
            </c:strRef>
          </c:tx>
          <c:spPr>
            <a:ln>
              <a:solidFill>
                <a:srgbClr val="FFFF00"/>
              </a:solidFill>
            </a:ln>
          </c:spPr>
          <c:marker>
            <c:symbol val="diamond"/>
            <c:size val="7"/>
            <c:spPr>
              <a:solidFill>
                <a:srgbClr val="FFFF00"/>
              </a:solidFill>
              <a:ln>
                <a:noFill/>
              </a:ln>
            </c:spPr>
          </c:marker>
          <c:cat>
            <c:multiLvlStrRef>
              <c:f>'2. Loss Trend Factor -- 1'!$W$33:$W$52</c:f>
            </c:multiLvlStrRef>
          </c:cat>
          <c:val>
            <c:numRef>
              <c:f>'2. Loss Trend Factor -- 1'!$AC$33:$AC$52</c:f>
            </c:numRef>
          </c:val>
          <c:smooth val="0"/>
          <c:extLst>
            <c:ext xmlns:c16="http://schemas.microsoft.com/office/drawing/2014/chart" uri="{C3380CC4-5D6E-409C-BE32-E72D297353CC}">
              <c16:uniqueId val="{00000001-E08C-4074-B383-47826E684012}"/>
            </c:ext>
          </c:extLst>
        </c:ser>
        <c:ser>
          <c:idx val="2"/>
          <c:order val="2"/>
          <c:tx>
            <c:strRef>
              <c:f>'2. Loss Trend Factor -- 1'!$AD$32</c:f>
              <c:strCache>
                <c:ptCount val="1"/>
                <c:pt idx="0">
                  <c:v>12-pt fit</c:v>
                </c:pt>
              </c:strCache>
            </c:strRef>
          </c:tx>
          <c:spPr>
            <a:ln>
              <a:solidFill>
                <a:srgbClr val="00B050"/>
              </a:solidFill>
            </a:ln>
          </c:spPr>
          <c:marker>
            <c:symbol val="star"/>
            <c:size val="7"/>
            <c:spPr>
              <a:solidFill>
                <a:srgbClr val="00B050"/>
              </a:solidFill>
              <a:ln>
                <a:noFill/>
              </a:ln>
            </c:spPr>
          </c:marker>
          <c:cat>
            <c:multiLvlStrRef>
              <c:f>'2. Loss Trend Factor -- 1'!$W$33:$W$52</c:f>
            </c:multiLvlStrRef>
          </c:cat>
          <c:val>
            <c:numRef>
              <c:f>'2. Loss Trend Factor -- 1'!$AD$33:$AD$52</c:f>
            </c:numRef>
          </c:val>
          <c:smooth val="0"/>
          <c:extLst>
            <c:ext xmlns:c16="http://schemas.microsoft.com/office/drawing/2014/chart" uri="{C3380CC4-5D6E-409C-BE32-E72D297353CC}">
              <c16:uniqueId val="{00000002-E08C-4074-B383-47826E684012}"/>
            </c:ext>
          </c:extLst>
        </c:ser>
        <c:ser>
          <c:idx val="3"/>
          <c:order val="3"/>
          <c:tx>
            <c:strRef>
              <c:f>'2. Loss Trend Factor -- 1'!$AE$32</c:f>
              <c:strCache>
                <c:ptCount val="1"/>
                <c:pt idx="0">
                  <c:v>6-pt fit</c:v>
                </c:pt>
              </c:strCache>
            </c:strRef>
          </c:tx>
          <c:spPr>
            <a:ln>
              <a:solidFill>
                <a:srgbClr val="FF0000"/>
              </a:solidFill>
            </a:ln>
          </c:spPr>
          <c:marker>
            <c:spPr>
              <a:solidFill>
                <a:srgbClr val="FF0000"/>
              </a:solidFill>
              <a:ln>
                <a:noFill/>
              </a:ln>
            </c:spPr>
          </c:marker>
          <c:cat>
            <c:multiLvlStrRef>
              <c:f>'2. Loss Trend Factor -- 1'!$W$33:$W$52</c:f>
            </c:multiLvlStrRef>
          </c:cat>
          <c:val>
            <c:numRef>
              <c:f>'2. Loss Trend Factor -- 1'!$AE$33:$AE$52</c:f>
            </c:numRef>
          </c:val>
          <c:smooth val="0"/>
          <c:extLst>
            <c:ext xmlns:c16="http://schemas.microsoft.com/office/drawing/2014/chart" uri="{C3380CC4-5D6E-409C-BE32-E72D297353CC}">
              <c16:uniqueId val="{00000003-E08C-4074-B383-47826E684012}"/>
            </c:ext>
          </c:extLst>
        </c:ser>
        <c:dLbls>
          <c:showLegendKey val="0"/>
          <c:showVal val="0"/>
          <c:showCatName val="0"/>
          <c:showSerName val="0"/>
          <c:showPercent val="0"/>
          <c:showBubbleSize val="0"/>
        </c:dLbls>
        <c:marker val="1"/>
        <c:smooth val="0"/>
        <c:axId val="-110498944"/>
        <c:axId val="-110494048"/>
      </c:lineChart>
      <c:catAx>
        <c:axId val="-110498944"/>
        <c:scaling>
          <c:orientation val="minMax"/>
        </c:scaling>
        <c:delete val="0"/>
        <c:axPos val="b"/>
        <c:title>
          <c:tx>
            <c:rich>
              <a:bodyPr/>
              <a:lstStyle/>
              <a:p>
                <a:pPr>
                  <a:defRPr/>
                </a:pPr>
                <a:r>
                  <a:rPr lang="en-US"/>
                  <a:t>Year Ending Quarter</a:t>
                </a:r>
              </a:p>
            </c:rich>
          </c:tx>
          <c:overlay val="0"/>
        </c:title>
        <c:numFmt formatCode="General" sourceLinked="0"/>
        <c:majorTickMark val="out"/>
        <c:minorTickMark val="none"/>
        <c:tickLblPos val="nextTo"/>
        <c:crossAx val="-110494048"/>
        <c:crosses val="autoZero"/>
        <c:auto val="1"/>
        <c:lblAlgn val="ctr"/>
        <c:lblOffset val="100"/>
        <c:noMultiLvlLbl val="0"/>
      </c:catAx>
      <c:valAx>
        <c:axId val="-110494048"/>
        <c:scaling>
          <c:orientation val="minMax"/>
        </c:scaling>
        <c:delete val="0"/>
        <c:axPos val="l"/>
        <c:majorGridlines/>
        <c:title>
          <c:tx>
            <c:rich>
              <a:bodyPr rot="-5400000" vert="horz"/>
              <a:lstStyle/>
              <a:p>
                <a:pPr>
                  <a:defRPr/>
                </a:pPr>
                <a:r>
                  <a:rPr lang="en-US"/>
                  <a:t>Severity</a:t>
                </a:r>
              </a:p>
            </c:rich>
          </c:tx>
          <c:overlay val="0"/>
        </c:title>
        <c:numFmt formatCode="&quot;$&quot;#,##0.00" sourceLinked="1"/>
        <c:majorTickMark val="out"/>
        <c:minorTickMark val="none"/>
        <c:tickLblPos val="nextTo"/>
        <c:crossAx val="-110498944"/>
        <c:crosses val="autoZero"/>
        <c:crossBetween val="between"/>
      </c:valAx>
    </c:plotArea>
    <c:legend>
      <c:legendPos val="r"/>
      <c:overlay val="0"/>
    </c:legend>
    <c:plotVisOnly val="1"/>
    <c:dispBlanksAs val="gap"/>
    <c:showDLblsOverMax val="0"/>
  </c:chart>
  <c:printSettings>
    <c:headerFooter/>
    <c:pageMargins b="0.750000000000001" l="0.70000000000000095" r="0.70000000000000095" t="0.750000000000001"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 Loss Trend Factor -- 1'!$AF$32</c:f>
              <c:strCache>
                <c:ptCount val="1"/>
                <c:pt idx="0">
                  <c:v>Average Premium</c:v>
                </c:pt>
              </c:strCache>
            </c:strRef>
          </c:tx>
          <c:cat>
            <c:multiLvlStrRef>
              <c:f>'2. Loss Trend Factor -- 1'!$W$33:$W$52</c:f>
            </c:multiLvlStrRef>
          </c:cat>
          <c:val>
            <c:numRef>
              <c:f>'2. Loss Trend Factor -- 1'!$AF$33:$AF$52</c:f>
            </c:numRef>
          </c:val>
          <c:smooth val="0"/>
          <c:extLst>
            <c:ext xmlns:c16="http://schemas.microsoft.com/office/drawing/2014/chart" uri="{C3380CC4-5D6E-409C-BE32-E72D297353CC}">
              <c16:uniqueId val="{00000000-77DB-4019-A269-C40E62C78C2A}"/>
            </c:ext>
          </c:extLst>
        </c:ser>
        <c:ser>
          <c:idx val="1"/>
          <c:order val="1"/>
          <c:tx>
            <c:strRef>
              <c:f>'2. Loss Trend Factor -- 1'!$AG$32</c:f>
              <c:strCache>
                <c:ptCount val="1"/>
                <c:pt idx="0">
                  <c:v>20-pt fit</c:v>
                </c:pt>
              </c:strCache>
            </c:strRef>
          </c:tx>
          <c:spPr>
            <a:ln>
              <a:solidFill>
                <a:srgbClr val="FFFF00"/>
              </a:solidFill>
            </a:ln>
          </c:spPr>
          <c:marker>
            <c:symbol val="diamond"/>
            <c:size val="7"/>
            <c:spPr>
              <a:solidFill>
                <a:srgbClr val="FFFF00"/>
              </a:solidFill>
              <a:ln>
                <a:noFill/>
              </a:ln>
            </c:spPr>
          </c:marker>
          <c:cat>
            <c:multiLvlStrRef>
              <c:f>'2. Loss Trend Factor -- 1'!$W$33:$W$52</c:f>
            </c:multiLvlStrRef>
          </c:cat>
          <c:val>
            <c:numRef>
              <c:f>'2. Loss Trend Factor -- 1'!$AG$33:$AG$52</c:f>
            </c:numRef>
          </c:val>
          <c:smooth val="0"/>
          <c:extLst>
            <c:ext xmlns:c16="http://schemas.microsoft.com/office/drawing/2014/chart" uri="{C3380CC4-5D6E-409C-BE32-E72D297353CC}">
              <c16:uniqueId val="{00000001-77DB-4019-A269-C40E62C78C2A}"/>
            </c:ext>
          </c:extLst>
        </c:ser>
        <c:ser>
          <c:idx val="2"/>
          <c:order val="2"/>
          <c:tx>
            <c:strRef>
              <c:f>'2. Loss Trend Factor -- 1'!$AH$32</c:f>
              <c:strCache>
                <c:ptCount val="1"/>
                <c:pt idx="0">
                  <c:v>12-pt fit</c:v>
                </c:pt>
              </c:strCache>
            </c:strRef>
          </c:tx>
          <c:spPr>
            <a:ln>
              <a:solidFill>
                <a:srgbClr val="00B050"/>
              </a:solidFill>
            </a:ln>
          </c:spPr>
          <c:marker>
            <c:symbol val="star"/>
            <c:size val="7"/>
            <c:spPr>
              <a:solidFill>
                <a:srgbClr val="00B050"/>
              </a:solidFill>
              <a:ln>
                <a:noFill/>
              </a:ln>
            </c:spPr>
          </c:marker>
          <c:cat>
            <c:multiLvlStrRef>
              <c:f>'2. Loss Trend Factor -- 1'!$W$33:$W$52</c:f>
            </c:multiLvlStrRef>
          </c:cat>
          <c:val>
            <c:numRef>
              <c:f>'2. Loss Trend Factor -- 1'!$AH$33:$AH$52</c:f>
            </c:numRef>
          </c:val>
          <c:smooth val="0"/>
          <c:extLst>
            <c:ext xmlns:c16="http://schemas.microsoft.com/office/drawing/2014/chart" uri="{C3380CC4-5D6E-409C-BE32-E72D297353CC}">
              <c16:uniqueId val="{00000002-77DB-4019-A269-C40E62C78C2A}"/>
            </c:ext>
          </c:extLst>
        </c:ser>
        <c:ser>
          <c:idx val="3"/>
          <c:order val="3"/>
          <c:tx>
            <c:strRef>
              <c:f>'2. Loss Trend Factor -- 1'!$AI$32</c:f>
              <c:strCache>
                <c:ptCount val="1"/>
                <c:pt idx="0">
                  <c:v>6-pt fit</c:v>
                </c:pt>
              </c:strCache>
            </c:strRef>
          </c:tx>
          <c:spPr>
            <a:ln>
              <a:solidFill>
                <a:srgbClr val="FF0000"/>
              </a:solidFill>
            </a:ln>
          </c:spPr>
          <c:marker>
            <c:spPr>
              <a:solidFill>
                <a:srgbClr val="FF0000"/>
              </a:solidFill>
              <a:ln>
                <a:noFill/>
              </a:ln>
            </c:spPr>
          </c:marker>
          <c:cat>
            <c:multiLvlStrRef>
              <c:f>'2. Loss Trend Factor -- 1'!$W$33:$W$52</c:f>
            </c:multiLvlStrRef>
          </c:cat>
          <c:val>
            <c:numRef>
              <c:f>'2. Loss Trend Factor -- 1'!$AI$33:$AI$52</c:f>
            </c:numRef>
          </c:val>
          <c:smooth val="0"/>
          <c:extLst>
            <c:ext xmlns:c16="http://schemas.microsoft.com/office/drawing/2014/chart" uri="{C3380CC4-5D6E-409C-BE32-E72D297353CC}">
              <c16:uniqueId val="{00000003-77DB-4019-A269-C40E62C78C2A}"/>
            </c:ext>
          </c:extLst>
        </c:ser>
        <c:dLbls>
          <c:showLegendKey val="0"/>
          <c:showVal val="0"/>
          <c:showCatName val="0"/>
          <c:showSerName val="0"/>
          <c:showPercent val="0"/>
          <c:showBubbleSize val="0"/>
        </c:dLbls>
        <c:marker val="1"/>
        <c:smooth val="0"/>
        <c:axId val="-110494592"/>
        <c:axId val="-110491872"/>
      </c:lineChart>
      <c:catAx>
        <c:axId val="-110494592"/>
        <c:scaling>
          <c:orientation val="minMax"/>
        </c:scaling>
        <c:delete val="0"/>
        <c:axPos val="b"/>
        <c:title>
          <c:tx>
            <c:rich>
              <a:bodyPr/>
              <a:lstStyle/>
              <a:p>
                <a:pPr>
                  <a:defRPr/>
                </a:pPr>
                <a:r>
                  <a:rPr lang="en-US"/>
                  <a:t>Year Ending Quarter</a:t>
                </a:r>
              </a:p>
            </c:rich>
          </c:tx>
          <c:overlay val="0"/>
        </c:title>
        <c:numFmt formatCode="General" sourceLinked="0"/>
        <c:majorTickMark val="out"/>
        <c:minorTickMark val="none"/>
        <c:tickLblPos val="nextTo"/>
        <c:crossAx val="-110491872"/>
        <c:crosses val="autoZero"/>
        <c:auto val="1"/>
        <c:lblAlgn val="ctr"/>
        <c:lblOffset val="100"/>
        <c:noMultiLvlLbl val="0"/>
      </c:catAx>
      <c:valAx>
        <c:axId val="-110491872"/>
        <c:scaling>
          <c:orientation val="minMax"/>
          <c:min val="59"/>
        </c:scaling>
        <c:delete val="0"/>
        <c:axPos val="l"/>
        <c:majorGridlines/>
        <c:title>
          <c:tx>
            <c:rich>
              <a:bodyPr rot="-5400000" vert="horz"/>
              <a:lstStyle/>
              <a:p>
                <a:pPr>
                  <a:defRPr/>
                </a:pPr>
                <a:r>
                  <a:rPr lang="en-US"/>
                  <a:t>Loss Cost</a:t>
                </a:r>
              </a:p>
            </c:rich>
          </c:tx>
          <c:overlay val="0"/>
        </c:title>
        <c:numFmt formatCode="&quot;$&quot;#,##0.00" sourceLinked="1"/>
        <c:majorTickMark val="out"/>
        <c:minorTickMark val="none"/>
        <c:tickLblPos val="nextTo"/>
        <c:crossAx val="-110494592"/>
        <c:crosses val="autoZero"/>
        <c:crossBetween val="between"/>
      </c:valAx>
    </c:plotArea>
    <c:legend>
      <c:legendPos val="r"/>
      <c:overlay val="0"/>
    </c:legend>
    <c:plotVisOnly val="1"/>
    <c:dispBlanksAs val="gap"/>
    <c:showDLblsOverMax val="0"/>
  </c:chart>
  <c:printSettings>
    <c:headerFooter/>
    <c:pageMargins b="0.750000000000001" l="0.70000000000000095" r="0.70000000000000095" t="0.750000000000001"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Projected Loss</a:t>
            </a:r>
            <a:r>
              <a:rPr lang="en-US" baseline="0"/>
              <a:t> Costs</a:t>
            </a:r>
            <a:endParaRPr lang="en-US"/>
          </a:p>
        </c:rich>
      </c:tx>
      <c:layout>
        <c:manualLayout>
          <c:xMode val="edge"/>
          <c:yMode val="edge"/>
          <c:x val="0.38961924723438301"/>
          <c:y val="3.5502958579881699E-2"/>
        </c:manualLayout>
      </c:layout>
      <c:overlay val="0"/>
    </c:title>
    <c:autoTitleDeleted val="0"/>
    <c:plotArea>
      <c:layout/>
      <c:lineChart>
        <c:grouping val="standard"/>
        <c:varyColors val="0"/>
        <c:ser>
          <c:idx val="1"/>
          <c:order val="0"/>
          <c:tx>
            <c:strRef>
              <c:f>'Loss Costs Plot'!$B$3</c:f>
              <c:strCache>
                <c:ptCount val="1"/>
                <c:pt idx="0">
                  <c:v>Without Safety Features</c:v>
                </c:pt>
              </c:strCache>
            </c:strRef>
          </c:tx>
          <c:marker>
            <c:symbol val="none"/>
          </c:marker>
          <c:cat>
            <c:numRef>
              <c:f>'Loss Costs Plot'!$A$4:$A$18</c:f>
              <c:numCache>
                <c:formatCode>General</c:formatCode>
                <c:ptCount val="15"/>
                <c:pt idx="0">
                  <c:v>2010</c:v>
                </c:pt>
                <c:pt idx="1">
                  <c:v>2011</c:v>
                </c:pt>
                <c:pt idx="2">
                  <c:v>2012</c:v>
                </c:pt>
                <c:pt idx="3">
                  <c:v>2013</c:v>
                </c:pt>
                <c:pt idx="4">
                  <c:v>2014</c:v>
                </c:pt>
                <c:pt idx="5" formatCode="0">
                  <c:v>2015</c:v>
                </c:pt>
                <c:pt idx="6" formatCode="0">
                  <c:v>2016</c:v>
                </c:pt>
                <c:pt idx="7" formatCode="0">
                  <c:v>2017</c:v>
                </c:pt>
                <c:pt idx="8" formatCode="0">
                  <c:v>2018</c:v>
                </c:pt>
                <c:pt idx="9" formatCode="0">
                  <c:v>2019</c:v>
                </c:pt>
                <c:pt idx="10" formatCode="0">
                  <c:v>2020</c:v>
                </c:pt>
                <c:pt idx="11" formatCode="0">
                  <c:v>2021</c:v>
                </c:pt>
                <c:pt idx="12" formatCode="0">
                  <c:v>2022</c:v>
                </c:pt>
                <c:pt idx="13" formatCode="0">
                  <c:v>2023</c:v>
                </c:pt>
                <c:pt idx="14" formatCode="0">
                  <c:v>2024</c:v>
                </c:pt>
              </c:numCache>
            </c:numRef>
          </c:cat>
          <c:val>
            <c:numRef>
              <c:f>'Loss Costs Plot'!$B$4:$B$18</c:f>
              <c:numCache>
                <c:formatCode>"$"#,##0;[Red]"$"#,##0</c:formatCode>
                <c:ptCount val="15"/>
                <c:pt idx="0">
                  <c:v>885.07151363814296</c:v>
                </c:pt>
                <c:pt idx="1">
                  <c:v>827.17932216725842</c:v>
                </c:pt>
                <c:pt idx="2">
                  <c:v>707.96785707240815</c:v>
                </c:pt>
                <c:pt idx="3">
                  <c:v>791.80415753160537</c:v>
                </c:pt>
                <c:pt idx="4">
                  <c:v>931.85203895150789</c:v>
                </c:pt>
                <c:pt idx="5">
                  <c:v>828.77497787218454</c:v>
                </c:pt>
                <c:pt idx="6">
                  <c:v>862.17460948043356</c:v>
                </c:pt>
                <c:pt idx="7">
                  <c:v>896.92024624249507</c:v>
                </c:pt>
                <c:pt idx="8">
                  <c:v>933.06613216606763</c:v>
                </c:pt>
                <c:pt idx="9">
                  <c:v>970.66869729236021</c:v>
                </c:pt>
                <c:pt idx="10">
                  <c:v>1009.7866457932423</c:v>
                </c:pt>
                <c:pt idx="11">
                  <c:v>1050.4810476187099</c:v>
                </c:pt>
                <c:pt idx="12">
                  <c:v>1092.815433837744</c:v>
                </c:pt>
                <c:pt idx="13">
                  <c:v>1136.8558958214051</c:v>
                </c:pt>
                <c:pt idx="14">
                  <c:v>1182.6711884230076</c:v>
                </c:pt>
              </c:numCache>
            </c:numRef>
          </c:val>
          <c:smooth val="0"/>
          <c:extLst>
            <c:ext xmlns:c16="http://schemas.microsoft.com/office/drawing/2014/chart" uri="{C3380CC4-5D6E-409C-BE32-E72D297353CC}">
              <c16:uniqueId val="{00000000-1FED-4FDB-866E-18B2F317F8FF}"/>
            </c:ext>
          </c:extLst>
        </c:ser>
        <c:ser>
          <c:idx val="2"/>
          <c:order val="1"/>
          <c:tx>
            <c:strRef>
              <c:f>'Loss Costs Plot'!$C$3</c:f>
              <c:strCache>
                <c:ptCount val="1"/>
                <c:pt idx="0">
                  <c:v>With Safety Features</c:v>
                </c:pt>
              </c:strCache>
            </c:strRef>
          </c:tx>
          <c:marker>
            <c:symbol val="none"/>
          </c:marker>
          <c:cat>
            <c:numRef>
              <c:f>'Loss Costs Plot'!$A$4:$A$18</c:f>
              <c:numCache>
                <c:formatCode>General</c:formatCode>
                <c:ptCount val="15"/>
                <c:pt idx="0">
                  <c:v>2010</c:v>
                </c:pt>
                <c:pt idx="1">
                  <c:v>2011</c:v>
                </c:pt>
                <c:pt idx="2">
                  <c:v>2012</c:v>
                </c:pt>
                <c:pt idx="3">
                  <c:v>2013</c:v>
                </c:pt>
                <c:pt idx="4">
                  <c:v>2014</c:v>
                </c:pt>
                <c:pt idx="5" formatCode="0">
                  <c:v>2015</c:v>
                </c:pt>
                <c:pt idx="6" formatCode="0">
                  <c:v>2016</c:v>
                </c:pt>
                <c:pt idx="7" formatCode="0">
                  <c:v>2017</c:v>
                </c:pt>
                <c:pt idx="8" formatCode="0">
                  <c:v>2018</c:v>
                </c:pt>
                <c:pt idx="9" formatCode="0">
                  <c:v>2019</c:v>
                </c:pt>
                <c:pt idx="10" formatCode="0">
                  <c:v>2020</c:v>
                </c:pt>
                <c:pt idx="11" formatCode="0">
                  <c:v>2021</c:v>
                </c:pt>
                <c:pt idx="12" formatCode="0">
                  <c:v>2022</c:v>
                </c:pt>
                <c:pt idx="13" formatCode="0">
                  <c:v>2023</c:v>
                </c:pt>
                <c:pt idx="14" formatCode="0">
                  <c:v>2024</c:v>
                </c:pt>
              </c:numCache>
            </c:numRef>
          </c:cat>
          <c:val>
            <c:numRef>
              <c:f>'Loss Costs Plot'!$C$4:$C$18</c:f>
              <c:numCache>
                <c:formatCode>"$"#,##0;[Red]"$"#,##0</c:formatCode>
                <c:ptCount val="15"/>
                <c:pt idx="5">
                  <c:v>303.33164190121954</c:v>
                </c:pt>
                <c:pt idx="6">
                  <c:v>315.55590706983867</c:v>
                </c:pt>
                <c:pt idx="7">
                  <c:v>328.27281012475316</c:v>
                </c:pt>
                <c:pt idx="8">
                  <c:v>341.50220437278074</c:v>
                </c:pt>
                <c:pt idx="9">
                  <c:v>355.26474320900383</c:v>
                </c:pt>
                <c:pt idx="10">
                  <c:v>369.58191236032667</c:v>
                </c:pt>
                <c:pt idx="11">
                  <c:v>384.47606342844784</c:v>
                </c:pt>
                <c:pt idx="12">
                  <c:v>399.97044878461429</c:v>
                </c:pt>
                <c:pt idx="13">
                  <c:v>416.08925787063424</c:v>
                </c:pt>
                <c:pt idx="14">
                  <c:v>432.85765496282079</c:v>
                </c:pt>
              </c:numCache>
            </c:numRef>
          </c:val>
          <c:smooth val="0"/>
          <c:extLst>
            <c:ext xmlns:c16="http://schemas.microsoft.com/office/drawing/2014/chart" uri="{C3380CC4-5D6E-409C-BE32-E72D297353CC}">
              <c16:uniqueId val="{00000001-1FED-4FDB-866E-18B2F317F8FF}"/>
            </c:ext>
          </c:extLst>
        </c:ser>
        <c:dLbls>
          <c:showLegendKey val="0"/>
          <c:showVal val="0"/>
          <c:showCatName val="0"/>
          <c:showSerName val="0"/>
          <c:showPercent val="0"/>
          <c:showBubbleSize val="0"/>
        </c:dLbls>
        <c:smooth val="0"/>
        <c:axId val="-110493504"/>
        <c:axId val="-110490240"/>
      </c:lineChart>
      <c:catAx>
        <c:axId val="-110493504"/>
        <c:scaling>
          <c:orientation val="minMax"/>
        </c:scaling>
        <c:delete val="0"/>
        <c:axPos val="b"/>
        <c:title>
          <c:tx>
            <c:rich>
              <a:bodyPr/>
              <a:lstStyle/>
              <a:p>
                <a:pPr>
                  <a:defRPr/>
                </a:pPr>
                <a:r>
                  <a:rPr lang="en-US"/>
                  <a:t>Accident</a:t>
                </a:r>
                <a:r>
                  <a:rPr lang="en-US" baseline="0"/>
                  <a:t> Year</a:t>
                </a:r>
                <a:endParaRPr lang="en-US"/>
              </a:p>
            </c:rich>
          </c:tx>
          <c:overlay val="0"/>
        </c:title>
        <c:numFmt formatCode="General" sourceLinked="1"/>
        <c:majorTickMark val="out"/>
        <c:minorTickMark val="none"/>
        <c:tickLblPos val="nextTo"/>
        <c:crossAx val="-110490240"/>
        <c:crosses val="autoZero"/>
        <c:auto val="1"/>
        <c:lblAlgn val="ctr"/>
        <c:lblOffset val="100"/>
        <c:noMultiLvlLbl val="0"/>
      </c:catAx>
      <c:valAx>
        <c:axId val="-110490240"/>
        <c:scaling>
          <c:orientation val="minMax"/>
          <c:max val="1200"/>
        </c:scaling>
        <c:delete val="0"/>
        <c:axPos val="l"/>
        <c:majorGridlines/>
        <c:title>
          <c:tx>
            <c:rich>
              <a:bodyPr rot="0" vert="horz"/>
              <a:lstStyle/>
              <a:p>
                <a:pPr>
                  <a:defRPr/>
                </a:pPr>
                <a:r>
                  <a:rPr lang="en-US" baseline="0"/>
                  <a:t>Loss Costs</a:t>
                </a:r>
                <a:endParaRPr lang="en-US"/>
              </a:p>
            </c:rich>
          </c:tx>
          <c:overlay val="0"/>
        </c:title>
        <c:numFmt formatCode="&quot;$&quot;#,##0;[Red]&quot;$&quot;#,##0" sourceLinked="1"/>
        <c:majorTickMark val="out"/>
        <c:minorTickMark val="none"/>
        <c:tickLblPos val="nextTo"/>
        <c:crossAx val="-110493504"/>
        <c:crosses val="autoZero"/>
        <c:crossBetween val="between"/>
      </c:valAx>
    </c:plotArea>
    <c:legend>
      <c:legendPos val="r"/>
      <c:layout>
        <c:manualLayout>
          <c:xMode val="edge"/>
          <c:yMode val="edge"/>
          <c:x val="0.239465570400822"/>
          <c:y val="0.181329730233425"/>
          <c:w val="0.61459403905447096"/>
          <c:h val="7.5604839335911403E-2"/>
        </c:manualLayout>
      </c:layout>
      <c:overlay val="1"/>
    </c:legend>
    <c:plotVisOnly val="1"/>
    <c:dispBlanksAs val="gap"/>
    <c:showDLblsOverMax val="0"/>
  </c:chart>
  <c:printSettings>
    <c:headerFooter/>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Savings (per</a:t>
            </a:r>
            <a:r>
              <a:rPr lang="en-US" b="1" baseline="0"/>
              <a:t> vehicle) from buying insurance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With safety features</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'Premium Summary'!$A$3:$A$13</c:f>
              <c:numCache>
                <c:formatCode>0%</c:formatCode>
                <c:ptCount val="11"/>
                <c:pt idx="0">
                  <c:v>0.75</c:v>
                </c:pt>
                <c:pt idx="1">
                  <c:v>0.8</c:v>
                </c:pt>
                <c:pt idx="2">
                  <c:v>0.85</c:v>
                </c:pt>
                <c:pt idx="3">
                  <c:v>0.9</c:v>
                </c:pt>
                <c:pt idx="4">
                  <c:v>0.95</c:v>
                </c:pt>
                <c:pt idx="5">
                  <c:v>1</c:v>
                </c:pt>
                <c:pt idx="6">
                  <c:v>1.05</c:v>
                </c:pt>
                <c:pt idx="7">
                  <c:v>1.1000000000000001</c:v>
                </c:pt>
                <c:pt idx="8">
                  <c:v>1.1499999999999999</c:v>
                </c:pt>
                <c:pt idx="9">
                  <c:v>1.2</c:v>
                </c:pt>
                <c:pt idx="10">
                  <c:v>1.25</c:v>
                </c:pt>
              </c:numCache>
            </c:numRef>
          </c:xVal>
          <c:yVal>
            <c:numRef>
              <c:f>'Premium Summary'!$G$3:$G$13</c:f>
              <c:numCache>
                <c:formatCode>_("$"* #,##0_);_("$"* \(#,##0\);_("$"* "-"??_);_(@_)</c:formatCode>
                <c:ptCount val="11"/>
                <c:pt idx="0">
                  <c:v>-1104.1309031820183</c:v>
                </c:pt>
                <c:pt idx="1">
                  <c:v>-883.30472254561482</c:v>
                </c:pt>
                <c:pt idx="2">
                  <c:v>-662.47854190921134</c:v>
                </c:pt>
                <c:pt idx="3">
                  <c:v>-441.65236127280741</c:v>
                </c:pt>
                <c:pt idx="4">
                  <c:v>-220.82618063640348</c:v>
                </c:pt>
                <c:pt idx="5">
                  <c:v>0</c:v>
                </c:pt>
                <c:pt idx="6">
                  <c:v>220.82618063640348</c:v>
                </c:pt>
                <c:pt idx="7">
                  <c:v>441.65236127280787</c:v>
                </c:pt>
                <c:pt idx="8">
                  <c:v>662.47854190921043</c:v>
                </c:pt>
                <c:pt idx="9">
                  <c:v>883.30472254561482</c:v>
                </c:pt>
                <c:pt idx="10">
                  <c:v>1104.1309031820183</c:v>
                </c:pt>
              </c:numCache>
            </c:numRef>
          </c:yVal>
          <c:smooth val="1"/>
          <c:extLst>
            <c:ext xmlns:c16="http://schemas.microsoft.com/office/drawing/2014/chart" uri="{C3380CC4-5D6E-409C-BE32-E72D297353CC}">
              <c16:uniqueId val="{00000000-A545-4D3E-B0DA-3CDDCE3B94A6}"/>
            </c:ext>
          </c:extLst>
        </c:ser>
        <c:ser>
          <c:idx val="1"/>
          <c:order val="1"/>
          <c:tx>
            <c:v>No safety features</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'Premium Summary'!$A$3:$A$13</c:f>
              <c:numCache>
                <c:formatCode>0%</c:formatCode>
                <c:ptCount val="11"/>
                <c:pt idx="0">
                  <c:v>0.75</c:v>
                </c:pt>
                <c:pt idx="1">
                  <c:v>0.8</c:v>
                </c:pt>
                <c:pt idx="2">
                  <c:v>0.85</c:v>
                </c:pt>
                <c:pt idx="3">
                  <c:v>0.9</c:v>
                </c:pt>
                <c:pt idx="4">
                  <c:v>0.95</c:v>
                </c:pt>
                <c:pt idx="5">
                  <c:v>1</c:v>
                </c:pt>
                <c:pt idx="6">
                  <c:v>1.05</c:v>
                </c:pt>
                <c:pt idx="7">
                  <c:v>1.1000000000000001</c:v>
                </c:pt>
                <c:pt idx="8">
                  <c:v>1.1499999999999999</c:v>
                </c:pt>
                <c:pt idx="9">
                  <c:v>1.2</c:v>
                </c:pt>
                <c:pt idx="10">
                  <c:v>1.25</c:v>
                </c:pt>
              </c:numCache>
            </c:numRef>
          </c:xVal>
          <c:yVal>
            <c:numRef>
              <c:f>'Premium Summary'!$D$3:$D$13</c:f>
              <c:numCache>
                <c:formatCode>_("$"* #,##0_);_("$"* \(#,##0\);_("$"* "-"??_);_(@_)</c:formatCode>
                <c:ptCount val="11"/>
                <c:pt idx="0">
                  <c:v>-2074.6290487806527</c:v>
                </c:pt>
                <c:pt idx="1">
                  <c:v>-1659.7032390245213</c:v>
                </c:pt>
                <c:pt idx="2">
                  <c:v>-1244.7774292683916</c:v>
                </c:pt>
                <c:pt idx="3">
                  <c:v>-829.8516195122611</c:v>
                </c:pt>
                <c:pt idx="4">
                  <c:v>-414.92580975613055</c:v>
                </c:pt>
                <c:pt idx="5">
                  <c:v>0</c:v>
                </c:pt>
                <c:pt idx="6">
                  <c:v>414.92580975613055</c:v>
                </c:pt>
                <c:pt idx="7">
                  <c:v>829.8516195122611</c:v>
                </c:pt>
                <c:pt idx="8">
                  <c:v>1244.7774292683898</c:v>
                </c:pt>
                <c:pt idx="9">
                  <c:v>1659.7032390245222</c:v>
                </c:pt>
                <c:pt idx="10">
                  <c:v>2074.6290487806527</c:v>
                </c:pt>
              </c:numCache>
            </c:numRef>
          </c:yVal>
          <c:smooth val="1"/>
          <c:extLst>
            <c:ext xmlns:c16="http://schemas.microsoft.com/office/drawing/2014/chart" uri="{C3380CC4-5D6E-409C-BE32-E72D297353CC}">
              <c16:uniqueId val="{00000001-A545-4D3E-B0DA-3CDDCE3B94A6}"/>
            </c:ext>
          </c:extLst>
        </c:ser>
        <c:dLbls>
          <c:showLegendKey val="0"/>
          <c:showVal val="0"/>
          <c:showCatName val="0"/>
          <c:showSerName val="0"/>
          <c:showPercent val="0"/>
          <c:showBubbleSize val="0"/>
        </c:dLbls>
        <c:axId val="-110486976"/>
        <c:axId val="-110492416"/>
      </c:scatterChart>
      <c:valAx>
        <c:axId val="-110486976"/>
        <c:scaling>
          <c:orientation val="minMax"/>
          <c:max val="1.3"/>
          <c:min val="0.70000000000000007"/>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Losses (% of expected)</a:t>
                </a:r>
              </a:p>
            </c:rich>
          </c:tx>
          <c:layout>
            <c:manualLayout>
              <c:xMode val="edge"/>
              <c:yMode val="edge"/>
              <c:x val="0.36813792927423783"/>
              <c:y val="0.6137709706581454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92416"/>
        <c:crosses val="autoZero"/>
        <c:crossBetween val="midCat"/>
      </c:valAx>
      <c:valAx>
        <c:axId val="-11049241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869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Return</a:t>
            </a:r>
            <a:r>
              <a:rPr lang="en-US" baseline="0"/>
              <a:t> on investment at various premium levels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'ROI Plot'!$A$2:$A$14</c:f>
              <c:numCache>
                <c:formatCode>_("$"* #,##0.00_);_("$"* \(#,##0.00\);_("$"* "-"??_);_(@_)</c:formatCode>
                <c:ptCount val="13"/>
                <c:pt idx="0">
                  <c:v>441.07936567768661</c:v>
                </c:pt>
                <c:pt idx="1">
                  <c:v>425.09075521710486</c:v>
                </c:pt>
                <c:pt idx="2">
                  <c:v>408.74050299685922</c:v>
                </c:pt>
                <c:pt idx="3">
                  <c:v>392.04656417847099</c:v>
                </c:pt>
                <c:pt idx="4">
                  <c:v>375.02368529486995</c:v>
                </c:pt>
                <c:pt idx="5">
                  <c:v>357.68812203712031</c:v>
                </c:pt>
                <c:pt idx="6">
                  <c:v>340.05651548088701</c:v>
                </c:pt>
                <c:pt idx="7">
                  <c:v>322.14601774630347</c:v>
                </c:pt>
                <c:pt idx="8">
                  <c:v>303.97370860039518</c:v>
                </c:pt>
                <c:pt idx="9">
                  <c:v>285.55749429376726</c:v>
                </c:pt>
                <c:pt idx="10">
                  <c:v>266.91454692636273</c:v>
                </c:pt>
                <c:pt idx="11">
                  <c:v>248.0626562303035</c:v>
                </c:pt>
                <c:pt idx="12">
                  <c:v>229.019031563374</c:v>
                </c:pt>
              </c:numCache>
            </c:numRef>
          </c:xVal>
          <c:yVal>
            <c:numRef>
              <c:f>'ROI Plot'!$B$2:$B$14</c:f>
              <c:numCache>
                <c:formatCode>0.00%</c:formatCode>
                <c:ptCount val="13"/>
                <c:pt idx="0" formatCode="0%">
                  <c:v>-0.02</c:v>
                </c:pt>
                <c:pt idx="1">
                  <c:v>-0.01</c:v>
                </c:pt>
                <c:pt idx="2">
                  <c:v>0</c:v>
                </c:pt>
                <c:pt idx="3">
                  <c:v>0.01</c:v>
                </c:pt>
                <c:pt idx="4">
                  <c:v>0.02</c:v>
                </c:pt>
                <c:pt idx="5">
                  <c:v>0.03</c:v>
                </c:pt>
                <c:pt idx="6">
                  <c:v>0.04</c:v>
                </c:pt>
                <c:pt idx="7">
                  <c:v>0.05</c:v>
                </c:pt>
                <c:pt idx="8">
                  <c:v>6.0000000000000005E-2</c:v>
                </c:pt>
                <c:pt idx="9">
                  <c:v>7.0000000000000007E-2</c:v>
                </c:pt>
                <c:pt idx="10">
                  <c:v>0.08</c:v>
                </c:pt>
                <c:pt idx="11">
                  <c:v>0.09</c:v>
                </c:pt>
                <c:pt idx="12">
                  <c:v>9.9999999999999992E-2</c:v>
                </c:pt>
              </c:numCache>
            </c:numRef>
          </c:yVal>
          <c:smooth val="1"/>
          <c:extLst>
            <c:ext xmlns:c16="http://schemas.microsoft.com/office/drawing/2014/chart" uri="{C3380CC4-5D6E-409C-BE32-E72D297353CC}">
              <c16:uniqueId val="{00000000-E49E-421D-BFBB-D92974BBD949}"/>
            </c:ext>
          </c:extLst>
        </c:ser>
        <c:ser>
          <c:idx val="1"/>
          <c:order val="1"/>
          <c:tx>
            <c:v>Break-even premium</c:v>
          </c:tx>
          <c:spPr>
            <a:ln w="19050" cap="rnd">
              <a:solidFill>
                <a:schemeClr val="accent2"/>
              </a:solidFill>
              <a:round/>
            </a:ln>
            <a:effectLst/>
          </c:spPr>
          <c:marker>
            <c:symbol val="none"/>
          </c:marker>
          <c:xVal>
            <c:numRef>
              <c:f>'ROI Plot'!$A$15:$A$33</c:f>
              <c:numCache>
                <c:formatCode>_("$"* #,##0_);_("$"* \(#,##0\);_("$"* "-"??_);_(@_)</c:formatCode>
                <c:ptCount val="19"/>
                <c:pt idx="0">
                  <c:v>303.33164190121954</c:v>
                </c:pt>
                <c:pt idx="1">
                  <c:v>303.33164190121954</c:v>
                </c:pt>
                <c:pt idx="2">
                  <c:v>303.33164190121954</c:v>
                </c:pt>
                <c:pt idx="3">
                  <c:v>303.33164190121954</c:v>
                </c:pt>
                <c:pt idx="4">
                  <c:v>303.33164190121954</c:v>
                </c:pt>
                <c:pt idx="5">
                  <c:v>303.33164190121954</c:v>
                </c:pt>
                <c:pt idx="6">
                  <c:v>303.33164190121954</c:v>
                </c:pt>
                <c:pt idx="7">
                  <c:v>303.33164190121954</c:v>
                </c:pt>
                <c:pt idx="8">
                  <c:v>303.33164190121954</c:v>
                </c:pt>
                <c:pt idx="9">
                  <c:v>303.33164190121954</c:v>
                </c:pt>
                <c:pt idx="10">
                  <c:v>303.33164190121954</c:v>
                </c:pt>
                <c:pt idx="11">
                  <c:v>303.33164190121954</c:v>
                </c:pt>
                <c:pt idx="12">
                  <c:v>303.33164190121954</c:v>
                </c:pt>
                <c:pt idx="13">
                  <c:v>303.33164190121954</c:v>
                </c:pt>
                <c:pt idx="14">
                  <c:v>303.33164190121954</c:v>
                </c:pt>
                <c:pt idx="15">
                  <c:v>303.33164190121954</c:v>
                </c:pt>
                <c:pt idx="16">
                  <c:v>303.33164190121954</c:v>
                </c:pt>
                <c:pt idx="17">
                  <c:v>303.33164190121954</c:v>
                </c:pt>
                <c:pt idx="18">
                  <c:v>303.33164190121954</c:v>
                </c:pt>
              </c:numCache>
            </c:numRef>
          </c:xVal>
          <c:yVal>
            <c:numRef>
              <c:f>'ROI Plot'!$B$15:$B$33</c:f>
              <c:numCache>
                <c:formatCode>0.00%</c:formatCode>
                <c:ptCount val="19"/>
                <c:pt idx="0" formatCode="0%">
                  <c:v>-0.05</c:v>
                </c:pt>
                <c:pt idx="1">
                  <c:v>-0.04</c:v>
                </c:pt>
                <c:pt idx="2">
                  <c:v>-0.03</c:v>
                </c:pt>
                <c:pt idx="3">
                  <c:v>-1.9999999999999997E-2</c:v>
                </c:pt>
                <c:pt idx="4">
                  <c:v>-9.9999999999999967E-3</c:v>
                </c:pt>
                <c:pt idx="5">
                  <c:v>0</c:v>
                </c:pt>
                <c:pt idx="6">
                  <c:v>0.01</c:v>
                </c:pt>
                <c:pt idx="7">
                  <c:v>0.02</c:v>
                </c:pt>
                <c:pt idx="8">
                  <c:v>0.03</c:v>
                </c:pt>
                <c:pt idx="9">
                  <c:v>0.04</c:v>
                </c:pt>
                <c:pt idx="10">
                  <c:v>0.05</c:v>
                </c:pt>
                <c:pt idx="11">
                  <c:v>6.0000000000000005E-2</c:v>
                </c:pt>
                <c:pt idx="12">
                  <c:v>7.0000000000000007E-2</c:v>
                </c:pt>
                <c:pt idx="13">
                  <c:v>0.08</c:v>
                </c:pt>
                <c:pt idx="14">
                  <c:v>0.09</c:v>
                </c:pt>
                <c:pt idx="15">
                  <c:v>9.9999999999999992E-2</c:v>
                </c:pt>
                <c:pt idx="16">
                  <c:v>0.10999999999999999</c:v>
                </c:pt>
                <c:pt idx="17">
                  <c:v>0.11999999999999998</c:v>
                </c:pt>
                <c:pt idx="18">
                  <c:v>0.12999999999999998</c:v>
                </c:pt>
              </c:numCache>
            </c:numRef>
          </c:yVal>
          <c:smooth val="1"/>
          <c:extLst>
            <c:ext xmlns:c16="http://schemas.microsoft.com/office/drawing/2014/chart" uri="{C3380CC4-5D6E-409C-BE32-E72D297353CC}">
              <c16:uniqueId val="{00000001-E49E-421D-BFBB-D92974BBD949}"/>
            </c:ext>
          </c:extLst>
        </c:ser>
        <c:ser>
          <c:idx val="2"/>
          <c:order val="2"/>
          <c:tx>
            <c:v>Max Premium</c:v>
          </c:tx>
          <c:spPr>
            <a:ln w="19050" cap="rnd">
              <a:solidFill>
                <a:schemeClr val="accent3"/>
              </a:solidFill>
              <a:round/>
            </a:ln>
            <a:effectLst/>
          </c:spPr>
          <c:marker>
            <c:symbol val="none"/>
          </c:marker>
          <c:xVal>
            <c:numRef>
              <c:f>'ROI Plot'!$A$34:$A$52</c:f>
              <c:numCache>
                <c:formatCode>_("$"* #,##0.00_);_("$"* \(#,##0.00\);_("$"* "-"??_);_(@_)</c:formatCode>
                <c:ptCount val="19"/>
                <c:pt idx="0">
                  <c:v>340.05651548088701</c:v>
                </c:pt>
                <c:pt idx="1">
                  <c:v>340.05651548088701</c:v>
                </c:pt>
                <c:pt idx="2">
                  <c:v>340.05651548088701</c:v>
                </c:pt>
                <c:pt idx="3">
                  <c:v>340.05651548088701</c:v>
                </c:pt>
                <c:pt idx="4">
                  <c:v>340.05651548088701</c:v>
                </c:pt>
                <c:pt idx="5">
                  <c:v>340.05651548088701</c:v>
                </c:pt>
                <c:pt idx="6">
                  <c:v>340.05651548088701</c:v>
                </c:pt>
                <c:pt idx="7">
                  <c:v>340.05651548088701</c:v>
                </c:pt>
                <c:pt idx="8">
                  <c:v>340.05651548088701</c:v>
                </c:pt>
                <c:pt idx="9">
                  <c:v>340.05651548088701</c:v>
                </c:pt>
                <c:pt idx="10">
                  <c:v>340.05651548088701</c:v>
                </c:pt>
                <c:pt idx="11">
                  <c:v>340.05651548088701</c:v>
                </c:pt>
                <c:pt idx="12">
                  <c:v>340.05651548088701</c:v>
                </c:pt>
                <c:pt idx="13">
                  <c:v>340.05651548088701</c:v>
                </c:pt>
                <c:pt idx="14">
                  <c:v>340.05651548088701</c:v>
                </c:pt>
                <c:pt idx="15">
                  <c:v>340.05651548088701</c:v>
                </c:pt>
                <c:pt idx="16">
                  <c:v>340.05651548088701</c:v>
                </c:pt>
                <c:pt idx="17">
                  <c:v>340.05651548088701</c:v>
                </c:pt>
                <c:pt idx="18">
                  <c:v>340.05651548088701</c:v>
                </c:pt>
              </c:numCache>
            </c:numRef>
          </c:xVal>
          <c:yVal>
            <c:numRef>
              <c:f>'ROI Plot'!$B$34:$B$52</c:f>
              <c:numCache>
                <c:formatCode>0.00%</c:formatCode>
                <c:ptCount val="19"/>
                <c:pt idx="0" formatCode="0%">
                  <c:v>-0.05</c:v>
                </c:pt>
                <c:pt idx="1">
                  <c:v>-0.04</c:v>
                </c:pt>
                <c:pt idx="2">
                  <c:v>-0.03</c:v>
                </c:pt>
                <c:pt idx="3">
                  <c:v>-1.9999999999999997E-2</c:v>
                </c:pt>
                <c:pt idx="4">
                  <c:v>-9.9999999999999967E-3</c:v>
                </c:pt>
                <c:pt idx="5">
                  <c:v>0</c:v>
                </c:pt>
                <c:pt idx="6">
                  <c:v>0.01</c:v>
                </c:pt>
                <c:pt idx="7">
                  <c:v>0.02</c:v>
                </c:pt>
                <c:pt idx="8">
                  <c:v>0.03</c:v>
                </c:pt>
                <c:pt idx="9">
                  <c:v>0.04</c:v>
                </c:pt>
                <c:pt idx="10">
                  <c:v>0.05</c:v>
                </c:pt>
                <c:pt idx="11">
                  <c:v>6.0000000000000005E-2</c:v>
                </c:pt>
                <c:pt idx="12">
                  <c:v>7.0000000000000007E-2</c:v>
                </c:pt>
                <c:pt idx="13">
                  <c:v>0.08</c:v>
                </c:pt>
                <c:pt idx="14">
                  <c:v>0.09</c:v>
                </c:pt>
                <c:pt idx="15">
                  <c:v>9.9999999999999992E-2</c:v>
                </c:pt>
                <c:pt idx="16">
                  <c:v>0.10999999999999999</c:v>
                </c:pt>
                <c:pt idx="17">
                  <c:v>0.11999999999999998</c:v>
                </c:pt>
                <c:pt idx="18">
                  <c:v>0.12999999999999998</c:v>
                </c:pt>
              </c:numCache>
            </c:numRef>
          </c:yVal>
          <c:smooth val="1"/>
          <c:extLst>
            <c:ext xmlns:c16="http://schemas.microsoft.com/office/drawing/2014/chart" uri="{C3380CC4-5D6E-409C-BE32-E72D297353CC}">
              <c16:uniqueId val="{00000002-E49E-421D-BFBB-D92974BBD949}"/>
            </c:ext>
          </c:extLst>
        </c:ser>
        <c:dLbls>
          <c:showLegendKey val="0"/>
          <c:showVal val="0"/>
          <c:showCatName val="0"/>
          <c:showSerName val="0"/>
          <c:showPercent val="0"/>
          <c:showBubbleSize val="0"/>
        </c:dLbls>
        <c:axId val="-110501664"/>
        <c:axId val="-110501120"/>
      </c:scatterChart>
      <c:valAx>
        <c:axId val="-110501664"/>
        <c:scaling>
          <c:orientation val="minMax"/>
          <c:min val="26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Premium</a:t>
                </a:r>
              </a:p>
            </c:rich>
          </c:tx>
          <c:layout>
            <c:manualLayout>
              <c:xMode val="edge"/>
              <c:yMode val="edge"/>
              <c:x val="0.46750568678915133"/>
              <c:y val="0.9028405985334307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out"/>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b"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501120"/>
        <c:crosses val="autoZero"/>
        <c:crossBetween val="midCat"/>
      </c:valAx>
      <c:valAx>
        <c:axId val="-110501120"/>
        <c:scaling>
          <c:orientation val="minMax"/>
          <c:max val="0.12000000000000001"/>
          <c:min val="-4.0000000000000008E-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ROI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501664"/>
        <c:crosses val="autoZero"/>
        <c:crossBetween val="midCat"/>
      </c:valAx>
      <c:spPr>
        <a:noFill/>
        <a:ln>
          <a:noFill/>
        </a:ln>
        <a:effectLst/>
      </c:spPr>
    </c:plotArea>
    <c:legend>
      <c:legendPos val="t"/>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48</xdr:row>
      <xdr:rowOff>142327</xdr:rowOff>
    </xdr:from>
    <xdr:to>
      <xdr:col>4</xdr:col>
      <xdr:colOff>3752850</xdr:colOff>
      <xdr:row>55</xdr:row>
      <xdr:rowOff>163457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33966" y="9470258"/>
          <a:ext cx="3752850" cy="1323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431800</xdr:colOff>
      <xdr:row>14</xdr:row>
      <xdr:rowOff>76200</xdr:rowOff>
    </xdr:from>
    <xdr:to>
      <xdr:col>8</xdr:col>
      <xdr:colOff>622300</xdr:colOff>
      <xdr:row>21</xdr:row>
      <xdr:rowOff>152400</xdr:rowOff>
    </xdr:to>
    <xdr:sp macro="" textlink="">
      <xdr:nvSpPr>
        <xdr:cNvPr id="2" name="TextBox 1"/>
        <xdr:cNvSpPr txBox="1"/>
      </xdr:nvSpPr>
      <xdr:spPr>
        <a:xfrm>
          <a:off x="11684000" y="2578100"/>
          <a:ext cx="4927600" cy="13208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&lt;--</a:t>
          </a:r>
          <a:r>
            <a:rPr lang="en-US" sz="2400" baseline="0"/>
            <a:t> These values can be changed to compare different combinations of safety features</a:t>
          </a:r>
          <a:endParaRPr lang="en-US" sz="2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54</xdr:row>
      <xdr:rowOff>97491</xdr:rowOff>
    </xdr:from>
    <xdr:to>
      <xdr:col>6</xdr:col>
      <xdr:colOff>0</xdr:colOff>
      <xdr:row>74</xdr:row>
      <xdr:rowOff>78441</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799355</xdr:colOff>
      <xdr:row>54</xdr:row>
      <xdr:rowOff>101227</xdr:rowOff>
    </xdr:from>
    <xdr:to>
      <xdr:col>12</xdr:col>
      <xdr:colOff>343648</xdr:colOff>
      <xdr:row>74</xdr:row>
      <xdr:rowOff>104589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351119</xdr:colOff>
      <xdr:row>54</xdr:row>
      <xdr:rowOff>108695</xdr:rowOff>
    </xdr:from>
    <xdr:to>
      <xdr:col>18</xdr:col>
      <xdr:colOff>571500</xdr:colOff>
      <xdr:row>74</xdr:row>
      <xdr:rowOff>145674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54</xdr:row>
      <xdr:rowOff>97491</xdr:rowOff>
    </xdr:from>
    <xdr:to>
      <xdr:col>27</xdr:col>
      <xdr:colOff>0</xdr:colOff>
      <xdr:row>74</xdr:row>
      <xdr:rowOff>78441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26</xdr:col>
      <xdr:colOff>799355</xdr:colOff>
      <xdr:row>54</xdr:row>
      <xdr:rowOff>101227</xdr:rowOff>
    </xdr:from>
    <xdr:to>
      <xdr:col>33</xdr:col>
      <xdr:colOff>343648</xdr:colOff>
      <xdr:row>74</xdr:row>
      <xdr:rowOff>104589</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33</xdr:col>
      <xdr:colOff>351119</xdr:colOff>
      <xdr:row>54</xdr:row>
      <xdr:rowOff>142312</xdr:rowOff>
    </xdr:from>
    <xdr:to>
      <xdr:col>40</xdr:col>
      <xdr:colOff>627529</xdr:colOff>
      <xdr:row>74</xdr:row>
      <xdr:rowOff>179291</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400050</xdr:colOff>
      <xdr:row>1</xdr:row>
      <xdr:rowOff>12700</xdr:rowOff>
    </xdr:from>
    <xdr:to>
      <xdr:col>10</xdr:col>
      <xdr:colOff>800100</xdr:colOff>
      <xdr:row>19</xdr:row>
      <xdr:rowOff>31750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404923</xdr:colOff>
      <xdr:row>15</xdr:row>
      <xdr:rowOff>158602</xdr:rowOff>
    </xdr:from>
    <xdr:to>
      <xdr:col>8</xdr:col>
      <xdr:colOff>461630</xdr:colOff>
      <xdr:row>31</xdr:row>
      <xdr:rowOff>13179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438150</xdr:colOff>
      <xdr:row>3</xdr:row>
      <xdr:rowOff>109537</xdr:rowOff>
    </xdr:from>
    <xdr:to>
      <xdr:col>12</xdr:col>
      <xdr:colOff>133350</xdr:colOff>
      <xdr:row>17</xdr:row>
      <xdr:rowOff>80962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casact.org/library/studynotes/Friedland_estimating.pdf" TargetMode="External"/><Relationship Id="rId1" Type="http://schemas.openxmlformats.org/officeDocument/2006/relationships/hyperlink" Target="http://www.casact.org/library/studynotes/Werner_Modlin_Ratemaking.pdf"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6"/>
  <sheetViews>
    <sheetView tabSelected="1" workbookViewId="0"/>
  </sheetViews>
  <sheetFormatPr defaultColWidth="8.875" defaultRowHeight="15" x14ac:dyDescent="0.25"/>
  <cols>
    <col min="1" max="1" width="15.125" customWidth="1"/>
    <col min="2" max="2" width="22.25" bestFit="1" customWidth="1"/>
    <col min="3" max="3" width="16" customWidth="1"/>
  </cols>
  <sheetData>
    <row r="1" spans="1:3" x14ac:dyDescent="0.25">
      <c r="A1" s="153" t="s">
        <v>164</v>
      </c>
      <c r="B1" s="153" t="s">
        <v>162</v>
      </c>
      <c r="C1" s="153" t="s">
        <v>206</v>
      </c>
    </row>
    <row r="2" spans="1:3" x14ac:dyDescent="0.25">
      <c r="A2" t="s">
        <v>160</v>
      </c>
      <c r="B2" t="s">
        <v>163</v>
      </c>
      <c r="C2" s="180">
        <v>42377</v>
      </c>
    </row>
    <row r="3" spans="1:3" x14ac:dyDescent="0.25">
      <c r="A3" t="s">
        <v>161</v>
      </c>
    </row>
    <row r="4" spans="1:3" x14ac:dyDescent="0.25">
      <c r="A4" t="s">
        <v>235</v>
      </c>
    </row>
    <row r="5" spans="1:3" x14ac:dyDescent="0.25">
      <c r="A5" t="s">
        <v>236</v>
      </c>
    </row>
    <row r="6" spans="1:3" x14ac:dyDescent="0.25">
      <c r="A6" t="s">
        <v>237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2:H65"/>
  <sheetViews>
    <sheetView showGridLines="0" zoomScale="87" zoomScaleNormal="87" zoomScalePageLayoutView="87" workbookViewId="0"/>
  </sheetViews>
  <sheetFormatPr defaultColWidth="8.875" defaultRowHeight="15" x14ac:dyDescent="0.25"/>
  <cols>
    <col min="1" max="1" width="8.75" customWidth="1"/>
    <col min="2" max="2" width="13.75" customWidth="1"/>
    <col min="3" max="3" width="20.75" customWidth="1"/>
    <col min="4" max="4" width="45.875" customWidth="1"/>
    <col min="5" max="5" width="163.875" customWidth="1"/>
    <col min="6" max="6" width="8.875" customWidth="1"/>
  </cols>
  <sheetData>
    <row r="2" spans="2:8" x14ac:dyDescent="0.25">
      <c r="B2" s="1" t="s">
        <v>0</v>
      </c>
    </row>
    <row r="4" spans="2:8" ht="14.25" customHeight="1" x14ac:dyDescent="0.25">
      <c r="B4" t="s">
        <v>94</v>
      </c>
      <c r="C4" s="59" t="s">
        <v>136</v>
      </c>
    </row>
    <row r="5" spans="2:8" ht="14.25" customHeight="1" x14ac:dyDescent="0.25">
      <c r="C5" s="59"/>
      <c r="D5" s="59"/>
      <c r="E5" s="59"/>
      <c r="F5" s="58"/>
      <c r="G5" s="59"/>
      <c r="H5" s="59"/>
    </row>
    <row r="6" spans="2:8" ht="14.25" customHeight="1" x14ac:dyDescent="0.25">
      <c r="C6" s="47" t="s">
        <v>101</v>
      </c>
      <c r="D6" s="61" t="s">
        <v>102</v>
      </c>
      <c r="E6" s="92" t="s">
        <v>106</v>
      </c>
      <c r="F6" s="58"/>
      <c r="G6" s="59"/>
      <c r="H6" s="59"/>
    </row>
    <row r="7" spans="2:8" ht="14.25" customHeight="1" x14ac:dyDescent="0.25">
      <c r="B7" s="129" t="s">
        <v>148</v>
      </c>
      <c r="C7" s="247">
        <v>1</v>
      </c>
      <c r="D7" s="241" t="s">
        <v>103</v>
      </c>
      <c r="E7" s="127" t="s">
        <v>137</v>
      </c>
      <c r="F7" s="58"/>
      <c r="G7" s="59"/>
      <c r="H7" s="59"/>
    </row>
    <row r="8" spans="2:8" ht="14.25" customHeight="1" x14ac:dyDescent="0.25">
      <c r="B8" s="129" t="s">
        <v>143</v>
      </c>
      <c r="C8" s="247"/>
      <c r="D8" s="255"/>
      <c r="E8" s="125" t="s">
        <v>141</v>
      </c>
      <c r="F8" s="58"/>
      <c r="G8" s="59"/>
      <c r="H8" s="59"/>
    </row>
    <row r="9" spans="2:8" ht="14.25" customHeight="1" x14ac:dyDescent="0.25">
      <c r="B9" s="129" t="s">
        <v>144</v>
      </c>
      <c r="C9" s="247"/>
      <c r="D9" s="255"/>
      <c r="E9" s="125" t="s">
        <v>142</v>
      </c>
      <c r="F9" s="58"/>
      <c r="G9" s="59"/>
      <c r="H9" s="59"/>
    </row>
    <row r="10" spans="2:8" x14ac:dyDescent="0.25">
      <c r="B10" s="129" t="s">
        <v>145</v>
      </c>
      <c r="C10" s="247"/>
      <c r="D10" s="255"/>
      <c r="E10" s="126" t="s">
        <v>113</v>
      </c>
    </row>
    <row r="11" spans="2:8" x14ac:dyDescent="0.25">
      <c r="B11" s="129" t="s">
        <v>146</v>
      </c>
      <c r="C11" s="247"/>
      <c r="D11" s="255"/>
      <c r="E11" s="126" t="s">
        <v>114</v>
      </c>
    </row>
    <row r="12" spans="2:8" x14ac:dyDescent="0.25">
      <c r="B12" s="129" t="s">
        <v>101</v>
      </c>
      <c r="C12" s="247"/>
      <c r="D12" s="242"/>
      <c r="E12" s="128" t="s">
        <v>115</v>
      </c>
    </row>
    <row r="13" spans="2:8" x14ac:dyDescent="0.25">
      <c r="C13" s="248">
        <v>2</v>
      </c>
      <c r="D13" s="243" t="s">
        <v>104</v>
      </c>
      <c r="E13" s="92" t="s">
        <v>138</v>
      </c>
    </row>
    <row r="14" spans="2:8" x14ac:dyDescent="0.25">
      <c r="C14" s="248"/>
      <c r="D14" s="256"/>
      <c r="E14" s="90" t="s">
        <v>116</v>
      </c>
    </row>
    <row r="15" spans="2:8" x14ac:dyDescent="0.25">
      <c r="C15" s="248"/>
      <c r="D15" s="256" t="s">
        <v>108</v>
      </c>
      <c r="E15" s="94" t="s">
        <v>156</v>
      </c>
    </row>
    <row r="16" spans="2:8" x14ac:dyDescent="0.25">
      <c r="C16" s="248"/>
      <c r="D16" s="244"/>
      <c r="E16" s="94" t="s">
        <v>154</v>
      </c>
    </row>
    <row r="17" spans="2:8" x14ac:dyDescent="0.25">
      <c r="B17" s="129" t="s">
        <v>148</v>
      </c>
      <c r="C17" s="245">
        <v>3</v>
      </c>
      <c r="D17" s="241" t="s">
        <v>105</v>
      </c>
      <c r="E17" s="127" t="s">
        <v>139</v>
      </c>
    </row>
    <row r="18" spans="2:8" x14ac:dyDescent="0.25">
      <c r="B18" s="129" t="s">
        <v>143</v>
      </c>
      <c r="C18" s="245"/>
      <c r="D18" s="255"/>
      <c r="E18" s="126" t="s">
        <v>117</v>
      </c>
    </row>
    <row r="19" spans="2:8" x14ac:dyDescent="0.25">
      <c r="B19" s="129" t="s">
        <v>144</v>
      </c>
      <c r="C19" s="245"/>
      <c r="D19" s="255"/>
      <c r="E19" s="126" t="s">
        <v>118</v>
      </c>
    </row>
    <row r="20" spans="2:8" x14ac:dyDescent="0.25">
      <c r="B20" s="129" t="s">
        <v>147</v>
      </c>
      <c r="C20" s="245"/>
      <c r="D20" s="242"/>
      <c r="E20" s="126" t="s">
        <v>119</v>
      </c>
    </row>
    <row r="21" spans="2:8" ht="14.25" customHeight="1" x14ac:dyDescent="0.25">
      <c r="C21" s="248">
        <v>4</v>
      </c>
      <c r="D21" s="243" t="s">
        <v>109</v>
      </c>
      <c r="E21" s="92" t="s">
        <v>140</v>
      </c>
      <c r="F21" s="58"/>
      <c r="G21" s="59"/>
      <c r="H21" s="59"/>
    </row>
    <row r="22" spans="2:8" ht="14.25" customHeight="1" x14ac:dyDescent="0.25">
      <c r="C22" s="248"/>
      <c r="D22" s="256"/>
      <c r="E22" s="95" t="s">
        <v>152</v>
      </c>
      <c r="F22" s="58"/>
      <c r="G22" s="59"/>
      <c r="H22" s="59"/>
    </row>
    <row r="23" spans="2:8" ht="14.25" customHeight="1" x14ac:dyDescent="0.25">
      <c r="C23" s="248"/>
      <c r="D23" s="256"/>
      <c r="E23" s="95" t="str">
        <f>"4.3 Based on loss &amp; LAE ratios from older years (cells H8:H12), select "&amp;YEAR(EffDate)&amp;" loss and LAE costs in cell H16 of '4. Expected loss and loss ratio';"</f>
        <v>4.3 Based on loss &amp; LAE ratios from older years (cells H8:H12), select 2015 loss and LAE costs in cell H16 of '4. Expected loss and loss ratio';</v>
      </c>
      <c r="F23" s="58"/>
      <c r="G23" s="59"/>
      <c r="H23" s="59"/>
    </row>
    <row r="24" spans="2:8" ht="14.25" customHeight="1" x14ac:dyDescent="0.25">
      <c r="C24" s="248"/>
      <c r="D24" s="244"/>
      <c r="E24" s="91" t="s">
        <v>153</v>
      </c>
      <c r="F24" s="58"/>
      <c r="G24" s="59"/>
      <c r="H24" s="59"/>
    </row>
    <row r="25" spans="2:8" ht="14.25" customHeight="1" x14ac:dyDescent="0.25">
      <c r="C25" s="59"/>
      <c r="D25" s="59"/>
      <c r="E25" s="59"/>
      <c r="F25" s="58"/>
      <c r="G25" s="59"/>
      <c r="H25" s="59"/>
    </row>
    <row r="26" spans="2:8" ht="14.25" customHeight="1" x14ac:dyDescent="0.25">
      <c r="B26" t="s">
        <v>95</v>
      </c>
      <c r="C26" s="59" t="s">
        <v>135</v>
      </c>
      <c r="D26" s="59"/>
      <c r="E26" s="59"/>
      <c r="F26" s="59"/>
      <c r="G26" s="59"/>
      <c r="H26" s="59"/>
    </row>
    <row r="27" spans="2:8" ht="14.25" customHeight="1" x14ac:dyDescent="0.25">
      <c r="C27" s="59"/>
      <c r="D27" s="59"/>
      <c r="E27" s="59"/>
      <c r="F27" s="59"/>
      <c r="G27" s="59"/>
      <c r="H27" s="59"/>
    </row>
    <row r="28" spans="2:8" ht="14.25" customHeight="1" x14ac:dyDescent="0.25">
      <c r="C28" s="47" t="s">
        <v>101</v>
      </c>
      <c r="D28" s="61" t="s">
        <v>102</v>
      </c>
      <c r="E28" s="92" t="s">
        <v>106</v>
      </c>
    </row>
    <row r="29" spans="2:8" ht="14.25" customHeight="1" x14ac:dyDescent="0.25">
      <c r="C29" s="252">
        <v>1</v>
      </c>
      <c r="D29" s="249" t="s">
        <v>107</v>
      </c>
      <c r="E29" s="97" t="s">
        <v>130</v>
      </c>
    </row>
    <row r="30" spans="2:8" ht="30" x14ac:dyDescent="0.25">
      <c r="C30" s="253"/>
      <c r="D30" s="250"/>
      <c r="E30" s="124" t="s">
        <v>133</v>
      </c>
      <c r="F30" s="25"/>
      <c r="G30" s="25"/>
    </row>
    <row r="31" spans="2:8" ht="14.25" customHeight="1" x14ac:dyDescent="0.25">
      <c r="C31" s="253"/>
      <c r="D31" s="250"/>
      <c r="E31" s="90" t="s">
        <v>131</v>
      </c>
    </row>
    <row r="32" spans="2:8" x14ac:dyDescent="0.25">
      <c r="C32" s="253"/>
      <c r="D32" s="250"/>
      <c r="E32" s="124" t="s">
        <v>134</v>
      </c>
    </row>
    <row r="33" spans="1:5" ht="14.25" customHeight="1" x14ac:dyDescent="0.25">
      <c r="C33" s="254"/>
      <c r="D33" s="251"/>
      <c r="E33" s="93" t="s">
        <v>132</v>
      </c>
    </row>
    <row r="34" spans="1:5" ht="14.25" customHeight="1" x14ac:dyDescent="0.25">
      <c r="A34" s="129" t="s">
        <v>150</v>
      </c>
      <c r="B34" s="129"/>
      <c r="C34" s="245">
        <v>2</v>
      </c>
      <c r="D34" s="241" t="s">
        <v>103</v>
      </c>
      <c r="E34" s="126" t="s">
        <v>120</v>
      </c>
    </row>
    <row r="35" spans="1:5" ht="14.25" customHeight="1" x14ac:dyDescent="0.25">
      <c r="A35" s="129" t="s">
        <v>151</v>
      </c>
      <c r="B35" s="129"/>
      <c r="C35" s="245"/>
      <c r="D35" s="242"/>
      <c r="E35" s="140" t="s">
        <v>121</v>
      </c>
    </row>
    <row r="36" spans="1:5" x14ac:dyDescent="0.25">
      <c r="C36" s="246">
        <v>3</v>
      </c>
      <c r="D36" s="98" t="s">
        <v>104</v>
      </c>
      <c r="E36" s="94" t="s">
        <v>155</v>
      </c>
    </row>
    <row r="37" spans="1:5" x14ac:dyDescent="0.25">
      <c r="C37" s="246"/>
      <c r="D37" s="99" t="s">
        <v>108</v>
      </c>
      <c r="E37" s="96" t="s">
        <v>157</v>
      </c>
    </row>
    <row r="38" spans="1:5" x14ac:dyDescent="0.25">
      <c r="A38" s="129" t="s">
        <v>150</v>
      </c>
      <c r="B38" s="129"/>
      <c r="C38" s="247">
        <v>4</v>
      </c>
      <c r="D38" s="241" t="s">
        <v>105</v>
      </c>
      <c r="E38" s="138" t="s">
        <v>122</v>
      </c>
    </row>
    <row r="39" spans="1:5" x14ac:dyDescent="0.25">
      <c r="A39" s="129" t="s">
        <v>151</v>
      </c>
      <c r="B39" s="129"/>
      <c r="C39" s="247"/>
      <c r="D39" s="242"/>
      <c r="E39" s="139" t="s">
        <v>123</v>
      </c>
    </row>
    <row r="40" spans="1:5" x14ac:dyDescent="0.25">
      <c r="C40" s="248">
        <v>5</v>
      </c>
      <c r="D40" s="243" t="s">
        <v>109</v>
      </c>
      <c r="E40" s="95" t="str">
        <f>"5.1 Based on loss &amp; LAE ratios from older years (cells S8:S12), select "&amp;YEAR(EffDate)&amp;" loss and LAE costs in cell S16 of '4. Expected loss and loss ratio';"</f>
        <v>5.1 Based on loss &amp; LAE ratios from older years (cells S8:S12), select 2015 loss and LAE costs in cell S16 of '4. Expected loss and loss ratio';</v>
      </c>
    </row>
    <row r="41" spans="1:5" x14ac:dyDescent="0.25">
      <c r="C41" s="248"/>
      <c r="D41" s="244"/>
      <c r="E41" s="91" t="s">
        <v>158</v>
      </c>
    </row>
    <row r="44" spans="1:5" ht="14.25" customHeight="1" x14ac:dyDescent="0.25"/>
    <row r="45" spans="1:5" ht="14.25" customHeight="1" x14ac:dyDescent="0.25">
      <c r="B45" t="s">
        <v>96</v>
      </c>
      <c r="C45" s="59" t="str">
        <f>"After developing and trending the losses in the above two scenarios, which one give a lower loss? Is it worth the expense of safety features? Should "&amp;Inputs!A11&amp;" add safety features to its commercial cars? Study the case and give a presentation."</f>
        <v>After developing and trending the losses in the above two scenarios, which one give a lower loss? Is it worth the expense of safety features? Should EDU add safety features to its commercial cars? Study the case and give a presentation.</v>
      </c>
    </row>
    <row r="49" spans="2:5" ht="14.25" customHeight="1" x14ac:dyDescent="0.25"/>
    <row r="50" spans="2:5" ht="14.25" customHeight="1" x14ac:dyDescent="0.25">
      <c r="B50" s="15"/>
    </row>
    <row r="51" spans="2:5" ht="14.25" customHeight="1" x14ac:dyDescent="0.25"/>
    <row r="52" spans="2:5" ht="14.25" customHeight="1" x14ac:dyDescent="0.25">
      <c r="B52" s="15"/>
      <c r="C52" s="62"/>
    </row>
    <row r="53" spans="2:5" ht="14.25" customHeight="1" x14ac:dyDescent="0.25"/>
    <row r="54" spans="2:5" ht="14.25" customHeight="1" x14ac:dyDescent="0.25">
      <c r="C54" s="62"/>
    </row>
    <row r="55" spans="2:5" ht="14.25" customHeight="1" x14ac:dyDescent="0.25"/>
    <row r="56" spans="2:5" ht="14.25" customHeight="1" x14ac:dyDescent="0.25"/>
    <row r="57" spans="2:5" ht="14.25" customHeight="1" x14ac:dyDescent="0.25"/>
    <row r="58" spans="2:5" ht="14.25" customHeight="1" x14ac:dyDescent="0.25"/>
    <row r="59" spans="2:5" ht="14.25" customHeight="1" x14ac:dyDescent="0.25">
      <c r="B59" s="15"/>
    </row>
    <row r="60" spans="2:5" s="3" customFormat="1" ht="14.25" customHeight="1" x14ac:dyDescent="0.25">
      <c r="C60"/>
      <c r="D60"/>
      <c r="E60"/>
    </row>
    <row r="61" spans="2:5" s="3" customFormat="1" ht="14.25" customHeight="1" x14ac:dyDescent="0.25"/>
    <row r="62" spans="2:5" s="3" customFormat="1" ht="14.25" customHeight="1" x14ac:dyDescent="0.25"/>
    <row r="63" spans="2:5" s="3" customFormat="1" ht="14.25" customHeight="1" x14ac:dyDescent="0.25"/>
    <row r="64" spans="2:5" s="3" customFormat="1" ht="14.25" customHeight="1" x14ac:dyDescent="0.25"/>
    <row r="65" spans="3:5" x14ac:dyDescent="0.25">
      <c r="C65" s="3"/>
      <c r="D65" s="3"/>
      <c r="E65" s="3"/>
    </row>
  </sheetData>
  <mergeCells count="18">
    <mergeCell ref="D7:D12"/>
    <mergeCell ref="C7:C12"/>
    <mergeCell ref="C13:C16"/>
    <mergeCell ref="D13:D14"/>
    <mergeCell ref="D15:D16"/>
    <mergeCell ref="D29:D33"/>
    <mergeCell ref="C29:C33"/>
    <mergeCell ref="D17:D20"/>
    <mergeCell ref="C17:C20"/>
    <mergeCell ref="D21:D24"/>
    <mergeCell ref="C21:C24"/>
    <mergeCell ref="D34:D35"/>
    <mergeCell ref="D38:D39"/>
    <mergeCell ref="D40:D41"/>
    <mergeCell ref="C34:C35"/>
    <mergeCell ref="C36:C37"/>
    <mergeCell ref="C38:C39"/>
    <mergeCell ref="C40:C41"/>
  </mergeCells>
  <hyperlinks>
    <hyperlink ref="E8" r:id="rId1"/>
    <hyperlink ref="E9" r:id="rId2"/>
  </hyperlinks>
  <pageMargins left="0.2" right="0.2" top="0.25" bottom="0.25" header="0.3" footer="0.3"/>
  <pageSetup scale="56" orientation="landscape"/>
  <headerFooter>
    <oddFooter>&amp;C© 2014 by the Casualty Actuarial Society. All rights reserved.</oddFooter>
  </headerFooter>
  <drawing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C8"/>
  <sheetViews>
    <sheetView workbookViewId="0"/>
  </sheetViews>
  <sheetFormatPr defaultColWidth="8.875" defaultRowHeight="15" x14ac:dyDescent="0.25"/>
  <cols>
    <col min="1" max="1" width="26.375" customWidth="1"/>
    <col min="2" max="2" width="65.375" customWidth="1"/>
    <col min="3" max="3" width="53.875" customWidth="1"/>
  </cols>
  <sheetData>
    <row r="1" spans="1:3" x14ac:dyDescent="0.25">
      <c r="A1" s="153" t="s">
        <v>168</v>
      </c>
      <c r="B1" s="153" t="s">
        <v>197</v>
      </c>
      <c r="C1" s="153" t="s">
        <v>198</v>
      </c>
    </row>
    <row r="2" spans="1:3" ht="30" x14ac:dyDescent="0.25">
      <c r="A2" t="s">
        <v>174</v>
      </c>
      <c r="B2" s="3" t="s">
        <v>205</v>
      </c>
      <c r="C2" t="s">
        <v>207</v>
      </c>
    </row>
    <row r="3" spans="1:3" x14ac:dyDescent="0.25">
      <c r="A3" t="s">
        <v>178</v>
      </c>
      <c r="B3" t="s">
        <v>208</v>
      </c>
      <c r="C3" t="s">
        <v>209</v>
      </c>
    </row>
    <row r="4" spans="1:3" ht="62.25" customHeight="1" x14ac:dyDescent="0.25">
      <c r="A4" t="s">
        <v>186</v>
      </c>
      <c r="B4" s="3" t="s">
        <v>211</v>
      </c>
      <c r="C4" s="3" t="s">
        <v>210</v>
      </c>
    </row>
    <row r="5" spans="1:3" ht="30" x14ac:dyDescent="0.25">
      <c r="A5" t="s">
        <v>189</v>
      </c>
      <c r="B5" s="3" t="s">
        <v>204</v>
      </c>
      <c r="C5" s="3"/>
    </row>
    <row r="6" spans="1:3" ht="66.75" customHeight="1" x14ac:dyDescent="0.25">
      <c r="A6" t="s">
        <v>179</v>
      </c>
      <c r="B6" s="3" t="s">
        <v>199</v>
      </c>
      <c r="C6" t="s">
        <v>200</v>
      </c>
    </row>
    <row r="7" spans="1:3" x14ac:dyDescent="0.25">
      <c r="A7" t="s">
        <v>201</v>
      </c>
      <c r="B7" s="3" t="s">
        <v>203</v>
      </c>
      <c r="C7" s="179" t="s">
        <v>202</v>
      </c>
    </row>
    <row r="8" spans="1:3" ht="75" x14ac:dyDescent="0.25">
      <c r="A8" t="s">
        <v>232</v>
      </c>
      <c r="B8" s="3" t="s">
        <v>244</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D23"/>
  <sheetViews>
    <sheetView showGridLines="0" workbookViewId="0"/>
  </sheetViews>
  <sheetFormatPr defaultColWidth="8.875" defaultRowHeight="15" x14ac:dyDescent="0.25"/>
  <cols>
    <col min="1" max="1" width="32.75" bestFit="1" customWidth="1"/>
    <col min="2" max="2" width="26.25" customWidth="1"/>
    <col min="3" max="3" width="28.875" customWidth="1"/>
  </cols>
  <sheetData>
    <row r="3" spans="1:4" x14ac:dyDescent="0.25">
      <c r="A3" s="47">
        <v>2014</v>
      </c>
      <c r="B3" t="s">
        <v>48</v>
      </c>
    </row>
    <row r="4" spans="1:4" x14ac:dyDescent="0.25">
      <c r="A4" s="48">
        <v>42004</v>
      </c>
      <c r="B4" t="s">
        <v>49</v>
      </c>
    </row>
    <row r="5" spans="1:4" x14ac:dyDescent="0.25">
      <c r="A5" s="48">
        <v>42005</v>
      </c>
      <c r="B5" t="s">
        <v>50</v>
      </c>
    </row>
    <row r="7" spans="1:4" x14ac:dyDescent="0.25">
      <c r="A7" s="47" t="s">
        <v>159</v>
      </c>
      <c r="B7" s="47" t="s">
        <v>66</v>
      </c>
    </row>
    <row r="8" spans="1:4" x14ac:dyDescent="0.25">
      <c r="A8" s="47" t="s">
        <v>83</v>
      </c>
      <c r="B8" s="47" t="s">
        <v>67</v>
      </c>
    </row>
    <row r="9" spans="1:4" x14ac:dyDescent="0.25">
      <c r="A9" s="47" t="s">
        <v>126</v>
      </c>
      <c r="B9" s="47" t="s">
        <v>124</v>
      </c>
    </row>
    <row r="10" spans="1:4" x14ac:dyDescent="0.25">
      <c r="A10" s="47" t="s">
        <v>127</v>
      </c>
      <c r="B10" s="47" t="s">
        <v>125</v>
      </c>
    </row>
    <row r="11" spans="1:4" x14ac:dyDescent="0.25">
      <c r="A11" s="54" t="s">
        <v>111</v>
      </c>
      <c r="B11" s="54" t="s">
        <v>97</v>
      </c>
    </row>
    <row r="12" spans="1:4" x14ac:dyDescent="0.25">
      <c r="A12" s="47" t="s">
        <v>112</v>
      </c>
      <c r="B12" s="54" t="s">
        <v>98</v>
      </c>
    </row>
    <row r="13" spans="1:4" x14ac:dyDescent="0.25">
      <c r="A13" s="54" t="s">
        <v>220</v>
      </c>
      <c r="B13" s="187">
        <v>950</v>
      </c>
    </row>
    <row r="14" spans="1:4" x14ac:dyDescent="0.25">
      <c r="A14" s="225" t="s">
        <v>273</v>
      </c>
      <c r="B14" s="226">
        <v>0.04</v>
      </c>
      <c r="D14" s="13"/>
    </row>
    <row r="23" ht="15" customHeight="1" x14ac:dyDescent="0.25"/>
  </sheetData>
  <pageMargins left="0.7" right="0.7" top="0.75" bottom="0.75" header="0.3" footer="0.3"/>
  <pageSetup orientation="portrait"/>
  <headerFooter>
    <oddFooter>&amp;C© 2014 by the Casualty Actuarial Society. All rights reserved.</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H74"/>
  <sheetViews>
    <sheetView workbookViewId="0"/>
  </sheetViews>
  <sheetFormatPr defaultColWidth="10.875" defaultRowHeight="15" x14ac:dyDescent="0.25"/>
  <cols>
    <col min="1" max="1" width="25.375" style="59" customWidth="1"/>
    <col min="2" max="2" width="27.875" style="59" customWidth="1"/>
    <col min="3" max="3" width="26" style="59" customWidth="1"/>
    <col min="4" max="4" width="15.375" style="59" customWidth="1"/>
    <col min="5" max="5" width="21.75" style="65" customWidth="1"/>
    <col min="6" max="6" width="31.125" style="65" customWidth="1"/>
    <col min="7" max="7" width="29.25" style="59" customWidth="1"/>
    <col min="8" max="8" width="32.875" style="59" customWidth="1"/>
    <col min="9" max="16384" width="10.875" style="59"/>
  </cols>
  <sheetData>
    <row r="1" spans="1:8" x14ac:dyDescent="0.25">
      <c r="A1" s="160" t="s">
        <v>182</v>
      </c>
      <c r="B1" s="59" t="str">
        <f>Institution</f>
        <v>OU</v>
      </c>
    </row>
    <row r="2" spans="1:8" x14ac:dyDescent="0.25">
      <c r="A2" s="160" t="s">
        <v>67</v>
      </c>
      <c r="B2" s="59" t="str">
        <f>Company</f>
        <v>Self-Insured Auto Program</v>
      </c>
    </row>
    <row r="3" spans="1:8" x14ac:dyDescent="0.25">
      <c r="A3" s="150"/>
    </row>
    <row r="4" spans="1:8" x14ac:dyDescent="0.25">
      <c r="A4" s="160" t="s">
        <v>190</v>
      </c>
      <c r="B4" s="160" t="s">
        <v>193</v>
      </c>
      <c r="C4" s="203"/>
      <c r="D4" s="203"/>
      <c r="E4" s="203"/>
      <c r="F4" s="204"/>
      <c r="G4" s="205"/>
    </row>
    <row r="5" spans="1:8" x14ac:dyDescent="0.25">
      <c r="A5" s="158" t="s">
        <v>191</v>
      </c>
      <c r="B5" s="162">
        <v>0.4</v>
      </c>
      <c r="E5" s="199"/>
      <c r="H5" s="199"/>
    </row>
    <row r="6" spans="1:8" x14ac:dyDescent="0.25">
      <c r="A6" s="158" t="s">
        <v>192</v>
      </c>
      <c r="B6" s="162">
        <v>0.6</v>
      </c>
      <c r="E6" s="198"/>
      <c r="F6" s="200"/>
      <c r="G6" s="161"/>
      <c r="H6" s="200"/>
    </row>
    <row r="7" spans="1:8" x14ac:dyDescent="0.25">
      <c r="A7" s="158"/>
      <c r="B7" s="162"/>
      <c r="E7" s="198"/>
      <c r="F7" s="198"/>
      <c r="G7" s="198"/>
      <c r="H7" s="198"/>
    </row>
    <row r="8" spans="1:8" ht="30" x14ac:dyDescent="0.25">
      <c r="C8" s="257" t="s">
        <v>179</v>
      </c>
      <c r="D8" s="257"/>
      <c r="E8" s="257"/>
      <c r="F8" s="171" t="s">
        <v>187</v>
      </c>
      <c r="G8" s="195" t="s">
        <v>232</v>
      </c>
      <c r="H8" s="195" t="s">
        <v>233</v>
      </c>
    </row>
    <row r="9" spans="1:8" x14ac:dyDescent="0.25">
      <c r="A9" s="153" t="s">
        <v>188</v>
      </c>
      <c r="B9" s="153" t="s">
        <v>181</v>
      </c>
      <c r="C9" s="153" t="s">
        <v>170</v>
      </c>
      <c r="D9" s="153" t="s">
        <v>171</v>
      </c>
      <c r="E9" s="156" t="s">
        <v>172</v>
      </c>
      <c r="F9" s="156" t="s">
        <v>172</v>
      </c>
      <c r="G9" s="156" t="s">
        <v>172</v>
      </c>
      <c r="H9" s="156" t="s">
        <v>172</v>
      </c>
    </row>
    <row r="10" spans="1:8" x14ac:dyDescent="0.25">
      <c r="A10" s="59" t="s">
        <v>184</v>
      </c>
      <c r="B10" s="164">
        <f>153068/(165306)</f>
        <v>0.92596759948217244</v>
      </c>
      <c r="C10" s="152">
        <v>143000</v>
      </c>
      <c r="D10" s="155">
        <f>D12/B12*B10</f>
        <v>2727921.6994279772</v>
      </c>
      <c r="E10" s="157">
        <f>C10/D10</f>
        <v>5.2420859451349326E-2</v>
      </c>
      <c r="F10" s="172">
        <v>0</v>
      </c>
      <c r="H10" s="162">
        <v>0.03</v>
      </c>
    </row>
    <row r="11" spans="1:8" x14ac:dyDescent="0.25">
      <c r="A11" s="59" t="s">
        <v>185</v>
      </c>
      <c r="B11" s="170">
        <f>10315/(165306)</f>
        <v>6.2399428937848597E-2</v>
      </c>
      <c r="C11" s="152">
        <v>31000</v>
      </c>
      <c r="D11" s="155">
        <f>D12/B12*B11</f>
        <v>183830.14300572025</v>
      </c>
      <c r="E11" s="157">
        <f>C11/D11</f>
        <v>0.16863393289660539</v>
      </c>
      <c r="F11" s="172">
        <v>0.44</v>
      </c>
      <c r="G11" s="196">
        <v>0.2</v>
      </c>
      <c r="H11" s="151">
        <v>5.3999999999999999E-2</v>
      </c>
    </row>
    <row r="12" spans="1:8" ht="15.75" thickBot="1" x14ac:dyDescent="0.3">
      <c r="A12" s="59" t="s">
        <v>169</v>
      </c>
      <c r="B12" s="154">
        <f>1923/(165306)</f>
        <v>1.1632971579978947E-2</v>
      </c>
      <c r="C12" s="152">
        <v>2533</v>
      </c>
      <c r="D12" s="168">
        <v>34271</v>
      </c>
      <c r="E12" s="157">
        <f>C12/D12</f>
        <v>7.3910886755565924E-2</v>
      </c>
      <c r="F12" s="172">
        <v>0.44</v>
      </c>
      <c r="G12" s="197"/>
      <c r="H12" s="162">
        <v>0.23</v>
      </c>
    </row>
    <row r="13" spans="1:8" x14ac:dyDescent="0.25">
      <c r="B13" s="151">
        <f>SUM(B10:B12)</f>
        <v>1</v>
      </c>
      <c r="C13" s="167"/>
      <c r="D13" s="167"/>
      <c r="E13" s="167"/>
      <c r="G13" s="59" t="s">
        <v>245</v>
      </c>
    </row>
    <row r="14" spans="1:8" x14ac:dyDescent="0.25">
      <c r="E14" s="59"/>
      <c r="G14" s="65"/>
    </row>
    <row r="15" spans="1:8" x14ac:dyDescent="0.25">
      <c r="A15" s="153" t="s">
        <v>173</v>
      </c>
      <c r="B15" s="153" t="s">
        <v>172</v>
      </c>
      <c r="C15" s="153" t="s">
        <v>175</v>
      </c>
      <c r="D15" s="153" t="s">
        <v>176</v>
      </c>
      <c r="E15" s="153" t="s">
        <v>177</v>
      </c>
      <c r="F15" s="156" t="s">
        <v>180</v>
      </c>
      <c r="G15" s="65"/>
    </row>
    <row r="16" spans="1:8" x14ac:dyDescent="0.25">
      <c r="A16" s="64" t="s">
        <v>174</v>
      </c>
      <c r="B16" s="161">
        <f>50%</f>
        <v>0.5</v>
      </c>
      <c r="C16" s="162">
        <v>0</v>
      </c>
      <c r="D16" s="163">
        <v>2000</v>
      </c>
      <c r="E16" s="163">
        <v>100</v>
      </c>
      <c r="F16" s="65">
        <v>1</v>
      </c>
      <c r="G16" s="65"/>
    </row>
    <row r="17" spans="1:8" x14ac:dyDescent="0.25">
      <c r="A17" s="59" t="s">
        <v>178</v>
      </c>
      <c r="B17" s="161">
        <v>0</v>
      </c>
      <c r="C17" s="162">
        <v>0.2</v>
      </c>
      <c r="D17" s="163">
        <v>1500</v>
      </c>
      <c r="E17" s="163">
        <v>0</v>
      </c>
      <c r="F17" s="65">
        <v>1</v>
      </c>
      <c r="G17" s="65"/>
    </row>
    <row r="18" spans="1:8" x14ac:dyDescent="0.25">
      <c r="A18" s="59" t="s">
        <v>187</v>
      </c>
      <c r="B18" s="164">
        <f>SUMPRODUCT(F10:F12,B10:B12)</f>
        <v>3.2574256227844121E-2</v>
      </c>
      <c r="C18" s="162">
        <v>0</v>
      </c>
      <c r="D18" s="163">
        <v>800</v>
      </c>
      <c r="E18" s="163">
        <v>0</v>
      </c>
      <c r="F18" s="65">
        <v>0</v>
      </c>
      <c r="G18" s="65"/>
    </row>
    <row r="19" spans="1:8" x14ac:dyDescent="0.25">
      <c r="A19" s="59" t="s">
        <v>189</v>
      </c>
      <c r="B19" s="161">
        <v>0</v>
      </c>
      <c r="C19" s="151">
        <f>17%*B5</f>
        <v>6.8000000000000005E-2</v>
      </c>
      <c r="D19" s="163">
        <v>350</v>
      </c>
      <c r="E19" s="163">
        <v>0</v>
      </c>
      <c r="F19" s="65">
        <v>1</v>
      </c>
      <c r="G19" s="65"/>
    </row>
    <row r="20" spans="1:8" x14ac:dyDescent="0.25">
      <c r="A20" s="59" t="s">
        <v>232</v>
      </c>
      <c r="B20" s="164">
        <f>0.2*SUM(B11:B12)</f>
        <v>1.4806480103565509E-2</v>
      </c>
      <c r="C20" s="162">
        <v>0</v>
      </c>
      <c r="D20" s="163">
        <v>500</v>
      </c>
      <c r="E20" s="163">
        <v>0</v>
      </c>
      <c r="F20" s="65">
        <v>0</v>
      </c>
      <c r="G20" s="65"/>
    </row>
    <row r="21" spans="1:8" x14ac:dyDescent="0.25">
      <c r="A21" s="59" t="s">
        <v>201</v>
      </c>
      <c r="B21" s="164">
        <f>SUMPRODUCT(H10:H12,$B10:$B12)</f>
        <v>3.3824180610504156E-2</v>
      </c>
      <c r="C21" s="162">
        <v>0</v>
      </c>
      <c r="D21" s="163">
        <v>600</v>
      </c>
      <c r="E21" s="163">
        <v>0</v>
      </c>
      <c r="F21" s="65">
        <v>0</v>
      </c>
      <c r="G21" s="65"/>
    </row>
    <row r="22" spans="1:8" ht="15.75" thickBot="1" x14ac:dyDescent="0.3">
      <c r="A22" s="59" t="s">
        <v>179</v>
      </c>
      <c r="B22" s="165">
        <f>SUMPRODUCT(B10:B12,E10:E12)</f>
        <v>5.9922481746328485E-2</v>
      </c>
      <c r="C22" s="166">
        <v>0</v>
      </c>
      <c r="D22" s="173">
        <v>1000</v>
      </c>
      <c r="E22" s="173">
        <v>0</v>
      </c>
      <c r="F22" s="178">
        <v>0</v>
      </c>
      <c r="G22" s="65"/>
    </row>
    <row r="23" spans="1:8" ht="15.75" thickBot="1" x14ac:dyDescent="0.3">
      <c r="B23" s="164">
        <f>SUMPRODUCT(B16:B22,F16:F22)</f>
        <v>0.5</v>
      </c>
      <c r="C23" s="164">
        <f>SUMPRODUCT(C16:C22,F16:F22)</f>
        <v>0.26800000000000002</v>
      </c>
      <c r="D23" s="174">
        <f>SUMPRODUCT(D16:D22,F16:F22)</f>
        <v>3850</v>
      </c>
      <c r="E23" s="175">
        <f>SUMPRODUCT(E16:E22,F16:F22)</f>
        <v>100</v>
      </c>
      <c r="F23" s="65">
        <f>SUM(F16:F22)</f>
        <v>3</v>
      </c>
      <c r="G23" s="65"/>
      <c r="H23" s="58"/>
    </row>
    <row r="24" spans="1:8" x14ac:dyDescent="0.25">
      <c r="E24" s="175"/>
      <c r="F24" s="59"/>
      <c r="G24" s="214" t="s">
        <v>246</v>
      </c>
      <c r="H24" s="211"/>
    </row>
    <row r="25" spans="1:8" ht="15.75" thickBot="1" x14ac:dyDescent="0.3">
      <c r="A25" s="160" t="s">
        <v>129</v>
      </c>
      <c r="B25" s="160" t="s">
        <v>183</v>
      </c>
      <c r="C25" s="160" t="s">
        <v>281</v>
      </c>
      <c r="D25" s="175"/>
      <c r="E25" s="59"/>
      <c r="F25" s="59"/>
      <c r="G25" s="212">
        <f>'Return on Investment'!E18</f>
        <v>6.0350901668434487E-2</v>
      </c>
      <c r="H25" s="213"/>
    </row>
    <row r="26" spans="1:8" x14ac:dyDescent="0.25">
      <c r="A26" s="59" t="s">
        <v>30</v>
      </c>
      <c r="B26" s="162">
        <v>1</v>
      </c>
      <c r="C26" s="169">
        <f>B26-B23</f>
        <v>0.5</v>
      </c>
      <c r="E26" s="59"/>
      <c r="F26" s="59"/>
    </row>
    <row r="27" spans="1:8" x14ac:dyDescent="0.25">
      <c r="A27" s="59" t="s">
        <v>31</v>
      </c>
      <c r="B27" s="162">
        <v>1</v>
      </c>
      <c r="C27" s="169">
        <f>B27-C23</f>
        <v>0.73199999999999998</v>
      </c>
      <c r="E27" s="59"/>
      <c r="F27" s="59"/>
    </row>
    <row r="28" spans="1:8" x14ac:dyDescent="0.25">
      <c r="A28" s="59" t="s">
        <v>194</v>
      </c>
      <c r="B28" s="163">
        <v>0</v>
      </c>
      <c r="C28" s="175">
        <f>D23</f>
        <v>3850</v>
      </c>
      <c r="E28" s="59"/>
      <c r="F28" s="59"/>
    </row>
    <row r="29" spans="1:8" x14ac:dyDescent="0.25">
      <c r="A29" s="176" t="s">
        <v>195</v>
      </c>
      <c r="B29" s="177">
        <v>0</v>
      </c>
      <c r="C29" s="175">
        <f>E23</f>
        <v>100</v>
      </c>
      <c r="E29" s="59"/>
      <c r="F29" s="59"/>
    </row>
    <row r="30" spans="1:8" x14ac:dyDescent="0.25">
      <c r="A30" s="158" t="s">
        <v>196</v>
      </c>
      <c r="B30" s="163">
        <v>0</v>
      </c>
      <c r="C30" s="175">
        <v>300</v>
      </c>
      <c r="E30" s="59"/>
      <c r="F30" s="59"/>
    </row>
    <row r="31" spans="1:8" x14ac:dyDescent="0.25">
      <c r="A31" s="150" t="s">
        <v>282</v>
      </c>
      <c r="B31" s="59">
        <v>1</v>
      </c>
      <c r="F31" s="59"/>
    </row>
    <row r="32" spans="1:8" x14ac:dyDescent="0.25">
      <c r="F32" s="59"/>
    </row>
    <row r="33" spans="6:6" x14ac:dyDescent="0.25">
      <c r="F33" s="59"/>
    </row>
    <row r="34" spans="6:6" x14ac:dyDescent="0.25">
      <c r="F34" s="59"/>
    </row>
    <row r="35" spans="6:6" x14ac:dyDescent="0.25">
      <c r="F35" s="59"/>
    </row>
    <row r="36" spans="6:6" x14ac:dyDescent="0.25">
      <c r="F36" s="59"/>
    </row>
    <row r="37" spans="6:6" x14ac:dyDescent="0.25">
      <c r="F37" s="59"/>
    </row>
    <row r="38" spans="6:6" x14ac:dyDescent="0.25">
      <c r="F38" s="59"/>
    </row>
    <row r="39" spans="6:6" x14ac:dyDescent="0.25">
      <c r="F39" s="59"/>
    </row>
    <row r="40" spans="6:6" x14ac:dyDescent="0.25">
      <c r="F40" s="59"/>
    </row>
    <row r="41" spans="6:6" x14ac:dyDescent="0.25">
      <c r="F41" s="59"/>
    </row>
    <row r="42" spans="6:6" x14ac:dyDescent="0.25">
      <c r="F42" s="59"/>
    </row>
    <row r="43" spans="6:6" x14ac:dyDescent="0.25">
      <c r="F43" s="59"/>
    </row>
    <row r="44" spans="6:6" x14ac:dyDescent="0.25">
      <c r="F44" s="59"/>
    </row>
    <row r="45" spans="6:6" x14ac:dyDescent="0.25">
      <c r="F45" s="59"/>
    </row>
    <row r="46" spans="6:6" x14ac:dyDescent="0.25">
      <c r="F46" s="59"/>
    </row>
    <row r="47" spans="6:6" x14ac:dyDescent="0.25">
      <c r="F47" s="59"/>
    </row>
    <row r="48" spans="6:6" x14ac:dyDescent="0.25">
      <c r="F48" s="59"/>
    </row>
    <row r="49" spans="6:6" x14ac:dyDescent="0.25">
      <c r="F49" s="59"/>
    </row>
    <row r="50" spans="6:6" x14ac:dyDescent="0.25">
      <c r="F50" s="59"/>
    </row>
    <row r="51" spans="6:6" x14ac:dyDescent="0.25">
      <c r="F51" s="59"/>
    </row>
    <row r="52" spans="6:6" x14ac:dyDescent="0.25">
      <c r="F52" s="59"/>
    </row>
    <row r="53" spans="6:6" x14ac:dyDescent="0.25">
      <c r="F53" s="59"/>
    </row>
    <row r="54" spans="6:6" x14ac:dyDescent="0.25">
      <c r="F54" s="59"/>
    </row>
    <row r="55" spans="6:6" x14ac:dyDescent="0.25">
      <c r="F55" s="59"/>
    </row>
    <row r="56" spans="6:6" x14ac:dyDescent="0.25">
      <c r="F56" s="59"/>
    </row>
    <row r="57" spans="6:6" x14ac:dyDescent="0.25">
      <c r="F57" s="59"/>
    </row>
    <row r="58" spans="6:6" x14ac:dyDescent="0.25">
      <c r="F58" s="59"/>
    </row>
    <row r="59" spans="6:6" x14ac:dyDescent="0.25">
      <c r="F59" s="59"/>
    </row>
    <row r="60" spans="6:6" x14ac:dyDescent="0.25">
      <c r="F60" s="59"/>
    </row>
    <row r="61" spans="6:6" x14ac:dyDescent="0.25">
      <c r="F61" s="59"/>
    </row>
    <row r="62" spans="6:6" x14ac:dyDescent="0.25">
      <c r="F62" s="59"/>
    </row>
    <row r="63" spans="6:6" x14ac:dyDescent="0.25">
      <c r="F63" s="59"/>
    </row>
    <row r="64" spans="6:6" x14ac:dyDescent="0.25">
      <c r="F64" s="59"/>
    </row>
    <row r="65" spans="6:6" x14ac:dyDescent="0.25">
      <c r="F65" s="59"/>
    </row>
    <row r="66" spans="6:6" x14ac:dyDescent="0.25">
      <c r="F66" s="59"/>
    </row>
    <row r="67" spans="6:6" x14ac:dyDescent="0.25">
      <c r="F67" s="59"/>
    </row>
    <row r="68" spans="6:6" x14ac:dyDescent="0.25">
      <c r="F68" s="59"/>
    </row>
    <row r="69" spans="6:6" x14ac:dyDescent="0.25">
      <c r="F69" s="59"/>
    </row>
    <row r="70" spans="6:6" x14ac:dyDescent="0.25">
      <c r="F70" s="59"/>
    </row>
    <row r="71" spans="6:6" x14ac:dyDescent="0.25">
      <c r="F71" s="59"/>
    </row>
    <row r="72" spans="6:6" x14ac:dyDescent="0.25">
      <c r="F72" s="59"/>
    </row>
    <row r="73" spans="6:6" x14ac:dyDescent="0.25">
      <c r="F73" s="59"/>
    </row>
    <row r="74" spans="6:6" x14ac:dyDescent="0.25">
      <c r="F74" s="59"/>
    </row>
  </sheetData>
  <mergeCells count="1">
    <mergeCell ref="C8:E8"/>
  </mergeCells>
  <pageMargins left="0.75" right="0.75" top="1" bottom="1" header="0.5" footer="0.5"/>
  <pageSetup orientation="portrait"/>
  <drawing r:id="rId1"/>
  <legacy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41"/>
  <sheetViews>
    <sheetView workbookViewId="0"/>
  </sheetViews>
  <sheetFormatPr defaultColWidth="8.875" defaultRowHeight="15" x14ac:dyDescent="0.25"/>
  <cols>
    <col min="1" max="1" width="8.875" style="59"/>
    <col min="2" max="2" width="18.125" style="59" bestFit="1" customWidth="1"/>
    <col min="3" max="3" width="8.875" style="59"/>
    <col min="4" max="7" width="10.125" style="59" customWidth="1"/>
    <col min="8" max="8" width="10.125" style="59" bestFit="1" customWidth="1"/>
    <col min="9" max="9" width="8.875" style="71"/>
    <col min="10" max="10" width="8.875" style="72"/>
    <col min="11" max="11" width="8.875" style="59"/>
    <col min="12" max="12" width="18.125" style="59" bestFit="1" customWidth="1"/>
    <col min="13" max="13" width="8.875" style="59"/>
    <col min="14" max="17" width="10.125" style="59" customWidth="1"/>
    <col min="18" max="18" width="10.125" style="59" bestFit="1" customWidth="1"/>
    <col min="19" max="16384" width="8.875" style="59"/>
  </cols>
  <sheetData>
    <row r="1" spans="2:20" x14ac:dyDescent="0.25">
      <c r="B1" s="129" t="s">
        <v>149</v>
      </c>
      <c r="C1" s="129"/>
      <c r="D1" s="129"/>
      <c r="E1" s="129"/>
      <c r="F1" s="129"/>
      <c r="G1" s="129"/>
      <c r="L1" s="129" t="s">
        <v>149</v>
      </c>
      <c r="M1" s="129"/>
      <c r="N1" s="129"/>
      <c r="O1" s="129"/>
      <c r="P1" s="129"/>
      <c r="Q1" s="129"/>
    </row>
    <row r="2" spans="2:20" x14ac:dyDescent="0.25">
      <c r="B2" s="64"/>
      <c r="C2" s="64"/>
      <c r="D2" s="64"/>
      <c r="E2" s="65" t="str">
        <f>Institution</f>
        <v>OU</v>
      </c>
      <c r="F2" s="64"/>
      <c r="G2" s="64"/>
      <c r="H2" s="64"/>
      <c r="I2" s="75"/>
      <c r="L2" s="64"/>
      <c r="M2" s="64"/>
      <c r="N2" s="64"/>
      <c r="O2" s="65" t="str">
        <f>Institution</f>
        <v>OU</v>
      </c>
      <c r="P2" s="64"/>
      <c r="Q2" s="64"/>
      <c r="R2" s="64"/>
      <c r="S2" s="64"/>
    </row>
    <row r="3" spans="2:20" x14ac:dyDescent="0.25">
      <c r="B3" s="64"/>
      <c r="C3" s="64"/>
      <c r="D3" s="64"/>
      <c r="E3" s="65" t="str">
        <f>Company</f>
        <v>Self-Insured Auto Program</v>
      </c>
      <c r="F3" s="64"/>
      <c r="G3" s="64"/>
      <c r="H3" s="64"/>
      <c r="I3" s="75"/>
      <c r="L3" s="64"/>
      <c r="M3" s="64"/>
      <c r="N3" s="64"/>
      <c r="O3" s="65" t="str">
        <f>Company</f>
        <v>Self-Insured Auto Program</v>
      </c>
      <c r="P3" s="64"/>
      <c r="Q3" s="64"/>
      <c r="R3" s="64"/>
      <c r="S3" s="64"/>
    </row>
    <row r="4" spans="2:20" x14ac:dyDescent="0.25">
      <c r="B4" s="64"/>
      <c r="C4" s="64"/>
      <c r="D4" s="64"/>
      <c r="E4" s="65" t="str">
        <f>LOB</f>
        <v>Cars without Safety Features</v>
      </c>
      <c r="F4" s="64"/>
      <c r="G4" s="64"/>
      <c r="H4" s="64"/>
      <c r="I4" s="75"/>
      <c r="L4" s="64"/>
      <c r="M4" s="64"/>
      <c r="N4" s="64"/>
      <c r="O4" s="65" t="str">
        <f>Inputs!A10</f>
        <v>Cars with Safety Features</v>
      </c>
      <c r="P4" s="64"/>
      <c r="Q4" s="64"/>
      <c r="R4" s="64"/>
      <c r="S4" s="64"/>
    </row>
    <row r="6" spans="2:20" x14ac:dyDescent="0.25">
      <c r="D6" s="59" t="s">
        <v>19</v>
      </c>
      <c r="N6" s="59" t="s">
        <v>19</v>
      </c>
    </row>
    <row r="7" spans="2:20" x14ac:dyDescent="0.25">
      <c r="B7" s="59" t="s">
        <v>17</v>
      </c>
      <c r="D7" s="65" t="s">
        <v>84</v>
      </c>
      <c r="E7" s="65" t="s">
        <v>85</v>
      </c>
      <c r="F7" s="65" t="s">
        <v>86</v>
      </c>
      <c r="G7" s="65" t="s">
        <v>87</v>
      </c>
      <c r="H7" s="65" t="s">
        <v>88</v>
      </c>
      <c r="J7" s="73"/>
      <c r="L7" s="59" t="s">
        <v>17</v>
      </c>
      <c r="N7" s="65" t="s">
        <v>84</v>
      </c>
      <c r="O7" s="65" t="s">
        <v>85</v>
      </c>
      <c r="P7" s="65" t="s">
        <v>86</v>
      </c>
      <c r="Q7" s="65" t="s">
        <v>87</v>
      </c>
      <c r="R7" s="65" t="s">
        <v>88</v>
      </c>
      <c r="T7" s="65"/>
    </row>
    <row r="9" spans="2:20" x14ac:dyDescent="0.25">
      <c r="B9" s="59">
        <f t="shared" ref="B9:B14" si="0">B10-1</f>
        <v>2008</v>
      </c>
      <c r="D9" s="109">
        <v>397029.13699999999</v>
      </c>
      <c r="E9" s="109">
        <v>478357.06699999998</v>
      </c>
      <c r="F9" s="109">
        <v>484942.09600000002</v>
      </c>
      <c r="G9" s="109">
        <v>490841.98700000002</v>
      </c>
      <c r="H9" s="109">
        <v>497292.41700000002</v>
      </c>
      <c r="J9" s="74"/>
      <c r="L9" s="59">
        <f t="shared" ref="L9:L14" si="1">L10-1</f>
        <v>2008</v>
      </c>
      <c r="N9" s="118">
        <f>D9</f>
        <v>397029.13699999999</v>
      </c>
      <c r="O9" s="118">
        <f t="shared" ref="O9:R9" si="2">E9</f>
        <v>478357.06699999998</v>
      </c>
      <c r="P9" s="118">
        <f t="shared" si="2"/>
        <v>484942.09600000002</v>
      </c>
      <c r="Q9" s="118">
        <f t="shared" si="2"/>
        <v>490841.98700000002</v>
      </c>
      <c r="R9" s="118">
        <f t="shared" si="2"/>
        <v>497292.41700000002</v>
      </c>
      <c r="T9" s="66"/>
    </row>
    <row r="10" spans="2:20" x14ac:dyDescent="0.25">
      <c r="B10" s="59">
        <f t="shared" si="0"/>
        <v>2009</v>
      </c>
      <c r="D10" s="109">
        <v>445166.70199999993</v>
      </c>
      <c r="E10" s="109">
        <v>526698.25399999996</v>
      </c>
      <c r="F10" s="109">
        <v>532809.47900000005</v>
      </c>
      <c r="G10" s="109">
        <v>538696.80900000001</v>
      </c>
      <c r="H10" s="109">
        <v>543961.78599999996</v>
      </c>
      <c r="J10" s="74"/>
      <c r="L10" s="59">
        <f t="shared" si="1"/>
        <v>2009</v>
      </c>
      <c r="N10" s="118">
        <f t="shared" ref="N10:N15" si="3">D10</f>
        <v>445166.70199999993</v>
      </c>
      <c r="O10" s="118">
        <f t="shared" ref="O10:O14" si="4">E10</f>
        <v>526698.25399999996</v>
      </c>
      <c r="P10" s="118">
        <f t="shared" ref="P10:P13" si="5">F10</f>
        <v>532809.47900000005</v>
      </c>
      <c r="Q10" s="118">
        <f t="shared" ref="Q10:Q12" si="6">G10</f>
        <v>538696.80900000001</v>
      </c>
      <c r="R10" s="118">
        <f t="shared" ref="R10:R11" si="7">H10</f>
        <v>543961.78599999996</v>
      </c>
      <c r="T10" s="66"/>
    </row>
    <row r="11" spans="2:20" x14ac:dyDescent="0.25">
      <c r="B11" s="59">
        <f t="shared" si="0"/>
        <v>2010</v>
      </c>
      <c r="D11" s="109">
        <v>447878.25</v>
      </c>
      <c r="E11" s="109">
        <v>536538.59600000014</v>
      </c>
      <c r="F11" s="109">
        <v>555271.26900000009</v>
      </c>
      <c r="G11" s="109">
        <v>573971.07000000007</v>
      </c>
      <c r="H11" s="109">
        <v>573657.46254324075</v>
      </c>
      <c r="J11" s="74"/>
      <c r="L11" s="59">
        <f t="shared" si="1"/>
        <v>2010</v>
      </c>
      <c r="N11" s="118">
        <f t="shared" si="3"/>
        <v>447878.25</v>
      </c>
      <c r="O11" s="118">
        <f t="shared" si="4"/>
        <v>536538.59600000014</v>
      </c>
      <c r="P11" s="118">
        <f t="shared" si="5"/>
        <v>555271.26900000009</v>
      </c>
      <c r="Q11" s="118">
        <f t="shared" si="6"/>
        <v>573971.07000000007</v>
      </c>
      <c r="R11" s="118">
        <f t="shared" si="7"/>
        <v>573657.46254324075</v>
      </c>
      <c r="T11" s="66"/>
    </row>
    <row r="12" spans="2:20" x14ac:dyDescent="0.25">
      <c r="B12" s="59">
        <f t="shared" si="0"/>
        <v>2011</v>
      </c>
      <c r="D12" s="109">
        <v>459925.57300000003</v>
      </c>
      <c r="E12" s="109">
        <v>547838.63000000012</v>
      </c>
      <c r="F12" s="109">
        <v>578783.326</v>
      </c>
      <c r="G12" s="109">
        <v>578678.10181119642</v>
      </c>
      <c r="H12" s="109"/>
      <c r="J12" s="74"/>
      <c r="L12" s="59">
        <f t="shared" si="1"/>
        <v>2011</v>
      </c>
      <c r="N12" s="118">
        <f t="shared" si="3"/>
        <v>459925.57300000003</v>
      </c>
      <c r="O12" s="118">
        <f t="shared" si="4"/>
        <v>547838.63000000012</v>
      </c>
      <c r="P12" s="118">
        <f t="shared" si="5"/>
        <v>578783.326</v>
      </c>
      <c r="Q12" s="118">
        <f t="shared" si="6"/>
        <v>578678.10181119642</v>
      </c>
      <c r="R12" s="118"/>
      <c r="T12" s="66"/>
    </row>
    <row r="13" spans="2:20" x14ac:dyDescent="0.25">
      <c r="B13" s="59">
        <f t="shared" si="0"/>
        <v>2012</v>
      </c>
      <c r="D13" s="109">
        <v>388302.41599999997</v>
      </c>
      <c r="E13" s="109">
        <v>507214.75899999996</v>
      </c>
      <c r="F13" s="109">
        <v>508408.70905770716</v>
      </c>
      <c r="G13" s="109"/>
      <c r="H13" s="109"/>
      <c r="J13" s="74"/>
      <c r="L13" s="59">
        <f t="shared" si="1"/>
        <v>2012</v>
      </c>
      <c r="N13" s="118">
        <f t="shared" si="3"/>
        <v>388302.41599999997</v>
      </c>
      <c r="O13" s="118">
        <f t="shared" si="4"/>
        <v>507214.75899999996</v>
      </c>
      <c r="P13" s="118">
        <f t="shared" si="5"/>
        <v>508408.70905770716</v>
      </c>
      <c r="Q13" s="118"/>
      <c r="R13" s="118"/>
      <c r="T13" s="66"/>
    </row>
    <row r="14" spans="2:20" x14ac:dyDescent="0.25">
      <c r="B14" s="59">
        <f t="shared" si="0"/>
        <v>2013</v>
      </c>
      <c r="D14" s="109">
        <v>463178.44900000002</v>
      </c>
      <c r="E14" s="109">
        <v>577819.69192047068</v>
      </c>
      <c r="F14" s="109"/>
      <c r="G14" s="109"/>
      <c r="H14" s="109"/>
      <c r="J14" s="74"/>
      <c r="L14" s="59">
        <f t="shared" si="1"/>
        <v>2013</v>
      </c>
      <c r="N14" s="118">
        <f t="shared" si="3"/>
        <v>463178.44900000002</v>
      </c>
      <c r="O14" s="118">
        <f t="shared" si="4"/>
        <v>577819.69192047068</v>
      </c>
      <c r="P14" s="118"/>
      <c r="Q14" s="118"/>
      <c r="R14" s="118"/>
      <c r="T14" s="66"/>
    </row>
    <row r="15" spans="2:20" x14ac:dyDescent="0.25">
      <c r="B15" s="59">
        <f>LatestYear</f>
        <v>2014</v>
      </c>
      <c r="D15" s="109">
        <v>583508.75541126193</v>
      </c>
      <c r="E15" s="109"/>
      <c r="F15" s="109"/>
      <c r="G15" s="109"/>
      <c r="H15" s="109"/>
      <c r="J15" s="74"/>
      <c r="L15" s="59">
        <f>LatestYear</f>
        <v>2014</v>
      </c>
      <c r="N15" s="118">
        <f t="shared" si="3"/>
        <v>583508.75541126193</v>
      </c>
      <c r="O15" s="118"/>
      <c r="P15" s="118"/>
      <c r="Q15" s="118"/>
      <c r="R15" s="118"/>
      <c r="T15" s="66"/>
    </row>
    <row r="18" spans="1:18" x14ac:dyDescent="0.25">
      <c r="B18" s="59" t="s">
        <v>18</v>
      </c>
      <c r="D18" s="67" t="str">
        <f>LEFT(D7,2)&amp;"-"&amp;LEFT(E7,2)</f>
        <v>12-24</v>
      </c>
      <c r="E18" s="67" t="str">
        <f t="shared" ref="E18:G18" si="8">LEFT(E7,2)&amp;"-"&amp;LEFT(F7,2)</f>
        <v>24-36</v>
      </c>
      <c r="F18" s="67" t="str">
        <f t="shared" si="8"/>
        <v>36-48</v>
      </c>
      <c r="G18" s="67" t="str">
        <f t="shared" si="8"/>
        <v>48-60</v>
      </c>
      <c r="H18" s="67" t="str">
        <f>LEFT(H7,2)&amp;"-Ult"</f>
        <v>60-Ult</v>
      </c>
      <c r="L18" s="59" t="s">
        <v>18</v>
      </c>
      <c r="N18" s="67" t="str">
        <f>LEFT(N7,2)&amp;"-"&amp;LEFT(O7,2)</f>
        <v>12-24</v>
      </c>
      <c r="O18" s="67" t="str">
        <f t="shared" ref="O18" si="9">LEFT(O7,2)&amp;"-"&amp;LEFT(P7,2)</f>
        <v>24-36</v>
      </c>
      <c r="P18" s="67" t="str">
        <f t="shared" ref="P18" si="10">LEFT(P7,2)&amp;"-"&amp;LEFT(Q7,2)</f>
        <v>36-48</v>
      </c>
      <c r="Q18" s="67" t="str">
        <f t="shared" ref="Q18" si="11">LEFT(Q7,2)&amp;"-"&amp;LEFT(R7,2)</f>
        <v>48-60</v>
      </c>
      <c r="R18" s="67" t="str">
        <f>LEFT(R7,2)&amp;"-Ult"</f>
        <v>60-Ult</v>
      </c>
    </row>
    <row r="19" spans="1:18" x14ac:dyDescent="0.25">
      <c r="B19" s="59">
        <f t="shared" ref="B19:B24" si="12">B9</f>
        <v>2008</v>
      </c>
      <c r="D19" s="68">
        <f t="shared" ref="D19:H24" si="13">IF(ISBLANK(E9),"",E9/D9)</f>
        <v>1.2048412129510786</v>
      </c>
      <c r="E19" s="68">
        <f t="shared" si="13"/>
        <v>1.0137659281199667</v>
      </c>
      <c r="F19" s="68">
        <f t="shared" si="13"/>
        <v>1.0121661762273573</v>
      </c>
      <c r="G19" s="68">
        <f t="shared" si="13"/>
        <v>1.0131415611761836</v>
      </c>
      <c r="H19" s="68" t="str">
        <f t="shared" si="13"/>
        <v/>
      </c>
      <c r="L19" s="59">
        <f t="shared" ref="L19:L24" si="14">L9</f>
        <v>2008</v>
      </c>
      <c r="N19" s="68">
        <f t="shared" ref="N19:N24" si="15">IF(ISBLANK(O9),"",O9/N9)</f>
        <v>1.2048412129510786</v>
      </c>
      <c r="O19" s="68">
        <f t="shared" ref="O19:O24" si="16">IF(ISBLANK(P9),"",P9/O9)</f>
        <v>1.0137659281199667</v>
      </c>
      <c r="P19" s="68">
        <f t="shared" ref="P19:P24" si="17">IF(ISBLANK(Q9),"",Q9/P9)</f>
        <v>1.0121661762273573</v>
      </c>
      <c r="Q19" s="68">
        <f t="shared" ref="Q19:Q24" si="18">IF(ISBLANK(R9),"",R9/Q9)</f>
        <v>1.0131415611761836</v>
      </c>
      <c r="R19" s="68" t="str">
        <f t="shared" ref="R19:R24" si="19">IF(ISBLANK(S9),"",S9/R9)</f>
        <v/>
      </c>
    </row>
    <row r="20" spans="1:18" x14ac:dyDescent="0.25">
      <c r="B20" s="59">
        <f t="shared" si="12"/>
        <v>2009</v>
      </c>
      <c r="D20" s="68">
        <f t="shared" si="13"/>
        <v>1.1831483613525076</v>
      </c>
      <c r="E20" s="68">
        <f t="shared" si="13"/>
        <v>1.0116028958774563</v>
      </c>
      <c r="F20" s="68">
        <f t="shared" si="13"/>
        <v>1.0110495969610931</v>
      </c>
      <c r="G20" s="68">
        <f t="shared" si="13"/>
        <v>1.0097735440641897</v>
      </c>
      <c r="H20" s="68" t="str">
        <f t="shared" si="13"/>
        <v/>
      </c>
      <c r="L20" s="59">
        <f t="shared" si="14"/>
        <v>2009</v>
      </c>
      <c r="N20" s="68">
        <f t="shared" si="15"/>
        <v>1.1831483613525076</v>
      </c>
      <c r="O20" s="68">
        <f t="shared" si="16"/>
        <v>1.0116028958774563</v>
      </c>
      <c r="P20" s="68">
        <f t="shared" si="17"/>
        <v>1.0110495969610931</v>
      </c>
      <c r="Q20" s="68">
        <f t="shared" si="18"/>
        <v>1.0097735440641897</v>
      </c>
      <c r="R20" s="68" t="str">
        <f t="shared" si="19"/>
        <v/>
      </c>
    </row>
    <row r="21" spans="1:18" x14ac:dyDescent="0.25">
      <c r="B21" s="59">
        <f t="shared" si="12"/>
        <v>2010</v>
      </c>
      <c r="D21" s="68">
        <f t="shared" si="13"/>
        <v>1.1979563553264758</v>
      </c>
      <c r="E21" s="68">
        <f t="shared" si="13"/>
        <v>1.0349139337592033</v>
      </c>
      <c r="F21" s="68">
        <f t="shared" si="13"/>
        <v>1.033676874788924</v>
      </c>
      <c r="G21" s="68">
        <f t="shared" si="13"/>
        <v>0.99945361800768229</v>
      </c>
      <c r="H21" s="68" t="str">
        <f t="shared" si="13"/>
        <v/>
      </c>
      <c r="L21" s="59">
        <f t="shared" si="14"/>
        <v>2010</v>
      </c>
      <c r="N21" s="68">
        <f t="shared" si="15"/>
        <v>1.1979563553264758</v>
      </c>
      <c r="O21" s="68">
        <f t="shared" si="16"/>
        <v>1.0349139337592033</v>
      </c>
      <c r="P21" s="68">
        <f t="shared" si="17"/>
        <v>1.033676874788924</v>
      </c>
      <c r="Q21" s="68">
        <f t="shared" si="18"/>
        <v>0.99945361800768229</v>
      </c>
      <c r="R21" s="68" t="str">
        <f t="shared" si="19"/>
        <v/>
      </c>
    </row>
    <row r="22" spans="1:18" x14ac:dyDescent="0.25">
      <c r="B22" s="59">
        <f t="shared" si="12"/>
        <v>2011</v>
      </c>
      <c r="D22" s="68">
        <f t="shared" si="13"/>
        <v>1.1911462683550325</v>
      </c>
      <c r="E22" s="68">
        <f t="shared" si="13"/>
        <v>1.0564850565576216</v>
      </c>
      <c r="F22" s="68">
        <f t="shared" si="13"/>
        <v>0.99981819761545176</v>
      </c>
      <c r="G22" s="68" t="str">
        <f t="shared" si="13"/>
        <v/>
      </c>
      <c r="H22" s="68" t="str">
        <f t="shared" si="13"/>
        <v/>
      </c>
      <c r="L22" s="59">
        <f t="shared" si="14"/>
        <v>2011</v>
      </c>
      <c r="N22" s="68">
        <f t="shared" si="15"/>
        <v>1.1911462683550325</v>
      </c>
      <c r="O22" s="68">
        <f t="shared" si="16"/>
        <v>1.0564850565576216</v>
      </c>
      <c r="P22" s="68">
        <f t="shared" si="17"/>
        <v>0.99981819761545176</v>
      </c>
      <c r="Q22" s="68" t="str">
        <f t="shared" si="18"/>
        <v/>
      </c>
      <c r="R22" s="68" t="str">
        <f t="shared" si="19"/>
        <v/>
      </c>
    </row>
    <row r="23" spans="1:18" x14ac:dyDescent="0.25">
      <c r="B23" s="59">
        <f t="shared" si="12"/>
        <v>2012</v>
      </c>
      <c r="D23" s="68">
        <f t="shared" si="13"/>
        <v>1.3062364232109234</v>
      </c>
      <c r="E23" s="68">
        <f t="shared" si="13"/>
        <v>1.0023539339826411</v>
      </c>
      <c r="F23" s="68" t="str">
        <f t="shared" si="13"/>
        <v/>
      </c>
      <c r="G23" s="68" t="str">
        <f t="shared" si="13"/>
        <v/>
      </c>
      <c r="H23" s="68" t="str">
        <f t="shared" si="13"/>
        <v/>
      </c>
      <c r="L23" s="59">
        <f t="shared" si="14"/>
        <v>2012</v>
      </c>
      <c r="N23" s="68">
        <f t="shared" si="15"/>
        <v>1.3062364232109234</v>
      </c>
      <c r="O23" s="68">
        <f t="shared" si="16"/>
        <v>1.0023539339826411</v>
      </c>
      <c r="P23" s="68" t="str">
        <f t="shared" si="17"/>
        <v/>
      </c>
      <c r="Q23" s="68" t="str">
        <f t="shared" si="18"/>
        <v/>
      </c>
      <c r="R23" s="68" t="str">
        <f t="shared" si="19"/>
        <v/>
      </c>
    </row>
    <row r="24" spans="1:18" x14ac:dyDescent="0.25">
      <c r="B24" s="59">
        <f t="shared" si="12"/>
        <v>2013</v>
      </c>
      <c r="D24" s="68">
        <f t="shared" si="13"/>
        <v>1.2475098812735794</v>
      </c>
      <c r="E24" s="68" t="str">
        <f t="shared" si="13"/>
        <v/>
      </c>
      <c r="F24" s="68" t="str">
        <f t="shared" si="13"/>
        <v/>
      </c>
      <c r="G24" s="68" t="str">
        <f t="shared" si="13"/>
        <v/>
      </c>
      <c r="H24" s="68" t="str">
        <f t="shared" si="13"/>
        <v/>
      </c>
      <c r="L24" s="59">
        <f t="shared" si="14"/>
        <v>2013</v>
      </c>
      <c r="N24" s="68">
        <f t="shared" si="15"/>
        <v>1.2475098812735794</v>
      </c>
      <c r="O24" s="68" t="str">
        <f t="shared" si="16"/>
        <v/>
      </c>
      <c r="P24" s="68" t="str">
        <f t="shared" si="17"/>
        <v/>
      </c>
      <c r="Q24" s="68" t="str">
        <f t="shared" si="18"/>
        <v/>
      </c>
      <c r="R24" s="68" t="str">
        <f t="shared" si="19"/>
        <v/>
      </c>
    </row>
    <row r="26" spans="1:18" x14ac:dyDescent="0.25">
      <c r="A26" s="69">
        <v>1</v>
      </c>
      <c r="B26" s="59" t="s">
        <v>20</v>
      </c>
      <c r="D26" s="68">
        <f>AVERAGE(D19:D24)</f>
        <v>1.2218064170782663</v>
      </c>
      <c r="E26" s="68">
        <f t="shared" ref="E26:G26" si="20">AVERAGE(E19:E24)</f>
        <v>1.0238243496593777</v>
      </c>
      <c r="F26" s="68">
        <f t="shared" si="20"/>
        <v>1.0141777113982064</v>
      </c>
      <c r="G26" s="68">
        <f t="shared" si="20"/>
        <v>1.0074562410826851</v>
      </c>
      <c r="K26" s="69">
        <v>1</v>
      </c>
      <c r="L26" s="59" t="s">
        <v>20</v>
      </c>
      <c r="N26" s="68">
        <f>AVERAGE(N19:N24)</f>
        <v>1.2218064170782663</v>
      </c>
      <c r="O26" s="68">
        <f t="shared" ref="O26:Q26" si="21">AVERAGE(O19:O24)</f>
        <v>1.0238243496593777</v>
      </c>
      <c r="P26" s="68">
        <f t="shared" si="21"/>
        <v>1.0141777113982064</v>
      </c>
      <c r="Q26" s="68">
        <f t="shared" si="21"/>
        <v>1.0074562410826851</v>
      </c>
    </row>
    <row r="27" spans="1:18" x14ac:dyDescent="0.25">
      <c r="A27" s="69">
        <f t="shared" ref="A27:A33" si="22">A26+1</f>
        <v>2</v>
      </c>
      <c r="B27" s="59" t="s">
        <v>21</v>
      </c>
      <c r="D27" s="68">
        <f>AVERAGE(D22:D24)</f>
        <v>1.2482975242798451</v>
      </c>
      <c r="E27" s="68">
        <f>AVERAGE(E21:E23)</f>
        <v>1.0312509747664886</v>
      </c>
      <c r="F27" s="68">
        <f>AVERAGE(F20:F22)</f>
        <v>1.014848223121823</v>
      </c>
      <c r="G27" s="68">
        <f>AVERAGE(G19:G21)</f>
        <v>1.0074562410826851</v>
      </c>
      <c r="K27" s="69">
        <f t="shared" ref="K27:K33" si="23">K26+1</f>
        <v>2</v>
      </c>
      <c r="L27" s="59" t="s">
        <v>21</v>
      </c>
      <c r="N27" s="68">
        <f>AVERAGE(N22:N24)</f>
        <v>1.2482975242798451</v>
      </c>
      <c r="O27" s="68">
        <f>AVERAGE(O21:O23)</f>
        <v>1.0312509747664886</v>
      </c>
      <c r="P27" s="68">
        <f>AVERAGE(P20:P22)</f>
        <v>1.014848223121823</v>
      </c>
      <c r="Q27" s="68">
        <f>AVERAGE(Q19:Q21)</f>
        <v>1.0074562410826851</v>
      </c>
    </row>
    <row r="28" spans="1:18" x14ac:dyDescent="0.25">
      <c r="A28" s="69">
        <f t="shared" si="22"/>
        <v>3</v>
      </c>
      <c r="B28" s="59" t="s">
        <v>22</v>
      </c>
      <c r="D28" s="68">
        <f t="shared" ref="D28" si="24">AVERAGE(D21:D24)</f>
        <v>1.2357122320415028</v>
      </c>
      <c r="E28" s="68">
        <f>AVERAGE(E20:E23)</f>
        <v>1.0263389550442306</v>
      </c>
      <c r="F28" s="68">
        <f>AVERAGE(F19:F22)</f>
        <v>1.0141777113982064</v>
      </c>
      <c r="G28" s="68"/>
      <c r="K28" s="69">
        <f t="shared" si="23"/>
        <v>3</v>
      </c>
      <c r="L28" s="59" t="s">
        <v>22</v>
      </c>
      <c r="N28" s="68">
        <f t="shared" ref="N28" si="25">AVERAGE(N21:N24)</f>
        <v>1.2357122320415028</v>
      </c>
      <c r="O28" s="68">
        <f>AVERAGE(O20:O23)</f>
        <v>1.0263389550442306</v>
      </c>
      <c r="P28" s="68">
        <f>AVERAGE(P19:P22)</f>
        <v>1.0141777113982064</v>
      </c>
      <c r="Q28" s="68"/>
    </row>
    <row r="29" spans="1:18" x14ac:dyDescent="0.25">
      <c r="A29" s="69">
        <f t="shared" si="22"/>
        <v>4</v>
      </c>
      <c r="B29" s="59" t="s">
        <v>23</v>
      </c>
      <c r="D29" s="68">
        <f>(SUM(D19:D24)-MIN(D19:D24)-MAX(D19:D24))/(COUNT(D19:D24)-2)</f>
        <v>1.2103634294765417</v>
      </c>
      <c r="E29" s="68">
        <f t="shared" ref="E29:G29" si="26">(SUM(E19:E24)-MIN(E19:E24)-MAX(E19:E24))/(COUNT(E19:E24)-2)</f>
        <v>1.0200942525855419</v>
      </c>
      <c r="F29" s="68">
        <f t="shared" si="26"/>
        <v>1.0116078865942248</v>
      </c>
      <c r="G29" s="68">
        <f t="shared" si="26"/>
        <v>1.0097735440641895</v>
      </c>
      <c r="K29" s="69">
        <f t="shared" si="23"/>
        <v>4</v>
      </c>
      <c r="L29" s="59" t="s">
        <v>23</v>
      </c>
      <c r="N29" s="68">
        <f>(SUM(N19:N24)-MIN(N19:N24)-MAX(N19:N24))/(COUNT(N19:N24)-2)</f>
        <v>1.2103634294765417</v>
      </c>
      <c r="O29" s="68">
        <f t="shared" ref="O29:Q29" si="27">(SUM(O19:O24)-MIN(O19:O24)-MAX(O19:O24))/(COUNT(O19:O24)-2)</f>
        <v>1.0200942525855419</v>
      </c>
      <c r="P29" s="68">
        <f t="shared" si="27"/>
        <v>1.0116078865942248</v>
      </c>
      <c r="Q29" s="68">
        <f t="shared" si="27"/>
        <v>1.0097735440641895</v>
      </c>
    </row>
    <row r="30" spans="1:18" x14ac:dyDescent="0.25">
      <c r="A30" s="69">
        <f t="shared" si="22"/>
        <v>5</v>
      </c>
      <c r="B30" s="59" t="s">
        <v>24</v>
      </c>
      <c r="D30" s="68">
        <f>PRODUCT(D19:D24)^(1/COUNT(D19:D24))</f>
        <v>1.2210688412395703</v>
      </c>
      <c r="E30" s="68">
        <f t="shared" ref="E30:G30" si="28">PRODUCT(E19:E24)^(1/COUNT(E19:E24))</f>
        <v>1.0236400971096331</v>
      </c>
      <c r="F30" s="68">
        <f t="shared" si="28"/>
        <v>1.0141040789457243</v>
      </c>
      <c r="G30" s="68">
        <f t="shared" si="28"/>
        <v>1.0074393758766256</v>
      </c>
      <c r="K30" s="69">
        <f t="shared" si="23"/>
        <v>5</v>
      </c>
      <c r="L30" s="59" t="s">
        <v>24</v>
      </c>
      <c r="N30" s="68">
        <f>PRODUCT(N19:N24)^(1/COUNT(N19:N24))</f>
        <v>1.2210688412395703</v>
      </c>
      <c r="O30" s="68">
        <f t="shared" ref="O30:Q30" si="29">PRODUCT(O19:O24)^(1/COUNT(O19:O24))</f>
        <v>1.0236400971096331</v>
      </c>
      <c r="P30" s="68">
        <f t="shared" si="29"/>
        <v>1.0141040789457243</v>
      </c>
      <c r="Q30" s="68">
        <f t="shared" si="29"/>
        <v>1.0074393758766256</v>
      </c>
    </row>
    <row r="32" spans="1:18" x14ac:dyDescent="0.25">
      <c r="A32" s="69">
        <f>A30+1</f>
        <v>6</v>
      </c>
      <c r="B32" s="61" t="s">
        <v>25</v>
      </c>
      <c r="D32" s="131">
        <v>1.23</v>
      </c>
      <c r="E32" s="132">
        <v>1.0249999999999999</v>
      </c>
      <c r="F32" s="132">
        <v>1.014</v>
      </c>
      <c r="G32" s="132">
        <v>1.008</v>
      </c>
      <c r="H32" s="133">
        <v>1</v>
      </c>
      <c r="K32" s="69">
        <f>K30+1</f>
        <v>6</v>
      </c>
      <c r="L32" s="61" t="s">
        <v>25</v>
      </c>
      <c r="N32" s="131">
        <v>1.23</v>
      </c>
      <c r="O32" s="132">
        <v>1.0249999999999999</v>
      </c>
      <c r="P32" s="132">
        <v>1.014</v>
      </c>
      <c r="Q32" s="132">
        <v>1.008</v>
      </c>
      <c r="R32" s="133">
        <v>1</v>
      </c>
    </row>
    <row r="33" spans="1:18" x14ac:dyDescent="0.25">
      <c r="A33" s="69">
        <f t="shared" si="22"/>
        <v>7</v>
      </c>
      <c r="B33" s="59" t="s">
        <v>26</v>
      </c>
      <c r="D33" s="134">
        <f>PRODUCT(D32:$H32)</f>
        <v>1.2886277039999998</v>
      </c>
      <c r="E33" s="134">
        <f>PRODUCT(E32:$H32)</f>
        <v>1.0476648</v>
      </c>
      <c r="F33" s="134">
        <f>PRODUCT(F32:$H32)</f>
        <v>1.0221119999999999</v>
      </c>
      <c r="G33" s="134">
        <f>PRODUCT(G32:$H32)</f>
        <v>1.008</v>
      </c>
      <c r="H33" s="134">
        <f>PRODUCT(H32:$H32)</f>
        <v>1</v>
      </c>
      <c r="K33" s="69">
        <f t="shared" si="23"/>
        <v>7</v>
      </c>
      <c r="L33" s="59" t="s">
        <v>26</v>
      </c>
      <c r="N33" s="130">
        <f>PRODUCT(N32:$R32)</f>
        <v>1.2886277039999998</v>
      </c>
      <c r="O33" s="130">
        <f>PRODUCT(O32:$R32)</f>
        <v>1.0476648</v>
      </c>
      <c r="P33" s="130">
        <f>PRODUCT(P32:$R32)</f>
        <v>1.0221119999999999</v>
      </c>
      <c r="Q33" s="130">
        <f>PRODUCT(Q32:$R32)</f>
        <v>1.008</v>
      </c>
      <c r="R33" s="130">
        <f>PRODUCT(R32:$R32)</f>
        <v>1</v>
      </c>
    </row>
    <row r="35" spans="1:18" x14ac:dyDescent="0.25">
      <c r="A35" s="69">
        <v>1</v>
      </c>
      <c r="B35" s="59" t="s">
        <v>54</v>
      </c>
      <c r="K35" s="69">
        <v>1</v>
      </c>
      <c r="L35" s="59" t="s">
        <v>54</v>
      </c>
    </row>
    <row r="36" spans="1:18" x14ac:dyDescent="0.25">
      <c r="A36" s="69">
        <f t="shared" ref="A36:A39" si="30">A35+1</f>
        <v>2</v>
      </c>
      <c r="B36" s="59" t="s">
        <v>54</v>
      </c>
      <c r="K36" s="69">
        <f t="shared" ref="K36:K39" si="31">K35+1</f>
        <v>2</v>
      </c>
      <c r="L36" s="59" t="s">
        <v>54</v>
      </c>
    </row>
    <row r="37" spans="1:18" x14ac:dyDescent="0.25">
      <c r="A37" s="69">
        <f t="shared" si="30"/>
        <v>3</v>
      </c>
      <c r="B37" s="59" t="s">
        <v>54</v>
      </c>
      <c r="K37" s="69">
        <f t="shared" si="31"/>
        <v>3</v>
      </c>
      <c r="L37" s="59" t="s">
        <v>54</v>
      </c>
    </row>
    <row r="38" spans="1:18" x14ac:dyDescent="0.25">
      <c r="A38" s="69">
        <f t="shared" si="30"/>
        <v>4</v>
      </c>
      <c r="B38" s="59" t="s">
        <v>55</v>
      </c>
      <c r="K38" s="69">
        <f t="shared" si="31"/>
        <v>4</v>
      </c>
      <c r="L38" s="59" t="s">
        <v>55</v>
      </c>
    </row>
    <row r="39" spans="1:18" x14ac:dyDescent="0.25">
      <c r="A39" s="69">
        <f t="shared" si="30"/>
        <v>5</v>
      </c>
      <c r="B39" s="70" t="s">
        <v>56</v>
      </c>
      <c r="K39" s="69">
        <f t="shared" si="31"/>
        <v>5</v>
      </c>
      <c r="L39" s="70" t="s">
        <v>56</v>
      </c>
    </row>
    <row r="40" spans="1:18" x14ac:dyDescent="0.25">
      <c r="A40" s="69">
        <f>A39+2</f>
        <v>7</v>
      </c>
      <c r="B40" s="70" t="s">
        <v>57</v>
      </c>
      <c r="K40" s="69">
        <f>K39+2</f>
        <v>7</v>
      </c>
      <c r="L40" s="70" t="s">
        <v>57</v>
      </c>
    </row>
    <row r="41" spans="1:18" x14ac:dyDescent="0.25">
      <c r="A41" s="69"/>
      <c r="K41" s="6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G16"/>
  <sheetViews>
    <sheetView workbookViewId="0"/>
  </sheetViews>
  <sheetFormatPr defaultColWidth="8.875" defaultRowHeight="15" x14ac:dyDescent="0.25"/>
  <cols>
    <col min="2" max="2" width="30.75" customWidth="1"/>
    <col min="3" max="3" width="18.125" customWidth="1"/>
    <col min="4" max="4" width="15.75" bestFit="1" customWidth="1"/>
  </cols>
  <sheetData>
    <row r="1" spans="1:7" x14ac:dyDescent="0.25">
      <c r="B1" s="258" t="s">
        <v>30</v>
      </c>
      <c r="C1" s="258"/>
      <c r="D1" s="258" t="s">
        <v>31</v>
      </c>
      <c r="E1" s="258"/>
      <c r="F1" s="258" t="s">
        <v>32</v>
      </c>
      <c r="G1" s="258"/>
    </row>
    <row r="2" spans="1:7" x14ac:dyDescent="0.25">
      <c r="B2" s="147" t="s">
        <v>213</v>
      </c>
      <c r="C2" s="147" t="s">
        <v>212</v>
      </c>
      <c r="D2" s="147" t="s">
        <v>213</v>
      </c>
      <c r="E2" s="147" t="s">
        <v>212</v>
      </c>
      <c r="F2" s="147" t="s">
        <v>213</v>
      </c>
      <c r="G2" s="147" t="s">
        <v>212</v>
      </c>
    </row>
    <row r="3" spans="1:7" x14ac:dyDescent="0.25">
      <c r="A3" t="s">
        <v>10</v>
      </c>
      <c r="B3" s="170">
        <f>'2. Loss Trend Factor -- 1'!N8</f>
        <v>-1.6807177162067144E-2</v>
      </c>
      <c r="C3" s="170">
        <f>INDEX(LOGEST('2. Loss Trend Factor -- 1'!F8:F27,,,TRUE),3)</f>
        <v>2.8269442532900743E-2</v>
      </c>
      <c r="D3" s="170">
        <f>'2. Loss Trend Factor -- 1'!O8</f>
        <v>4.7396447785255535E-2</v>
      </c>
      <c r="E3" s="170">
        <f>INDEX(LOGEST('2. Loss Trend Factor -- 1'!G8:G27,,,TRUE),3)</f>
        <v>0.15796667234225614</v>
      </c>
      <c r="F3" s="170">
        <f>'2. Loss Trend Factor -- 1'!P8</f>
        <v>2.9792670128409249E-2</v>
      </c>
      <c r="G3" s="170">
        <f>INDEX(LOGEST('2. Loss Trend Factor -- 1'!H8:H27,,,TRUE),3)</f>
        <v>4.9502755248642769E-2</v>
      </c>
    </row>
    <row r="4" spans="1:7" ht="15.75" thickBot="1" x14ac:dyDescent="0.3">
      <c r="A4" t="s">
        <v>11</v>
      </c>
      <c r="B4" s="170">
        <f>'2. Loss Trend Factor -- 1'!N9</f>
        <v>-1.6847071125880575E-3</v>
      </c>
      <c r="C4" s="170">
        <f>INDEX(LOGEST('2. Loss Trend Factor -- 1'!F12:F27,,,TRUE),3)</f>
        <v>2.7173925394745579E-4</v>
      </c>
      <c r="D4" s="170">
        <f>'2. Loss Trend Factor -- 1'!O9</f>
        <v>2.9138259167820202E-2</v>
      </c>
      <c r="E4" s="170">
        <f>INDEX(LOGEST('2. Loss Trend Factor -- 1'!G12:G27,,,TRUE),3)</f>
        <v>3.9208162631424855E-2</v>
      </c>
      <c r="F4" s="170">
        <f>'2. Loss Trend Factor -- 1'!P9</f>
        <v>2.7404462622763859E-2</v>
      </c>
      <c r="G4" s="170">
        <f>INDEX(LOGEST('2. Loss Trend Factor -- 1'!H12:H27,,,TRUE),3)</f>
        <v>3.9735284856746912E-2</v>
      </c>
    </row>
    <row r="5" spans="1:7" ht="15.75" thickBot="1" x14ac:dyDescent="0.3">
      <c r="A5" s="181" t="s">
        <v>12</v>
      </c>
      <c r="B5" s="182">
        <f>'2. Loss Trend Factor -- 1'!N10</f>
        <v>2.3866572275518694E-2</v>
      </c>
      <c r="C5" s="182">
        <f>INDEX(LOGEST('2. Loss Trend Factor -- 1'!F16:F27,,,TRUE),3)</f>
        <v>2.8390567572623069E-2</v>
      </c>
      <c r="D5" s="182">
        <f>'2. Loss Trend Factor -- 1'!O10</f>
        <v>5.9101408864538518E-2</v>
      </c>
      <c r="E5" s="182">
        <f>INDEX(LOGEST('2. Loss Trend Factor -- 1'!G16:G27,,,TRUE),3)</f>
        <v>7.4577140608871495E-2</v>
      </c>
      <c r="F5" s="185">
        <f>'2. Loss Trend Factor -- 1'!P10</f>
        <v>8.4378529186308393E-2</v>
      </c>
      <c r="G5" s="182">
        <f>INDEX(LOGEST('2. Loss Trend Factor -- 1'!H16:H27,,,TRUE),3)</f>
        <v>0.20713593372273117</v>
      </c>
    </row>
    <row r="6" spans="1:7" x14ac:dyDescent="0.25">
      <c r="A6" t="s">
        <v>13</v>
      </c>
      <c r="B6" s="170">
        <f>'2. Loss Trend Factor -- 1'!N11</f>
        <v>6.0659163341602262E-2</v>
      </c>
      <c r="C6" s="170">
        <f>INDEX(LOGEST('2. Loss Trend Factor -- 1'!F20:F27,,,TRUE),3)</f>
        <v>5.9842985967806468E-2</v>
      </c>
      <c r="D6" s="170">
        <f>'2. Loss Trend Factor -- 1'!O11</f>
        <v>1.3088468400187514E-2</v>
      </c>
      <c r="E6" s="170">
        <f>INDEX(LOGEST('2. Loss Trend Factor -- 1'!G20:G27,,,TRUE),3)</f>
        <v>1.6925880359246229E-3</v>
      </c>
      <c r="F6" s="170">
        <f>'2. Loss Trend Factor -- 1'!P11</f>
        <v>7.4541567284368115E-2</v>
      </c>
      <c r="G6" s="170">
        <f>INDEX(LOGEST('2. Loss Trend Factor -- 1'!H20:H27,,,TRUE),3)</f>
        <v>7.2581546263133262E-2</v>
      </c>
    </row>
    <row r="7" spans="1:7" x14ac:dyDescent="0.25">
      <c r="A7" t="s">
        <v>14</v>
      </c>
      <c r="B7" s="170">
        <f>'2. Loss Trend Factor -- 1'!N12</f>
        <v>4.8955276918282609E-2</v>
      </c>
      <c r="C7" s="170">
        <f>INDEX(LOGEST('2. Loss Trend Factor -- 1'!F22:F27,,,TRUE),3)</f>
        <v>1.7317463058506271E-2</v>
      </c>
      <c r="D7" s="170">
        <f>'2. Loss Trend Factor -- 1'!O12</f>
        <v>-4.9273434903386648E-2</v>
      </c>
      <c r="E7" s="170">
        <f>INDEX(LOGEST('2. Loss Trend Factor -- 1'!G22:G27,,,TRUE),3)</f>
        <v>1.1094181002508667E-2</v>
      </c>
      <c r="F7" s="170">
        <f>'2. Loss Trend Factor -- 1'!P12</f>
        <v>-2.7303526355147989E-3</v>
      </c>
      <c r="G7" s="170">
        <f>INDEX(LOGEST('2. Loss Trend Factor -- 1'!H22:H27,,,TRUE),3)</f>
        <v>5.0704146469477403E-5</v>
      </c>
    </row>
    <row r="8" spans="1:7" x14ac:dyDescent="0.25">
      <c r="A8" s="183" t="s">
        <v>15</v>
      </c>
      <c r="B8" s="184">
        <f>'2. Loss Trend Factor -- 1'!N13</f>
        <v>0.30302589101502408</v>
      </c>
      <c r="C8" s="184">
        <f>INDEX(LOGEST('2. Loss Trend Factor -- 1'!F24:F27,,,TRUE),3)</f>
        <v>0.22490338372653024</v>
      </c>
      <c r="D8" s="184">
        <f>'2. Loss Trend Factor -- 1'!O13</f>
        <v>0.17531377358847466</v>
      </c>
      <c r="E8" s="184">
        <f>INDEX(LOGEST('2. Loss Trend Factor -- 1'!G24:G27,,,TRUE),3)</f>
        <v>3.9919127238583339E-2</v>
      </c>
      <c r="F8" s="184">
        <f>'2. Loss Trend Factor -- 1'!P13</f>
        <v>0.53146427705235277</v>
      </c>
      <c r="G8" s="184">
        <f>INDEX(LOGEST('2. Loss Trend Factor -- 1'!H24:H27,,,TRUE),3)</f>
        <v>0.4159198966607382</v>
      </c>
    </row>
    <row r="10" spans="1:7" x14ac:dyDescent="0.25">
      <c r="B10" s="147" t="s">
        <v>216</v>
      </c>
      <c r="C10" s="147" t="s">
        <v>32</v>
      </c>
      <c r="D10" s="147" t="s">
        <v>215</v>
      </c>
    </row>
    <row r="11" spans="1:7" x14ac:dyDescent="0.25">
      <c r="A11" t="s">
        <v>10</v>
      </c>
      <c r="B11" s="170">
        <f>(1+B3)*(1+D3)-1</f>
        <v>2.9792670128409027E-2</v>
      </c>
      <c r="C11" s="186">
        <f>F3</f>
        <v>2.9792670128409249E-2</v>
      </c>
      <c r="D11" s="186">
        <f>ABS(B11-C11)</f>
        <v>2.2204460492503131E-16</v>
      </c>
    </row>
    <row r="12" spans="1:7" x14ac:dyDescent="0.25">
      <c r="A12" t="s">
        <v>11</v>
      </c>
      <c r="B12" s="170">
        <f t="shared" ref="B12:B16" si="0">(1+B4)*(1+D4)-1</f>
        <v>2.7404462622763637E-2</v>
      </c>
      <c r="C12" s="186">
        <f t="shared" ref="C12:C16" si="1">F4</f>
        <v>2.7404462622763859E-2</v>
      </c>
      <c r="D12" s="186">
        <f t="shared" ref="D12:D16" si="2">ABS(B12-C12)</f>
        <v>2.2204460492503131E-16</v>
      </c>
    </row>
    <row r="13" spans="1:7" x14ac:dyDescent="0.25">
      <c r="A13" t="s">
        <v>12</v>
      </c>
      <c r="B13" s="170">
        <f t="shared" si="0"/>
        <v>8.4378529186307727E-2</v>
      </c>
      <c r="C13" s="186">
        <f t="shared" si="1"/>
        <v>8.4378529186308393E-2</v>
      </c>
      <c r="D13" s="186">
        <f t="shared" si="2"/>
        <v>6.6613381477509392E-16</v>
      </c>
    </row>
    <row r="14" spans="1:7" x14ac:dyDescent="0.25">
      <c r="A14" t="s">
        <v>214</v>
      </c>
      <c r="B14" s="170">
        <f t="shared" si="0"/>
        <v>7.4541567284368115E-2</v>
      </c>
      <c r="C14" s="186">
        <f t="shared" si="1"/>
        <v>7.4541567284368115E-2</v>
      </c>
      <c r="D14" s="186">
        <f t="shared" si="2"/>
        <v>0</v>
      </c>
    </row>
    <row r="15" spans="1:7" x14ac:dyDescent="0.25">
      <c r="A15" t="s">
        <v>14</v>
      </c>
      <c r="B15" s="170">
        <f t="shared" si="0"/>
        <v>-2.7303526355143548E-3</v>
      </c>
      <c r="C15" s="186">
        <f t="shared" si="1"/>
        <v>-2.7303526355147989E-3</v>
      </c>
      <c r="D15" s="186">
        <f t="shared" si="2"/>
        <v>4.4408920985006262E-16</v>
      </c>
    </row>
    <row r="16" spans="1:7" x14ac:dyDescent="0.25">
      <c r="A16" t="s">
        <v>15</v>
      </c>
      <c r="B16" s="170">
        <f t="shared" si="0"/>
        <v>0.53146427705235255</v>
      </c>
      <c r="C16" s="186">
        <f t="shared" si="1"/>
        <v>0.53146427705235277</v>
      </c>
      <c r="D16" s="186">
        <f t="shared" si="2"/>
        <v>2.2204460492503131E-16</v>
      </c>
    </row>
  </sheetData>
  <mergeCells count="3">
    <mergeCell ref="B1:C1"/>
    <mergeCell ref="D1:E1"/>
    <mergeCell ref="F1:G1"/>
  </mergeCells>
  <pageMargins left="0.7" right="0.7" top="0.75" bottom="0.75" header="0.3" footer="0.3"/>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2:AO82"/>
  <sheetViews>
    <sheetView showGridLines="0" zoomScaleNormal="100" zoomScalePageLayoutView="73" workbookViewId="0"/>
  </sheetViews>
  <sheetFormatPr defaultColWidth="8.875" defaultRowHeight="15" x14ac:dyDescent="0.25"/>
  <cols>
    <col min="3" max="4" width="9.25" bestFit="1" customWidth="1"/>
    <col min="5" max="5" width="10.375" customWidth="1"/>
    <col min="6" max="6" width="10.375" bestFit="1" customWidth="1"/>
    <col min="7" max="7" width="11.375" bestFit="1" customWidth="1"/>
    <col min="8" max="8" width="12.375" customWidth="1"/>
    <col min="9" max="9" width="10.75" customWidth="1"/>
    <col min="11" max="11" width="10.875" customWidth="1"/>
    <col min="13" max="13" width="10.375" customWidth="1"/>
    <col min="14" max="14" width="12" customWidth="1"/>
    <col min="15" max="15" width="9.25" bestFit="1" customWidth="1"/>
    <col min="16" max="16" width="10.125" customWidth="1"/>
    <col min="17" max="17" width="10.375" bestFit="1" customWidth="1"/>
    <col min="18" max="18" width="12.375" customWidth="1"/>
    <col min="19" max="19" width="10.125" bestFit="1" customWidth="1"/>
    <col min="20" max="20" width="9.25" style="77" bestFit="1" customWidth="1"/>
    <col min="21" max="21" width="3.25" style="25" customWidth="1"/>
    <col min="23" max="23" width="7.875" customWidth="1"/>
    <col min="24" max="24" width="9.75" customWidth="1"/>
    <col min="25" max="25" width="9.25" style="15" bestFit="1" customWidth="1"/>
    <col min="26" max="26" width="11.375" customWidth="1"/>
    <col min="27" max="27" width="13.375" customWidth="1"/>
    <col min="28" max="28" width="11.375" bestFit="1" customWidth="1"/>
    <col min="29" max="29" width="12.375" customWidth="1"/>
    <col min="30" max="30" width="9.125" customWidth="1"/>
    <col min="32" max="32" width="13" customWidth="1"/>
    <col min="34" max="34" width="10.875" customWidth="1"/>
    <col min="35" max="35" width="10.25" customWidth="1"/>
    <col min="36" max="36" width="9.25" bestFit="1" customWidth="1"/>
    <col min="37" max="38" width="9.75" customWidth="1"/>
    <col min="39" max="39" width="13.125" customWidth="1"/>
    <col min="40" max="40" width="10.125" customWidth="1"/>
    <col min="41" max="41" width="10.375" style="25" bestFit="1" customWidth="1"/>
  </cols>
  <sheetData>
    <row r="2" spans="1:37" x14ac:dyDescent="0.25">
      <c r="A2" s="14" t="str">
        <f>Institution</f>
        <v>OU</v>
      </c>
      <c r="B2" s="14"/>
      <c r="C2" s="14"/>
      <c r="D2" s="14"/>
      <c r="E2" s="14"/>
      <c r="F2" s="14"/>
      <c r="G2" s="14"/>
      <c r="H2" s="14"/>
      <c r="W2" s="14"/>
      <c r="X2" s="14" t="str">
        <f>Institution</f>
        <v>OU</v>
      </c>
      <c r="Z2" s="14"/>
      <c r="AA2" s="14"/>
      <c r="AB2" s="14"/>
      <c r="AC2" s="14"/>
    </row>
    <row r="3" spans="1:37" x14ac:dyDescent="0.25">
      <c r="A3" s="14" t="str">
        <f>Company</f>
        <v>Self-Insured Auto Program</v>
      </c>
      <c r="B3" s="14"/>
      <c r="C3" s="14"/>
      <c r="D3" s="14"/>
      <c r="E3" s="14"/>
      <c r="F3" s="14"/>
      <c r="G3" s="14"/>
      <c r="H3" s="14"/>
      <c r="W3" s="14"/>
      <c r="X3" s="14" t="str">
        <f>Company</f>
        <v>Self-Insured Auto Program</v>
      </c>
      <c r="Z3" s="14"/>
      <c r="AA3" s="14"/>
      <c r="AB3" s="14"/>
      <c r="AC3" s="14"/>
    </row>
    <row r="4" spans="1:37" x14ac:dyDescent="0.25">
      <c r="A4" s="14" t="str">
        <f>LOB</f>
        <v>Cars without Safety Features</v>
      </c>
      <c r="B4" s="14"/>
      <c r="C4" s="14"/>
      <c r="D4" s="14"/>
      <c r="E4" s="14"/>
      <c r="F4" s="14"/>
      <c r="G4" s="14"/>
      <c r="H4" s="14"/>
      <c r="W4" s="14"/>
      <c r="X4" s="14" t="str">
        <f>Inputs!A10</f>
        <v>Cars with Safety Features</v>
      </c>
      <c r="Z4" s="14"/>
      <c r="AA4" s="14"/>
      <c r="AB4" s="14"/>
      <c r="AC4" s="14"/>
    </row>
    <row r="6" spans="1:37" x14ac:dyDescent="0.25">
      <c r="C6" s="38">
        <v>1</v>
      </c>
      <c r="D6" s="38">
        <f t="shared" ref="D6:H6" si="0">C6+1</f>
        <v>2</v>
      </c>
      <c r="E6" s="38">
        <f t="shared" si="0"/>
        <v>3</v>
      </c>
      <c r="F6" s="38">
        <f t="shared" si="0"/>
        <v>4</v>
      </c>
      <c r="G6" s="38">
        <f t="shared" si="0"/>
        <v>5</v>
      </c>
      <c r="H6" s="38">
        <f t="shared" si="0"/>
        <v>6</v>
      </c>
      <c r="N6" s="8" t="s">
        <v>9</v>
      </c>
      <c r="O6" s="14"/>
      <c r="P6" s="14"/>
      <c r="X6" s="38">
        <v>1</v>
      </c>
      <c r="Y6" s="38">
        <f t="shared" ref="Y6" si="1">X6+1</f>
        <v>2</v>
      </c>
      <c r="Z6" s="38">
        <f t="shared" ref="Z6" si="2">Y6+1</f>
        <v>3</v>
      </c>
      <c r="AA6" s="38">
        <f t="shared" ref="AA6" si="3">Z6+1</f>
        <v>4</v>
      </c>
      <c r="AB6" s="38">
        <f t="shared" ref="AB6" si="4">AA6+1</f>
        <v>5</v>
      </c>
      <c r="AC6" s="38">
        <f t="shared" ref="AC6" si="5">AB6+1</f>
        <v>6</v>
      </c>
      <c r="AI6" s="8" t="s">
        <v>9</v>
      </c>
      <c r="AJ6" s="14"/>
      <c r="AK6" s="14"/>
    </row>
    <row r="7" spans="1:37" ht="45" x14ac:dyDescent="0.25">
      <c r="A7" s="39" t="s">
        <v>53</v>
      </c>
      <c r="B7" s="39" t="s">
        <v>8</v>
      </c>
      <c r="C7" s="39" t="s">
        <v>16</v>
      </c>
      <c r="D7" s="39" t="s">
        <v>29</v>
      </c>
      <c r="E7" s="39" t="s">
        <v>28</v>
      </c>
      <c r="F7" s="39" t="s">
        <v>30</v>
      </c>
      <c r="G7" s="39" t="s">
        <v>31</v>
      </c>
      <c r="H7" s="39" t="s">
        <v>128</v>
      </c>
      <c r="M7" s="8"/>
      <c r="N7" s="3" t="s">
        <v>30</v>
      </c>
      <c r="O7" s="3" t="s">
        <v>31</v>
      </c>
      <c r="P7" s="3" t="s">
        <v>32</v>
      </c>
      <c r="V7" s="39" t="s">
        <v>53</v>
      </c>
      <c r="W7" s="39" t="s">
        <v>8</v>
      </c>
      <c r="X7" s="39" t="s">
        <v>16</v>
      </c>
      <c r="Y7" s="39" t="s">
        <v>29</v>
      </c>
      <c r="Z7" s="39" t="s">
        <v>28</v>
      </c>
      <c r="AA7" s="39" t="s">
        <v>30</v>
      </c>
      <c r="AB7" s="39" t="s">
        <v>31</v>
      </c>
      <c r="AC7" s="39" t="s">
        <v>128</v>
      </c>
      <c r="AH7" s="8"/>
      <c r="AI7" s="3" t="s">
        <v>30</v>
      </c>
      <c r="AJ7" s="3" t="s">
        <v>31</v>
      </c>
      <c r="AK7" s="3" t="s">
        <v>32</v>
      </c>
    </row>
    <row r="8" spans="1:37" x14ac:dyDescent="0.25">
      <c r="A8" s="15">
        <f t="shared" ref="A8:A20" si="6">IF(B9=1,A9-1,A9)</f>
        <v>2010</v>
      </c>
      <c r="B8" s="15">
        <f t="shared" ref="B8:B20" si="7">IF(B9=1,4,B9-1)</f>
        <v>1</v>
      </c>
      <c r="C8" s="50">
        <v>879</v>
      </c>
      <c r="D8" s="44">
        <v>33</v>
      </c>
      <c r="E8" s="52">
        <v>107130</v>
      </c>
      <c r="F8" s="41">
        <f>D8/C8</f>
        <v>3.7542662116040959E-2</v>
      </c>
      <c r="G8" s="51">
        <f>E8/D8</f>
        <v>3246.3636363636365</v>
      </c>
      <c r="H8" s="53">
        <f>E8/C8</f>
        <v>121.87713310580205</v>
      </c>
      <c r="M8" t="s">
        <v>10</v>
      </c>
      <c r="N8" s="40">
        <f>LOGEST(F$8:F$27)^4-1</f>
        <v>-1.6807177162067144E-2</v>
      </c>
      <c r="O8" s="40">
        <f>LOGEST(G$8:G$27)^4-1</f>
        <v>4.7396447785255535E-2</v>
      </c>
      <c r="P8" s="40">
        <f>LOGEST(H$8:H$27)^4-1</f>
        <v>2.9792670128409249E-2</v>
      </c>
      <c r="V8" s="15">
        <f t="shared" ref="V8:V23" si="8">IF(W9=1,V9-1,V9)</f>
        <v>2010</v>
      </c>
      <c r="W8" s="15">
        <f t="shared" ref="W8:W23" si="9">IF(W9=1,4,W9-1)</f>
        <v>1</v>
      </c>
      <c r="X8" s="119">
        <f>C8</f>
        <v>879</v>
      </c>
      <c r="Y8" s="120">
        <f t="shared" ref="Y8:Z8" si="10">D8</f>
        <v>33</v>
      </c>
      <c r="Z8" s="121">
        <f t="shared" si="10"/>
        <v>107130</v>
      </c>
      <c r="AA8" s="122">
        <f>Y8/X8*'0. Adjust losses for new book'!$C$26</f>
        <v>1.877133105802048E-2</v>
      </c>
      <c r="AB8" s="123">
        <f>Z8/Y8*'0. Adjust losses for new book'!$C$27</f>
        <v>2376.338181818182</v>
      </c>
      <c r="AC8" s="53">
        <f>Z8/X8</f>
        <v>121.87713310580205</v>
      </c>
      <c r="AH8" t="s">
        <v>10</v>
      </c>
      <c r="AI8" s="40">
        <f>LOGEST(AA$8:AA$27)^4-1</f>
        <v>-1.6807177162067144E-2</v>
      </c>
      <c r="AJ8" s="40">
        <f>LOGEST(AB$8:AB$27)^4-1</f>
        <v>4.7396447785255535E-2</v>
      </c>
      <c r="AK8" s="40">
        <f>LOGEST(AC$8:AC$27)^4-1</f>
        <v>2.9792670128409249E-2</v>
      </c>
    </row>
    <row r="9" spans="1:37" x14ac:dyDescent="0.25">
      <c r="A9" s="15">
        <f t="shared" si="6"/>
        <v>2010</v>
      </c>
      <c r="B9" s="15">
        <f t="shared" si="7"/>
        <v>2</v>
      </c>
      <c r="C9" s="50">
        <v>885</v>
      </c>
      <c r="D9" s="44">
        <v>30</v>
      </c>
      <c r="E9" s="52">
        <v>83125</v>
      </c>
      <c r="F9" s="41">
        <f t="shared" ref="F9:F27" si="11">D9/C9</f>
        <v>3.3898305084745763E-2</v>
      </c>
      <c r="G9" s="51">
        <f t="shared" ref="G9:G27" si="12">E9/D9</f>
        <v>2770.8333333333335</v>
      </c>
      <c r="H9" s="53">
        <f t="shared" ref="H9:H27" si="13">E9/C9</f>
        <v>93.926553672316388</v>
      </c>
      <c r="M9" t="s">
        <v>11</v>
      </c>
      <c r="N9" s="40">
        <f>LOGEST(F$12:F$27)^4-1</f>
        <v>-1.6847071125880575E-3</v>
      </c>
      <c r="O9" s="40">
        <f>LOGEST(G$12:G$27)^4-1</f>
        <v>2.9138259167820202E-2</v>
      </c>
      <c r="P9" s="40">
        <f>LOGEST(H$12:H$27)^4-1</f>
        <v>2.7404462622763859E-2</v>
      </c>
      <c r="V9" s="15">
        <f t="shared" si="8"/>
        <v>2010</v>
      </c>
      <c r="W9" s="15">
        <f t="shared" si="9"/>
        <v>2</v>
      </c>
      <c r="X9" s="119">
        <f t="shared" ref="X9:X27" si="14">C9</f>
        <v>885</v>
      </c>
      <c r="Y9" s="120">
        <f t="shared" ref="Y9:Y27" si="15">D9</f>
        <v>30</v>
      </c>
      <c r="Z9" s="121">
        <f t="shared" ref="Z9:Z27" si="16">E9</f>
        <v>83125</v>
      </c>
      <c r="AA9" s="122">
        <f>Y9/X9*'0. Adjust losses for new book'!$C$26</f>
        <v>1.6949152542372881E-2</v>
      </c>
      <c r="AB9" s="123">
        <f>Z9/Y9*'0. Adjust losses for new book'!$C$27</f>
        <v>2028.25</v>
      </c>
      <c r="AC9" s="53">
        <f t="shared" ref="AC9:AC27" si="17">Z9/X9</f>
        <v>93.926553672316388</v>
      </c>
      <c r="AH9" t="s">
        <v>11</v>
      </c>
      <c r="AI9" s="40">
        <f>LOGEST(AA$12:AA$27)^4-1</f>
        <v>-1.6847071125880575E-3</v>
      </c>
      <c r="AJ9" s="40">
        <f>LOGEST(AB$12:AB$27)^4-1</f>
        <v>2.9138259167820202E-2</v>
      </c>
      <c r="AK9" s="40">
        <f>LOGEST(AC$12:AC$27)^4-1</f>
        <v>2.7404462622763859E-2</v>
      </c>
    </row>
    <row r="10" spans="1:37" x14ac:dyDescent="0.25">
      <c r="A10" s="15">
        <f t="shared" si="6"/>
        <v>2010</v>
      </c>
      <c r="B10" s="15">
        <f t="shared" si="7"/>
        <v>3</v>
      </c>
      <c r="C10" s="50">
        <v>891</v>
      </c>
      <c r="D10" s="44">
        <v>30</v>
      </c>
      <c r="E10" s="52">
        <v>100391</v>
      </c>
      <c r="F10" s="41">
        <f t="shared" si="11"/>
        <v>3.3670033670033669E-2</v>
      </c>
      <c r="G10" s="51">
        <f t="shared" si="12"/>
        <v>3346.3666666666668</v>
      </c>
      <c r="H10" s="53">
        <f t="shared" si="13"/>
        <v>112.67227833894501</v>
      </c>
      <c r="M10" t="s">
        <v>12</v>
      </c>
      <c r="N10" s="40">
        <f>LOGEST(F$16:F$27)^4-1</f>
        <v>2.3866572275518694E-2</v>
      </c>
      <c r="O10" s="40">
        <f>LOGEST(G$16:G$27)^4-1</f>
        <v>5.9101408864538518E-2</v>
      </c>
      <c r="P10" s="40">
        <f>LOGEST(H$16:H$27)^4-1</f>
        <v>8.4378529186308393E-2</v>
      </c>
      <c r="V10" s="15">
        <f t="shared" si="8"/>
        <v>2010</v>
      </c>
      <c r="W10" s="15">
        <f t="shared" si="9"/>
        <v>3</v>
      </c>
      <c r="X10" s="119">
        <f t="shared" si="14"/>
        <v>891</v>
      </c>
      <c r="Y10" s="120">
        <f t="shared" si="15"/>
        <v>30</v>
      </c>
      <c r="Z10" s="121">
        <f t="shared" si="16"/>
        <v>100391</v>
      </c>
      <c r="AA10" s="122">
        <f>Y10/X10*'0. Adjust losses for new book'!$C$26</f>
        <v>1.6835016835016835E-2</v>
      </c>
      <c r="AB10" s="123">
        <f>Z10/Y10*'0. Adjust losses for new book'!$C$27</f>
        <v>2449.5403999999999</v>
      </c>
      <c r="AC10" s="53">
        <f t="shared" si="17"/>
        <v>112.67227833894501</v>
      </c>
      <c r="AH10" t="s">
        <v>12</v>
      </c>
      <c r="AI10" s="40">
        <f>LOGEST(AA$16:AA$27)^4-1</f>
        <v>2.3866572275518694E-2</v>
      </c>
      <c r="AJ10" s="40">
        <f>LOGEST(AB$16:AB$27)^4-1</f>
        <v>5.9101408864538518E-2</v>
      </c>
      <c r="AK10" s="40">
        <f>LOGEST(AC$16:AC$27)^4-1</f>
        <v>8.4378529186308393E-2</v>
      </c>
    </row>
    <row r="11" spans="1:37" x14ac:dyDescent="0.25">
      <c r="A11" s="15">
        <f t="shared" si="6"/>
        <v>2010</v>
      </c>
      <c r="B11" s="15">
        <f t="shared" si="7"/>
        <v>4</v>
      </c>
      <c r="C11" s="50">
        <v>901</v>
      </c>
      <c r="D11" s="44">
        <v>50</v>
      </c>
      <c r="E11" s="52">
        <v>182188</v>
      </c>
      <c r="F11" s="41">
        <f t="shared" si="11"/>
        <v>5.549389567147614E-2</v>
      </c>
      <c r="G11" s="51">
        <f t="shared" si="12"/>
        <v>3643.76</v>
      </c>
      <c r="H11" s="53">
        <f t="shared" si="13"/>
        <v>202.20643729189788</v>
      </c>
      <c r="I11" s="4"/>
      <c r="M11" t="s">
        <v>13</v>
      </c>
      <c r="N11" s="40">
        <f>LOGEST(F$20:F$27)^4-1</f>
        <v>6.0659163341602262E-2</v>
      </c>
      <c r="O11" s="40">
        <f>LOGEST(G$20:G$27)^4-1</f>
        <v>1.3088468400187514E-2</v>
      </c>
      <c r="P11" s="40">
        <f>LOGEST(H$20:H$27)^4-1</f>
        <v>7.4541567284368115E-2</v>
      </c>
      <c r="V11" s="15">
        <f t="shared" si="8"/>
        <v>2010</v>
      </c>
      <c r="W11" s="15">
        <f t="shared" si="9"/>
        <v>4</v>
      </c>
      <c r="X11" s="119">
        <f t="shared" si="14"/>
        <v>901</v>
      </c>
      <c r="Y11" s="120">
        <f t="shared" si="15"/>
        <v>50</v>
      </c>
      <c r="Z11" s="121">
        <f t="shared" si="16"/>
        <v>182188</v>
      </c>
      <c r="AA11" s="122">
        <f>Y11/X11*'0. Adjust losses for new book'!$C$26</f>
        <v>2.774694783573807E-2</v>
      </c>
      <c r="AB11" s="123">
        <f>Z11/Y11*'0. Adjust losses for new book'!$C$27</f>
        <v>2667.2323200000001</v>
      </c>
      <c r="AC11" s="53">
        <f t="shared" si="17"/>
        <v>202.20643729189788</v>
      </c>
      <c r="AH11" t="s">
        <v>13</v>
      </c>
      <c r="AI11" s="40">
        <f>LOGEST(AA$20:AA$27)^4-1</f>
        <v>6.0659163341602262E-2</v>
      </c>
      <c r="AJ11" s="40">
        <f>LOGEST(AB$20:AB$27)^4-1</f>
        <v>1.3088468400187514E-2</v>
      </c>
      <c r="AK11" s="40">
        <f>LOGEST(AC$20:AC$27)^4-1</f>
        <v>7.4541567284368115E-2</v>
      </c>
    </row>
    <row r="12" spans="1:37" x14ac:dyDescent="0.25">
      <c r="A12" s="15">
        <f t="shared" si="6"/>
        <v>2011</v>
      </c>
      <c r="B12" s="15">
        <f t="shared" si="7"/>
        <v>1</v>
      </c>
      <c r="C12" s="50">
        <v>916</v>
      </c>
      <c r="D12" s="44">
        <v>33</v>
      </c>
      <c r="E12" s="52">
        <v>128962</v>
      </c>
      <c r="F12" s="41">
        <f t="shared" si="11"/>
        <v>3.6026200873362446E-2</v>
      </c>
      <c r="G12" s="51">
        <f t="shared" si="12"/>
        <v>3907.939393939394</v>
      </c>
      <c r="H12" s="53">
        <f t="shared" si="13"/>
        <v>140.7882096069869</v>
      </c>
      <c r="M12" t="s">
        <v>14</v>
      </c>
      <c r="N12" s="40">
        <f>LOGEST(F$22:F$27)^4-1</f>
        <v>4.8955276918282609E-2</v>
      </c>
      <c r="O12" s="40">
        <f>LOGEST(G$22:G$27)^4-1</f>
        <v>-4.9273434903386648E-2</v>
      </c>
      <c r="P12" s="40">
        <f>LOGEST(H$22:H$27)^4-1</f>
        <v>-2.7303526355147989E-3</v>
      </c>
      <c r="V12" s="15">
        <f t="shared" si="8"/>
        <v>2011</v>
      </c>
      <c r="W12" s="15">
        <f t="shared" si="9"/>
        <v>1</v>
      </c>
      <c r="X12" s="119">
        <f t="shared" si="14"/>
        <v>916</v>
      </c>
      <c r="Y12" s="120">
        <f t="shared" si="15"/>
        <v>33</v>
      </c>
      <c r="Z12" s="121">
        <f t="shared" si="16"/>
        <v>128962</v>
      </c>
      <c r="AA12" s="122">
        <f>Y12/X12*'0. Adjust losses for new book'!$C$26</f>
        <v>1.8013100436681223E-2</v>
      </c>
      <c r="AB12" s="123">
        <f>Z12/Y12*'0. Adjust losses for new book'!$C$27</f>
        <v>2860.6116363636365</v>
      </c>
      <c r="AC12" s="53">
        <f t="shared" si="17"/>
        <v>140.7882096069869</v>
      </c>
      <c r="AH12" t="s">
        <v>14</v>
      </c>
      <c r="AI12" s="40">
        <f>LOGEST(AA$22:AA$27)^4-1</f>
        <v>4.8955276918281498E-2</v>
      </c>
      <c r="AJ12" s="40">
        <f>LOGEST(AB$22:AB$27)^4-1</f>
        <v>-4.9273434903386648E-2</v>
      </c>
      <c r="AK12" s="40">
        <f>LOGEST(AC$22:AC$27)^4-1</f>
        <v>-2.7303526355147989E-3</v>
      </c>
    </row>
    <row r="13" spans="1:37" x14ac:dyDescent="0.25">
      <c r="A13" s="15">
        <f t="shared" si="6"/>
        <v>2011</v>
      </c>
      <c r="B13" s="15">
        <f t="shared" si="7"/>
        <v>2</v>
      </c>
      <c r="C13" s="50">
        <v>927</v>
      </c>
      <c r="D13" s="44">
        <v>32</v>
      </c>
      <c r="E13" s="52">
        <v>99681</v>
      </c>
      <c r="F13" s="41">
        <f t="shared" si="11"/>
        <v>3.4519956850053934E-2</v>
      </c>
      <c r="G13" s="51">
        <f t="shared" si="12"/>
        <v>3115.03125</v>
      </c>
      <c r="H13" s="53">
        <f t="shared" si="13"/>
        <v>107.53074433656958</v>
      </c>
      <c r="M13" t="s">
        <v>15</v>
      </c>
      <c r="N13" s="40">
        <f>LOGEST(F$24:F$27)^4-1</f>
        <v>0.30302589101502408</v>
      </c>
      <c r="O13" s="40">
        <f>LOGEST(G$24:G$27)^4-1</f>
        <v>0.17531377358847466</v>
      </c>
      <c r="P13" s="40">
        <f>LOGEST(H$24:H$27)^4-1</f>
        <v>0.53146427705235277</v>
      </c>
      <c r="V13" s="15">
        <f t="shared" si="8"/>
        <v>2011</v>
      </c>
      <c r="W13" s="15">
        <f t="shared" si="9"/>
        <v>2</v>
      </c>
      <c r="X13" s="119">
        <f t="shared" si="14"/>
        <v>927</v>
      </c>
      <c r="Y13" s="120">
        <f t="shared" si="15"/>
        <v>32</v>
      </c>
      <c r="Z13" s="121">
        <f t="shared" si="16"/>
        <v>99681</v>
      </c>
      <c r="AA13" s="122">
        <f>Y13/X13*'0. Adjust losses for new book'!$C$26</f>
        <v>1.7259978425026967E-2</v>
      </c>
      <c r="AB13" s="123">
        <f>Z13/Y13*'0. Adjust losses for new book'!$C$27</f>
        <v>2280.2028749999999</v>
      </c>
      <c r="AC13" s="53">
        <f t="shared" si="17"/>
        <v>107.53074433656958</v>
      </c>
      <c r="AH13" t="s">
        <v>15</v>
      </c>
      <c r="AI13" s="40">
        <f>LOGEST(AA$24:AA$27)^4-1</f>
        <v>0.30302589101502408</v>
      </c>
      <c r="AJ13" s="40">
        <f>LOGEST(AB$24:AB$27)^4-1</f>
        <v>0.17531377358847378</v>
      </c>
      <c r="AK13" s="40">
        <f>LOGEST(AC$24:AC$27)^4-1</f>
        <v>0.53146427705235277</v>
      </c>
    </row>
    <row r="14" spans="1:37" x14ac:dyDescent="0.25">
      <c r="A14" s="15">
        <f t="shared" si="6"/>
        <v>2011</v>
      </c>
      <c r="B14" s="15">
        <f t="shared" si="7"/>
        <v>3</v>
      </c>
      <c r="C14" s="50">
        <v>936</v>
      </c>
      <c r="D14" s="44">
        <v>32</v>
      </c>
      <c r="E14" s="52">
        <v>135595</v>
      </c>
      <c r="F14" s="41">
        <f t="shared" si="11"/>
        <v>3.4188034188034191E-2</v>
      </c>
      <c r="G14" s="51">
        <f t="shared" si="12"/>
        <v>4237.34375</v>
      </c>
      <c r="H14" s="53">
        <f t="shared" si="13"/>
        <v>144.866452991453</v>
      </c>
      <c r="V14" s="15">
        <f t="shared" si="8"/>
        <v>2011</v>
      </c>
      <c r="W14" s="15">
        <f t="shared" si="9"/>
        <v>3</v>
      </c>
      <c r="X14" s="119">
        <f t="shared" si="14"/>
        <v>936</v>
      </c>
      <c r="Y14" s="120">
        <f t="shared" si="15"/>
        <v>32</v>
      </c>
      <c r="Z14" s="121">
        <f t="shared" si="16"/>
        <v>135595</v>
      </c>
      <c r="AA14" s="122">
        <f>Y14/X14*'0. Adjust losses for new book'!$C$26</f>
        <v>1.7094017094017096E-2</v>
      </c>
      <c r="AB14" s="123">
        <f>Z14/Y14*'0. Adjust losses for new book'!$C$27</f>
        <v>3101.7356249999998</v>
      </c>
      <c r="AC14" s="53">
        <f t="shared" si="17"/>
        <v>144.866452991453</v>
      </c>
    </row>
    <row r="15" spans="1:37" x14ac:dyDescent="0.25">
      <c r="A15" s="15">
        <f t="shared" si="6"/>
        <v>2011</v>
      </c>
      <c r="B15" s="15">
        <f t="shared" si="7"/>
        <v>4</v>
      </c>
      <c r="C15" s="50">
        <v>940</v>
      </c>
      <c r="D15" s="44">
        <v>41</v>
      </c>
      <c r="E15" s="52">
        <v>157440</v>
      </c>
      <c r="F15" s="41">
        <f t="shared" si="11"/>
        <v>4.3617021276595745E-2</v>
      </c>
      <c r="G15" s="51">
        <f t="shared" si="12"/>
        <v>3840</v>
      </c>
      <c r="H15" s="53">
        <f t="shared" si="13"/>
        <v>167.48936170212767</v>
      </c>
      <c r="M15" s="144" t="s">
        <v>33</v>
      </c>
      <c r="P15" s="141"/>
      <c r="V15" s="15">
        <f t="shared" si="8"/>
        <v>2011</v>
      </c>
      <c r="W15" s="15">
        <f t="shared" si="9"/>
        <v>4</v>
      </c>
      <c r="X15" s="119">
        <f t="shared" si="14"/>
        <v>940</v>
      </c>
      <c r="Y15" s="120">
        <f t="shared" si="15"/>
        <v>41</v>
      </c>
      <c r="Z15" s="121">
        <f t="shared" si="16"/>
        <v>157440</v>
      </c>
      <c r="AA15" s="122">
        <f>Y15/X15*'0. Adjust losses for new book'!$C$26</f>
        <v>2.1808510638297873E-2</v>
      </c>
      <c r="AB15" s="123">
        <f>Z15/Y15*'0. Adjust losses for new book'!$C$27</f>
        <v>2810.88</v>
      </c>
      <c r="AC15" s="53">
        <f t="shared" si="17"/>
        <v>167.48936170212767</v>
      </c>
      <c r="AH15" s="25" t="s">
        <v>33</v>
      </c>
      <c r="AK15" s="141"/>
    </row>
    <row r="16" spans="1:37" x14ac:dyDescent="0.25">
      <c r="A16" s="15">
        <f t="shared" si="6"/>
        <v>2012</v>
      </c>
      <c r="B16" s="15">
        <f t="shared" si="7"/>
        <v>1</v>
      </c>
      <c r="C16" s="50">
        <v>936</v>
      </c>
      <c r="D16" s="44">
        <v>31</v>
      </c>
      <c r="E16" s="52">
        <v>131837</v>
      </c>
      <c r="F16" s="41">
        <f t="shared" si="11"/>
        <v>3.311965811965812E-2</v>
      </c>
      <c r="G16" s="51">
        <f t="shared" si="12"/>
        <v>4252.8064516129034</v>
      </c>
      <c r="H16" s="53">
        <f t="shared" si="13"/>
        <v>140.85149572649573</v>
      </c>
      <c r="M16" t="s">
        <v>34</v>
      </c>
      <c r="N16" s="145">
        <v>0.01</v>
      </c>
      <c r="O16" s="145">
        <v>0.03</v>
      </c>
      <c r="P16" s="146">
        <f t="shared" ref="P16" si="18">(1+N16)*(1+O16)-1</f>
        <v>4.0300000000000002E-2</v>
      </c>
      <c r="V16" s="15">
        <f t="shared" si="8"/>
        <v>2012</v>
      </c>
      <c r="W16" s="15">
        <f t="shared" si="9"/>
        <v>1</v>
      </c>
      <c r="X16" s="119">
        <f t="shared" si="14"/>
        <v>936</v>
      </c>
      <c r="Y16" s="120">
        <f t="shared" si="15"/>
        <v>31</v>
      </c>
      <c r="Z16" s="121">
        <f t="shared" si="16"/>
        <v>131837</v>
      </c>
      <c r="AA16" s="122">
        <f>Y16/X16*'0. Adjust losses for new book'!$C$26</f>
        <v>1.655982905982906E-2</v>
      </c>
      <c r="AB16" s="123">
        <f>Z16/Y16*'0. Adjust losses for new book'!$C$27</f>
        <v>3113.054322580645</v>
      </c>
      <c r="AC16" s="53">
        <f t="shared" si="17"/>
        <v>140.85149572649573</v>
      </c>
      <c r="AH16" t="s">
        <v>34</v>
      </c>
      <c r="AI16" s="145">
        <v>0.01</v>
      </c>
      <c r="AJ16" s="145">
        <v>0.03</v>
      </c>
      <c r="AK16" s="146">
        <f t="shared" ref="AK16" si="19">(1+AI16)*(1+AJ16)-1</f>
        <v>4.0300000000000002E-2</v>
      </c>
    </row>
    <row r="17" spans="1:37" x14ac:dyDescent="0.25">
      <c r="A17" s="15">
        <f t="shared" si="6"/>
        <v>2012</v>
      </c>
      <c r="B17" s="15">
        <f t="shared" si="7"/>
        <v>2</v>
      </c>
      <c r="C17" s="50">
        <v>931</v>
      </c>
      <c r="D17" s="44">
        <v>31</v>
      </c>
      <c r="E17" s="52">
        <v>100536</v>
      </c>
      <c r="F17" s="41">
        <f t="shared" si="11"/>
        <v>3.3297529538131039E-2</v>
      </c>
      <c r="G17" s="51">
        <f t="shared" si="12"/>
        <v>3243.0967741935483</v>
      </c>
      <c r="H17" s="53">
        <f t="shared" si="13"/>
        <v>107.98711063372717</v>
      </c>
      <c r="M17" t="s">
        <v>35</v>
      </c>
      <c r="N17" s="142">
        <f>N10</f>
        <v>2.3866572275518694E-2</v>
      </c>
      <c r="O17" s="143">
        <f>O10</f>
        <v>5.9101408864538518E-2</v>
      </c>
      <c r="P17" s="60">
        <f>P10</f>
        <v>8.4378529186308393E-2</v>
      </c>
      <c r="V17" s="15">
        <f t="shared" si="8"/>
        <v>2012</v>
      </c>
      <c r="W17" s="15">
        <f t="shared" si="9"/>
        <v>2</v>
      </c>
      <c r="X17" s="119">
        <f t="shared" si="14"/>
        <v>931</v>
      </c>
      <c r="Y17" s="120">
        <f t="shared" si="15"/>
        <v>31</v>
      </c>
      <c r="Z17" s="121">
        <f t="shared" si="16"/>
        <v>100536</v>
      </c>
      <c r="AA17" s="122">
        <f>Y17/X17*'0. Adjust losses for new book'!$C$26</f>
        <v>1.664876476906552E-2</v>
      </c>
      <c r="AB17" s="123">
        <f>Z17/Y17*'0. Adjust losses for new book'!$C$27</f>
        <v>2373.9468387096772</v>
      </c>
      <c r="AC17" s="53">
        <f t="shared" si="17"/>
        <v>107.98711063372717</v>
      </c>
      <c r="AH17" t="s">
        <v>35</v>
      </c>
      <c r="AI17" s="142">
        <f>AI10</f>
        <v>2.3866572275518694E-2</v>
      </c>
      <c r="AJ17" s="142">
        <f>AJ10</f>
        <v>5.9101408864538518E-2</v>
      </c>
      <c r="AK17" s="148">
        <f>AK10</f>
        <v>8.4378529186308393E-2</v>
      </c>
    </row>
    <row r="18" spans="1:37" x14ac:dyDescent="0.25">
      <c r="A18" s="15">
        <f t="shared" si="6"/>
        <v>2012</v>
      </c>
      <c r="B18" s="15">
        <f t="shared" si="7"/>
        <v>3</v>
      </c>
      <c r="C18" s="50">
        <v>927</v>
      </c>
      <c r="D18" s="44">
        <v>32</v>
      </c>
      <c r="E18" s="52">
        <v>107848</v>
      </c>
      <c r="F18" s="41">
        <f t="shared" si="11"/>
        <v>3.4519956850053934E-2</v>
      </c>
      <c r="G18" s="51">
        <f t="shared" si="12"/>
        <v>3370.25</v>
      </c>
      <c r="H18" s="53">
        <f t="shared" si="13"/>
        <v>116.34088457389429</v>
      </c>
      <c r="V18" s="15">
        <f t="shared" si="8"/>
        <v>2012</v>
      </c>
      <c r="W18" s="15">
        <f t="shared" si="9"/>
        <v>3</v>
      </c>
      <c r="X18" s="119">
        <f t="shared" si="14"/>
        <v>927</v>
      </c>
      <c r="Y18" s="120">
        <f t="shared" si="15"/>
        <v>32</v>
      </c>
      <c r="Z18" s="121">
        <f t="shared" si="16"/>
        <v>107848</v>
      </c>
      <c r="AA18" s="122">
        <f>Y18/X18*'0. Adjust losses for new book'!$C$26</f>
        <v>1.7259978425026967E-2</v>
      </c>
      <c r="AB18" s="123">
        <f>Z18/Y18*'0. Adjust losses for new book'!$C$27</f>
        <v>2467.0230000000001</v>
      </c>
      <c r="AC18" s="53">
        <f t="shared" si="17"/>
        <v>116.34088457389429</v>
      </c>
    </row>
    <row r="19" spans="1:37" x14ac:dyDescent="0.25">
      <c r="A19" s="15">
        <f t="shared" si="6"/>
        <v>2012</v>
      </c>
      <c r="B19" s="15">
        <f t="shared" si="7"/>
        <v>4</v>
      </c>
      <c r="C19" s="50">
        <v>927</v>
      </c>
      <c r="D19" s="44">
        <v>37</v>
      </c>
      <c r="E19" s="52">
        <v>109682</v>
      </c>
      <c r="F19" s="41">
        <f t="shared" si="11"/>
        <v>3.9913700107874865E-2</v>
      </c>
      <c r="G19" s="51">
        <f t="shared" si="12"/>
        <v>2964.3783783783783</v>
      </c>
      <c r="H19" s="53">
        <f t="shared" si="13"/>
        <v>118.31930960086299</v>
      </c>
      <c r="I19" s="12">
        <v>1</v>
      </c>
      <c r="J19" t="s">
        <v>92</v>
      </c>
      <c r="V19" s="15">
        <f t="shared" si="8"/>
        <v>2012</v>
      </c>
      <c r="W19" s="15">
        <f t="shared" si="9"/>
        <v>4</v>
      </c>
      <c r="X19" s="119">
        <f t="shared" si="14"/>
        <v>927</v>
      </c>
      <c r="Y19" s="120">
        <f t="shared" si="15"/>
        <v>37</v>
      </c>
      <c r="Z19" s="121">
        <f t="shared" si="16"/>
        <v>109682</v>
      </c>
      <c r="AA19" s="122">
        <f>Y19/X19*'0. Adjust losses for new book'!$C$26</f>
        <v>1.9956850053937433E-2</v>
      </c>
      <c r="AB19" s="123">
        <f>Z19/Y19*'0. Adjust losses for new book'!$C$27</f>
        <v>2169.9249729729727</v>
      </c>
      <c r="AC19" s="53">
        <f t="shared" si="17"/>
        <v>118.31930960086299</v>
      </c>
      <c r="AD19" s="12">
        <v>1</v>
      </c>
      <c r="AE19" t="s">
        <v>92</v>
      </c>
    </row>
    <row r="20" spans="1:37" x14ac:dyDescent="0.25">
      <c r="A20" s="15">
        <f t="shared" si="6"/>
        <v>2013</v>
      </c>
      <c r="B20" s="15">
        <f t="shared" si="7"/>
        <v>1</v>
      </c>
      <c r="C20" s="50">
        <v>928</v>
      </c>
      <c r="D20" s="44">
        <v>30</v>
      </c>
      <c r="E20" s="52">
        <v>118936</v>
      </c>
      <c r="F20" s="41">
        <f t="shared" si="11"/>
        <v>3.2327586206896554E-2</v>
      </c>
      <c r="G20" s="51">
        <f t="shared" si="12"/>
        <v>3964.5333333333333</v>
      </c>
      <c r="H20" s="53">
        <f t="shared" si="13"/>
        <v>128.16379310344828</v>
      </c>
      <c r="I20" s="12">
        <f>I19+1</f>
        <v>2</v>
      </c>
      <c r="J20" t="s">
        <v>58</v>
      </c>
      <c r="V20" s="15">
        <f t="shared" si="8"/>
        <v>2013</v>
      </c>
      <c r="W20" s="15">
        <f t="shared" si="9"/>
        <v>1</v>
      </c>
      <c r="X20" s="119">
        <f t="shared" si="14"/>
        <v>928</v>
      </c>
      <c r="Y20" s="120">
        <f t="shared" si="15"/>
        <v>30</v>
      </c>
      <c r="Z20" s="121">
        <f t="shared" si="16"/>
        <v>118936</v>
      </c>
      <c r="AA20" s="122">
        <f>Y20/X20*'0. Adjust losses for new book'!$C$26</f>
        <v>1.6163793103448277E-2</v>
      </c>
      <c r="AB20" s="123">
        <f>Z20/Y20*'0. Adjust losses for new book'!$C$27</f>
        <v>2902.0383999999999</v>
      </c>
      <c r="AC20" s="53">
        <f t="shared" si="17"/>
        <v>128.16379310344828</v>
      </c>
      <c r="AD20" s="12">
        <f>AD19+1</f>
        <v>2</v>
      </c>
      <c r="AE20" t="s">
        <v>58</v>
      </c>
    </row>
    <row r="21" spans="1:37" x14ac:dyDescent="0.25">
      <c r="A21" s="15">
        <f t="shared" ref="A21:A23" si="20">IF(B22=1,A22-1,A22)</f>
        <v>2013</v>
      </c>
      <c r="B21" s="15">
        <f t="shared" ref="B21:B23" si="21">IF(B22=1,4,B22-1)</f>
        <v>2</v>
      </c>
      <c r="C21" s="50">
        <v>931</v>
      </c>
      <c r="D21" s="44">
        <v>32</v>
      </c>
      <c r="E21" s="52">
        <v>116245</v>
      </c>
      <c r="F21" s="41">
        <f t="shared" si="11"/>
        <v>3.4371643394199784E-2</v>
      </c>
      <c r="G21" s="51">
        <f t="shared" si="12"/>
        <v>3632.65625</v>
      </c>
      <c r="H21" s="53">
        <f t="shared" si="13"/>
        <v>124.86036519871107</v>
      </c>
      <c r="I21" s="12">
        <f>I20+1</f>
        <v>3</v>
      </c>
      <c r="J21" t="s">
        <v>82</v>
      </c>
      <c r="V21" s="15">
        <f t="shared" si="8"/>
        <v>2013</v>
      </c>
      <c r="W21" s="15">
        <f t="shared" si="9"/>
        <v>2</v>
      </c>
      <c r="X21" s="119">
        <f t="shared" si="14"/>
        <v>931</v>
      </c>
      <c r="Y21" s="120">
        <f t="shared" si="15"/>
        <v>32</v>
      </c>
      <c r="Z21" s="121">
        <f t="shared" si="16"/>
        <v>116245</v>
      </c>
      <c r="AA21" s="122">
        <f>Y21/X21*'0. Adjust losses for new book'!$C$26</f>
        <v>1.7185821697099892E-2</v>
      </c>
      <c r="AB21" s="123">
        <f>Z21/Y21*'0. Adjust losses for new book'!$C$27</f>
        <v>2659.1043749999999</v>
      </c>
      <c r="AC21" s="53">
        <f t="shared" si="17"/>
        <v>124.86036519871107</v>
      </c>
      <c r="AD21" s="12">
        <f>AD20+1</f>
        <v>3</v>
      </c>
      <c r="AE21" t="s">
        <v>82</v>
      </c>
    </row>
    <row r="22" spans="1:37" x14ac:dyDescent="0.25">
      <c r="A22" s="15">
        <f t="shared" si="20"/>
        <v>2013</v>
      </c>
      <c r="B22" s="15">
        <f t="shared" si="21"/>
        <v>3</v>
      </c>
      <c r="C22" s="50">
        <v>933</v>
      </c>
      <c r="D22" s="44">
        <v>30</v>
      </c>
      <c r="E22" s="52">
        <v>147148</v>
      </c>
      <c r="F22" s="41">
        <f t="shared" si="11"/>
        <v>3.215434083601286E-2</v>
      </c>
      <c r="G22" s="51">
        <f t="shared" si="12"/>
        <v>4904.9333333333334</v>
      </c>
      <c r="H22" s="53">
        <f t="shared" si="13"/>
        <v>157.71489817792067</v>
      </c>
      <c r="I22" s="12">
        <f>I21+1</f>
        <v>4</v>
      </c>
      <c r="J22" s="13" t="s">
        <v>59</v>
      </c>
      <c r="V22" s="15">
        <f t="shared" si="8"/>
        <v>2013</v>
      </c>
      <c r="W22" s="15">
        <f t="shared" si="9"/>
        <v>3</v>
      </c>
      <c r="X22" s="119">
        <f t="shared" si="14"/>
        <v>933</v>
      </c>
      <c r="Y22" s="120">
        <f t="shared" si="15"/>
        <v>30</v>
      </c>
      <c r="Z22" s="121">
        <f t="shared" si="16"/>
        <v>147148</v>
      </c>
      <c r="AA22" s="122">
        <f>Y22/X22*'0. Adjust losses for new book'!$C$26</f>
        <v>1.607717041800643E-2</v>
      </c>
      <c r="AB22" s="123">
        <f>Z22/Y22*'0. Adjust losses for new book'!$C$27</f>
        <v>3590.4112</v>
      </c>
      <c r="AC22" s="53">
        <f t="shared" si="17"/>
        <v>157.71489817792067</v>
      </c>
      <c r="AD22" s="12">
        <f>AD21+1</f>
        <v>4</v>
      </c>
      <c r="AE22" s="13" t="s">
        <v>59</v>
      </c>
    </row>
    <row r="23" spans="1:37" x14ac:dyDescent="0.25">
      <c r="A23" s="15">
        <f t="shared" si="20"/>
        <v>2013</v>
      </c>
      <c r="B23" s="15">
        <f t="shared" si="21"/>
        <v>4</v>
      </c>
      <c r="C23" s="50">
        <v>934</v>
      </c>
      <c r="D23" s="44">
        <v>40</v>
      </c>
      <c r="E23" s="52">
        <v>147390</v>
      </c>
      <c r="F23" s="41">
        <f t="shared" si="11"/>
        <v>4.2826552462526764E-2</v>
      </c>
      <c r="G23" s="51">
        <f t="shared" si="12"/>
        <v>3684.75</v>
      </c>
      <c r="H23" s="53">
        <f t="shared" si="13"/>
        <v>157.80513918629549</v>
      </c>
      <c r="I23" s="12">
        <f>I22+1</f>
        <v>5</v>
      </c>
      <c r="J23" s="13" t="s">
        <v>52</v>
      </c>
      <c r="V23" s="15">
        <f t="shared" si="8"/>
        <v>2013</v>
      </c>
      <c r="W23" s="15">
        <f t="shared" si="9"/>
        <v>4</v>
      </c>
      <c r="X23" s="119">
        <f t="shared" si="14"/>
        <v>934</v>
      </c>
      <c r="Y23" s="120">
        <f t="shared" si="15"/>
        <v>40</v>
      </c>
      <c r="Z23" s="121">
        <f t="shared" si="16"/>
        <v>147390</v>
      </c>
      <c r="AA23" s="122">
        <f>Y23/X23*'0. Adjust losses for new book'!$C$26</f>
        <v>2.1413276231263382E-2</v>
      </c>
      <c r="AB23" s="123">
        <f>Z23/Y23*'0. Adjust losses for new book'!$C$27</f>
        <v>2697.2370000000001</v>
      </c>
      <c r="AC23" s="53">
        <f t="shared" si="17"/>
        <v>157.80513918629549</v>
      </c>
      <c r="AD23" s="12">
        <f>AD22+1</f>
        <v>5</v>
      </c>
      <c r="AE23" s="13" t="s">
        <v>52</v>
      </c>
    </row>
    <row r="24" spans="1:37" x14ac:dyDescent="0.25">
      <c r="A24" s="15">
        <f>MAX('4. Expected loss and loss ratio'!$A$8:$A$13)</f>
        <v>2014</v>
      </c>
      <c r="B24" s="15">
        <f t="shared" ref="B24:B26" si="22">B25-1</f>
        <v>1</v>
      </c>
      <c r="C24" s="50">
        <v>938</v>
      </c>
      <c r="D24" s="44">
        <v>31</v>
      </c>
      <c r="E24" s="52">
        <v>125000</v>
      </c>
      <c r="F24" s="41">
        <f t="shared" si="11"/>
        <v>3.3049040511727079E-2</v>
      </c>
      <c r="G24" s="51">
        <f t="shared" si="12"/>
        <v>4032.2580645161293</v>
      </c>
      <c r="H24" s="53">
        <f t="shared" si="13"/>
        <v>133.26226012793177</v>
      </c>
      <c r="I24" s="12">
        <f>I23+1</f>
        <v>6</v>
      </c>
      <c r="J24" s="13" t="s">
        <v>60</v>
      </c>
      <c r="V24" s="15">
        <f>MAX('4. Expected loss and loss ratio'!$A$8:$A$13)</f>
        <v>2014</v>
      </c>
      <c r="W24" s="15">
        <f t="shared" ref="W24:W26" si="23">W25-1</f>
        <v>1</v>
      </c>
      <c r="X24" s="119">
        <f t="shared" si="14"/>
        <v>938</v>
      </c>
      <c r="Y24" s="120">
        <f t="shared" si="15"/>
        <v>31</v>
      </c>
      <c r="Z24" s="121">
        <f t="shared" si="16"/>
        <v>125000</v>
      </c>
      <c r="AA24" s="122">
        <f>Y24/X24*'0. Adjust losses for new book'!$C$26</f>
        <v>1.652452025586354E-2</v>
      </c>
      <c r="AB24" s="123">
        <f>Z24/Y24*'0. Adjust losses for new book'!$C$27</f>
        <v>2951.6129032258063</v>
      </c>
      <c r="AC24" s="53">
        <f t="shared" si="17"/>
        <v>133.26226012793177</v>
      </c>
      <c r="AD24" s="12">
        <f>AD23+1</f>
        <v>6</v>
      </c>
      <c r="AE24" s="13" t="s">
        <v>60</v>
      </c>
    </row>
    <row r="25" spans="1:37" x14ac:dyDescent="0.25">
      <c r="A25" s="15">
        <f>MAX('4. Expected loss and loss ratio'!$A$8:$A$13)</f>
        <v>2014</v>
      </c>
      <c r="B25" s="15">
        <f t="shared" si="22"/>
        <v>2</v>
      </c>
      <c r="C25" s="50">
        <v>944</v>
      </c>
      <c r="D25" s="44">
        <v>33</v>
      </c>
      <c r="E25" s="52">
        <v>97389</v>
      </c>
      <c r="F25" s="41">
        <f t="shared" si="11"/>
        <v>3.4957627118644065E-2</v>
      </c>
      <c r="G25" s="51">
        <f t="shared" si="12"/>
        <v>2951.181818181818</v>
      </c>
      <c r="H25" s="53">
        <f t="shared" si="13"/>
        <v>103.16631355932203</v>
      </c>
      <c r="V25" s="15">
        <f>MAX('4. Expected loss and loss ratio'!$A$8:$A$13)</f>
        <v>2014</v>
      </c>
      <c r="W25" s="15">
        <f t="shared" si="23"/>
        <v>2</v>
      </c>
      <c r="X25" s="119">
        <f t="shared" si="14"/>
        <v>944</v>
      </c>
      <c r="Y25" s="120">
        <f t="shared" si="15"/>
        <v>33</v>
      </c>
      <c r="Z25" s="121">
        <f t="shared" si="16"/>
        <v>97389</v>
      </c>
      <c r="AA25" s="122">
        <f>Y25/X25*'0. Adjust losses for new book'!$C$26</f>
        <v>1.7478813559322032E-2</v>
      </c>
      <c r="AB25" s="123">
        <f>Z25/Y25*'0. Adjust losses for new book'!$C$27</f>
        <v>2160.2650909090908</v>
      </c>
      <c r="AC25" s="53">
        <f t="shared" si="17"/>
        <v>103.16631355932203</v>
      </c>
    </row>
    <row r="26" spans="1:37" x14ac:dyDescent="0.25">
      <c r="A26" s="15">
        <f>MAX('4. Expected loss and loss ratio'!$A$8:$A$13)</f>
        <v>2014</v>
      </c>
      <c r="B26" s="15">
        <f t="shared" si="22"/>
        <v>3</v>
      </c>
      <c r="C26" s="50">
        <v>945</v>
      </c>
      <c r="D26" s="44">
        <v>27</v>
      </c>
      <c r="E26" s="52">
        <v>149892</v>
      </c>
      <c r="F26" s="41">
        <f t="shared" si="11"/>
        <v>2.8571428571428571E-2</v>
      </c>
      <c r="G26" s="51">
        <f t="shared" si="12"/>
        <v>5551.5555555555557</v>
      </c>
      <c r="H26" s="53">
        <f t="shared" si="13"/>
        <v>158.61587301587301</v>
      </c>
      <c r="I26" s="46"/>
      <c r="J26" s="49"/>
      <c r="V26" s="15">
        <f>MAX('4. Expected loss and loss ratio'!$A$8:$A$13)</f>
        <v>2014</v>
      </c>
      <c r="W26" s="15">
        <f t="shared" si="23"/>
        <v>3</v>
      </c>
      <c r="X26" s="119">
        <f t="shared" si="14"/>
        <v>945</v>
      </c>
      <c r="Y26" s="120">
        <f t="shared" si="15"/>
        <v>27</v>
      </c>
      <c r="Z26" s="121">
        <f t="shared" si="16"/>
        <v>149892</v>
      </c>
      <c r="AA26" s="122">
        <f>Y26/X26*'0. Adjust losses for new book'!$C$26</f>
        <v>1.4285714285714285E-2</v>
      </c>
      <c r="AB26" s="123">
        <f>Z26/Y26*'0. Adjust losses for new book'!$C$27</f>
        <v>4063.7386666666666</v>
      </c>
      <c r="AC26" s="53">
        <f t="shared" si="17"/>
        <v>158.61587301587301</v>
      </c>
      <c r="AD26" s="46"/>
      <c r="AE26" s="49"/>
    </row>
    <row r="27" spans="1:37" x14ac:dyDescent="0.25">
      <c r="A27" s="15">
        <f>MAX('4. Expected loss and loss ratio'!$A$8:$A$13)</f>
        <v>2014</v>
      </c>
      <c r="B27" s="15">
        <v>4</v>
      </c>
      <c r="C27" s="50">
        <v>953</v>
      </c>
      <c r="D27" s="44">
        <v>42</v>
      </c>
      <c r="E27" s="52">
        <v>156959</v>
      </c>
      <c r="F27" s="41">
        <f t="shared" si="11"/>
        <v>4.4071353620146907E-2</v>
      </c>
      <c r="G27" s="51">
        <f t="shared" si="12"/>
        <v>3737.1190476190477</v>
      </c>
      <c r="H27" s="53">
        <f t="shared" si="13"/>
        <v>164.69989506820568</v>
      </c>
      <c r="I27" s="46"/>
      <c r="J27" s="49"/>
      <c r="V27" s="15">
        <f>MAX('4. Expected loss and loss ratio'!$A$8:$A$13)</f>
        <v>2014</v>
      </c>
      <c r="W27" s="15">
        <v>4</v>
      </c>
      <c r="X27" s="119">
        <f t="shared" si="14"/>
        <v>953</v>
      </c>
      <c r="Y27" s="120">
        <f t="shared" si="15"/>
        <v>42</v>
      </c>
      <c r="Z27" s="121">
        <f t="shared" si="16"/>
        <v>156959</v>
      </c>
      <c r="AA27" s="122">
        <f>Y27/X27*'0. Adjust losses for new book'!$C$26</f>
        <v>2.2035676810073453E-2</v>
      </c>
      <c r="AB27" s="123">
        <f>Z27/Y27*'0. Adjust losses for new book'!$C$27</f>
        <v>2735.5711428571431</v>
      </c>
      <c r="AC27" s="53">
        <f t="shared" si="17"/>
        <v>164.69989506820568</v>
      </c>
      <c r="AD27" s="46"/>
      <c r="AE27" s="49"/>
    </row>
    <row r="28" spans="1:37" x14ac:dyDescent="0.25">
      <c r="M28" s="7"/>
      <c r="N28" s="7"/>
      <c r="O28" s="7"/>
      <c r="P28" s="7"/>
      <c r="AH28" s="7"/>
      <c r="AI28" s="7"/>
      <c r="AJ28" s="7"/>
      <c r="AK28" s="7"/>
    </row>
    <row r="30" spans="1:37" hidden="1" x14ac:dyDescent="0.25">
      <c r="A30" s="18"/>
      <c r="B30" s="19"/>
      <c r="C30" s="18" t="s">
        <v>79</v>
      </c>
      <c r="D30" s="24" t="s">
        <v>79</v>
      </c>
      <c r="E30" s="24" t="s">
        <v>79</v>
      </c>
      <c r="F30" s="19" t="s">
        <v>79</v>
      </c>
      <c r="G30" s="18" t="s">
        <v>78</v>
      </c>
      <c r="H30" s="24" t="s">
        <v>78</v>
      </c>
      <c r="I30" s="24" t="s">
        <v>78</v>
      </c>
      <c r="J30" s="19" t="s">
        <v>78</v>
      </c>
      <c r="K30" s="18" t="s">
        <v>77</v>
      </c>
      <c r="L30" s="24" t="s">
        <v>77</v>
      </c>
      <c r="M30" s="24" t="s">
        <v>77</v>
      </c>
      <c r="N30" s="19" t="s">
        <v>77</v>
      </c>
      <c r="U30" s="20"/>
      <c r="V30" s="18"/>
      <c r="W30" s="19"/>
      <c r="X30" s="18" t="s">
        <v>79</v>
      </c>
      <c r="Y30" s="111" t="s">
        <v>79</v>
      </c>
      <c r="Z30" s="24" t="s">
        <v>79</v>
      </c>
      <c r="AA30" s="19" t="s">
        <v>79</v>
      </c>
      <c r="AB30" s="18" t="s">
        <v>78</v>
      </c>
      <c r="AC30" s="24" t="s">
        <v>78</v>
      </c>
      <c r="AD30" s="24" t="s">
        <v>78</v>
      </c>
      <c r="AE30" s="19" t="s">
        <v>78</v>
      </c>
      <c r="AF30" s="18" t="s">
        <v>77</v>
      </c>
      <c r="AG30" s="24" t="s">
        <v>77</v>
      </c>
      <c r="AH30" s="24" t="s">
        <v>77</v>
      </c>
      <c r="AI30" s="19" t="s">
        <v>77</v>
      </c>
    </row>
    <row r="31" spans="1:37" hidden="1" x14ac:dyDescent="0.25">
      <c r="A31" s="20" t="s">
        <v>75</v>
      </c>
      <c r="B31" s="21" t="s">
        <v>75</v>
      </c>
      <c r="C31" s="20" t="s">
        <v>75</v>
      </c>
      <c r="D31" s="25" t="s">
        <v>75</v>
      </c>
      <c r="E31" s="25" t="s">
        <v>75</v>
      </c>
      <c r="F31" s="21" t="s">
        <v>75</v>
      </c>
      <c r="G31" s="20" t="s">
        <v>75</v>
      </c>
      <c r="H31" s="25" t="s">
        <v>75</v>
      </c>
      <c r="I31" s="25" t="s">
        <v>75</v>
      </c>
      <c r="J31" s="21" t="s">
        <v>75</v>
      </c>
      <c r="K31" s="20" t="s">
        <v>75</v>
      </c>
      <c r="L31" s="25" t="s">
        <v>75</v>
      </c>
      <c r="M31" s="25" t="s">
        <v>75</v>
      </c>
      <c r="N31" s="21" t="s">
        <v>75</v>
      </c>
      <c r="U31" s="20"/>
      <c r="V31" s="20" t="s">
        <v>75</v>
      </c>
      <c r="W31" s="21" t="s">
        <v>75</v>
      </c>
      <c r="X31" s="20" t="s">
        <v>75</v>
      </c>
      <c r="Y31" s="112" t="s">
        <v>75</v>
      </c>
      <c r="Z31" s="25" t="s">
        <v>75</v>
      </c>
      <c r="AA31" s="21" t="s">
        <v>75</v>
      </c>
      <c r="AB31" s="20" t="s">
        <v>75</v>
      </c>
      <c r="AC31" s="25" t="s">
        <v>75</v>
      </c>
      <c r="AD31" s="25" t="s">
        <v>75</v>
      </c>
      <c r="AE31" s="21" t="s">
        <v>75</v>
      </c>
      <c r="AF31" s="20" t="s">
        <v>75</v>
      </c>
      <c r="AG31" s="25" t="s">
        <v>75</v>
      </c>
      <c r="AH31" s="25" t="s">
        <v>75</v>
      </c>
      <c r="AI31" s="21" t="s">
        <v>75</v>
      </c>
    </row>
    <row r="32" spans="1:37" hidden="1" x14ac:dyDescent="0.25">
      <c r="A32" s="20"/>
      <c r="B32" s="21" t="s">
        <v>68</v>
      </c>
      <c r="C32" s="20" t="s">
        <v>80</v>
      </c>
      <c r="D32" s="25" t="s">
        <v>70</v>
      </c>
      <c r="E32" s="25" t="s">
        <v>71</v>
      </c>
      <c r="F32" s="21" t="s">
        <v>72</v>
      </c>
      <c r="G32" s="20" t="s">
        <v>76</v>
      </c>
      <c r="H32" s="25" t="s">
        <v>70</v>
      </c>
      <c r="I32" s="25" t="s">
        <v>71</v>
      </c>
      <c r="J32" s="21" t="s">
        <v>72</v>
      </c>
      <c r="K32" s="20" t="s">
        <v>69</v>
      </c>
      <c r="L32" s="25" t="s">
        <v>70</v>
      </c>
      <c r="M32" s="25" t="s">
        <v>71</v>
      </c>
      <c r="N32" s="21" t="s">
        <v>72</v>
      </c>
      <c r="U32" s="20"/>
      <c r="V32" s="20"/>
      <c r="W32" s="21" t="s">
        <v>68</v>
      </c>
      <c r="X32" s="20" t="s">
        <v>80</v>
      </c>
      <c r="Y32" s="112" t="s">
        <v>70</v>
      </c>
      <c r="Z32" s="25" t="s">
        <v>71</v>
      </c>
      <c r="AA32" s="21" t="s">
        <v>72</v>
      </c>
      <c r="AB32" s="20" t="s">
        <v>76</v>
      </c>
      <c r="AC32" s="25" t="s">
        <v>70</v>
      </c>
      <c r="AD32" s="25" t="s">
        <v>71</v>
      </c>
      <c r="AE32" s="21" t="s">
        <v>72</v>
      </c>
      <c r="AF32" s="20" t="s">
        <v>69</v>
      </c>
      <c r="AG32" s="25" t="s">
        <v>70</v>
      </c>
      <c r="AH32" s="25" t="s">
        <v>71</v>
      </c>
      <c r="AI32" s="21" t="s">
        <v>72</v>
      </c>
    </row>
    <row r="33" spans="1:35" hidden="1" x14ac:dyDescent="0.25">
      <c r="A33" s="20">
        <f t="shared" ref="A33:A52" si="24">A32+1</f>
        <v>1</v>
      </c>
      <c r="B33" s="21" t="str">
        <f t="shared" ref="B33:B52" si="25">A8&amp;"-"&amp;B8</f>
        <v>2010-1</v>
      </c>
      <c r="C33" s="32">
        <f t="shared" ref="C33:C52" si="26">F8</f>
        <v>3.7542662116040959E-2</v>
      </c>
      <c r="D33" s="33">
        <f t="shared" ref="D33:D52" si="27">GROWTH($C$33:$C$52,$A$33:$A$52,$A33)</f>
        <v>3.7684598994029317E-2</v>
      </c>
      <c r="E33" s="33"/>
      <c r="F33" s="34"/>
      <c r="G33" s="26">
        <f t="shared" ref="G33:G52" si="28">G8</f>
        <v>3246.3636363636365</v>
      </c>
      <c r="H33" s="27">
        <f t="shared" ref="H33:H52" si="29">GROWTH($G$33:$G$52,$A$33:$A$52,$A33)</f>
        <v>3284.3065083376928</v>
      </c>
      <c r="I33" s="27"/>
      <c r="J33" s="28"/>
      <c r="K33" s="26">
        <f t="shared" ref="K33:K52" si="30">H8</f>
        <v>121.87713310580205</v>
      </c>
      <c r="L33" s="27">
        <f t="shared" ref="L33:L52" si="31">GROWTH($K$33:$K$52,$A$33:$A$52,$A33)</f>
        <v>123.76777374018639</v>
      </c>
      <c r="M33" s="27"/>
      <c r="N33" s="28"/>
      <c r="U33" s="20"/>
      <c r="V33" s="20">
        <f t="shared" ref="V33:V52" si="32">V32+1</f>
        <v>1</v>
      </c>
      <c r="W33" s="21" t="str">
        <f t="shared" ref="W33:W52" si="33">V8&amp;"-"&amp;W8</f>
        <v>2010-1</v>
      </c>
      <c r="X33" s="32">
        <f t="shared" ref="X33:X52" si="34">AA8</f>
        <v>1.877133105802048E-2</v>
      </c>
      <c r="Y33" s="113">
        <f t="shared" ref="Y33:Y52" si="35">GROWTH($C$33:$C$52,$A$33:$A$52,$A33)</f>
        <v>3.7684598994029317E-2</v>
      </c>
      <c r="Z33" s="33"/>
      <c r="AA33" s="34"/>
      <c r="AB33" s="26">
        <f t="shared" ref="AB33:AB52" si="36">AB8</f>
        <v>2376.338181818182</v>
      </c>
      <c r="AC33" s="27">
        <f t="shared" ref="AC33:AC52" si="37">GROWTH($G$33:$G$52,$A$33:$A$52,$A33)</f>
        <v>3284.3065083376928</v>
      </c>
      <c r="AD33" s="27"/>
      <c r="AE33" s="28"/>
      <c r="AF33" s="26">
        <f t="shared" ref="AF33:AF52" si="38">AC8</f>
        <v>121.87713310580205</v>
      </c>
      <c r="AG33" s="27">
        <f t="shared" ref="AG33:AG52" si="39">GROWTH($K$33:$K$52,$A$33:$A$52,$A33)</f>
        <v>123.76777374018639</v>
      </c>
      <c r="AH33" s="27"/>
      <c r="AI33" s="28"/>
    </row>
    <row r="34" spans="1:35" hidden="1" x14ac:dyDescent="0.25">
      <c r="A34" s="20">
        <f t="shared" si="24"/>
        <v>2</v>
      </c>
      <c r="B34" s="21" t="str">
        <f t="shared" si="25"/>
        <v>2010-2</v>
      </c>
      <c r="C34" s="32">
        <f t="shared" si="26"/>
        <v>3.3898305084745763E-2</v>
      </c>
      <c r="D34" s="33">
        <f t="shared" si="27"/>
        <v>3.7525248175538317E-2</v>
      </c>
      <c r="E34" s="33"/>
      <c r="F34" s="34"/>
      <c r="G34" s="26">
        <f t="shared" si="28"/>
        <v>2770.8333333333335</v>
      </c>
      <c r="H34" s="27">
        <f t="shared" si="29"/>
        <v>3322.5494634930174</v>
      </c>
      <c r="I34" s="27"/>
      <c r="J34" s="28"/>
      <c r="K34" s="26">
        <f t="shared" si="30"/>
        <v>93.926553672316388</v>
      </c>
      <c r="L34" s="27">
        <f t="shared" si="31"/>
        <v>124.67949319307699</v>
      </c>
      <c r="M34" s="27"/>
      <c r="N34" s="28"/>
      <c r="U34" s="20"/>
      <c r="V34" s="20">
        <f t="shared" si="32"/>
        <v>2</v>
      </c>
      <c r="W34" s="21" t="str">
        <f t="shared" si="33"/>
        <v>2010-2</v>
      </c>
      <c r="X34" s="32">
        <f t="shared" si="34"/>
        <v>1.6949152542372881E-2</v>
      </c>
      <c r="Y34" s="113">
        <f t="shared" si="35"/>
        <v>3.7525248175538317E-2</v>
      </c>
      <c r="Z34" s="33"/>
      <c r="AA34" s="34"/>
      <c r="AB34" s="26">
        <f t="shared" si="36"/>
        <v>2028.25</v>
      </c>
      <c r="AC34" s="27">
        <f t="shared" si="37"/>
        <v>3322.5494634930174</v>
      </c>
      <c r="AD34" s="27"/>
      <c r="AE34" s="28"/>
      <c r="AF34" s="26">
        <f t="shared" si="38"/>
        <v>93.926553672316388</v>
      </c>
      <c r="AG34" s="27">
        <f t="shared" si="39"/>
        <v>124.67949319307699</v>
      </c>
      <c r="AH34" s="27"/>
      <c r="AI34" s="28"/>
    </row>
    <row r="35" spans="1:35" hidden="1" x14ac:dyDescent="0.25">
      <c r="A35" s="20">
        <f t="shared" si="24"/>
        <v>3</v>
      </c>
      <c r="B35" s="21" t="str">
        <f t="shared" si="25"/>
        <v>2010-3</v>
      </c>
      <c r="C35" s="32">
        <f t="shared" si="26"/>
        <v>3.3670033670033669E-2</v>
      </c>
      <c r="D35" s="33">
        <f t="shared" si="27"/>
        <v>3.7366571178290786E-2</v>
      </c>
      <c r="E35" s="33"/>
      <c r="F35" s="34"/>
      <c r="G35" s="26">
        <f t="shared" si="28"/>
        <v>3346.3666666666668</v>
      </c>
      <c r="H35" s="27">
        <f t="shared" si="29"/>
        <v>3361.2377253258101</v>
      </c>
      <c r="I35" s="27"/>
      <c r="J35" s="28"/>
      <c r="K35" s="26">
        <f t="shared" si="30"/>
        <v>112.67227833894501</v>
      </c>
      <c r="L35" s="27">
        <f t="shared" si="31"/>
        <v>125.59792871054289</v>
      </c>
      <c r="M35" s="27"/>
      <c r="N35" s="28"/>
      <c r="U35" s="20"/>
      <c r="V35" s="20">
        <f t="shared" si="32"/>
        <v>3</v>
      </c>
      <c r="W35" s="21" t="str">
        <f t="shared" si="33"/>
        <v>2010-3</v>
      </c>
      <c r="X35" s="32">
        <f t="shared" si="34"/>
        <v>1.6835016835016835E-2</v>
      </c>
      <c r="Y35" s="113">
        <f t="shared" si="35"/>
        <v>3.7366571178290786E-2</v>
      </c>
      <c r="Z35" s="33"/>
      <c r="AA35" s="34"/>
      <c r="AB35" s="26">
        <f t="shared" si="36"/>
        <v>2449.5403999999999</v>
      </c>
      <c r="AC35" s="27">
        <f t="shared" si="37"/>
        <v>3361.2377253258101</v>
      </c>
      <c r="AD35" s="27"/>
      <c r="AE35" s="28"/>
      <c r="AF35" s="26">
        <f t="shared" si="38"/>
        <v>112.67227833894501</v>
      </c>
      <c r="AG35" s="27">
        <f t="shared" si="39"/>
        <v>125.59792871054289</v>
      </c>
      <c r="AH35" s="27"/>
      <c r="AI35" s="28"/>
    </row>
    <row r="36" spans="1:35" hidden="1" x14ac:dyDescent="0.25">
      <c r="A36" s="20">
        <f t="shared" si="24"/>
        <v>4</v>
      </c>
      <c r="B36" s="21" t="str">
        <f t="shared" si="25"/>
        <v>2010-4</v>
      </c>
      <c r="C36" s="32">
        <f t="shared" si="26"/>
        <v>5.549389567147614E-2</v>
      </c>
      <c r="D36" s="33">
        <f t="shared" si="27"/>
        <v>3.7208565153006926E-2</v>
      </c>
      <c r="E36" s="33"/>
      <c r="F36" s="34"/>
      <c r="G36" s="26">
        <f t="shared" si="28"/>
        <v>3643.76</v>
      </c>
      <c r="H36" s="27">
        <f t="shared" si="29"/>
        <v>3400.3764790534819</v>
      </c>
      <c r="I36" s="27"/>
      <c r="J36" s="28"/>
      <c r="K36" s="26">
        <f t="shared" si="30"/>
        <v>202.20643729189788</v>
      </c>
      <c r="L36" s="27">
        <f t="shared" si="31"/>
        <v>126.52312976561359</v>
      </c>
      <c r="M36" s="27"/>
      <c r="N36" s="28"/>
      <c r="U36" s="20"/>
      <c r="V36" s="20">
        <f t="shared" si="32"/>
        <v>4</v>
      </c>
      <c r="W36" s="21" t="str">
        <f t="shared" si="33"/>
        <v>2010-4</v>
      </c>
      <c r="X36" s="32">
        <f t="shared" si="34"/>
        <v>2.774694783573807E-2</v>
      </c>
      <c r="Y36" s="113">
        <f t="shared" si="35"/>
        <v>3.7208565153006926E-2</v>
      </c>
      <c r="Z36" s="33"/>
      <c r="AA36" s="34"/>
      <c r="AB36" s="26">
        <f t="shared" si="36"/>
        <v>2667.2323200000001</v>
      </c>
      <c r="AC36" s="27">
        <f t="shared" si="37"/>
        <v>3400.3764790534819</v>
      </c>
      <c r="AD36" s="27"/>
      <c r="AE36" s="28"/>
      <c r="AF36" s="26">
        <f t="shared" si="38"/>
        <v>202.20643729189788</v>
      </c>
      <c r="AG36" s="27">
        <f t="shared" si="39"/>
        <v>126.52312976561359</v>
      </c>
      <c r="AH36" s="27"/>
      <c r="AI36" s="28"/>
    </row>
    <row r="37" spans="1:35" hidden="1" x14ac:dyDescent="0.25">
      <c r="A37" s="20">
        <f t="shared" si="24"/>
        <v>5</v>
      </c>
      <c r="B37" s="21" t="str">
        <f t="shared" si="25"/>
        <v>2011-1</v>
      </c>
      <c r="C37" s="32">
        <f t="shared" si="26"/>
        <v>3.6026200873362446E-2</v>
      </c>
      <c r="D37" s="33">
        <f t="shared" si="27"/>
        <v>3.7051227262455216E-2</v>
      </c>
      <c r="E37" s="33"/>
      <c r="F37" s="34"/>
      <c r="G37" s="26">
        <f t="shared" si="28"/>
        <v>3907.939393939394</v>
      </c>
      <c r="H37" s="27">
        <f t="shared" si="29"/>
        <v>3439.9709702708933</v>
      </c>
      <c r="I37" s="27"/>
      <c r="J37" s="28"/>
      <c r="K37" s="26">
        <f t="shared" si="30"/>
        <v>140.7882096069869</v>
      </c>
      <c r="L37" s="27">
        <f t="shared" si="31"/>
        <v>127.45514619575529</v>
      </c>
      <c r="M37" s="27"/>
      <c r="N37" s="28"/>
      <c r="U37" s="20"/>
      <c r="V37" s="20">
        <f t="shared" si="32"/>
        <v>5</v>
      </c>
      <c r="W37" s="21" t="str">
        <f t="shared" si="33"/>
        <v>2011-1</v>
      </c>
      <c r="X37" s="32">
        <f t="shared" si="34"/>
        <v>1.8013100436681223E-2</v>
      </c>
      <c r="Y37" s="113">
        <f t="shared" si="35"/>
        <v>3.7051227262455216E-2</v>
      </c>
      <c r="Z37" s="33"/>
      <c r="AA37" s="34"/>
      <c r="AB37" s="26">
        <f t="shared" si="36"/>
        <v>2860.6116363636365</v>
      </c>
      <c r="AC37" s="27">
        <f t="shared" si="37"/>
        <v>3439.9709702708933</v>
      </c>
      <c r="AD37" s="27"/>
      <c r="AE37" s="28"/>
      <c r="AF37" s="26">
        <f t="shared" si="38"/>
        <v>140.7882096069869</v>
      </c>
      <c r="AG37" s="27">
        <f t="shared" si="39"/>
        <v>127.45514619575529</v>
      </c>
      <c r="AH37" s="27"/>
      <c r="AI37" s="28"/>
    </row>
    <row r="38" spans="1:35" hidden="1" x14ac:dyDescent="0.25">
      <c r="A38" s="20">
        <f t="shared" si="24"/>
        <v>6</v>
      </c>
      <c r="B38" s="21" t="str">
        <f t="shared" si="25"/>
        <v>2011-2</v>
      </c>
      <c r="C38" s="32">
        <f t="shared" si="26"/>
        <v>3.4519956850053934E-2</v>
      </c>
      <c r="D38" s="33">
        <f t="shared" si="27"/>
        <v>3.6894554681401515E-2</v>
      </c>
      <c r="E38" s="33"/>
      <c r="F38" s="34"/>
      <c r="G38" s="26">
        <f t="shared" si="28"/>
        <v>3115.03125</v>
      </c>
      <c r="H38" s="27">
        <f t="shared" si="29"/>
        <v>3480.0265056533917</v>
      </c>
      <c r="I38" s="27"/>
      <c r="J38" s="28"/>
      <c r="K38" s="26">
        <f t="shared" si="30"/>
        <v>107.53074433656958</v>
      </c>
      <c r="L38" s="27">
        <f t="shared" si="31"/>
        <v>128.39402820555551</v>
      </c>
      <c r="M38" s="27"/>
      <c r="N38" s="28"/>
      <c r="U38" s="20"/>
      <c r="V38" s="20">
        <f t="shared" si="32"/>
        <v>6</v>
      </c>
      <c r="W38" s="21" t="str">
        <f t="shared" si="33"/>
        <v>2011-2</v>
      </c>
      <c r="X38" s="32">
        <f t="shared" si="34"/>
        <v>1.7259978425026967E-2</v>
      </c>
      <c r="Y38" s="113">
        <f t="shared" si="35"/>
        <v>3.6894554681401515E-2</v>
      </c>
      <c r="Z38" s="33"/>
      <c r="AA38" s="34"/>
      <c r="AB38" s="26">
        <f t="shared" si="36"/>
        <v>2280.2028749999999</v>
      </c>
      <c r="AC38" s="27">
        <f t="shared" si="37"/>
        <v>3480.0265056533917</v>
      </c>
      <c r="AD38" s="27"/>
      <c r="AE38" s="28"/>
      <c r="AF38" s="26">
        <f t="shared" si="38"/>
        <v>107.53074433656958</v>
      </c>
      <c r="AG38" s="27">
        <f t="shared" si="39"/>
        <v>128.39402820555551</v>
      </c>
      <c r="AH38" s="27"/>
      <c r="AI38" s="28"/>
    </row>
    <row r="39" spans="1:35" hidden="1" x14ac:dyDescent="0.25">
      <c r="A39" s="20">
        <f t="shared" si="24"/>
        <v>7</v>
      </c>
      <c r="B39" s="21" t="str">
        <f t="shared" si="25"/>
        <v>2011-3</v>
      </c>
      <c r="C39" s="32">
        <f t="shared" si="26"/>
        <v>3.4188034188034191E-2</v>
      </c>
      <c r="D39" s="33">
        <f t="shared" si="27"/>
        <v>3.6738544596558273E-2</v>
      </c>
      <c r="E39" s="33"/>
      <c r="F39" s="34"/>
      <c r="G39" s="26">
        <f t="shared" si="28"/>
        <v>4237.34375</v>
      </c>
      <c r="H39" s="27">
        <f t="shared" si="29"/>
        <v>3520.5484536680447</v>
      </c>
      <c r="I39" s="27"/>
      <c r="J39" s="28"/>
      <c r="K39" s="26">
        <f t="shared" si="30"/>
        <v>144.866452991453</v>
      </c>
      <c r="L39" s="27">
        <f t="shared" si="31"/>
        <v>129.3398263694275</v>
      </c>
      <c r="M39" s="27"/>
      <c r="N39" s="28"/>
      <c r="U39" s="20"/>
      <c r="V39" s="20">
        <f t="shared" si="32"/>
        <v>7</v>
      </c>
      <c r="W39" s="21" t="str">
        <f t="shared" si="33"/>
        <v>2011-3</v>
      </c>
      <c r="X39" s="32">
        <f t="shared" si="34"/>
        <v>1.7094017094017096E-2</v>
      </c>
      <c r="Y39" s="113">
        <f t="shared" si="35"/>
        <v>3.6738544596558273E-2</v>
      </c>
      <c r="Z39" s="33"/>
      <c r="AA39" s="34"/>
      <c r="AB39" s="26">
        <f t="shared" si="36"/>
        <v>3101.7356249999998</v>
      </c>
      <c r="AC39" s="27">
        <f t="shared" si="37"/>
        <v>3520.5484536680447</v>
      </c>
      <c r="AD39" s="27"/>
      <c r="AE39" s="28"/>
      <c r="AF39" s="26">
        <f t="shared" si="38"/>
        <v>144.866452991453</v>
      </c>
      <c r="AG39" s="27">
        <f t="shared" si="39"/>
        <v>129.3398263694275</v>
      </c>
      <c r="AH39" s="27"/>
      <c r="AI39" s="28"/>
    </row>
    <row r="40" spans="1:35" hidden="1" x14ac:dyDescent="0.25">
      <c r="A40" s="20">
        <f t="shared" si="24"/>
        <v>8</v>
      </c>
      <c r="B40" s="21" t="str">
        <f t="shared" si="25"/>
        <v>2011-4</v>
      </c>
      <c r="C40" s="32">
        <f t="shared" si="26"/>
        <v>4.3617021276595745E-2</v>
      </c>
      <c r="D40" s="33">
        <f t="shared" si="27"/>
        <v>3.6583194206534025E-2</v>
      </c>
      <c r="E40" s="33"/>
      <c r="F40" s="34"/>
      <c r="G40" s="26">
        <f t="shared" si="28"/>
        <v>3840</v>
      </c>
      <c r="H40" s="27">
        <f t="shared" si="29"/>
        <v>3561.5422452931507</v>
      </c>
      <c r="I40" s="27"/>
      <c r="J40" s="28"/>
      <c r="K40" s="26">
        <f t="shared" si="30"/>
        <v>167.48936170212767</v>
      </c>
      <c r="L40" s="27">
        <f t="shared" si="31"/>
        <v>130.29259163433434</v>
      </c>
      <c r="M40" s="27"/>
      <c r="N40" s="28"/>
      <c r="U40" s="20"/>
      <c r="V40" s="20">
        <f t="shared" si="32"/>
        <v>8</v>
      </c>
      <c r="W40" s="21" t="str">
        <f t="shared" si="33"/>
        <v>2011-4</v>
      </c>
      <c r="X40" s="32">
        <f t="shared" si="34"/>
        <v>2.1808510638297873E-2</v>
      </c>
      <c r="Y40" s="113">
        <f t="shared" si="35"/>
        <v>3.6583194206534025E-2</v>
      </c>
      <c r="Z40" s="33"/>
      <c r="AA40" s="34"/>
      <c r="AB40" s="26">
        <f t="shared" si="36"/>
        <v>2810.88</v>
      </c>
      <c r="AC40" s="27">
        <f t="shared" si="37"/>
        <v>3561.5422452931507</v>
      </c>
      <c r="AD40" s="27"/>
      <c r="AE40" s="28"/>
      <c r="AF40" s="26">
        <f t="shared" si="38"/>
        <v>167.48936170212767</v>
      </c>
      <c r="AG40" s="27">
        <f t="shared" si="39"/>
        <v>130.29259163433434</v>
      </c>
      <c r="AH40" s="27"/>
      <c r="AI40" s="28"/>
    </row>
    <row r="41" spans="1:35" hidden="1" x14ac:dyDescent="0.25">
      <c r="A41" s="20">
        <f t="shared" si="24"/>
        <v>9</v>
      </c>
      <c r="B41" s="21" t="str">
        <f t="shared" si="25"/>
        <v>2012-1</v>
      </c>
      <c r="C41" s="32">
        <f t="shared" si="26"/>
        <v>3.311965811965812E-2</v>
      </c>
      <c r="D41" s="33">
        <f t="shared" si="27"/>
        <v>3.6428500721783129E-2</v>
      </c>
      <c r="E41" s="33">
        <f t="shared" ref="E41:E52" si="40">GROWTH($C$41:$C$52,$A$41:$A$52,$A41)</f>
        <v>3.3885651187411853E-2</v>
      </c>
      <c r="F41" s="34"/>
      <c r="G41" s="26">
        <f t="shared" si="28"/>
        <v>4252.8064516129034</v>
      </c>
      <c r="H41" s="27">
        <f t="shared" si="29"/>
        <v>3603.0133747461318</v>
      </c>
      <c r="I41" s="27">
        <f t="shared" ref="I41:I52" si="41">GROWTH($G$41:$G$52,$A$41:$A$52,$A41)</f>
        <v>3504.6361243299662</v>
      </c>
      <c r="J41" s="28"/>
      <c r="K41" s="26">
        <f t="shared" si="30"/>
        <v>140.85149572649573</v>
      </c>
      <c r="L41" s="27">
        <f t="shared" si="31"/>
        <v>131.25237532253354</v>
      </c>
      <c r="M41" s="27">
        <f t="shared" ref="M41:M52" si="42">GROWTH($K$41:$K$52,$A$41:$A$52,$A41)</f>
        <v>118.75687724784841</v>
      </c>
      <c r="N41" s="28"/>
      <c r="U41" s="20"/>
      <c r="V41" s="20">
        <f t="shared" si="32"/>
        <v>9</v>
      </c>
      <c r="W41" s="21" t="str">
        <f t="shared" si="33"/>
        <v>2012-1</v>
      </c>
      <c r="X41" s="32">
        <f t="shared" si="34"/>
        <v>1.655982905982906E-2</v>
      </c>
      <c r="Y41" s="113">
        <f t="shared" si="35"/>
        <v>3.6428500721783129E-2</v>
      </c>
      <c r="Z41" s="33">
        <f t="shared" ref="Z41:Z52" si="43">GROWTH($C$41:$C$52,$A$41:$A$52,$A41)</f>
        <v>3.3885651187411853E-2</v>
      </c>
      <c r="AA41" s="34"/>
      <c r="AB41" s="26">
        <f t="shared" si="36"/>
        <v>3113.054322580645</v>
      </c>
      <c r="AC41" s="27">
        <f t="shared" si="37"/>
        <v>3603.0133747461318</v>
      </c>
      <c r="AD41" s="27">
        <f t="shared" ref="AD41:AD52" si="44">GROWTH($G$41:$G$52,$A$41:$A$52,$A41)</f>
        <v>3504.6361243299662</v>
      </c>
      <c r="AE41" s="28"/>
      <c r="AF41" s="26">
        <f t="shared" si="38"/>
        <v>140.85149572649573</v>
      </c>
      <c r="AG41" s="27">
        <f t="shared" si="39"/>
        <v>131.25237532253354</v>
      </c>
      <c r="AH41" s="27">
        <f t="shared" ref="AH41:AH52" si="45">GROWTH($K$41:$K$52,$A$41:$A$52,$A41)</f>
        <v>118.75687724784841</v>
      </c>
      <c r="AI41" s="28"/>
    </row>
    <row r="42" spans="1:35" hidden="1" x14ac:dyDescent="0.25">
      <c r="A42" s="20">
        <f t="shared" si="24"/>
        <v>10</v>
      </c>
      <c r="B42" s="21" t="str">
        <f t="shared" si="25"/>
        <v>2012-2</v>
      </c>
      <c r="C42" s="32">
        <f t="shared" si="26"/>
        <v>3.3297529538131039E-2</v>
      </c>
      <c r="D42" s="33">
        <f t="shared" si="27"/>
        <v>3.6274461364555637E-2</v>
      </c>
      <c r="E42" s="33">
        <f t="shared" si="40"/>
        <v>3.4086050023823464E-2</v>
      </c>
      <c r="F42" s="34"/>
      <c r="G42" s="26">
        <f t="shared" si="28"/>
        <v>3243.0967741935483</v>
      </c>
      <c r="H42" s="27">
        <f t="shared" si="29"/>
        <v>3644.9674002198967</v>
      </c>
      <c r="I42" s="27">
        <f t="shared" si="41"/>
        <v>3555.3087329899395</v>
      </c>
      <c r="J42" s="28"/>
      <c r="K42" s="26">
        <f t="shared" si="30"/>
        <v>107.98711063372717</v>
      </c>
      <c r="L42" s="27">
        <f t="shared" si="31"/>
        <v>132.21922913434125</v>
      </c>
      <c r="M42" s="27">
        <f t="shared" si="42"/>
        <v>121.18643132283169</v>
      </c>
      <c r="N42" s="28"/>
      <c r="U42" s="20"/>
      <c r="V42" s="20">
        <f t="shared" si="32"/>
        <v>10</v>
      </c>
      <c r="W42" s="21" t="str">
        <f t="shared" si="33"/>
        <v>2012-2</v>
      </c>
      <c r="X42" s="32">
        <f t="shared" si="34"/>
        <v>1.664876476906552E-2</v>
      </c>
      <c r="Y42" s="113">
        <f t="shared" si="35"/>
        <v>3.6274461364555637E-2</v>
      </c>
      <c r="Z42" s="33">
        <f t="shared" si="43"/>
        <v>3.4086050023823464E-2</v>
      </c>
      <c r="AA42" s="34"/>
      <c r="AB42" s="26">
        <f t="shared" si="36"/>
        <v>2373.9468387096772</v>
      </c>
      <c r="AC42" s="27">
        <f t="shared" si="37"/>
        <v>3644.9674002198967</v>
      </c>
      <c r="AD42" s="27">
        <f t="shared" si="44"/>
        <v>3555.3087329899395</v>
      </c>
      <c r="AE42" s="28"/>
      <c r="AF42" s="26">
        <f t="shared" si="38"/>
        <v>107.98711063372717</v>
      </c>
      <c r="AG42" s="27">
        <f t="shared" si="39"/>
        <v>132.21922913434125</v>
      </c>
      <c r="AH42" s="27">
        <f t="shared" si="45"/>
        <v>121.18643132283169</v>
      </c>
      <c r="AI42" s="28"/>
    </row>
    <row r="43" spans="1:35" hidden="1" x14ac:dyDescent="0.25">
      <c r="A43" s="20">
        <f t="shared" si="24"/>
        <v>11</v>
      </c>
      <c r="B43" s="21" t="str">
        <f t="shared" si="25"/>
        <v>2012-3</v>
      </c>
      <c r="C43" s="32">
        <f t="shared" si="26"/>
        <v>3.4519956850053934E-2</v>
      </c>
      <c r="D43" s="33">
        <f t="shared" si="27"/>
        <v>3.6121073368847414E-2</v>
      </c>
      <c r="E43" s="33">
        <f t="shared" si="40"/>
        <v>3.4287634013603172E-2</v>
      </c>
      <c r="F43" s="34"/>
      <c r="G43" s="26">
        <f t="shared" si="28"/>
        <v>3370.25</v>
      </c>
      <c r="H43" s="27">
        <f t="shared" si="29"/>
        <v>3687.4099446277824</v>
      </c>
      <c r="I43" s="27">
        <f t="shared" si="41"/>
        <v>3606.7140035233042</v>
      </c>
      <c r="J43" s="28"/>
      <c r="K43" s="26">
        <f t="shared" si="30"/>
        <v>116.34088457389429</v>
      </c>
      <c r="L43" s="27">
        <f t="shared" si="31"/>
        <v>133.19320515091752</v>
      </c>
      <c r="M43" s="27">
        <f t="shared" si="42"/>
        <v>123.66568974454469</v>
      </c>
      <c r="N43" s="28"/>
      <c r="U43" s="20"/>
      <c r="V43" s="20">
        <f t="shared" si="32"/>
        <v>11</v>
      </c>
      <c r="W43" s="21" t="str">
        <f t="shared" si="33"/>
        <v>2012-3</v>
      </c>
      <c r="X43" s="32">
        <f t="shared" si="34"/>
        <v>1.7259978425026967E-2</v>
      </c>
      <c r="Y43" s="113">
        <f t="shared" si="35"/>
        <v>3.6121073368847414E-2</v>
      </c>
      <c r="Z43" s="33">
        <f t="shared" si="43"/>
        <v>3.4287634013603172E-2</v>
      </c>
      <c r="AA43" s="34"/>
      <c r="AB43" s="26">
        <f t="shared" si="36"/>
        <v>2467.0230000000001</v>
      </c>
      <c r="AC43" s="27">
        <f t="shared" si="37"/>
        <v>3687.4099446277824</v>
      </c>
      <c r="AD43" s="27">
        <f t="shared" si="44"/>
        <v>3606.7140035233042</v>
      </c>
      <c r="AE43" s="28"/>
      <c r="AF43" s="26">
        <f t="shared" si="38"/>
        <v>116.34088457389429</v>
      </c>
      <c r="AG43" s="27">
        <f t="shared" si="39"/>
        <v>133.19320515091752</v>
      </c>
      <c r="AH43" s="27">
        <f t="shared" si="45"/>
        <v>123.66568974454469</v>
      </c>
      <c r="AI43" s="28"/>
    </row>
    <row r="44" spans="1:35" hidden="1" x14ac:dyDescent="0.25">
      <c r="A44" s="20">
        <f t="shared" si="24"/>
        <v>12</v>
      </c>
      <c r="B44" s="21" t="str">
        <f t="shared" si="25"/>
        <v>2012-4</v>
      </c>
      <c r="C44" s="32">
        <f t="shared" si="26"/>
        <v>3.9913700107874865E-2</v>
      </c>
      <c r="D44" s="33">
        <f t="shared" si="27"/>
        <v>3.5968333980350507E-2</v>
      </c>
      <c r="E44" s="33">
        <f t="shared" si="40"/>
        <v>3.4490410165716363E-2</v>
      </c>
      <c r="F44" s="34"/>
      <c r="G44" s="26">
        <f t="shared" si="28"/>
        <v>2964.3783783783783</v>
      </c>
      <c r="H44" s="27">
        <f t="shared" si="29"/>
        <v>3730.3466963571673</v>
      </c>
      <c r="I44" s="27">
        <f t="shared" si="41"/>
        <v>3658.8625292946981</v>
      </c>
      <c r="J44" s="28"/>
      <c r="K44" s="26">
        <f t="shared" si="30"/>
        <v>118.31930960086299</v>
      </c>
      <c r="L44" s="27">
        <f t="shared" si="31"/>
        <v>134.17435583707157</v>
      </c>
      <c r="M44" s="27">
        <f t="shared" si="42"/>
        <v>126.19566937534472</v>
      </c>
      <c r="N44" s="28"/>
      <c r="U44" s="20"/>
      <c r="V44" s="20">
        <f t="shared" si="32"/>
        <v>12</v>
      </c>
      <c r="W44" s="21" t="str">
        <f t="shared" si="33"/>
        <v>2012-4</v>
      </c>
      <c r="X44" s="32">
        <f t="shared" si="34"/>
        <v>1.9956850053937433E-2</v>
      </c>
      <c r="Y44" s="113">
        <f t="shared" si="35"/>
        <v>3.5968333980350507E-2</v>
      </c>
      <c r="Z44" s="33">
        <f t="shared" si="43"/>
        <v>3.4490410165716363E-2</v>
      </c>
      <c r="AA44" s="34"/>
      <c r="AB44" s="26">
        <f t="shared" si="36"/>
        <v>2169.9249729729727</v>
      </c>
      <c r="AC44" s="27">
        <f t="shared" si="37"/>
        <v>3730.3466963571673</v>
      </c>
      <c r="AD44" s="27">
        <f t="shared" si="44"/>
        <v>3658.8625292946981</v>
      </c>
      <c r="AE44" s="28"/>
      <c r="AF44" s="26">
        <f t="shared" si="38"/>
        <v>118.31930960086299</v>
      </c>
      <c r="AG44" s="27">
        <f t="shared" si="39"/>
        <v>134.17435583707157</v>
      </c>
      <c r="AH44" s="27">
        <f t="shared" si="45"/>
        <v>126.19566937534472</v>
      </c>
      <c r="AI44" s="28"/>
    </row>
    <row r="45" spans="1:35" hidden="1" x14ac:dyDescent="0.25">
      <c r="A45" s="20">
        <f t="shared" si="24"/>
        <v>13</v>
      </c>
      <c r="B45" s="21" t="str">
        <f t="shared" si="25"/>
        <v>2013-1</v>
      </c>
      <c r="C45" s="32">
        <f t="shared" si="26"/>
        <v>3.2327586206896554E-2</v>
      </c>
      <c r="D45" s="33">
        <f t="shared" si="27"/>
        <v>3.5816240456403643E-2</v>
      </c>
      <c r="E45" s="33">
        <f t="shared" si="40"/>
        <v>3.4694385530579235E-2</v>
      </c>
      <c r="F45" s="34"/>
      <c r="G45" s="26">
        <f t="shared" si="28"/>
        <v>3964.5333333333333</v>
      </c>
      <c r="H45" s="27">
        <f t="shared" si="29"/>
        <v>3773.7834100318628</v>
      </c>
      <c r="I45" s="27">
        <f t="shared" si="41"/>
        <v>3711.7650568354247</v>
      </c>
      <c r="J45" s="28"/>
      <c r="K45" s="26">
        <f t="shared" si="30"/>
        <v>128.16379310344828</v>
      </c>
      <c r="L45" s="27">
        <f t="shared" si="31"/>
        <v>135.16273404408787</v>
      </c>
      <c r="M45" s="27">
        <f t="shared" si="42"/>
        <v>128.77740788078077</v>
      </c>
      <c r="N45" s="28"/>
      <c r="U45" s="20"/>
      <c r="V45" s="20">
        <f t="shared" si="32"/>
        <v>13</v>
      </c>
      <c r="W45" s="21" t="str">
        <f t="shared" si="33"/>
        <v>2013-1</v>
      </c>
      <c r="X45" s="32">
        <f t="shared" si="34"/>
        <v>1.6163793103448277E-2</v>
      </c>
      <c r="Y45" s="113">
        <f t="shared" si="35"/>
        <v>3.5816240456403643E-2</v>
      </c>
      <c r="Z45" s="33">
        <f t="shared" si="43"/>
        <v>3.4694385530579235E-2</v>
      </c>
      <c r="AA45" s="34"/>
      <c r="AB45" s="26">
        <f t="shared" si="36"/>
        <v>2902.0383999999999</v>
      </c>
      <c r="AC45" s="27">
        <f t="shared" si="37"/>
        <v>3773.7834100318628</v>
      </c>
      <c r="AD45" s="27">
        <f t="shared" si="44"/>
        <v>3711.7650568354247</v>
      </c>
      <c r="AE45" s="28"/>
      <c r="AF45" s="26">
        <f t="shared" si="38"/>
        <v>128.16379310344828</v>
      </c>
      <c r="AG45" s="27">
        <f t="shared" si="39"/>
        <v>135.16273404408787</v>
      </c>
      <c r="AH45" s="27">
        <f t="shared" si="45"/>
        <v>128.77740788078077</v>
      </c>
      <c r="AI45" s="28"/>
    </row>
    <row r="46" spans="1:35" hidden="1" x14ac:dyDescent="0.25">
      <c r="A46" s="20">
        <f t="shared" si="24"/>
        <v>14</v>
      </c>
      <c r="B46" s="21" t="str">
        <f t="shared" si="25"/>
        <v>2013-2</v>
      </c>
      <c r="C46" s="32">
        <f t="shared" si="26"/>
        <v>3.4371643394199784E-2</v>
      </c>
      <c r="D46" s="33">
        <f t="shared" si="27"/>
        <v>3.5664790065942996E-2</v>
      </c>
      <c r="E46" s="33">
        <f t="shared" si="40"/>
        <v>3.4899567200303995E-2</v>
      </c>
      <c r="F46" s="34"/>
      <c r="G46" s="26">
        <f t="shared" si="28"/>
        <v>3632.65625</v>
      </c>
      <c r="H46" s="27">
        <f t="shared" si="29"/>
        <v>3817.7259072833767</v>
      </c>
      <c r="I46" s="27">
        <f t="shared" si="41"/>
        <v>3765.4324880580434</v>
      </c>
      <c r="J46" s="28"/>
      <c r="K46" s="26">
        <f t="shared" si="30"/>
        <v>124.86036519871107</v>
      </c>
      <c r="L46" s="27">
        <f t="shared" si="31"/>
        <v>136.15839301257319</v>
      </c>
      <c r="M46" s="27">
        <f t="shared" si="42"/>
        <v>131.41196415518974</v>
      </c>
      <c r="N46" s="28"/>
      <c r="U46" s="20"/>
      <c r="V46" s="20">
        <f t="shared" si="32"/>
        <v>14</v>
      </c>
      <c r="W46" s="21" t="str">
        <f t="shared" si="33"/>
        <v>2013-2</v>
      </c>
      <c r="X46" s="32">
        <f t="shared" si="34"/>
        <v>1.7185821697099892E-2</v>
      </c>
      <c r="Y46" s="113">
        <f t="shared" si="35"/>
        <v>3.5664790065942996E-2</v>
      </c>
      <c r="Z46" s="33">
        <f t="shared" si="43"/>
        <v>3.4899567200303995E-2</v>
      </c>
      <c r="AA46" s="34"/>
      <c r="AB46" s="26">
        <f t="shared" si="36"/>
        <v>2659.1043749999999</v>
      </c>
      <c r="AC46" s="27">
        <f t="shared" si="37"/>
        <v>3817.7259072833767</v>
      </c>
      <c r="AD46" s="27">
        <f t="shared" si="44"/>
        <v>3765.4324880580434</v>
      </c>
      <c r="AE46" s="28"/>
      <c r="AF46" s="26">
        <f t="shared" si="38"/>
        <v>124.86036519871107</v>
      </c>
      <c r="AG46" s="27">
        <f t="shared" si="39"/>
        <v>136.15839301257319</v>
      </c>
      <c r="AH46" s="27">
        <f t="shared" si="45"/>
        <v>131.41196415518974</v>
      </c>
      <c r="AI46" s="28"/>
    </row>
    <row r="47" spans="1:35" hidden="1" x14ac:dyDescent="0.25">
      <c r="A47" s="20">
        <f t="shared" si="24"/>
        <v>15</v>
      </c>
      <c r="B47" s="21" t="str">
        <f t="shared" si="25"/>
        <v>2013-3</v>
      </c>
      <c r="C47" s="32">
        <f t="shared" si="26"/>
        <v>3.215434083601286E-2</v>
      </c>
      <c r="D47" s="33">
        <f t="shared" si="27"/>
        <v>3.5513980089453182E-2</v>
      </c>
      <c r="E47" s="33">
        <f t="shared" si="40"/>
        <v>3.5105962308945367E-2</v>
      </c>
      <c r="F47" s="34">
        <f t="shared" ref="F47:F52" si="46">GROWTH($C$47:$C$52,$A$47:$A$52,$A47)</f>
        <v>3.446015325312124E-2</v>
      </c>
      <c r="G47" s="26">
        <f t="shared" si="28"/>
        <v>4904.9333333333334</v>
      </c>
      <c r="H47" s="27">
        <f t="shared" si="29"/>
        <v>3862.180077531164</v>
      </c>
      <c r="I47" s="27">
        <f t="shared" si="41"/>
        <v>3819.8758825029922</v>
      </c>
      <c r="J47" s="28">
        <f t="shared" ref="J47:J52" si="47">GROWTH($G$47:$G$52,$A$47:$A$52,$A47)</f>
        <v>4187.6599262621294</v>
      </c>
      <c r="K47" s="26">
        <f t="shared" si="30"/>
        <v>157.71489817792067</v>
      </c>
      <c r="L47" s="27">
        <f t="shared" si="31"/>
        <v>137.16138637532427</v>
      </c>
      <c r="M47" s="27">
        <f t="shared" si="42"/>
        <v>134.10041875599967</v>
      </c>
      <c r="N47" s="28">
        <f t="shared" ref="N47:N52" si="48">GROWTH($K$47:$K$52,$A$47:$A$52,$A47)</f>
        <v>144.30740283094772</v>
      </c>
      <c r="U47" s="20"/>
      <c r="V47" s="20">
        <f t="shared" si="32"/>
        <v>15</v>
      </c>
      <c r="W47" s="21" t="str">
        <f t="shared" si="33"/>
        <v>2013-3</v>
      </c>
      <c r="X47" s="32">
        <f t="shared" si="34"/>
        <v>1.607717041800643E-2</v>
      </c>
      <c r="Y47" s="113">
        <f t="shared" si="35"/>
        <v>3.5513980089453182E-2</v>
      </c>
      <c r="Z47" s="33">
        <f t="shared" si="43"/>
        <v>3.5105962308945367E-2</v>
      </c>
      <c r="AA47" s="34">
        <f t="shared" ref="AA47:AA52" si="49">GROWTH($C$47:$C$52,$A$47:$A$52,$A47)</f>
        <v>3.446015325312124E-2</v>
      </c>
      <c r="AB47" s="26">
        <f t="shared" si="36"/>
        <v>3590.4112</v>
      </c>
      <c r="AC47" s="27">
        <f t="shared" si="37"/>
        <v>3862.180077531164</v>
      </c>
      <c r="AD47" s="27">
        <f t="shared" si="44"/>
        <v>3819.8758825029922</v>
      </c>
      <c r="AE47" s="28">
        <f t="shared" ref="AE47:AE52" si="50">GROWTH($G$47:$G$52,$A$47:$A$52,$A47)</f>
        <v>4187.6599262621294</v>
      </c>
      <c r="AF47" s="26">
        <f t="shared" si="38"/>
        <v>157.71489817792067</v>
      </c>
      <c r="AG47" s="27">
        <f t="shared" si="39"/>
        <v>137.16138637532427</v>
      </c>
      <c r="AH47" s="27">
        <f t="shared" si="45"/>
        <v>134.10041875599967</v>
      </c>
      <c r="AI47" s="28">
        <f t="shared" ref="AI47:AI52" si="51">GROWTH($K$47:$K$52,$A$47:$A$52,$A47)</f>
        <v>144.30740283094772</v>
      </c>
    </row>
    <row r="48" spans="1:35" hidden="1" x14ac:dyDescent="0.25">
      <c r="A48" s="20">
        <f t="shared" si="24"/>
        <v>16</v>
      </c>
      <c r="B48" s="21" t="str">
        <f t="shared" si="25"/>
        <v>2013-4</v>
      </c>
      <c r="C48" s="32">
        <f t="shared" si="26"/>
        <v>4.2826552462526764E-2</v>
      </c>
      <c r="D48" s="33">
        <f t="shared" si="27"/>
        <v>3.5363807818918361E-2</v>
      </c>
      <c r="E48" s="33">
        <f t="shared" si="40"/>
        <v>3.5313578032748719E-2</v>
      </c>
      <c r="F48" s="34">
        <f t="shared" si="46"/>
        <v>3.4874376156232095E-2</v>
      </c>
      <c r="G48" s="26">
        <f t="shared" si="28"/>
        <v>3684.75</v>
      </c>
      <c r="H48" s="27">
        <f t="shared" si="29"/>
        <v>3907.1518787719597</v>
      </c>
      <c r="I48" s="27">
        <f t="shared" si="41"/>
        <v>3875.1064596176852</v>
      </c>
      <c r="J48" s="28">
        <f t="shared" si="47"/>
        <v>4135.0933030194574</v>
      </c>
      <c r="K48" s="26">
        <f t="shared" si="30"/>
        <v>157.80513918629549</v>
      </c>
      <c r="L48" s="27">
        <f t="shared" si="31"/>
        <v>138.17176816021717</v>
      </c>
      <c r="M48" s="27">
        <f t="shared" si="42"/>
        <v>136.84387434691791</v>
      </c>
      <c r="N48" s="28">
        <f t="shared" si="48"/>
        <v>144.20879929061715</v>
      </c>
      <c r="U48" s="20"/>
      <c r="V48" s="20">
        <f t="shared" si="32"/>
        <v>16</v>
      </c>
      <c r="W48" s="21" t="str">
        <f t="shared" si="33"/>
        <v>2013-4</v>
      </c>
      <c r="X48" s="32">
        <f t="shared" si="34"/>
        <v>2.1413276231263382E-2</v>
      </c>
      <c r="Y48" s="113">
        <f t="shared" si="35"/>
        <v>3.5363807818918361E-2</v>
      </c>
      <c r="Z48" s="33">
        <f t="shared" si="43"/>
        <v>3.5313578032748719E-2</v>
      </c>
      <c r="AA48" s="34">
        <f t="shared" si="49"/>
        <v>3.4874376156232095E-2</v>
      </c>
      <c r="AB48" s="26">
        <f t="shared" si="36"/>
        <v>2697.2370000000001</v>
      </c>
      <c r="AC48" s="27">
        <f t="shared" si="37"/>
        <v>3907.1518787719597</v>
      </c>
      <c r="AD48" s="27">
        <f t="shared" si="44"/>
        <v>3875.1064596176852</v>
      </c>
      <c r="AE48" s="28">
        <f t="shared" si="50"/>
        <v>4135.0933030194574</v>
      </c>
      <c r="AF48" s="26">
        <f t="shared" si="38"/>
        <v>157.80513918629549</v>
      </c>
      <c r="AG48" s="27">
        <f t="shared" si="39"/>
        <v>138.17176816021717</v>
      </c>
      <c r="AH48" s="27">
        <f t="shared" si="45"/>
        <v>136.84387434691791</v>
      </c>
      <c r="AI48" s="28">
        <f t="shared" si="51"/>
        <v>144.20879929061715</v>
      </c>
    </row>
    <row r="49" spans="1:41" hidden="1" x14ac:dyDescent="0.25">
      <c r="A49" s="20">
        <f t="shared" si="24"/>
        <v>17</v>
      </c>
      <c r="B49" s="21" t="str">
        <f t="shared" si="25"/>
        <v>2014-1</v>
      </c>
      <c r="C49" s="32">
        <f t="shared" si="26"/>
        <v>3.3049040511727079E-2</v>
      </c>
      <c r="D49" s="33">
        <f t="shared" si="27"/>
        <v>3.5214270557773673E-2</v>
      </c>
      <c r="E49" s="33">
        <f t="shared" si="40"/>
        <v>3.5522421590399519E-2</v>
      </c>
      <c r="F49" s="34">
        <f t="shared" si="46"/>
        <v>3.5293578161211744E-2</v>
      </c>
      <c r="G49" s="26">
        <f t="shared" si="28"/>
        <v>4032.2580645161293</v>
      </c>
      <c r="H49" s="27">
        <f t="shared" si="29"/>
        <v>3952.6473383783004</v>
      </c>
      <c r="I49" s="27">
        <f t="shared" si="41"/>
        <v>3931.1356010685631</v>
      </c>
      <c r="J49" s="28">
        <f t="shared" si="47"/>
        <v>4083.1865351441738</v>
      </c>
      <c r="K49" s="26">
        <f t="shared" si="30"/>
        <v>133.26226012793177</v>
      </c>
      <c r="L49" s="27">
        <f t="shared" si="31"/>
        <v>139.18959279311721</v>
      </c>
      <c r="M49" s="27">
        <f t="shared" si="42"/>
        <v>139.6434561501863</v>
      </c>
      <c r="N49" s="28">
        <f t="shared" si="48"/>
        <v>144.11026312491862</v>
      </c>
      <c r="U49" s="20"/>
      <c r="V49" s="20">
        <f t="shared" si="32"/>
        <v>17</v>
      </c>
      <c r="W49" s="21" t="str">
        <f t="shared" si="33"/>
        <v>2014-1</v>
      </c>
      <c r="X49" s="32">
        <f t="shared" si="34"/>
        <v>1.652452025586354E-2</v>
      </c>
      <c r="Y49" s="113">
        <f t="shared" si="35"/>
        <v>3.5214270557773673E-2</v>
      </c>
      <c r="Z49" s="33">
        <f t="shared" si="43"/>
        <v>3.5522421590399519E-2</v>
      </c>
      <c r="AA49" s="34">
        <f t="shared" si="49"/>
        <v>3.5293578161211744E-2</v>
      </c>
      <c r="AB49" s="26">
        <f t="shared" si="36"/>
        <v>2951.6129032258063</v>
      </c>
      <c r="AC49" s="27">
        <f t="shared" si="37"/>
        <v>3952.6473383783004</v>
      </c>
      <c r="AD49" s="27">
        <f t="shared" si="44"/>
        <v>3931.1356010685631</v>
      </c>
      <c r="AE49" s="28">
        <f t="shared" si="50"/>
        <v>4083.1865351441738</v>
      </c>
      <c r="AF49" s="26">
        <f t="shared" si="38"/>
        <v>133.26226012793177</v>
      </c>
      <c r="AG49" s="27">
        <f t="shared" si="39"/>
        <v>139.18959279311721</v>
      </c>
      <c r="AH49" s="27">
        <f t="shared" si="45"/>
        <v>139.6434561501863</v>
      </c>
      <c r="AI49" s="28">
        <f t="shared" si="51"/>
        <v>144.11026312491862</v>
      </c>
    </row>
    <row r="50" spans="1:41" hidden="1" x14ac:dyDescent="0.25">
      <c r="A50" s="20">
        <f t="shared" si="24"/>
        <v>18</v>
      </c>
      <c r="B50" s="21" t="str">
        <f t="shared" si="25"/>
        <v>2014-2</v>
      </c>
      <c r="C50" s="32">
        <f t="shared" si="26"/>
        <v>3.4957627118644065E-2</v>
      </c>
      <c r="D50" s="33">
        <f t="shared" si="27"/>
        <v>3.506536562085677E-2</v>
      </c>
      <c r="E50" s="33">
        <f t="shared" si="40"/>
        <v>3.5732500243274373E-2</v>
      </c>
      <c r="F50" s="34">
        <f t="shared" si="46"/>
        <v>3.571781911857843E-2</v>
      </c>
      <c r="G50" s="26">
        <f t="shared" si="28"/>
        <v>2951.181818181818</v>
      </c>
      <c r="H50" s="27">
        <f t="shared" si="29"/>
        <v>3998.6725539063495</v>
      </c>
      <c r="I50" s="27">
        <f t="shared" si="41"/>
        <v>3987.9748530865795</v>
      </c>
      <c r="J50" s="28">
        <f t="shared" si="47"/>
        <v>4031.9313396407374</v>
      </c>
      <c r="K50" s="26">
        <f t="shared" si="30"/>
        <v>103.16631355932203</v>
      </c>
      <c r="L50" s="27">
        <f t="shared" si="31"/>
        <v>140.214915100811</v>
      </c>
      <c r="M50" s="27">
        <f t="shared" si="42"/>
        <v>142.50031240808846</v>
      </c>
      <c r="N50" s="28">
        <f t="shared" si="48"/>
        <v>144.01179428781583</v>
      </c>
      <c r="U50" s="20"/>
      <c r="V50" s="20">
        <f t="shared" si="32"/>
        <v>18</v>
      </c>
      <c r="W50" s="21" t="str">
        <f t="shared" si="33"/>
        <v>2014-2</v>
      </c>
      <c r="X50" s="32">
        <f t="shared" si="34"/>
        <v>1.7478813559322032E-2</v>
      </c>
      <c r="Y50" s="113">
        <f t="shared" si="35"/>
        <v>3.506536562085677E-2</v>
      </c>
      <c r="Z50" s="33">
        <f t="shared" si="43"/>
        <v>3.5732500243274373E-2</v>
      </c>
      <c r="AA50" s="34">
        <f t="shared" si="49"/>
        <v>3.571781911857843E-2</v>
      </c>
      <c r="AB50" s="26">
        <f t="shared" si="36"/>
        <v>2160.2650909090908</v>
      </c>
      <c r="AC50" s="27">
        <f t="shared" si="37"/>
        <v>3998.6725539063495</v>
      </c>
      <c r="AD50" s="27">
        <f t="shared" si="44"/>
        <v>3987.9748530865795</v>
      </c>
      <c r="AE50" s="28">
        <f t="shared" si="50"/>
        <v>4031.9313396407374</v>
      </c>
      <c r="AF50" s="26">
        <f t="shared" si="38"/>
        <v>103.16631355932203</v>
      </c>
      <c r="AG50" s="27">
        <f t="shared" si="39"/>
        <v>140.214915100811</v>
      </c>
      <c r="AH50" s="27">
        <f t="shared" si="45"/>
        <v>142.50031240808846</v>
      </c>
      <c r="AI50" s="28">
        <f t="shared" si="51"/>
        <v>144.01179428781583</v>
      </c>
    </row>
    <row r="51" spans="1:41" hidden="1" x14ac:dyDescent="0.25">
      <c r="A51" s="20">
        <f t="shared" si="24"/>
        <v>19</v>
      </c>
      <c r="B51" s="21" t="str">
        <f t="shared" si="25"/>
        <v>2014-3</v>
      </c>
      <c r="C51" s="32">
        <f t="shared" si="26"/>
        <v>2.8571428571428571E-2</v>
      </c>
      <c r="D51" s="33">
        <f t="shared" si="27"/>
        <v>3.4917090334359621E-2</v>
      </c>
      <c r="E51" s="33">
        <f t="shared" si="40"/>
        <v>3.594382129569345E-2</v>
      </c>
      <c r="F51" s="34">
        <f t="shared" si="46"/>
        <v>3.6147159598274234E-2</v>
      </c>
      <c r="G51" s="26">
        <f t="shared" si="28"/>
        <v>5551.5555555555557</v>
      </c>
      <c r="H51" s="27">
        <f t="shared" si="29"/>
        <v>4045.2336939131224</v>
      </c>
      <c r="I51" s="27">
        <f t="shared" si="41"/>
        <v>4045.6359288465933</v>
      </c>
      <c r="J51" s="28">
        <f t="shared" si="47"/>
        <v>3981.3195374879306</v>
      </c>
      <c r="K51" s="26">
        <f t="shared" si="30"/>
        <v>158.61587301587301</v>
      </c>
      <c r="L51" s="27">
        <f t="shared" si="31"/>
        <v>141.24779031395954</v>
      </c>
      <c r="M51" s="27">
        <f t="shared" si="42"/>
        <v>145.41561485389889</v>
      </c>
      <c r="N51" s="28">
        <f t="shared" si="48"/>
        <v>143.91339273330397</v>
      </c>
      <c r="U51" s="20"/>
      <c r="V51" s="20">
        <f t="shared" si="32"/>
        <v>19</v>
      </c>
      <c r="W51" s="21" t="str">
        <f t="shared" si="33"/>
        <v>2014-3</v>
      </c>
      <c r="X51" s="32">
        <f t="shared" si="34"/>
        <v>1.4285714285714285E-2</v>
      </c>
      <c r="Y51" s="113">
        <f t="shared" si="35"/>
        <v>3.4917090334359621E-2</v>
      </c>
      <c r="Z51" s="33">
        <f t="shared" si="43"/>
        <v>3.594382129569345E-2</v>
      </c>
      <c r="AA51" s="34">
        <f t="shared" si="49"/>
        <v>3.6147159598274234E-2</v>
      </c>
      <c r="AB51" s="26">
        <f t="shared" si="36"/>
        <v>4063.7386666666666</v>
      </c>
      <c r="AC51" s="27">
        <f t="shared" si="37"/>
        <v>4045.2336939131224</v>
      </c>
      <c r="AD51" s="27">
        <f t="shared" si="44"/>
        <v>4045.6359288465933</v>
      </c>
      <c r="AE51" s="28">
        <f t="shared" si="50"/>
        <v>3981.3195374879306</v>
      </c>
      <c r="AF51" s="26">
        <f t="shared" si="38"/>
        <v>158.61587301587301</v>
      </c>
      <c r="AG51" s="27">
        <f t="shared" si="39"/>
        <v>141.24779031395954</v>
      </c>
      <c r="AH51" s="27">
        <f t="shared" si="45"/>
        <v>145.41561485389889</v>
      </c>
      <c r="AI51" s="28">
        <f t="shared" si="51"/>
        <v>143.91339273330397</v>
      </c>
    </row>
    <row r="52" spans="1:41" hidden="1" x14ac:dyDescent="0.25">
      <c r="A52" s="22">
        <f t="shared" si="24"/>
        <v>20</v>
      </c>
      <c r="B52" s="23" t="str">
        <f t="shared" si="25"/>
        <v>2014-4</v>
      </c>
      <c r="C52" s="35">
        <f t="shared" si="26"/>
        <v>4.4071353620146907E-2</v>
      </c>
      <c r="D52" s="36">
        <f t="shared" si="27"/>
        <v>3.4769442035780515E-2</v>
      </c>
      <c r="E52" s="36">
        <f t="shared" si="40"/>
        <v>3.6156392095174489E-2</v>
      </c>
      <c r="F52" s="37">
        <f t="shared" si="46"/>
        <v>3.6581660898312773E-2</v>
      </c>
      <c r="G52" s="29">
        <f t="shared" si="28"/>
        <v>3737.1190476190477</v>
      </c>
      <c r="H52" s="30">
        <f t="shared" si="29"/>
        <v>4092.3369987832361</v>
      </c>
      <c r="I52" s="30">
        <f t="shared" si="41"/>
        <v>4104.1307108811661</v>
      </c>
      <c r="J52" s="31">
        <f t="shared" si="47"/>
        <v>3931.3430523336983</v>
      </c>
      <c r="K52" s="29">
        <f t="shared" si="30"/>
        <v>164.69989506820568</v>
      </c>
      <c r="L52" s="30">
        <f t="shared" si="31"/>
        <v>142.28827407007347</v>
      </c>
      <c r="M52" s="30">
        <f t="shared" si="42"/>
        <v>148.39055919246678</v>
      </c>
      <c r="N52" s="31">
        <f t="shared" si="48"/>
        <v>143.81505841540962</v>
      </c>
      <c r="U52" s="20"/>
      <c r="V52" s="22">
        <f t="shared" si="32"/>
        <v>20</v>
      </c>
      <c r="W52" s="23" t="str">
        <f t="shared" si="33"/>
        <v>2014-4</v>
      </c>
      <c r="X52" s="35">
        <f t="shared" si="34"/>
        <v>2.2035676810073453E-2</v>
      </c>
      <c r="Y52" s="114">
        <f t="shared" si="35"/>
        <v>3.4769442035780515E-2</v>
      </c>
      <c r="Z52" s="36">
        <f t="shared" si="43"/>
        <v>3.6156392095174489E-2</v>
      </c>
      <c r="AA52" s="37">
        <f t="shared" si="49"/>
        <v>3.6581660898312773E-2</v>
      </c>
      <c r="AB52" s="29">
        <f t="shared" si="36"/>
        <v>2735.5711428571431</v>
      </c>
      <c r="AC52" s="30">
        <f t="shared" si="37"/>
        <v>4092.3369987832361</v>
      </c>
      <c r="AD52" s="30">
        <f t="shared" si="44"/>
        <v>4104.1307108811661</v>
      </c>
      <c r="AE52" s="31">
        <f t="shared" si="50"/>
        <v>3931.3430523336983</v>
      </c>
      <c r="AF52" s="29">
        <f t="shared" si="38"/>
        <v>164.69989506820568</v>
      </c>
      <c r="AG52" s="30">
        <f t="shared" si="39"/>
        <v>142.28827407007347</v>
      </c>
      <c r="AH52" s="30">
        <f t="shared" si="45"/>
        <v>148.39055919246678</v>
      </c>
      <c r="AI52" s="31">
        <f t="shared" si="51"/>
        <v>143.81505841540962</v>
      </c>
    </row>
    <row r="53" spans="1:41" hidden="1" x14ac:dyDescent="0.25"/>
    <row r="54" spans="1:41" hidden="1" x14ac:dyDescent="0.25">
      <c r="C54" s="14" t="s">
        <v>90</v>
      </c>
      <c r="I54" s="14" t="s">
        <v>91</v>
      </c>
      <c r="P54" s="14" t="s">
        <v>99</v>
      </c>
      <c r="X54" s="14" t="s">
        <v>90</v>
      </c>
      <c r="AD54" s="14" t="s">
        <v>91</v>
      </c>
      <c r="AK54" s="14" t="s">
        <v>99</v>
      </c>
    </row>
    <row r="55" spans="1:41" hidden="1" x14ac:dyDescent="0.25">
      <c r="A55" s="14"/>
      <c r="B55" s="14"/>
      <c r="C55" s="14"/>
      <c r="D55" s="14"/>
      <c r="E55" s="14"/>
      <c r="F55" s="14"/>
      <c r="G55" s="14"/>
      <c r="V55" s="14"/>
      <c r="W55" s="14"/>
      <c r="X55" s="14"/>
      <c r="Z55" s="14"/>
      <c r="AA55" s="14"/>
      <c r="AB55" s="14"/>
    </row>
    <row r="56" spans="1:41" hidden="1" x14ac:dyDescent="0.25">
      <c r="A56" s="14"/>
      <c r="B56" s="14"/>
      <c r="C56" s="14"/>
      <c r="D56" s="14"/>
      <c r="E56" s="14"/>
      <c r="F56" s="14"/>
      <c r="G56" s="14"/>
      <c r="H56" s="14"/>
      <c r="I56" s="14"/>
      <c r="J56" s="14"/>
      <c r="K56" s="14"/>
      <c r="L56" s="14"/>
      <c r="M56" s="14"/>
      <c r="N56" s="14"/>
      <c r="V56" s="14"/>
      <c r="W56" s="14"/>
      <c r="X56" s="14"/>
      <c r="Z56" s="14"/>
      <c r="AA56" s="14"/>
      <c r="AB56" s="14"/>
      <c r="AC56" s="14"/>
      <c r="AD56" s="14"/>
      <c r="AE56" s="14"/>
      <c r="AF56" s="14"/>
      <c r="AG56" s="14"/>
      <c r="AH56" s="14"/>
      <c r="AI56" s="14"/>
    </row>
    <row r="57" spans="1:41" hidden="1" x14ac:dyDescent="0.25">
      <c r="A57" s="14"/>
      <c r="B57" s="14"/>
      <c r="C57" s="14"/>
      <c r="D57" s="14"/>
      <c r="E57" s="14"/>
      <c r="F57" s="14"/>
      <c r="G57" s="14"/>
      <c r="H57" s="14"/>
      <c r="I57" s="14"/>
      <c r="J57" s="14"/>
      <c r="K57" s="14"/>
      <c r="L57" s="14"/>
      <c r="M57" s="14"/>
      <c r="N57" s="14"/>
      <c r="O57" s="14"/>
      <c r="P57" s="14"/>
      <c r="Q57" s="14"/>
      <c r="R57" s="14"/>
      <c r="S57" s="14"/>
      <c r="T57" s="78"/>
      <c r="U57" s="80"/>
      <c r="V57" s="14"/>
      <c r="W57" s="14"/>
      <c r="X57" s="14"/>
      <c r="Z57" s="14"/>
      <c r="AA57" s="14"/>
      <c r="AB57" s="14"/>
      <c r="AC57" s="14"/>
      <c r="AD57" s="14"/>
      <c r="AE57" s="14"/>
      <c r="AF57" s="14"/>
      <c r="AG57" s="14"/>
      <c r="AH57" s="14"/>
      <c r="AI57" s="14"/>
      <c r="AJ57" s="14"/>
      <c r="AK57" s="14"/>
      <c r="AL57" s="14"/>
      <c r="AM57" s="14"/>
      <c r="AN57" s="14"/>
      <c r="AO57" s="80"/>
    </row>
    <row r="58" spans="1:41" hidden="1" x14ac:dyDescent="0.25">
      <c r="H58" s="14"/>
      <c r="I58" s="14"/>
      <c r="J58" s="14"/>
      <c r="K58" s="14"/>
      <c r="L58" s="14"/>
      <c r="M58" s="14"/>
      <c r="N58" s="14"/>
      <c r="O58" s="14"/>
      <c r="P58" s="14"/>
      <c r="Q58" s="14"/>
      <c r="R58" s="14"/>
      <c r="S58" s="14"/>
      <c r="T58" s="78"/>
      <c r="U58" s="80"/>
      <c r="AC58" s="14"/>
      <c r="AD58" s="14"/>
      <c r="AE58" s="14"/>
      <c r="AF58" s="14"/>
      <c r="AG58" s="14"/>
      <c r="AH58" s="14"/>
      <c r="AI58" s="14"/>
      <c r="AJ58" s="14"/>
      <c r="AK58" s="14"/>
      <c r="AL58" s="14"/>
      <c r="AM58" s="14"/>
      <c r="AN58" s="14"/>
      <c r="AO58" s="80"/>
    </row>
    <row r="59" spans="1:41" hidden="1" x14ac:dyDescent="0.25">
      <c r="B59" s="14"/>
      <c r="C59" s="14"/>
      <c r="D59" s="14"/>
      <c r="E59" s="14"/>
      <c r="F59" s="14"/>
      <c r="G59" s="14"/>
      <c r="O59" s="14"/>
      <c r="P59" s="14"/>
      <c r="Q59" s="14"/>
      <c r="R59" s="14"/>
      <c r="S59" s="14"/>
      <c r="T59" s="78"/>
      <c r="U59" s="80"/>
      <c r="W59" s="14"/>
      <c r="X59" s="14"/>
      <c r="Z59" s="14"/>
      <c r="AA59" s="14"/>
      <c r="AB59" s="14"/>
      <c r="AJ59" s="14"/>
      <c r="AK59" s="14"/>
      <c r="AL59" s="14"/>
      <c r="AM59" s="14"/>
      <c r="AN59" s="14"/>
      <c r="AO59" s="80"/>
    </row>
    <row r="60" spans="1:41" hidden="1" x14ac:dyDescent="0.25">
      <c r="E60" s="3"/>
      <c r="F60" s="3"/>
      <c r="G60" s="3"/>
      <c r="I60" s="14"/>
      <c r="J60" s="14"/>
      <c r="K60" s="14"/>
      <c r="L60" s="14"/>
      <c r="M60" s="14"/>
      <c r="N60" s="14"/>
      <c r="Z60" s="3"/>
      <c r="AA60" s="3"/>
      <c r="AB60" s="3"/>
      <c r="AD60" s="14"/>
      <c r="AE60" s="14"/>
      <c r="AF60" s="14"/>
      <c r="AG60" s="14"/>
      <c r="AH60" s="14"/>
      <c r="AI60" s="14"/>
    </row>
    <row r="61" spans="1:41" hidden="1" x14ac:dyDescent="0.25">
      <c r="E61" s="3"/>
      <c r="F61" s="3"/>
      <c r="G61" s="3"/>
      <c r="L61" s="3"/>
      <c r="M61" s="3"/>
      <c r="N61" s="3"/>
      <c r="P61" s="14"/>
      <c r="Q61" s="14"/>
      <c r="R61" s="14"/>
      <c r="S61" s="14"/>
      <c r="T61" s="78"/>
      <c r="U61" s="80"/>
      <c r="Z61" s="3"/>
      <c r="AA61" s="3"/>
      <c r="AB61" s="3"/>
      <c r="AG61" s="3"/>
      <c r="AH61" s="3"/>
      <c r="AI61" s="3"/>
      <c r="AK61" s="14"/>
      <c r="AL61" s="14"/>
      <c r="AM61" s="14"/>
      <c r="AN61" s="14"/>
      <c r="AO61" s="80"/>
    </row>
    <row r="62" spans="1:41" hidden="1" x14ac:dyDescent="0.25">
      <c r="E62" s="3"/>
      <c r="F62" s="3"/>
      <c r="G62" s="3"/>
      <c r="L62" s="3"/>
      <c r="M62" s="3"/>
      <c r="N62" s="3"/>
      <c r="S62" s="3"/>
      <c r="T62" s="79"/>
      <c r="U62" s="81"/>
      <c r="Z62" s="3"/>
      <c r="AA62" s="3"/>
      <c r="AB62" s="3"/>
      <c r="AG62" s="3"/>
      <c r="AH62" s="3"/>
      <c r="AI62" s="3"/>
      <c r="AN62" s="3"/>
      <c r="AO62" s="81"/>
    </row>
    <row r="63" spans="1:41" hidden="1" x14ac:dyDescent="0.25">
      <c r="E63" s="3"/>
      <c r="F63" s="3"/>
      <c r="G63" s="3"/>
      <c r="L63" s="3"/>
      <c r="M63" s="3"/>
      <c r="N63" s="3"/>
      <c r="S63" s="3"/>
      <c r="T63" s="79"/>
      <c r="U63" s="81"/>
      <c r="Z63" s="3"/>
      <c r="AA63" s="3"/>
      <c r="AB63" s="3"/>
      <c r="AG63" s="3"/>
      <c r="AH63" s="3"/>
      <c r="AI63" s="3"/>
      <c r="AN63" s="3"/>
      <c r="AO63" s="81"/>
    </row>
    <row r="64" spans="1:41" hidden="1" x14ac:dyDescent="0.25">
      <c r="E64" s="3"/>
      <c r="F64" s="3"/>
      <c r="G64" s="3"/>
      <c r="L64" s="3"/>
      <c r="M64" s="3"/>
      <c r="N64" s="3"/>
      <c r="S64" s="3"/>
      <c r="T64" s="79"/>
      <c r="U64" s="81"/>
      <c r="Z64" s="3"/>
      <c r="AA64" s="3"/>
      <c r="AB64" s="3"/>
      <c r="AG64" s="3"/>
      <c r="AH64" s="3"/>
      <c r="AI64" s="3"/>
      <c r="AN64" s="3"/>
      <c r="AO64" s="81"/>
    </row>
    <row r="65" spans="1:41" hidden="1" x14ac:dyDescent="0.25">
      <c r="E65" s="3"/>
      <c r="F65" s="3"/>
      <c r="G65" s="3"/>
      <c r="L65" s="3"/>
      <c r="M65" s="3"/>
      <c r="N65" s="3"/>
      <c r="S65" s="3"/>
      <c r="T65" s="79"/>
      <c r="U65" s="81"/>
      <c r="Z65" s="3"/>
      <c r="AA65" s="3"/>
      <c r="AB65" s="3"/>
      <c r="AG65" s="3"/>
      <c r="AH65" s="3"/>
      <c r="AI65" s="3"/>
      <c r="AN65" s="3"/>
      <c r="AO65" s="81"/>
    </row>
    <row r="66" spans="1:41" hidden="1" x14ac:dyDescent="0.25">
      <c r="E66" s="3"/>
      <c r="F66" s="3"/>
      <c r="G66" s="3"/>
      <c r="L66" s="3"/>
      <c r="M66" s="3"/>
      <c r="N66" s="3"/>
      <c r="S66" s="3"/>
      <c r="T66" s="79"/>
      <c r="U66" s="81"/>
      <c r="Z66" s="3"/>
      <c r="AA66" s="3"/>
      <c r="AB66" s="3"/>
      <c r="AG66" s="3"/>
      <c r="AH66" s="3"/>
      <c r="AI66" s="3"/>
      <c r="AN66" s="3"/>
      <c r="AO66" s="81"/>
    </row>
    <row r="67" spans="1:41" hidden="1" x14ac:dyDescent="0.25">
      <c r="E67" s="3"/>
      <c r="F67" s="3"/>
      <c r="G67" s="3"/>
      <c r="L67" s="3"/>
      <c r="M67" s="3"/>
      <c r="N67" s="3"/>
      <c r="S67" s="3"/>
      <c r="T67" s="79"/>
      <c r="U67" s="81"/>
      <c r="Z67" s="3"/>
      <c r="AA67" s="3"/>
      <c r="AB67" s="3"/>
      <c r="AG67" s="3"/>
      <c r="AH67" s="3"/>
      <c r="AI67" s="3"/>
      <c r="AN67" s="3"/>
      <c r="AO67" s="81"/>
    </row>
    <row r="68" spans="1:41" hidden="1" x14ac:dyDescent="0.25">
      <c r="E68" s="3"/>
      <c r="F68" s="3"/>
      <c r="G68" s="3"/>
      <c r="L68" s="3"/>
      <c r="M68" s="3"/>
      <c r="N68" s="3"/>
      <c r="S68" s="3"/>
      <c r="T68" s="79"/>
      <c r="U68" s="81"/>
      <c r="Z68" s="3"/>
      <c r="AA68" s="3"/>
      <c r="AB68" s="3"/>
      <c r="AG68" s="3"/>
      <c r="AH68" s="3"/>
      <c r="AI68" s="3"/>
      <c r="AN68" s="3"/>
      <c r="AO68" s="81"/>
    </row>
    <row r="69" spans="1:41" hidden="1" x14ac:dyDescent="0.25">
      <c r="E69" s="3"/>
      <c r="F69" s="3"/>
      <c r="G69" s="3"/>
      <c r="L69" s="3"/>
      <c r="M69" s="3"/>
      <c r="N69" s="3"/>
      <c r="S69" s="3"/>
      <c r="T69" s="79"/>
      <c r="U69" s="81"/>
      <c r="Z69" s="3"/>
      <c r="AA69" s="3"/>
      <c r="AB69" s="3"/>
      <c r="AG69" s="3"/>
      <c r="AH69" s="3"/>
      <c r="AI69" s="3"/>
      <c r="AN69" s="3"/>
      <c r="AO69" s="81"/>
    </row>
    <row r="70" spans="1:41" hidden="1" x14ac:dyDescent="0.25">
      <c r="E70" s="3"/>
      <c r="F70" s="3"/>
      <c r="G70" s="3"/>
      <c r="L70" s="3"/>
      <c r="M70" s="3"/>
      <c r="N70" s="3"/>
      <c r="S70" s="3"/>
      <c r="T70" s="79"/>
      <c r="U70" s="81"/>
      <c r="Z70" s="3"/>
      <c r="AA70" s="3"/>
      <c r="AB70" s="3"/>
      <c r="AG70" s="3"/>
      <c r="AH70" s="3"/>
      <c r="AI70" s="3"/>
      <c r="AN70" s="3"/>
      <c r="AO70" s="81"/>
    </row>
    <row r="71" spans="1:41" hidden="1" x14ac:dyDescent="0.25">
      <c r="E71" s="3"/>
      <c r="F71" s="3"/>
      <c r="G71" s="3"/>
      <c r="L71" s="3"/>
      <c r="M71" s="3"/>
      <c r="N71" s="3"/>
      <c r="S71" s="3"/>
      <c r="T71" s="79"/>
      <c r="U71" s="81"/>
      <c r="Z71" s="3"/>
      <c r="AA71" s="3"/>
      <c r="AB71" s="3"/>
      <c r="AG71" s="3"/>
      <c r="AH71" s="3"/>
      <c r="AI71" s="3"/>
      <c r="AN71" s="3"/>
      <c r="AO71" s="81"/>
    </row>
    <row r="72" spans="1:41" hidden="1" x14ac:dyDescent="0.25">
      <c r="E72" s="3"/>
      <c r="F72" s="3"/>
      <c r="G72" s="3"/>
      <c r="L72" s="3"/>
      <c r="M72" s="3"/>
      <c r="N72" s="3"/>
      <c r="S72" s="3"/>
      <c r="T72" s="79"/>
      <c r="U72" s="81"/>
      <c r="Z72" s="3"/>
      <c r="AA72" s="3"/>
      <c r="AB72" s="3"/>
      <c r="AG72" s="3"/>
      <c r="AH72" s="3"/>
      <c r="AI72" s="3"/>
      <c r="AN72" s="3"/>
      <c r="AO72" s="81"/>
    </row>
    <row r="73" spans="1:41" hidden="1" x14ac:dyDescent="0.25">
      <c r="E73" s="3"/>
      <c r="F73" s="3"/>
      <c r="G73" s="3"/>
      <c r="L73" s="3"/>
      <c r="M73" s="3"/>
      <c r="N73" s="3"/>
      <c r="S73" s="3"/>
      <c r="T73" s="79"/>
      <c r="U73" s="81"/>
      <c r="Z73" s="3"/>
      <c r="AA73" s="3"/>
      <c r="AB73" s="3"/>
      <c r="AG73" s="3"/>
      <c r="AH73" s="3"/>
      <c r="AI73" s="3"/>
      <c r="AN73" s="3"/>
      <c r="AO73" s="81"/>
    </row>
    <row r="74" spans="1:41" hidden="1" x14ac:dyDescent="0.25">
      <c r="E74" s="3"/>
      <c r="F74" s="3"/>
      <c r="G74" s="3"/>
      <c r="L74" s="3"/>
      <c r="M74" s="3"/>
      <c r="N74" s="3"/>
      <c r="S74" s="3"/>
      <c r="T74" s="79"/>
      <c r="U74" s="81"/>
      <c r="Z74" s="3"/>
      <c r="AA74" s="3"/>
      <c r="AB74" s="3"/>
      <c r="AG74" s="3"/>
      <c r="AH74" s="3"/>
      <c r="AI74" s="3"/>
      <c r="AN74" s="3"/>
      <c r="AO74" s="81"/>
    </row>
    <row r="75" spans="1:41" hidden="1" x14ac:dyDescent="0.25">
      <c r="E75" s="3"/>
      <c r="F75" s="3"/>
      <c r="G75" s="3"/>
      <c r="L75" s="3"/>
      <c r="M75" s="3"/>
      <c r="N75" s="3"/>
      <c r="S75" s="3"/>
      <c r="T75" s="79"/>
      <c r="U75" s="81"/>
      <c r="Z75" s="3"/>
      <c r="AA75" s="3"/>
      <c r="AB75" s="3"/>
      <c r="AG75" s="3"/>
      <c r="AH75" s="3"/>
      <c r="AI75" s="3"/>
      <c r="AN75" s="3"/>
      <c r="AO75" s="81"/>
    </row>
    <row r="76" spans="1:41" hidden="1" x14ac:dyDescent="0.25">
      <c r="C76" s="8"/>
      <c r="D76" s="8"/>
      <c r="E76" s="3"/>
      <c r="G76" s="17"/>
      <c r="L76" s="3"/>
      <c r="M76" s="3"/>
      <c r="N76" s="3"/>
      <c r="S76" s="3"/>
      <c r="T76" s="79"/>
      <c r="U76" s="81"/>
      <c r="X76" s="8"/>
      <c r="Y76" s="115"/>
      <c r="Z76" s="3"/>
      <c r="AB76" s="17"/>
      <c r="AG76" s="3"/>
      <c r="AH76" s="3"/>
      <c r="AI76" s="3"/>
      <c r="AN76" s="3"/>
      <c r="AO76" s="81"/>
    </row>
    <row r="77" spans="1:41" hidden="1" x14ac:dyDescent="0.25">
      <c r="A77" s="100" t="s">
        <v>9</v>
      </c>
      <c r="B77" s="101"/>
      <c r="C77" s="102"/>
      <c r="D77" s="24"/>
      <c r="E77" s="103" t="s">
        <v>33</v>
      </c>
      <c r="G77" s="100" t="str">
        <f>'2. Loss Trend Factor -- 1'!A77</f>
        <v>Exponential Trend</v>
      </c>
      <c r="H77" s="101"/>
      <c r="I77" s="102"/>
      <c r="J77" s="24"/>
      <c r="K77" s="103" t="s">
        <v>33</v>
      </c>
      <c r="N77" s="100" t="str">
        <f>'2. Loss Trend Factor -- 1'!G77</f>
        <v>Exponential Trend</v>
      </c>
      <c r="O77" s="101"/>
      <c r="P77" s="102"/>
      <c r="Q77" s="24"/>
      <c r="R77" s="103" t="s">
        <v>73</v>
      </c>
      <c r="S77" s="3"/>
      <c r="T77" s="79"/>
      <c r="U77" s="81"/>
      <c r="V77" s="100" t="s">
        <v>9</v>
      </c>
      <c r="W77" s="101"/>
      <c r="X77" s="102"/>
      <c r="Y77" s="111"/>
      <c r="Z77" s="103" t="s">
        <v>33</v>
      </c>
      <c r="AB77" s="100" t="str">
        <f>'2. Loss Trend Factor -- 1'!V77</f>
        <v>Exponential Trend</v>
      </c>
      <c r="AC77" s="101"/>
      <c r="AD77" s="102"/>
      <c r="AE77" s="24"/>
      <c r="AF77" s="103" t="s">
        <v>33</v>
      </c>
      <c r="AI77" s="100" t="str">
        <f>'2. Loss Trend Factor -- 1'!AB77</f>
        <v>Exponential Trend</v>
      </c>
      <c r="AJ77" s="101"/>
      <c r="AK77" s="102"/>
      <c r="AL77" s="24"/>
      <c r="AM77" s="103" t="s">
        <v>73</v>
      </c>
      <c r="AN77" s="3"/>
      <c r="AO77" s="81"/>
    </row>
    <row r="78" spans="1:41" hidden="1" x14ac:dyDescent="0.25">
      <c r="A78" s="20" t="s">
        <v>10</v>
      </c>
      <c r="B78" s="104">
        <f>'2. Loss Trend Factor -- 1'!N8</f>
        <v>-1.6807177162067144E-2</v>
      </c>
      <c r="C78" s="81"/>
      <c r="D78" s="25" t="s">
        <v>34</v>
      </c>
      <c r="E78" s="105">
        <f>'2. Loss Trend Factor -- 1'!N16</f>
        <v>0.01</v>
      </c>
      <c r="G78" s="20" t="str">
        <f>'2. Loss Trend Factor -- 1'!A78</f>
        <v>20 pt</v>
      </c>
      <c r="H78" s="104">
        <f>'2. Loss Trend Factor -- 1'!O8</f>
        <v>4.7396447785255535E-2</v>
      </c>
      <c r="I78" s="81"/>
      <c r="J78" s="25" t="s">
        <v>34</v>
      </c>
      <c r="K78" s="105">
        <f>'2. Loss Trend Factor -- 1'!O16</f>
        <v>0.03</v>
      </c>
      <c r="N78" s="20" t="str">
        <f>'2. Loss Trend Factor -- 1'!G78</f>
        <v>20 pt</v>
      </c>
      <c r="O78" s="104">
        <f>'2. Loss Trend Factor -- 1'!P8</f>
        <v>2.9792670128409249E-2</v>
      </c>
      <c r="P78" s="81"/>
      <c r="Q78" s="25" t="s">
        <v>34</v>
      </c>
      <c r="R78" s="105">
        <f>'2. Loss Trend Factor -- 1'!P16</f>
        <v>4.0300000000000002E-2</v>
      </c>
      <c r="S78" s="3"/>
      <c r="V78" s="20" t="s">
        <v>10</v>
      </c>
      <c r="W78" s="104">
        <f>'2. Loss Trend Factor -- 1'!AI8</f>
        <v>-1.6807177162067144E-2</v>
      </c>
      <c r="X78" s="81"/>
      <c r="Y78" s="112" t="s">
        <v>34</v>
      </c>
      <c r="Z78" s="105">
        <f>'2. Loss Trend Factor -- 1'!AI16</f>
        <v>0.01</v>
      </c>
      <c r="AB78" s="20" t="str">
        <f>'2. Loss Trend Factor -- 1'!V78</f>
        <v>20 pt</v>
      </c>
      <c r="AC78" s="104">
        <f>'2. Loss Trend Factor -- 1'!AJ8</f>
        <v>4.7396447785255535E-2</v>
      </c>
      <c r="AD78" s="81"/>
      <c r="AE78" s="25" t="s">
        <v>34</v>
      </c>
      <c r="AF78" s="105">
        <f>'2. Loss Trend Factor -- 1'!AJ16</f>
        <v>0.03</v>
      </c>
      <c r="AI78" s="20" t="str">
        <f>'2. Loss Trend Factor -- 1'!AB78</f>
        <v>20 pt</v>
      </c>
      <c r="AJ78" s="104">
        <f>'2. Loss Trend Factor -- 1'!AK8</f>
        <v>2.9792670128409249E-2</v>
      </c>
      <c r="AK78" s="81"/>
      <c r="AL78" s="25" t="s">
        <v>34</v>
      </c>
      <c r="AM78" s="105">
        <f>'2. Loss Trend Factor -- 1'!AK16</f>
        <v>4.0300000000000002E-2</v>
      </c>
      <c r="AN78" s="3"/>
    </row>
    <row r="79" spans="1:41" hidden="1" x14ac:dyDescent="0.25">
      <c r="A79" s="20" t="s">
        <v>11</v>
      </c>
      <c r="B79" s="104">
        <f>'2. Loss Trend Factor -- 1'!N10</f>
        <v>2.3866572275518694E-2</v>
      </c>
      <c r="C79" s="81"/>
      <c r="D79" s="104" t="s">
        <v>35</v>
      </c>
      <c r="E79" s="105">
        <f>'2. Loss Trend Factor -- 1'!N17</f>
        <v>2.3866572275518694E-2</v>
      </c>
      <c r="G79" s="20" t="str">
        <f>'2. Loss Trend Factor -- 1'!A79</f>
        <v>16 pt</v>
      </c>
      <c r="H79" s="104">
        <f>'2. Loss Trend Factor -- 1'!O10</f>
        <v>5.9101408864538518E-2</v>
      </c>
      <c r="I79" s="81"/>
      <c r="J79" s="104" t="s">
        <v>35</v>
      </c>
      <c r="K79" s="105">
        <f>'2. Loss Trend Factor -- 1'!O17</f>
        <v>5.9101408864538518E-2</v>
      </c>
      <c r="N79" s="20" t="str">
        <f>'2. Loss Trend Factor -- 1'!G79</f>
        <v>16 pt</v>
      </c>
      <c r="O79" s="104">
        <f>'2. Loss Trend Factor -- 1'!P10</f>
        <v>8.4378529186308393E-2</v>
      </c>
      <c r="P79" s="81"/>
      <c r="Q79" s="104" t="s">
        <v>35</v>
      </c>
      <c r="R79" s="105">
        <f>'2. Loss Trend Factor -- 1'!P17</f>
        <v>8.4378529186308393E-2</v>
      </c>
      <c r="S79" s="3"/>
      <c r="V79" s="20" t="s">
        <v>11</v>
      </c>
      <c r="W79" s="104">
        <f>'2. Loss Trend Factor -- 1'!AI10</f>
        <v>2.3866572275518694E-2</v>
      </c>
      <c r="X79" s="81"/>
      <c r="Y79" s="116" t="s">
        <v>35</v>
      </c>
      <c r="Z79" s="105">
        <f>'2. Loss Trend Factor -- 1'!AI17</f>
        <v>2.3866572275518694E-2</v>
      </c>
      <c r="AB79" s="20" t="str">
        <f>'2. Loss Trend Factor -- 1'!V79</f>
        <v>16 pt</v>
      </c>
      <c r="AC79" s="104">
        <f>'2. Loss Trend Factor -- 1'!AJ10</f>
        <v>5.9101408864538518E-2</v>
      </c>
      <c r="AD79" s="81"/>
      <c r="AE79" s="104" t="s">
        <v>35</v>
      </c>
      <c r="AF79" s="105">
        <f>'2. Loss Trend Factor -- 1'!AJ17</f>
        <v>5.9101408864538518E-2</v>
      </c>
      <c r="AI79" s="20" t="str">
        <f>'2. Loss Trend Factor -- 1'!AB79</f>
        <v>16 pt</v>
      </c>
      <c r="AJ79" s="104">
        <f>'2. Loss Trend Factor -- 1'!AK10</f>
        <v>8.4378529186308393E-2</v>
      </c>
      <c r="AK79" s="81"/>
      <c r="AL79" s="104" t="s">
        <v>35</v>
      </c>
      <c r="AM79" s="105">
        <f>'2. Loss Trend Factor -- 1'!AK17</f>
        <v>8.4378529186308393E-2</v>
      </c>
      <c r="AN79" s="3"/>
    </row>
    <row r="80" spans="1:41" hidden="1" x14ac:dyDescent="0.25">
      <c r="A80" s="20" t="s">
        <v>12</v>
      </c>
      <c r="B80" s="104">
        <f>'2. Loss Trend Factor -- 1'!N12</f>
        <v>4.8955276918282609E-2</v>
      </c>
      <c r="C80" s="81"/>
      <c r="D80" s="104"/>
      <c r="E80" s="76"/>
      <c r="G80" s="20" t="str">
        <f>'2. Loss Trend Factor -- 1'!A80</f>
        <v>12 pt</v>
      </c>
      <c r="H80" s="104">
        <f>'2. Loss Trend Factor -- 1'!O12</f>
        <v>-4.9273434903386648E-2</v>
      </c>
      <c r="I80" s="81"/>
      <c r="J80" s="104"/>
      <c r="K80" s="76"/>
      <c r="N80" s="20" t="str">
        <f>'2. Loss Trend Factor -- 1'!G80</f>
        <v>12 pt</v>
      </c>
      <c r="O80" s="104">
        <f>'2. Loss Trend Factor -- 1'!P12</f>
        <v>-2.7303526355147989E-3</v>
      </c>
      <c r="P80" s="81"/>
      <c r="Q80" s="25"/>
      <c r="R80" s="76"/>
      <c r="S80" s="3"/>
      <c r="V80" s="20" t="s">
        <v>12</v>
      </c>
      <c r="W80" s="104">
        <f>'2. Loss Trend Factor -- 1'!AI12</f>
        <v>4.8955276918281498E-2</v>
      </c>
      <c r="X80" s="81"/>
      <c r="Y80" s="116"/>
      <c r="Z80" s="76"/>
      <c r="AB80" s="20" t="str">
        <f>'2. Loss Trend Factor -- 1'!V80</f>
        <v>12 pt</v>
      </c>
      <c r="AC80" s="104">
        <f>'2. Loss Trend Factor -- 1'!AJ12</f>
        <v>-4.9273434903386648E-2</v>
      </c>
      <c r="AD80" s="81"/>
      <c r="AE80" s="104"/>
      <c r="AF80" s="76"/>
      <c r="AI80" s="20" t="str">
        <f>'2. Loss Trend Factor -- 1'!AB80</f>
        <v>12 pt</v>
      </c>
      <c r="AJ80" s="104">
        <f>'2. Loss Trend Factor -- 1'!AK12</f>
        <v>-2.7303526355147989E-3</v>
      </c>
      <c r="AK80" s="81"/>
      <c r="AL80" s="25"/>
      <c r="AM80" s="76"/>
      <c r="AN80" s="3"/>
    </row>
    <row r="81" spans="1:39" hidden="1" x14ac:dyDescent="0.25">
      <c r="A81" s="22"/>
      <c r="B81" s="106"/>
      <c r="C81" s="106"/>
      <c r="D81" s="106"/>
      <c r="E81" s="23"/>
      <c r="G81" s="22"/>
      <c r="H81" s="106"/>
      <c r="I81" s="106"/>
      <c r="J81" s="106"/>
      <c r="K81" s="107"/>
      <c r="L81" s="3"/>
      <c r="M81" s="3"/>
      <c r="N81" s="20"/>
      <c r="O81" s="25"/>
      <c r="P81" s="25"/>
      <c r="Q81" s="25"/>
      <c r="R81" s="21"/>
      <c r="V81" s="22"/>
      <c r="W81" s="106"/>
      <c r="X81" s="106"/>
      <c r="Y81" s="117"/>
      <c r="Z81" s="23"/>
      <c r="AB81" s="22"/>
      <c r="AC81" s="106"/>
      <c r="AD81" s="106"/>
      <c r="AE81" s="106"/>
      <c r="AF81" s="107"/>
      <c r="AG81" s="3"/>
      <c r="AH81" s="3"/>
      <c r="AI81" s="20"/>
      <c r="AJ81" s="25"/>
      <c r="AK81" s="25"/>
      <c r="AL81" s="25"/>
      <c r="AM81" s="21"/>
    </row>
    <row r="82" spans="1:39" x14ac:dyDescent="0.25">
      <c r="N82" s="108" t="s">
        <v>74</v>
      </c>
      <c r="O82" s="106"/>
      <c r="P82" s="106"/>
      <c r="Q82" s="106"/>
      <c r="R82" s="23"/>
      <c r="AI82" s="108" t="s">
        <v>74</v>
      </c>
      <c r="AJ82" s="106"/>
      <c r="AK82" s="106"/>
      <c r="AL82" s="106"/>
      <c r="AM82" s="23"/>
    </row>
  </sheetData>
  <printOptions horizontalCentered="1"/>
  <pageMargins left="0.7" right="0.7" top="0.75" bottom="0.75" header="0.3" footer="0.3"/>
  <pageSetup scale="93" orientation="portrait"/>
  <headerFooter>
    <oddFooter>&amp;C© 2014 by the Casualty Actuarial Society. All rights reserved.</oddFooter>
  </headerFooter>
  <drawing r:id="rId1"/>
  <legacyDrawing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S41"/>
  <sheetViews>
    <sheetView showGridLines="0" zoomScaleNormal="100" zoomScalePageLayoutView="78" workbookViewId="0"/>
  </sheetViews>
  <sheetFormatPr defaultColWidth="8.875" defaultRowHeight="15" x14ac:dyDescent="0.25"/>
  <cols>
    <col min="3" max="3" width="10.75" bestFit="1" customWidth="1"/>
    <col min="5" max="5" width="14.875" bestFit="1" customWidth="1"/>
    <col min="6" max="6" width="11.25" bestFit="1" customWidth="1"/>
    <col min="9" max="9" width="8.875" style="21"/>
    <col min="10" max="10" width="8.875" style="82"/>
    <col min="13" max="13" width="12.875" customWidth="1"/>
    <col min="14" max="14" width="10.75" bestFit="1" customWidth="1"/>
    <col min="16" max="16" width="14.875" bestFit="1" customWidth="1"/>
    <col min="17" max="17" width="11.25" bestFit="1" customWidth="1"/>
  </cols>
  <sheetData>
    <row r="2" spans="1:19" x14ac:dyDescent="0.25">
      <c r="A2" s="14" t="str">
        <f>Institution</f>
        <v>OU</v>
      </c>
      <c r="B2" s="14"/>
      <c r="C2" s="14"/>
      <c r="D2" s="14"/>
      <c r="E2" s="14"/>
      <c r="F2" s="14"/>
      <c r="G2" s="14"/>
      <c r="H2" s="14"/>
      <c r="L2" s="14" t="str">
        <f>Institution</f>
        <v>OU</v>
      </c>
      <c r="M2" s="14"/>
      <c r="N2" s="14"/>
      <c r="O2" s="14"/>
      <c r="P2" s="14"/>
      <c r="Q2" s="14"/>
      <c r="R2" s="14"/>
      <c r="S2" s="14"/>
    </row>
    <row r="3" spans="1:19" x14ac:dyDescent="0.25">
      <c r="A3" s="14" t="str">
        <f>Company</f>
        <v>Self-Insured Auto Program</v>
      </c>
      <c r="B3" s="14"/>
      <c r="C3" s="14"/>
      <c r="D3" s="14"/>
      <c r="E3" s="14"/>
      <c r="F3" s="14"/>
      <c r="G3" s="14"/>
      <c r="H3" s="14"/>
      <c r="L3" s="14" t="str">
        <f>Company</f>
        <v>Self-Insured Auto Program</v>
      </c>
      <c r="M3" s="14"/>
      <c r="N3" s="14"/>
      <c r="O3" s="14"/>
      <c r="P3" s="14"/>
      <c r="Q3" s="14"/>
      <c r="R3" s="14"/>
      <c r="S3" s="14"/>
    </row>
    <row r="4" spans="1:19" x14ac:dyDescent="0.25">
      <c r="A4" s="14" t="str">
        <f>LOB</f>
        <v>Cars without Safety Features</v>
      </c>
      <c r="B4" s="14"/>
      <c r="C4" s="14"/>
      <c r="D4" s="14"/>
      <c r="E4" s="14"/>
      <c r="F4" s="14"/>
      <c r="G4" s="14"/>
      <c r="H4" s="14"/>
      <c r="L4" s="14" t="str">
        <f>Inputs!A10</f>
        <v>Cars with Safety Features</v>
      </c>
      <c r="M4" s="14"/>
      <c r="N4" s="14"/>
      <c r="O4" s="14"/>
      <c r="P4" s="14"/>
      <c r="Q4" s="14"/>
      <c r="R4" s="14"/>
      <c r="S4" s="14"/>
    </row>
    <row r="6" spans="1:19" x14ac:dyDescent="0.25">
      <c r="B6" s="12">
        <v>1</v>
      </c>
      <c r="C6" s="12">
        <f t="shared" ref="C6:H6" si="0">B6+1</f>
        <v>2</v>
      </c>
      <c r="D6" s="12">
        <f t="shared" si="0"/>
        <v>3</v>
      </c>
      <c r="E6" s="12">
        <f t="shared" si="0"/>
        <v>4</v>
      </c>
      <c r="F6" s="12">
        <f t="shared" si="0"/>
        <v>5</v>
      </c>
      <c r="G6" s="12">
        <f t="shared" si="0"/>
        <v>6</v>
      </c>
      <c r="H6" s="12">
        <f t="shared" si="0"/>
        <v>7</v>
      </c>
      <c r="M6" s="12">
        <v>1</v>
      </c>
      <c r="N6" s="12">
        <f t="shared" ref="N6" si="1">M6+1</f>
        <v>2</v>
      </c>
      <c r="O6" s="12">
        <f t="shared" ref="O6" si="2">N6+1</f>
        <v>3</v>
      </c>
      <c r="P6" s="12">
        <f t="shared" ref="P6" si="3">O6+1</f>
        <v>4</v>
      </c>
      <c r="Q6" s="12">
        <f t="shared" ref="Q6" si="4">P6+1</f>
        <v>5</v>
      </c>
      <c r="R6" s="12">
        <f t="shared" ref="R6" si="5">Q6+1</f>
        <v>6</v>
      </c>
      <c r="S6" s="12">
        <f t="shared" ref="S6" si="6">R6+1</f>
        <v>7</v>
      </c>
    </row>
    <row r="7" spans="1:19" x14ac:dyDescent="0.25">
      <c r="A7" s="15"/>
      <c r="B7" s="15" t="s">
        <v>25</v>
      </c>
      <c r="C7" s="15" t="s">
        <v>34</v>
      </c>
      <c r="D7" s="15" t="s">
        <v>34</v>
      </c>
      <c r="E7" s="15" t="s">
        <v>25</v>
      </c>
      <c r="F7" s="15" t="s">
        <v>35</v>
      </c>
      <c r="G7" s="15" t="s">
        <v>35</v>
      </c>
      <c r="H7" s="55" t="s">
        <v>42</v>
      </c>
      <c r="L7" s="15"/>
      <c r="M7" s="15" t="s">
        <v>25</v>
      </c>
      <c r="N7" s="15" t="s">
        <v>34</v>
      </c>
      <c r="O7" s="15" t="s">
        <v>34</v>
      </c>
      <c r="P7" s="15" t="s">
        <v>25</v>
      </c>
      <c r="Q7" s="15" t="s">
        <v>35</v>
      </c>
      <c r="R7" s="15" t="s">
        <v>35</v>
      </c>
      <c r="S7" s="55" t="s">
        <v>42</v>
      </c>
    </row>
    <row r="8" spans="1:19" x14ac:dyDescent="0.25">
      <c r="A8" s="15" t="s">
        <v>36</v>
      </c>
      <c r="B8" s="15" t="s">
        <v>34</v>
      </c>
      <c r="C8" s="15" t="s">
        <v>38</v>
      </c>
      <c r="D8" s="15" t="s">
        <v>37</v>
      </c>
      <c r="E8" s="15" t="s">
        <v>35</v>
      </c>
      <c r="F8" s="15" t="s">
        <v>41</v>
      </c>
      <c r="G8" s="15" t="s">
        <v>37</v>
      </c>
      <c r="H8" s="55" t="s">
        <v>37</v>
      </c>
      <c r="L8" s="15" t="s">
        <v>36</v>
      </c>
      <c r="M8" s="65" t="s">
        <v>34</v>
      </c>
      <c r="N8" s="15" t="s">
        <v>38</v>
      </c>
      <c r="O8" s="15" t="s">
        <v>37</v>
      </c>
      <c r="P8" s="15" t="s">
        <v>35</v>
      </c>
      <c r="Q8" s="15" t="s">
        <v>41</v>
      </c>
      <c r="R8" s="15" t="s">
        <v>37</v>
      </c>
      <c r="S8" s="55" t="s">
        <v>37</v>
      </c>
    </row>
    <row r="9" spans="1:19" x14ac:dyDescent="0.25">
      <c r="A9" s="15" t="s">
        <v>27</v>
      </c>
      <c r="B9" s="65" t="s">
        <v>37</v>
      </c>
      <c r="C9" s="15" t="s">
        <v>39</v>
      </c>
      <c r="D9" s="15" t="s">
        <v>40</v>
      </c>
      <c r="E9" s="15" t="s">
        <v>37</v>
      </c>
      <c r="F9" s="15" t="s">
        <v>39</v>
      </c>
      <c r="G9" s="15" t="s">
        <v>40</v>
      </c>
      <c r="H9" s="55" t="s">
        <v>40</v>
      </c>
      <c r="L9" s="15" t="s">
        <v>27</v>
      </c>
      <c r="M9" s="65" t="s">
        <v>37</v>
      </c>
      <c r="N9" s="15" t="s">
        <v>39</v>
      </c>
      <c r="O9" s="15" t="s">
        <v>40</v>
      </c>
      <c r="P9" s="15" t="s">
        <v>37</v>
      </c>
      <c r="Q9" s="15" t="s">
        <v>39</v>
      </c>
      <c r="R9" s="15" t="s">
        <v>40</v>
      </c>
      <c r="S9" s="55" t="s">
        <v>40</v>
      </c>
    </row>
    <row r="10" spans="1:19" x14ac:dyDescent="0.25">
      <c r="A10" s="15">
        <f t="shared" ref="A10:A13" si="7">A11-1</f>
        <v>2010</v>
      </c>
      <c r="B10" s="146">
        <f>'2. Loss Trend Factor -- 1'!P16</f>
        <v>4.0300000000000002E-2</v>
      </c>
      <c r="C10" s="43">
        <f t="shared" ref="C10:C14" si="8">YEARFRAC(DATEVALUE("7/1/"&amp;A10),DATEVALUE("7/1/"&amp;$A$14))</f>
        <v>4</v>
      </c>
      <c r="D10" s="42">
        <f t="shared" ref="D10:D14" si="9">(1+B10)^C10</f>
        <v>1.171208980976328</v>
      </c>
      <c r="E10" s="60">
        <f>'2. Loss Trend Factor -- 1'!$P$17</f>
        <v>8.4378529186308393E-2</v>
      </c>
      <c r="F10" s="43">
        <f t="shared" ref="F10:F13" si="10">F11</f>
        <v>1</v>
      </c>
      <c r="G10" s="42">
        <f t="shared" ref="G10:G14" si="11">(1+E10)^F10</f>
        <v>1.0843785291863084</v>
      </c>
      <c r="H10" s="56">
        <f t="shared" ref="H10:H14" si="12">D10*G10</f>
        <v>1.2700338721609057</v>
      </c>
      <c r="L10" s="15">
        <f t="shared" ref="L10:L13" si="13">L11-1</f>
        <v>2010</v>
      </c>
      <c r="M10" s="146">
        <f>'2. Loss Trend Factor -- 1'!P16</f>
        <v>4.0300000000000002E-2</v>
      </c>
      <c r="N10" s="43">
        <f t="shared" ref="N10:N14" si="14">YEARFRAC(DATEVALUE("7/1/"&amp;L10),DATEVALUE("7/1/"&amp;$A$14))</f>
        <v>4</v>
      </c>
      <c r="O10" s="42">
        <f t="shared" ref="O10:O14" si="15">(1+M10)^N10</f>
        <v>1.171208980976328</v>
      </c>
      <c r="P10" s="60">
        <f>'2. Loss Trend Factor -- 1'!$AK$17</f>
        <v>8.4378529186308393E-2</v>
      </c>
      <c r="Q10" s="43">
        <f t="shared" ref="Q10:Q13" si="16">Q11</f>
        <v>1</v>
      </c>
      <c r="R10" s="42">
        <f t="shared" ref="R10:R14" si="17">(1+P10)^Q10</f>
        <v>1.0843785291863084</v>
      </c>
      <c r="S10" s="56">
        <f t="shared" ref="S10:S14" si="18">O10*R10</f>
        <v>1.2700338721609057</v>
      </c>
    </row>
    <row r="11" spans="1:19" x14ac:dyDescent="0.25">
      <c r="A11" s="15">
        <f t="shared" si="7"/>
        <v>2011</v>
      </c>
      <c r="B11" s="146">
        <f t="shared" ref="B11:B14" si="19">B10</f>
        <v>4.0300000000000002E-2</v>
      </c>
      <c r="C11" s="43">
        <f t="shared" si="8"/>
        <v>3</v>
      </c>
      <c r="D11" s="42">
        <f t="shared" si="9"/>
        <v>1.1258377208270001</v>
      </c>
      <c r="E11" s="60">
        <f>'2. Loss Trend Factor -- 1'!$P$17</f>
        <v>8.4378529186308393E-2</v>
      </c>
      <c r="F11" s="43">
        <f t="shared" si="10"/>
        <v>1</v>
      </c>
      <c r="G11" s="42">
        <f t="shared" si="11"/>
        <v>1.0843785291863084</v>
      </c>
      <c r="H11" s="56">
        <f t="shared" si="12"/>
        <v>1.2208342518128481</v>
      </c>
      <c r="L11" s="15">
        <f t="shared" si="13"/>
        <v>2011</v>
      </c>
      <c r="M11" s="146">
        <f t="shared" ref="M11:M14" si="20">M10</f>
        <v>4.0300000000000002E-2</v>
      </c>
      <c r="N11" s="43">
        <f t="shared" si="14"/>
        <v>3</v>
      </c>
      <c r="O11" s="42">
        <f t="shared" si="15"/>
        <v>1.1258377208270001</v>
      </c>
      <c r="P11" s="60">
        <f>'2. Loss Trend Factor -- 1'!$AK$17</f>
        <v>8.4378529186308393E-2</v>
      </c>
      <c r="Q11" s="43">
        <f t="shared" si="16"/>
        <v>1</v>
      </c>
      <c r="R11" s="42">
        <f t="shared" si="17"/>
        <v>1.0843785291863084</v>
      </c>
      <c r="S11" s="56">
        <f t="shared" si="18"/>
        <v>1.2208342518128481</v>
      </c>
    </row>
    <row r="12" spans="1:19" x14ac:dyDescent="0.25">
      <c r="A12" s="15">
        <f t="shared" si="7"/>
        <v>2012</v>
      </c>
      <c r="B12" s="146">
        <f t="shared" si="19"/>
        <v>4.0300000000000002E-2</v>
      </c>
      <c r="C12" s="43">
        <f t="shared" si="8"/>
        <v>2</v>
      </c>
      <c r="D12" s="42">
        <f t="shared" si="9"/>
        <v>1.08222409</v>
      </c>
      <c r="E12" s="60">
        <f>'2. Loss Trend Factor -- 1'!$P$17</f>
        <v>8.4378529186308393E-2</v>
      </c>
      <c r="F12" s="43">
        <f t="shared" si="10"/>
        <v>1</v>
      </c>
      <c r="G12" s="42">
        <f t="shared" si="11"/>
        <v>1.0843785291863084</v>
      </c>
      <c r="H12" s="56">
        <f t="shared" si="12"/>
        <v>1.173540566964191</v>
      </c>
      <c r="L12" s="15">
        <f t="shared" si="13"/>
        <v>2012</v>
      </c>
      <c r="M12" s="146">
        <f t="shared" si="20"/>
        <v>4.0300000000000002E-2</v>
      </c>
      <c r="N12" s="43">
        <f t="shared" si="14"/>
        <v>2</v>
      </c>
      <c r="O12" s="42">
        <f t="shared" si="15"/>
        <v>1.08222409</v>
      </c>
      <c r="P12" s="60">
        <f>'2. Loss Trend Factor -- 1'!$AK$17</f>
        <v>8.4378529186308393E-2</v>
      </c>
      <c r="Q12" s="43">
        <f t="shared" si="16"/>
        <v>1</v>
      </c>
      <c r="R12" s="42">
        <f t="shared" si="17"/>
        <v>1.0843785291863084</v>
      </c>
      <c r="S12" s="56">
        <f t="shared" si="18"/>
        <v>1.173540566964191</v>
      </c>
    </row>
    <row r="13" spans="1:19" x14ac:dyDescent="0.25">
      <c r="A13" s="15">
        <f t="shared" si="7"/>
        <v>2013</v>
      </c>
      <c r="B13" s="146">
        <f t="shared" si="19"/>
        <v>4.0300000000000002E-2</v>
      </c>
      <c r="C13" s="43">
        <f t="shared" si="8"/>
        <v>1</v>
      </c>
      <c r="D13" s="42">
        <f t="shared" si="9"/>
        <v>1.0403</v>
      </c>
      <c r="E13" s="60">
        <f>'2. Loss Trend Factor -- 1'!$P$17</f>
        <v>8.4378529186308393E-2</v>
      </c>
      <c r="F13" s="43">
        <f t="shared" si="10"/>
        <v>1</v>
      </c>
      <c r="G13" s="42">
        <f t="shared" si="11"/>
        <v>1.0843785291863084</v>
      </c>
      <c r="H13" s="56">
        <f t="shared" si="12"/>
        <v>1.1280789839125167</v>
      </c>
      <c r="L13" s="15">
        <f t="shared" si="13"/>
        <v>2013</v>
      </c>
      <c r="M13" s="146">
        <f t="shared" si="20"/>
        <v>4.0300000000000002E-2</v>
      </c>
      <c r="N13" s="43">
        <f t="shared" si="14"/>
        <v>1</v>
      </c>
      <c r="O13" s="42">
        <f t="shared" si="15"/>
        <v>1.0403</v>
      </c>
      <c r="P13" s="60">
        <f>'2. Loss Trend Factor -- 1'!$AK$17</f>
        <v>8.4378529186308393E-2</v>
      </c>
      <c r="Q13" s="43">
        <f t="shared" si="16"/>
        <v>1</v>
      </c>
      <c r="R13" s="42">
        <f t="shared" si="17"/>
        <v>1.0843785291863084</v>
      </c>
      <c r="S13" s="56">
        <f t="shared" si="18"/>
        <v>1.1280789839125167</v>
      </c>
    </row>
    <row r="14" spans="1:19" x14ac:dyDescent="0.25">
      <c r="A14" s="15">
        <f>LatestYear</f>
        <v>2014</v>
      </c>
      <c r="B14" s="146">
        <f t="shared" si="19"/>
        <v>4.0300000000000002E-2</v>
      </c>
      <c r="C14" s="43">
        <f t="shared" si="8"/>
        <v>0</v>
      </c>
      <c r="D14" s="42">
        <f t="shared" si="9"/>
        <v>1</v>
      </c>
      <c r="E14" s="60">
        <f>'2. Loss Trend Factor -- 1'!$P$17</f>
        <v>8.4378529186308393E-2</v>
      </c>
      <c r="F14" s="43">
        <f>YEARFRAC(DATEVALUE("7/1/"&amp;LatestYear),EDATE(EffDate,6))</f>
        <v>1</v>
      </c>
      <c r="G14" s="42">
        <f t="shared" si="11"/>
        <v>1.0843785291863084</v>
      </c>
      <c r="H14" s="56">
        <f t="shared" si="12"/>
        <v>1.0843785291863084</v>
      </c>
      <c r="L14" s="15">
        <f>LatestYear</f>
        <v>2014</v>
      </c>
      <c r="M14" s="146">
        <f t="shared" si="20"/>
        <v>4.0300000000000002E-2</v>
      </c>
      <c r="N14" s="43">
        <f t="shared" si="14"/>
        <v>0</v>
      </c>
      <c r="O14" s="42">
        <f t="shared" si="15"/>
        <v>1</v>
      </c>
      <c r="P14" s="60">
        <f>'2. Loss Trend Factor -- 1'!$AK$17</f>
        <v>8.4378529186308393E-2</v>
      </c>
      <c r="Q14" s="43">
        <f>YEARFRAC(DATEVALUE("7/1/"&amp;LatestYear),EDATE(EffDate,6))</f>
        <v>1</v>
      </c>
      <c r="R14" s="42">
        <f t="shared" si="17"/>
        <v>1.0843785291863084</v>
      </c>
      <c r="S14" s="56">
        <f t="shared" si="18"/>
        <v>1.0843785291863084</v>
      </c>
    </row>
    <row r="15" spans="1:19" x14ac:dyDescent="0.25">
      <c r="B15" s="59"/>
      <c r="C15" s="9"/>
      <c r="D15" s="9"/>
      <c r="E15" s="4"/>
      <c r="F15" s="6"/>
      <c r="G15" s="7"/>
      <c r="H15" s="7"/>
      <c r="M15" s="59"/>
      <c r="N15" s="9"/>
      <c r="O15" s="9"/>
      <c r="P15" s="4"/>
      <c r="Q15" s="6"/>
      <c r="R15" s="7"/>
      <c r="S15" s="7"/>
    </row>
    <row r="16" spans="1:19" x14ac:dyDescent="0.25">
      <c r="A16" s="12">
        <v>1</v>
      </c>
      <c r="B16" s="59" t="s">
        <v>100</v>
      </c>
      <c r="C16" s="9"/>
      <c r="D16" s="9"/>
      <c r="E16" s="4"/>
      <c r="F16" s="6"/>
      <c r="G16" s="7"/>
      <c r="H16" s="7"/>
      <c r="L16" s="12">
        <v>1</v>
      </c>
      <c r="M16" s="59" t="s">
        <v>100</v>
      </c>
      <c r="N16" s="9"/>
      <c r="O16" s="9"/>
      <c r="P16" s="4"/>
      <c r="Q16" s="6"/>
      <c r="R16" s="7"/>
      <c r="S16" s="7"/>
    </row>
    <row r="17" spans="1:19" x14ac:dyDescent="0.25">
      <c r="A17" s="12">
        <f t="shared" ref="A17:A22" si="21">A16+1</f>
        <v>2</v>
      </c>
      <c r="B17" s="59" t="str">
        <f>"From 07/01/"&amp;A10&amp;" to 07/01/"&amp;LatestYear</f>
        <v>From 07/01/2010 to 07/01/2014</v>
      </c>
      <c r="C17" s="9"/>
      <c r="D17" s="9"/>
      <c r="E17" s="4"/>
      <c r="F17" s="6"/>
      <c r="G17" s="7"/>
      <c r="H17" s="7"/>
      <c r="L17" s="12">
        <f t="shared" ref="L17:L22" si="22">L16+1</f>
        <v>2</v>
      </c>
      <c r="M17" s="59" t="str">
        <f>"From 07/01/"&amp;L10&amp;" to 07/01/"&amp;LatestYear</f>
        <v>From 07/01/2010 to 07/01/2014</v>
      </c>
      <c r="N17" s="9"/>
      <c r="O17" s="9"/>
      <c r="P17" s="4"/>
      <c r="Q17" s="6"/>
      <c r="R17" s="7"/>
      <c r="S17" s="7"/>
    </row>
    <row r="18" spans="1:19" x14ac:dyDescent="0.25">
      <c r="A18" s="12">
        <f t="shared" si="21"/>
        <v>3</v>
      </c>
      <c r="B18" s="70" t="s">
        <v>61</v>
      </c>
      <c r="C18" s="9"/>
      <c r="D18" s="9"/>
      <c r="E18" s="4"/>
      <c r="F18" s="6"/>
      <c r="G18" s="7"/>
      <c r="H18" s="7"/>
      <c r="L18" s="12">
        <f t="shared" si="22"/>
        <v>3</v>
      </c>
      <c r="M18" s="13" t="s">
        <v>61</v>
      </c>
      <c r="N18" s="9"/>
      <c r="O18" s="9"/>
      <c r="P18" s="4"/>
      <c r="Q18" s="6"/>
      <c r="R18" s="7"/>
      <c r="S18" s="7"/>
    </row>
    <row r="19" spans="1:19" x14ac:dyDescent="0.25">
      <c r="A19" s="12">
        <f t="shared" si="21"/>
        <v>4</v>
      </c>
      <c r="B19" t="s">
        <v>100</v>
      </c>
      <c r="C19" s="9"/>
      <c r="D19" s="9"/>
      <c r="E19" s="4"/>
      <c r="F19" s="6"/>
      <c r="G19" s="7"/>
      <c r="H19" s="7"/>
      <c r="L19" s="12">
        <f t="shared" si="22"/>
        <v>4</v>
      </c>
      <c r="M19" t="s">
        <v>100</v>
      </c>
      <c r="N19" s="9"/>
      <c r="O19" s="9"/>
      <c r="P19" s="4"/>
      <c r="Q19" s="6"/>
      <c r="R19" s="7"/>
      <c r="S19" s="7"/>
    </row>
    <row r="20" spans="1:19" x14ac:dyDescent="0.25">
      <c r="A20" s="12">
        <f t="shared" si="21"/>
        <v>5</v>
      </c>
      <c r="B20" t="str">
        <f>"From 07/01/"&amp;LatestYear&amp;" to "&amp;TEXT(EDATE(EffDate,6)-1,"mm/dd/yyyy")&amp;" the midpoint of the upcoming policy term."</f>
        <v>From 07/01/2014 to 06/30/2015 the midpoint of the upcoming policy term.</v>
      </c>
      <c r="C20" s="9"/>
      <c r="D20" s="9"/>
      <c r="E20" s="4"/>
      <c r="F20" s="6"/>
      <c r="G20" s="7"/>
      <c r="H20" s="7"/>
      <c r="L20" s="12">
        <f t="shared" si="22"/>
        <v>5</v>
      </c>
      <c r="M20" t="str">
        <f>"From 07/01/"&amp;LatestYear&amp;" to "&amp;TEXT(EDATE(EffDate,6)-1,"mm/dd/yyyy")&amp;" the midpoint of the upcoming policy term."</f>
        <v>From 07/01/2014 to 06/30/2015 the midpoint of the upcoming policy term.</v>
      </c>
      <c r="N20" s="9"/>
      <c r="O20" s="9"/>
      <c r="P20" s="4"/>
      <c r="Q20" s="6"/>
      <c r="R20" s="7"/>
      <c r="S20" s="7"/>
    </row>
    <row r="21" spans="1:19" x14ac:dyDescent="0.25">
      <c r="A21" s="12">
        <f t="shared" si="21"/>
        <v>6</v>
      </c>
      <c r="B21" s="13" t="s">
        <v>62</v>
      </c>
      <c r="C21" s="9"/>
      <c r="D21" s="9"/>
      <c r="E21" s="4"/>
      <c r="F21" s="6"/>
      <c r="G21" s="7"/>
      <c r="H21" s="7"/>
      <c r="L21" s="12">
        <f t="shared" si="22"/>
        <v>6</v>
      </c>
      <c r="M21" s="13" t="s">
        <v>62</v>
      </c>
      <c r="N21" s="9"/>
      <c r="O21" s="9"/>
      <c r="P21" s="4"/>
      <c r="Q21" s="6"/>
      <c r="R21" s="7"/>
      <c r="S21" s="7"/>
    </row>
    <row r="22" spans="1:19" x14ac:dyDescent="0.25">
      <c r="A22" s="12">
        <f t="shared" si="21"/>
        <v>7</v>
      </c>
      <c r="B22" s="13" t="s">
        <v>63</v>
      </c>
      <c r="C22" s="9"/>
      <c r="D22" s="9"/>
      <c r="E22" s="4"/>
      <c r="F22" s="6"/>
      <c r="G22" s="7"/>
      <c r="H22" s="7"/>
      <c r="L22" s="12">
        <f t="shared" si="22"/>
        <v>7</v>
      </c>
      <c r="M22" s="13" t="s">
        <v>63</v>
      </c>
      <c r="N22" s="9"/>
      <c r="O22" s="9"/>
      <c r="P22" s="4"/>
      <c r="Q22" s="6"/>
      <c r="R22" s="7"/>
      <c r="S22" s="7"/>
    </row>
    <row r="23" spans="1:19" x14ac:dyDescent="0.25">
      <c r="C23" s="9"/>
      <c r="D23" s="9"/>
      <c r="E23" s="4"/>
      <c r="F23" s="6"/>
      <c r="G23" s="7"/>
      <c r="H23" s="7"/>
      <c r="N23" s="9"/>
      <c r="O23" s="9"/>
      <c r="P23" s="4"/>
      <c r="Q23" s="6"/>
      <c r="R23" s="7"/>
      <c r="S23" s="7"/>
    </row>
    <row r="24" spans="1:19" x14ac:dyDescent="0.25">
      <c r="C24" s="9"/>
      <c r="D24" s="9"/>
      <c r="E24" s="4"/>
      <c r="F24" s="6"/>
      <c r="G24" s="7"/>
      <c r="H24" s="7"/>
      <c r="N24" s="9"/>
      <c r="O24" s="9"/>
      <c r="P24" s="4"/>
      <c r="Q24" s="6"/>
      <c r="R24" s="7"/>
      <c r="S24" s="7"/>
    </row>
    <row r="25" spans="1:19" x14ac:dyDescent="0.25">
      <c r="C25" s="9"/>
      <c r="D25" s="9"/>
      <c r="E25" s="4"/>
      <c r="F25" s="6"/>
      <c r="G25" s="7"/>
      <c r="H25" s="7"/>
      <c r="N25" s="9"/>
      <c r="O25" s="9"/>
      <c r="P25" s="4"/>
      <c r="Q25" s="6"/>
      <c r="R25" s="7"/>
      <c r="S25" s="7"/>
    </row>
    <row r="26" spans="1:19" x14ac:dyDescent="0.25">
      <c r="C26" s="9"/>
      <c r="D26" s="9"/>
      <c r="E26" s="4"/>
      <c r="F26" s="6"/>
      <c r="G26" s="7"/>
      <c r="H26" s="7"/>
      <c r="N26" s="9"/>
      <c r="O26" s="9"/>
      <c r="P26" s="4"/>
      <c r="Q26" s="6"/>
      <c r="R26" s="7"/>
      <c r="S26" s="7"/>
    </row>
    <row r="27" spans="1:19" x14ac:dyDescent="0.25">
      <c r="C27" s="9"/>
      <c r="D27" s="9"/>
      <c r="E27" s="4"/>
      <c r="F27" s="6"/>
      <c r="G27" s="7"/>
      <c r="H27" s="7"/>
      <c r="N27" s="9"/>
      <c r="O27" s="9"/>
      <c r="P27" s="4"/>
      <c r="Q27" s="6"/>
      <c r="R27" s="7"/>
      <c r="S27" s="7"/>
    </row>
    <row r="28" spans="1:19" x14ac:dyDescent="0.25">
      <c r="C28" s="9"/>
      <c r="D28" s="9"/>
      <c r="E28" s="4"/>
      <c r="F28" s="6"/>
      <c r="G28" s="7"/>
      <c r="H28" s="7"/>
      <c r="N28" s="9"/>
      <c r="O28" s="9"/>
      <c r="P28" s="4"/>
      <c r="Q28" s="6"/>
      <c r="R28" s="7"/>
      <c r="S28" s="7"/>
    </row>
    <row r="29" spans="1:19" x14ac:dyDescent="0.25">
      <c r="C29" s="9"/>
      <c r="D29" s="9"/>
      <c r="E29" s="4"/>
      <c r="F29" s="6"/>
      <c r="G29" s="7"/>
      <c r="H29" s="7"/>
      <c r="N29" s="9"/>
      <c r="O29" s="9"/>
      <c r="P29" s="4"/>
      <c r="Q29" s="6"/>
      <c r="R29" s="7"/>
      <c r="S29" s="7"/>
    </row>
    <row r="31" spans="1:19" x14ac:dyDescent="0.25">
      <c r="E31" s="8"/>
      <c r="F31" s="8"/>
      <c r="P31" s="8"/>
      <c r="Q31" s="8"/>
    </row>
    <row r="32" spans="1:19" x14ac:dyDescent="0.25">
      <c r="F32" s="5"/>
      <c r="J32" s="83"/>
      <c r="K32" s="5"/>
      <c r="Q32" s="5"/>
    </row>
    <row r="33" spans="6:19" x14ac:dyDescent="0.25">
      <c r="F33" s="5"/>
      <c r="J33" s="83"/>
      <c r="K33" s="5"/>
      <c r="Q33" s="5"/>
    </row>
    <row r="34" spans="6:19" x14ac:dyDescent="0.25">
      <c r="F34" s="5"/>
      <c r="J34" s="83"/>
      <c r="K34" s="5"/>
      <c r="Q34" s="5"/>
    </row>
    <row r="35" spans="6:19" x14ac:dyDescent="0.25">
      <c r="F35" s="5"/>
      <c r="J35" s="83"/>
      <c r="K35" s="5"/>
      <c r="Q35" s="5"/>
    </row>
    <row r="36" spans="6:19" x14ac:dyDescent="0.25">
      <c r="F36" s="5"/>
      <c r="J36" s="83"/>
      <c r="K36" s="5"/>
      <c r="Q36" s="5"/>
    </row>
    <row r="37" spans="6:19" x14ac:dyDescent="0.25">
      <c r="F37" s="5"/>
      <c r="J37" s="83"/>
      <c r="K37" s="5"/>
      <c r="Q37" s="5"/>
    </row>
    <row r="40" spans="6:19" x14ac:dyDescent="0.25">
      <c r="F40" s="10"/>
      <c r="G40" s="10"/>
      <c r="H40" s="10"/>
      <c r="Q40" s="10"/>
      <c r="R40" s="10"/>
      <c r="S40" s="10"/>
    </row>
    <row r="41" spans="6:19" x14ac:dyDescent="0.25">
      <c r="F41" s="10"/>
      <c r="G41" s="10"/>
      <c r="H41" s="10"/>
      <c r="Q41" s="10"/>
      <c r="R41" s="10"/>
      <c r="S41" s="10"/>
    </row>
  </sheetData>
  <printOptions horizontalCentered="1"/>
  <pageMargins left="0.7" right="0.7" top="0.75" bottom="0.75" header="0.3" footer="0.3"/>
  <pageSetup fitToHeight="0" orientation="landscape"/>
  <headerFooter>
    <oddFooter>&amp;C© 2014 by the Casualty Actuarial Society. All rights reserved.</oddFooter>
  </headerFooter>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20"/>
  <sheetViews>
    <sheetView showGridLines="0" workbookViewId="0"/>
  </sheetViews>
  <sheetFormatPr defaultColWidth="8.875" defaultRowHeight="15" x14ac:dyDescent="0.25"/>
  <cols>
    <col min="1" max="1" width="15.25" customWidth="1"/>
    <col min="2" max="2" width="14.875" bestFit="1" customWidth="1"/>
    <col min="3" max="3" width="13.875" bestFit="1" customWidth="1"/>
    <col min="4" max="4" width="14.375" customWidth="1"/>
    <col min="5" max="5" width="8.875" style="21"/>
    <col min="6" max="6" width="8.875" style="82"/>
    <col min="8" max="8" width="15.25" customWidth="1"/>
    <col min="9" max="9" width="14.875" bestFit="1" customWidth="1"/>
    <col min="10" max="10" width="13.875" bestFit="1" customWidth="1"/>
    <col min="11" max="11" width="14.375" customWidth="1"/>
  </cols>
  <sheetData>
    <row r="1" spans="1:11" x14ac:dyDescent="0.25">
      <c r="A1" s="129" t="s">
        <v>149</v>
      </c>
      <c r="B1" s="129"/>
      <c r="C1" s="129"/>
      <c r="D1" s="129"/>
      <c r="E1" s="129"/>
      <c r="G1" s="129" t="s">
        <v>149</v>
      </c>
      <c r="H1" s="129"/>
      <c r="I1" s="129"/>
      <c r="J1" s="129"/>
      <c r="K1" s="129"/>
    </row>
    <row r="2" spans="1:11" x14ac:dyDescent="0.25">
      <c r="A2" s="14" t="str">
        <f>Institution</f>
        <v>OU</v>
      </c>
      <c r="B2" s="14"/>
      <c r="C2" s="14"/>
      <c r="D2" s="14"/>
      <c r="H2" s="14" t="str">
        <f>Institution</f>
        <v>OU</v>
      </c>
      <c r="I2" s="14"/>
      <c r="J2" s="14"/>
      <c r="K2" s="14"/>
    </row>
    <row r="3" spans="1:11" x14ac:dyDescent="0.25">
      <c r="A3" s="14" t="str">
        <f>Company</f>
        <v>Self-Insured Auto Program</v>
      </c>
      <c r="B3" s="14"/>
      <c r="C3" s="14"/>
      <c r="D3" s="14"/>
      <c r="H3" s="14" t="str">
        <f>Company</f>
        <v>Self-Insured Auto Program</v>
      </c>
      <c r="I3" s="14"/>
      <c r="J3" s="14"/>
      <c r="K3" s="14"/>
    </row>
    <row r="4" spans="1:11" x14ac:dyDescent="0.25">
      <c r="A4" s="14" t="str">
        <f>LOB</f>
        <v>Cars without Safety Features</v>
      </c>
      <c r="B4" s="14"/>
      <c r="C4" s="14"/>
      <c r="D4" s="14"/>
      <c r="H4" s="14" t="str">
        <f>Inputs!A10</f>
        <v>Cars with Safety Features</v>
      </c>
      <c r="I4" s="14"/>
      <c r="J4" s="14"/>
      <c r="K4" s="14"/>
    </row>
    <row r="6" spans="1:11" x14ac:dyDescent="0.25">
      <c r="B6" s="38">
        <v>1</v>
      </c>
      <c r="C6" s="38">
        <f t="shared" ref="C6:D6" si="0">B6+1</f>
        <v>2</v>
      </c>
      <c r="D6" s="38">
        <f t="shared" si="0"/>
        <v>3</v>
      </c>
      <c r="I6" s="38">
        <v>1</v>
      </c>
      <c r="J6" s="38">
        <f t="shared" ref="J6" si="1">I6+1</f>
        <v>2</v>
      </c>
      <c r="K6" s="38">
        <f t="shared" ref="K6" si="2">J6+1</f>
        <v>3</v>
      </c>
    </row>
    <row r="7" spans="1:11" x14ac:dyDescent="0.25">
      <c r="A7" s="15"/>
      <c r="B7" s="15" t="s">
        <v>89</v>
      </c>
      <c r="C7" s="15"/>
      <c r="D7" s="15"/>
      <c r="H7" s="15"/>
      <c r="I7" s="15" t="s">
        <v>89</v>
      </c>
      <c r="J7" s="15"/>
      <c r="K7" s="15"/>
    </row>
    <row r="8" spans="1:11" x14ac:dyDescent="0.25">
      <c r="A8" s="15"/>
      <c r="B8" s="15" t="s">
        <v>43</v>
      </c>
      <c r="C8" s="15" t="s">
        <v>89</v>
      </c>
      <c r="D8" s="15"/>
      <c r="H8" s="15"/>
      <c r="I8" s="15" t="s">
        <v>43</v>
      </c>
      <c r="J8" s="15" t="s">
        <v>89</v>
      </c>
      <c r="K8" s="15"/>
    </row>
    <row r="9" spans="1:11" x14ac:dyDescent="0.25">
      <c r="A9" s="15" t="s">
        <v>7</v>
      </c>
      <c r="B9" s="15" t="s">
        <v>44</v>
      </c>
      <c r="C9" s="15" t="s">
        <v>45</v>
      </c>
      <c r="D9" s="15" t="s">
        <v>46</v>
      </c>
      <c r="H9" s="15" t="s">
        <v>7</v>
      </c>
      <c r="I9" s="15" t="s">
        <v>44</v>
      </c>
      <c r="J9" s="15" t="s">
        <v>45</v>
      </c>
      <c r="K9" s="15" t="s">
        <v>46</v>
      </c>
    </row>
    <row r="10" spans="1:11" x14ac:dyDescent="0.25">
      <c r="A10">
        <f t="shared" ref="A10:A11" si="3">A11-1</f>
        <v>2012</v>
      </c>
      <c r="B10" s="88">
        <v>530220</v>
      </c>
      <c r="C10" s="88">
        <v>39767</v>
      </c>
      <c r="D10" s="5">
        <f t="shared" ref="D10:D13" si="4">C10/B10</f>
        <v>7.500094300479046E-2</v>
      </c>
      <c r="H10">
        <f t="shared" ref="H10:H11" si="5">H11-1</f>
        <v>2012</v>
      </c>
      <c r="I10" s="89">
        <f>B10</f>
        <v>530220</v>
      </c>
      <c r="J10" s="89">
        <f>C10</f>
        <v>39767</v>
      </c>
      <c r="K10" s="5">
        <f t="shared" ref="K10:K13" si="6">J10/I10</f>
        <v>7.500094300479046E-2</v>
      </c>
    </row>
    <row r="11" spans="1:11" x14ac:dyDescent="0.25">
      <c r="A11">
        <f t="shared" si="3"/>
        <v>2013</v>
      </c>
      <c r="B11" s="88">
        <v>652582</v>
      </c>
      <c r="C11" s="88">
        <v>52207</v>
      </c>
      <c r="D11" s="5">
        <f t="shared" si="4"/>
        <v>8.000067424476924E-2</v>
      </c>
      <c r="H11">
        <f t="shared" si="5"/>
        <v>2013</v>
      </c>
      <c r="I11" s="89">
        <f t="shared" ref="I11:I12" si="7">B11</f>
        <v>652582</v>
      </c>
      <c r="J11" s="89">
        <f t="shared" ref="J11:J12" si="8">C11</f>
        <v>52207</v>
      </c>
      <c r="K11" s="5">
        <f t="shared" si="6"/>
        <v>8.000067424476924E-2</v>
      </c>
    </row>
    <row r="12" spans="1:11" x14ac:dyDescent="0.25">
      <c r="A12">
        <f>LatestYear</f>
        <v>2014</v>
      </c>
      <c r="B12" s="88">
        <v>662615</v>
      </c>
      <c r="C12" s="88">
        <v>54334</v>
      </c>
      <c r="D12" s="5">
        <f t="shared" si="4"/>
        <v>8.1999351056043099E-2</v>
      </c>
      <c r="H12">
        <f>LatestYear</f>
        <v>2014</v>
      </c>
      <c r="I12" s="89">
        <f t="shared" si="7"/>
        <v>662615</v>
      </c>
      <c r="J12" s="89">
        <f t="shared" si="8"/>
        <v>54334</v>
      </c>
      <c r="K12" s="5">
        <f t="shared" si="6"/>
        <v>8.1999351056043099E-2</v>
      </c>
    </row>
    <row r="13" spans="1:11" x14ac:dyDescent="0.25">
      <c r="A13" t="s">
        <v>5</v>
      </c>
      <c r="B13" s="88">
        <f>SUM(B10:B12)</f>
        <v>1845417</v>
      </c>
      <c r="C13" s="88">
        <f>SUM(C10:C12)</f>
        <v>146308</v>
      </c>
      <c r="D13" s="5">
        <f t="shared" si="4"/>
        <v>7.9281810019090543E-2</v>
      </c>
      <c r="H13" t="s">
        <v>5</v>
      </c>
      <c r="I13" s="89">
        <f>SUM(I10:I12)</f>
        <v>1845417</v>
      </c>
      <c r="J13" s="89">
        <f>SUM(J10:J12)</f>
        <v>146308</v>
      </c>
      <c r="K13" s="5">
        <f t="shared" si="6"/>
        <v>7.9281810019090543E-2</v>
      </c>
    </row>
    <row r="15" spans="1:11" x14ac:dyDescent="0.25">
      <c r="B15" s="12">
        <f>D6+1</f>
        <v>4</v>
      </c>
      <c r="C15" s="47" t="s">
        <v>47</v>
      </c>
      <c r="D15" s="135">
        <v>0.08</v>
      </c>
      <c r="I15" s="12">
        <f>K6+1</f>
        <v>4</v>
      </c>
      <c r="J15" s="47" t="s">
        <v>47</v>
      </c>
      <c r="K15" s="135">
        <v>0.08</v>
      </c>
    </row>
    <row r="16" spans="1:11" x14ac:dyDescent="0.25">
      <c r="B16" s="12">
        <f>B15+1</f>
        <v>5</v>
      </c>
      <c r="C16" t="s">
        <v>3</v>
      </c>
      <c r="D16" s="136">
        <f>1+D15</f>
        <v>1.08</v>
      </c>
      <c r="I16" s="12">
        <f>I15+1</f>
        <v>5</v>
      </c>
      <c r="J16" t="s">
        <v>3</v>
      </c>
      <c r="K16" s="136">
        <f>1+K15</f>
        <v>1.08</v>
      </c>
    </row>
    <row r="18" spans="1:9" x14ac:dyDescent="0.25">
      <c r="A18" s="16" t="s">
        <v>51</v>
      </c>
      <c r="B18" s="13" t="s">
        <v>59</v>
      </c>
      <c r="H18" s="16" t="s">
        <v>51</v>
      </c>
      <c r="I18" s="13" t="s">
        <v>59</v>
      </c>
    </row>
    <row r="19" spans="1:9" x14ac:dyDescent="0.25">
      <c r="A19" s="16" t="s">
        <v>64</v>
      </c>
      <c r="B19" s="13" t="s">
        <v>65</v>
      </c>
      <c r="H19" s="16" t="s">
        <v>64</v>
      </c>
      <c r="I19" s="13" t="s">
        <v>65</v>
      </c>
    </row>
    <row r="20" spans="1:9" x14ac:dyDescent="0.25">
      <c r="A20" s="16"/>
      <c r="H20" s="16"/>
    </row>
  </sheetData>
  <printOptions horizontalCentered="1"/>
  <pageMargins left="0.7" right="0.7" top="0.75" bottom="0.75" header="0.3" footer="0.3"/>
  <pageSetup fitToHeight="0" orientation="landscape"/>
  <headerFooter>
    <oddFooter>&amp;C© 2014 by the Casualty Actuarial Society. All rights reserved.</oddFooter>
  </headerFooter>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2:S46"/>
  <sheetViews>
    <sheetView showGridLines="0" zoomScaleNormal="100" zoomScalePageLayoutView="85" workbookViewId="0"/>
  </sheetViews>
  <sheetFormatPr defaultColWidth="8.875" defaultRowHeight="15" x14ac:dyDescent="0.25"/>
  <cols>
    <col min="1" max="1" width="11.125" customWidth="1"/>
    <col min="2" max="2" width="17.375" customWidth="1"/>
    <col min="3" max="4" width="18.125" customWidth="1"/>
    <col min="5" max="5" width="16.25" customWidth="1"/>
    <col min="6" max="6" width="21.25" customWidth="1"/>
    <col min="7" max="7" width="15.75" customWidth="1"/>
    <col min="8" max="8" width="18.375" bestFit="1" customWidth="1"/>
    <col min="9" max="9" width="7.875" style="21" customWidth="1"/>
    <col min="10" max="10" width="8.875" style="82"/>
    <col min="12" max="12" width="11.125" customWidth="1"/>
    <col min="13" max="13" width="17.375" customWidth="1"/>
    <col min="14" max="15" width="18.125" customWidth="1"/>
    <col min="16" max="16" width="16.25" customWidth="1"/>
    <col min="17" max="17" width="21.875" customWidth="1"/>
    <col min="18" max="18" width="15.75" customWidth="1"/>
    <col min="19" max="19" width="18.375" bestFit="1" customWidth="1"/>
    <col min="20" max="20" width="14.75" customWidth="1"/>
  </cols>
  <sheetData>
    <row r="2" spans="1:19" x14ac:dyDescent="0.25">
      <c r="A2" s="14" t="str">
        <f>Institution</f>
        <v>OU</v>
      </c>
      <c r="B2" s="14"/>
      <c r="C2" s="14"/>
      <c r="D2" s="14"/>
      <c r="E2" s="14"/>
      <c r="F2" s="14"/>
      <c r="G2" s="14"/>
      <c r="H2" s="14"/>
      <c r="J2" s="84"/>
      <c r="L2" s="14" t="str">
        <f>Institution</f>
        <v>OU</v>
      </c>
      <c r="M2" s="14"/>
      <c r="N2" s="14"/>
      <c r="O2" s="14"/>
      <c r="P2" s="14"/>
      <c r="Q2" s="14"/>
      <c r="R2" s="14"/>
      <c r="S2" s="14"/>
    </row>
    <row r="3" spans="1:19" x14ac:dyDescent="0.25">
      <c r="A3" s="14" t="str">
        <f>Company</f>
        <v>Self-Insured Auto Program</v>
      </c>
      <c r="B3" s="14"/>
      <c r="C3" s="14"/>
      <c r="D3" s="14"/>
      <c r="E3" s="14"/>
      <c r="F3" s="14"/>
      <c r="G3" s="14"/>
      <c r="H3" s="14"/>
      <c r="J3" s="84"/>
      <c r="L3" s="14" t="str">
        <f>Company</f>
        <v>Self-Insured Auto Program</v>
      </c>
      <c r="M3" s="14"/>
      <c r="N3" s="14"/>
      <c r="O3" s="14"/>
      <c r="P3" s="14"/>
      <c r="Q3" s="14"/>
      <c r="R3" s="14"/>
      <c r="S3" s="14"/>
    </row>
    <row r="4" spans="1:19" x14ac:dyDescent="0.25">
      <c r="A4" s="14" t="str">
        <f>LOB</f>
        <v>Cars without Safety Features</v>
      </c>
      <c r="B4" s="14"/>
      <c r="C4" s="14"/>
      <c r="D4" s="14"/>
      <c r="E4" s="14"/>
      <c r="F4" s="14"/>
      <c r="G4" s="14"/>
      <c r="H4" s="14"/>
      <c r="J4" s="84"/>
      <c r="L4" s="14" t="str">
        <f>Inputs!A10</f>
        <v>Cars with Safety Features</v>
      </c>
      <c r="M4" s="14"/>
      <c r="N4" s="14"/>
      <c r="O4" s="14"/>
      <c r="P4" s="14"/>
      <c r="Q4" s="14"/>
      <c r="R4" s="14"/>
      <c r="S4" s="14"/>
    </row>
    <row r="5" spans="1:19" x14ac:dyDescent="0.25">
      <c r="A5" s="2"/>
      <c r="B5" s="2"/>
      <c r="L5" s="2"/>
      <c r="M5" s="2"/>
    </row>
    <row r="6" spans="1:19" x14ac:dyDescent="0.25">
      <c r="B6" s="38">
        <v>1</v>
      </c>
      <c r="C6" s="38">
        <f t="shared" ref="C6:H6" si="0">B6+1</f>
        <v>2</v>
      </c>
      <c r="D6" s="38">
        <f t="shared" si="0"/>
        <v>3</v>
      </c>
      <c r="E6" s="38">
        <f t="shared" si="0"/>
        <v>4</v>
      </c>
      <c r="F6" s="38">
        <f t="shared" si="0"/>
        <v>5</v>
      </c>
      <c r="G6" s="38">
        <f t="shared" si="0"/>
        <v>6</v>
      </c>
      <c r="H6" s="38">
        <f t="shared" si="0"/>
        <v>7</v>
      </c>
      <c r="M6" s="38">
        <v>1</v>
      </c>
      <c r="N6" s="38">
        <f t="shared" ref="N6" si="1">M6+1</f>
        <v>2</v>
      </c>
      <c r="O6" s="38">
        <f t="shared" ref="O6" si="2">N6+1</f>
        <v>3</v>
      </c>
      <c r="P6" s="38">
        <f t="shared" ref="P6" si="3">O6+1</f>
        <v>4</v>
      </c>
      <c r="Q6" s="38">
        <f t="shared" ref="Q6" si="4">P6+1</f>
        <v>5</v>
      </c>
      <c r="R6" s="38">
        <f t="shared" ref="R6" si="5">Q6+1</f>
        <v>6</v>
      </c>
      <c r="S6" s="38">
        <f t="shared" ref="S6" si="6">R6+1</f>
        <v>7</v>
      </c>
    </row>
    <row r="7" spans="1:19" ht="45" x14ac:dyDescent="0.25">
      <c r="A7" s="39" t="s">
        <v>17</v>
      </c>
      <c r="B7" s="39" t="s">
        <v>93</v>
      </c>
      <c r="C7" s="39" t="s">
        <v>6</v>
      </c>
      <c r="D7" s="39" t="s">
        <v>1</v>
      </c>
      <c r="E7" s="39" t="s">
        <v>2</v>
      </c>
      <c r="F7" s="39" t="s">
        <v>3</v>
      </c>
      <c r="G7" s="39" t="s">
        <v>4</v>
      </c>
      <c r="H7" s="39" t="s">
        <v>81</v>
      </c>
      <c r="J7" s="85"/>
      <c r="L7" s="39" t="s">
        <v>17</v>
      </c>
      <c r="M7" s="39" t="s">
        <v>93</v>
      </c>
      <c r="N7" s="39" t="s">
        <v>6</v>
      </c>
      <c r="O7" s="39" t="s">
        <v>1</v>
      </c>
      <c r="P7" s="39" t="s">
        <v>2</v>
      </c>
      <c r="Q7" s="39" t="s">
        <v>3</v>
      </c>
      <c r="R7" s="39" t="s">
        <v>4</v>
      </c>
      <c r="S7" s="39" t="s">
        <v>81</v>
      </c>
    </row>
    <row r="8" spans="1:19" x14ac:dyDescent="0.25">
      <c r="A8">
        <f t="shared" ref="A8:A11" si="7">A9-1</f>
        <v>2010</v>
      </c>
      <c r="B8" s="9">
        <f>AVERAGE('2. Loss Trend Factor -- 1'!C8:C11)</f>
        <v>889</v>
      </c>
      <c r="C8" s="45">
        <f>'1. Loss Development Factor'!H11</f>
        <v>573657.46254324075</v>
      </c>
      <c r="D8" s="130">
        <f>ROUND('1. Loss Development Factor'!$H$33,4)</f>
        <v>1</v>
      </c>
      <c r="E8" s="57">
        <f>ROUND('2. Loss Trend Factor -- 2'!H10,4)</f>
        <v>1.27</v>
      </c>
      <c r="F8" s="137">
        <f>'3. ULAE Factor'!$D$16</f>
        <v>1.08</v>
      </c>
      <c r="G8" s="45">
        <f>PRODUCT(C8:F8)</f>
        <v>786828.57562430913</v>
      </c>
      <c r="H8" s="51">
        <f>G8/B8</f>
        <v>885.07151363814296</v>
      </c>
      <c r="L8">
        <f t="shared" ref="L8:L11" si="8">L9-1</f>
        <v>2010</v>
      </c>
      <c r="M8" s="9">
        <f>AVERAGE('2. Loss Trend Factor -- 1'!X8:X11)</f>
        <v>889</v>
      </c>
      <c r="N8" s="45">
        <f>'1. Loss Development Factor'!R11*'0. Adjust losses for new book'!$C$26*'0. Adjust losses for new book'!$C$27</f>
        <v>209958.6312908261</v>
      </c>
      <c r="O8" s="130">
        <f>ROUND('1. Loss Development Factor'!$H$33,4)</f>
        <v>1</v>
      </c>
      <c r="P8" s="57">
        <f>ROUND('2. Loss Trend Factor -- 2'!S10,4)</f>
        <v>1.27</v>
      </c>
      <c r="Q8" s="137">
        <f>'3. ULAE Factor'!$K$16</f>
        <v>1.08</v>
      </c>
      <c r="R8" s="45">
        <f>PRODUCT(N8:Q8)</f>
        <v>287979.25867849711</v>
      </c>
      <c r="S8" s="51">
        <f>R8/M8</f>
        <v>323.93617399156028</v>
      </c>
    </row>
    <row r="9" spans="1:19" x14ac:dyDescent="0.25">
      <c r="A9">
        <f t="shared" si="7"/>
        <v>2011</v>
      </c>
      <c r="B9" s="9">
        <f>AVERAGE('2. Loss Trend Factor -- 1'!C12:C15)</f>
        <v>929.75</v>
      </c>
      <c r="C9" s="45">
        <f>'1. Loss Development Factor'!G12</f>
        <v>578678.10181119642</v>
      </c>
      <c r="D9" s="130">
        <f>ROUND('1. Loss Development Factor'!$G$33,4)</f>
        <v>1.008</v>
      </c>
      <c r="E9" s="57">
        <f>ROUND('2. Loss Trend Factor -- 2'!H11,4)</f>
        <v>1.2208000000000001</v>
      </c>
      <c r="F9" s="137">
        <f>'3. ULAE Factor'!$D$16</f>
        <v>1.08</v>
      </c>
      <c r="G9" s="45">
        <f>PRODUCT(C9:F9)</f>
        <v>769069.97478500847</v>
      </c>
      <c r="H9" s="51">
        <f t="shared" ref="H9:H14" si="9">G9/B9</f>
        <v>827.17932216725842</v>
      </c>
      <c r="L9">
        <f t="shared" si="8"/>
        <v>2011</v>
      </c>
      <c r="M9" s="9">
        <f t="array" ref="M9">AVERAGE('2. Loss Trend Factor -- 1'!X12:X15)</f>
        <v>929.75</v>
      </c>
      <c r="N9" s="45">
        <f>'1. Loss Development Factor'!Q12*'0. Adjust losses for new book'!$C$26*'0. Adjust losses for new book'!$C$27</f>
        <v>211796.1852628979</v>
      </c>
      <c r="O9" s="130">
        <f>ROUND('1. Loss Development Factor'!$G$33,4)</f>
        <v>1.008</v>
      </c>
      <c r="P9" s="57">
        <f>ROUND('2. Loss Trend Factor -- 2'!S11,4)</f>
        <v>1.2208000000000001</v>
      </c>
      <c r="Q9" s="137">
        <f>'3. ULAE Factor'!$K$16</f>
        <v>1.08</v>
      </c>
      <c r="R9" s="45">
        <f>PRODUCT(N9:Q9)</f>
        <v>281479.61077131314</v>
      </c>
      <c r="S9" s="51">
        <f t="shared" ref="S9:S12" si="10">R9/M9</f>
        <v>302.74763191321659</v>
      </c>
    </row>
    <row r="10" spans="1:19" x14ac:dyDescent="0.25">
      <c r="A10">
        <f t="shared" si="7"/>
        <v>2012</v>
      </c>
      <c r="B10" s="9">
        <f>AVERAGE('2. Loss Trend Factor -- 1'!C16:C19)</f>
        <v>930.25</v>
      </c>
      <c r="C10" s="45">
        <f>'1. Loss Development Factor'!F13</f>
        <v>508408.70905770716</v>
      </c>
      <c r="D10" s="130">
        <f>ROUND('1. Loss Development Factor'!$F$33,4)</f>
        <v>1.0221</v>
      </c>
      <c r="E10" s="57">
        <f>ROUND('2. Loss Trend Factor -- 2'!H12,4)</f>
        <v>1.1735</v>
      </c>
      <c r="F10" s="137">
        <f>'3. ULAE Factor'!$D$16</f>
        <v>1.08</v>
      </c>
      <c r="G10" s="45">
        <f>PRODUCT(C10:F10)</f>
        <v>658587.0990416077</v>
      </c>
      <c r="H10" s="51">
        <f t="shared" si="9"/>
        <v>707.96785707240815</v>
      </c>
      <c r="L10">
        <f t="shared" si="8"/>
        <v>2012</v>
      </c>
      <c r="M10" s="9">
        <f>AVERAGE('2. Loss Trend Factor -- 1'!X16:X19)</f>
        <v>930.25</v>
      </c>
      <c r="N10" s="45">
        <f>'1. Loss Development Factor'!P13*'0. Adjust losses for new book'!$C$26*'0. Adjust losses for new book'!$C$27</f>
        <v>186077.58751512083</v>
      </c>
      <c r="O10" s="130">
        <f>ROUND('1. Loss Development Factor'!$F$33,4)</f>
        <v>1.0221</v>
      </c>
      <c r="P10" s="57">
        <f>ROUND('2. Loss Trend Factor -- 2'!S12,4)</f>
        <v>1.1735</v>
      </c>
      <c r="Q10" s="137">
        <f>'3. ULAE Factor'!$K$16</f>
        <v>1.08</v>
      </c>
      <c r="R10" s="45">
        <f>PRODUCT(N10:Q10)</f>
        <v>241042.87824922847</v>
      </c>
      <c r="S10" s="51">
        <f t="shared" si="10"/>
        <v>259.11623568850143</v>
      </c>
    </row>
    <row r="11" spans="1:19" x14ac:dyDescent="0.25">
      <c r="A11">
        <f t="shared" si="7"/>
        <v>2013</v>
      </c>
      <c r="B11" s="9">
        <f>AVERAGE('2. Loss Trend Factor -- 1'!C20:C23)</f>
        <v>931.5</v>
      </c>
      <c r="C11" s="45">
        <f>'1. Loss Development Factor'!E14</f>
        <v>577819.69192047068</v>
      </c>
      <c r="D11" s="130">
        <f>ROUND('1. Loss Development Factor'!$E$33,4)</f>
        <v>1.0477000000000001</v>
      </c>
      <c r="E11" s="57">
        <f>ROUND('2. Loss Trend Factor -- 2'!H13,4)</f>
        <v>1.1281000000000001</v>
      </c>
      <c r="F11" s="137">
        <f>'3. ULAE Factor'!$D$16</f>
        <v>1.08</v>
      </c>
      <c r="G11" s="45">
        <f>PRODUCT(C11:F11)</f>
        <v>737565.57274069043</v>
      </c>
      <c r="H11" s="51">
        <f t="shared" si="9"/>
        <v>791.80415753160537</v>
      </c>
      <c r="L11">
        <f t="shared" si="8"/>
        <v>2013</v>
      </c>
      <c r="M11" s="9">
        <f>AVERAGE('2. Loss Trend Factor -- 1'!X20:X23)</f>
        <v>931.5</v>
      </c>
      <c r="N11" s="45">
        <f>'1. Loss Development Factor'!O14*'0. Adjust losses for new book'!$C$26*'0. Adjust losses for new book'!$C$27</f>
        <v>211482.00724289226</v>
      </c>
      <c r="O11" s="130">
        <f>ROUND('1. Loss Development Factor'!$E$33,4)</f>
        <v>1.0477000000000001</v>
      </c>
      <c r="P11" s="57">
        <f>ROUND('2. Loss Trend Factor -- 2'!S13,4)</f>
        <v>1.1281000000000001</v>
      </c>
      <c r="Q11" s="137">
        <f>'3. ULAE Factor'!$K$16</f>
        <v>1.08</v>
      </c>
      <c r="R11" s="45">
        <f>PRODUCT(N11:Q11)</f>
        <v>269948.99962309271</v>
      </c>
      <c r="S11" s="51">
        <f t="shared" si="10"/>
        <v>289.80032165656758</v>
      </c>
    </row>
    <row r="12" spans="1:19" x14ac:dyDescent="0.25">
      <c r="A12">
        <f>LatestYear</f>
        <v>2014</v>
      </c>
      <c r="B12" s="9">
        <f>AVERAGE('2. Loss Trend Factor -- 1'!C24:C27)</f>
        <v>945</v>
      </c>
      <c r="C12" s="45">
        <f>'1. Loss Development Factor'!D15</f>
        <v>583508.75541126193</v>
      </c>
      <c r="D12" s="130">
        <f>ROUND('1. Loss Development Factor'!$D$33,4)</f>
        <v>1.2886</v>
      </c>
      <c r="E12" s="57">
        <f>ROUND('2. Loss Trend Factor -- 2'!H14,4)</f>
        <v>1.0844</v>
      </c>
      <c r="F12" s="137">
        <f>'3. ULAE Factor'!$D$16</f>
        <v>1.08</v>
      </c>
      <c r="G12" s="45">
        <f>PRODUCT(C12:F12)</f>
        <v>880600.17680917494</v>
      </c>
      <c r="H12" s="51">
        <f t="shared" si="9"/>
        <v>931.85203895150789</v>
      </c>
      <c r="L12">
        <f>LatestYear</f>
        <v>2014</v>
      </c>
      <c r="M12" s="9">
        <f>AVERAGE('2. Loss Trend Factor -- 1'!X24:X27)</f>
        <v>945</v>
      </c>
      <c r="N12" s="45">
        <f>'1. Loss Development Factor'!N15*'0. Adjust losses for new book'!$C$26*'0. Adjust losses for new book'!$C$27</f>
        <v>213564.20448052185</v>
      </c>
      <c r="O12" s="130">
        <f>ROUND('1. Loss Development Factor'!$D$33,4)</f>
        <v>1.2886</v>
      </c>
      <c r="P12" s="57">
        <f>ROUND('2. Loss Trend Factor -- 2'!S14,4)</f>
        <v>1.0844</v>
      </c>
      <c r="Q12" s="137">
        <f>'3. ULAE Factor'!$K$16</f>
        <v>1.08</v>
      </c>
      <c r="R12" s="45">
        <f>PRODUCT(N12:Q12)</f>
        <v>322299.66471215797</v>
      </c>
      <c r="S12" s="51">
        <f t="shared" si="10"/>
        <v>341.05784625625182</v>
      </c>
    </row>
    <row r="13" spans="1:19" x14ac:dyDescent="0.25">
      <c r="H13" s="51"/>
      <c r="S13" s="51"/>
    </row>
    <row r="14" spans="1:19" x14ac:dyDescent="0.25">
      <c r="A14" t="s">
        <v>5</v>
      </c>
      <c r="B14" s="45">
        <f>SUM(B8:B13)</f>
        <v>4625.5</v>
      </c>
      <c r="C14" s="45">
        <f>SUM(C8:C13)</f>
        <v>2822072.7207438769</v>
      </c>
      <c r="G14" s="45">
        <f>SUM(G8:G13)</f>
        <v>3832651.3990007904</v>
      </c>
      <c r="H14" s="51">
        <f t="shared" si="9"/>
        <v>828.59180607518977</v>
      </c>
      <c r="L14" t="s">
        <v>5</v>
      </c>
      <c r="M14" s="45">
        <f>SUM(M8:M13)</f>
        <v>4625.5</v>
      </c>
      <c r="N14" s="45">
        <f>SUM(N8:N13)</f>
        <v>1032878.615792259</v>
      </c>
      <c r="R14" s="45">
        <f>SUM(R8:R13)</f>
        <v>1402750.4120342894</v>
      </c>
      <c r="S14" s="51">
        <f t="shared" ref="S14" si="11">R14/M14</f>
        <v>303.2646010235195</v>
      </c>
    </row>
    <row r="15" spans="1:19" x14ac:dyDescent="0.25">
      <c r="H15" s="49"/>
      <c r="S15" s="49"/>
    </row>
    <row r="16" spans="1:19" x14ac:dyDescent="0.25">
      <c r="D16" s="38">
        <f>H6+1</f>
        <v>8</v>
      </c>
      <c r="E16" s="86" t="s">
        <v>110</v>
      </c>
      <c r="F16" s="87"/>
      <c r="H16" s="63">
        <f>AVERAGE(H8:H12)</f>
        <v>828.77497787218454</v>
      </c>
      <c r="O16" s="38">
        <f>S6+1</f>
        <v>8</v>
      </c>
      <c r="P16" s="86" t="s">
        <v>110</v>
      </c>
      <c r="Q16" s="87"/>
      <c r="S16" s="63">
        <f>AVERAGE(S8:S12)</f>
        <v>303.33164190121954</v>
      </c>
    </row>
    <row r="17" spans="1:19" x14ac:dyDescent="0.25">
      <c r="D17" s="38">
        <f>D16+1</f>
        <v>9</v>
      </c>
      <c r="E17" t="str">
        <f>YEAR(EffDate)&amp;" Projected Average Earned Exposure"</f>
        <v>2015 Projected Average Earned Exposure</v>
      </c>
      <c r="H17" s="50">
        <f>Inputs!$B$13</f>
        <v>950</v>
      </c>
      <c r="O17" s="38">
        <f>O16+1</f>
        <v>9</v>
      </c>
      <c r="P17" t="str">
        <f>E17</f>
        <v>2015 Projected Average Earned Exposure</v>
      </c>
      <c r="S17" s="110">
        <f>Inputs!$B$13</f>
        <v>950</v>
      </c>
    </row>
    <row r="18" spans="1:19" x14ac:dyDescent="0.25">
      <c r="D18" s="38">
        <f>D17+1</f>
        <v>10</v>
      </c>
      <c r="E18" t="str">
        <f>"Projected "&amp;YEAR(EffDate)&amp;" Insurance Cost"</f>
        <v>Projected 2015 Insurance Cost</v>
      </c>
      <c r="H18" s="46">
        <f>H16*H17</f>
        <v>787336.22897857532</v>
      </c>
      <c r="O18" s="38">
        <f>O17+1</f>
        <v>10</v>
      </c>
      <c r="P18" t="str">
        <f>E18</f>
        <v>Projected 2015 Insurance Cost</v>
      </c>
      <c r="S18" s="46">
        <f>S16*S17</f>
        <v>288165.05980615859</v>
      </c>
    </row>
    <row r="19" spans="1:19" x14ac:dyDescent="0.25">
      <c r="A19" s="12"/>
      <c r="F19" s="11"/>
      <c r="H19" s="46"/>
      <c r="L19" s="12"/>
      <c r="Q19" s="11"/>
      <c r="S19" s="46"/>
    </row>
    <row r="20" spans="1:19" x14ac:dyDescent="0.25">
      <c r="A20" s="12"/>
      <c r="F20" s="5"/>
      <c r="H20" s="46"/>
      <c r="L20" s="12"/>
      <c r="Q20" s="5"/>
      <c r="S20" s="46"/>
    </row>
    <row r="21" spans="1:19" x14ac:dyDescent="0.25">
      <c r="A21" s="12"/>
      <c r="F21" s="5"/>
      <c r="H21" s="46"/>
      <c r="L21" s="12"/>
      <c r="Q21" s="5"/>
      <c r="S21" s="46"/>
    </row>
    <row r="22" spans="1:19" x14ac:dyDescent="0.25">
      <c r="A22" s="12"/>
      <c r="F22" s="5"/>
      <c r="H22" s="46"/>
      <c r="L22" s="12"/>
      <c r="Q22" s="5"/>
      <c r="S22" s="46"/>
    </row>
    <row r="23" spans="1:19" x14ac:dyDescent="0.25">
      <c r="A23" s="12"/>
      <c r="F23" s="5"/>
      <c r="H23" s="46"/>
      <c r="L23" s="12"/>
      <c r="Q23" s="5"/>
      <c r="S23" s="46"/>
    </row>
    <row r="24" spans="1:19" x14ac:dyDescent="0.25">
      <c r="A24" s="12"/>
      <c r="F24" s="5"/>
      <c r="H24" s="46"/>
      <c r="L24" s="12"/>
      <c r="Q24" s="5"/>
      <c r="S24" s="46"/>
    </row>
    <row r="25" spans="1:19" x14ac:dyDescent="0.25">
      <c r="A25" s="12"/>
      <c r="F25" s="10"/>
      <c r="H25" s="46"/>
      <c r="L25" s="12"/>
      <c r="Q25" s="10"/>
      <c r="S25" s="46"/>
    </row>
    <row r="26" spans="1:19" x14ac:dyDescent="0.25">
      <c r="H26" s="46"/>
      <c r="S26" s="46"/>
    </row>
    <row r="27" spans="1:19" x14ac:dyDescent="0.25">
      <c r="A27" s="12"/>
      <c r="B27" s="12"/>
      <c r="H27" s="46"/>
      <c r="L27" s="12"/>
      <c r="M27" s="12"/>
      <c r="S27" s="46"/>
    </row>
    <row r="28" spans="1:19" x14ac:dyDescent="0.25">
      <c r="A28" s="12"/>
      <c r="B28" s="12"/>
      <c r="L28" s="12"/>
      <c r="M28" s="12"/>
    </row>
    <row r="29" spans="1:19" x14ac:dyDescent="0.25">
      <c r="A29" s="12"/>
      <c r="B29" s="12"/>
      <c r="L29" s="12"/>
      <c r="M29" s="12"/>
    </row>
    <row r="30" spans="1:19" x14ac:dyDescent="0.25">
      <c r="A30" s="12"/>
      <c r="B30" s="12"/>
      <c r="L30" s="12"/>
      <c r="M30" s="12"/>
    </row>
    <row r="31" spans="1:19" x14ac:dyDescent="0.25">
      <c r="A31" s="12"/>
      <c r="B31" s="12"/>
      <c r="L31" s="12"/>
      <c r="M31" s="12"/>
    </row>
    <row r="32" spans="1:19" x14ac:dyDescent="0.25">
      <c r="A32" s="12"/>
      <c r="B32" s="12"/>
      <c r="L32" s="12"/>
      <c r="M32" s="12"/>
    </row>
    <row r="33" spans="1:13" x14ac:dyDescent="0.25">
      <c r="A33" s="12"/>
      <c r="B33" s="12"/>
      <c r="L33" s="12"/>
      <c r="M33" s="12"/>
    </row>
    <row r="34" spans="1:13" x14ac:dyDescent="0.25">
      <c r="A34" s="12"/>
      <c r="B34" s="12"/>
      <c r="L34" s="12"/>
      <c r="M34" s="12"/>
    </row>
    <row r="35" spans="1:13" x14ac:dyDescent="0.25">
      <c r="A35" s="12"/>
      <c r="B35" s="12"/>
      <c r="L35" s="12"/>
      <c r="M35" s="12"/>
    </row>
    <row r="36" spans="1:13" x14ac:dyDescent="0.25">
      <c r="A36" s="12"/>
      <c r="B36" s="12"/>
      <c r="L36" s="12"/>
      <c r="M36" s="12"/>
    </row>
    <row r="37" spans="1:13" x14ac:dyDescent="0.25">
      <c r="A37" s="12"/>
      <c r="B37" s="12"/>
      <c r="L37" s="12"/>
      <c r="M37" s="12"/>
    </row>
    <row r="38" spans="1:13" x14ac:dyDescent="0.25">
      <c r="A38" s="12"/>
      <c r="B38" s="12"/>
      <c r="L38" s="12"/>
      <c r="M38" s="12"/>
    </row>
    <row r="39" spans="1:13" x14ac:dyDescent="0.25">
      <c r="A39" s="12"/>
      <c r="B39" s="12"/>
      <c r="L39" s="12"/>
      <c r="M39" s="12"/>
    </row>
    <row r="40" spans="1:13" x14ac:dyDescent="0.25">
      <c r="A40" s="12"/>
      <c r="B40" s="12"/>
      <c r="L40" s="12"/>
      <c r="M40" s="12"/>
    </row>
    <row r="41" spans="1:13" x14ac:dyDescent="0.25">
      <c r="A41" s="12"/>
      <c r="B41" s="12"/>
      <c r="L41" s="12"/>
      <c r="M41" s="12"/>
    </row>
    <row r="42" spans="1:13" x14ac:dyDescent="0.25">
      <c r="A42" s="12"/>
      <c r="B42" s="12"/>
      <c r="L42" s="12"/>
      <c r="M42" s="12"/>
    </row>
    <row r="43" spans="1:13" x14ac:dyDescent="0.25">
      <c r="A43" s="12"/>
      <c r="B43" s="12"/>
      <c r="L43" s="12"/>
      <c r="M43" s="12"/>
    </row>
    <row r="44" spans="1:13" x14ac:dyDescent="0.25">
      <c r="A44" s="12"/>
      <c r="B44" s="12"/>
      <c r="L44" s="12"/>
      <c r="M44" s="12"/>
    </row>
    <row r="45" spans="1:13" x14ac:dyDescent="0.25">
      <c r="A45" s="12"/>
      <c r="B45" s="12"/>
      <c r="L45" s="12"/>
      <c r="M45" s="12"/>
    </row>
    <row r="46" spans="1:13" x14ac:dyDescent="0.25">
      <c r="A46" s="12"/>
      <c r="B46" s="12"/>
      <c r="L46" s="12"/>
      <c r="M46" s="12"/>
    </row>
  </sheetData>
  <printOptions horizontalCentered="1"/>
  <pageMargins left="0.7" right="0.7" top="0.75" bottom="0.75" header="0.3" footer="0.3"/>
  <pageSetup scale="95" fitToHeight="0" orientation="landscape"/>
  <headerFooter>
    <oddFooter>&amp;C© 2014 by the Casualty Actuarial Society. All rights reserved.</oddFooter>
  </headerFooter>
  <ignoredErrors>
    <ignoredError sqref="B8 B9:B12" formulaRange="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G14"/>
  <sheetViews>
    <sheetView workbookViewId="0"/>
  </sheetViews>
  <sheetFormatPr defaultColWidth="8.875" defaultRowHeight="15" x14ac:dyDescent="0.25"/>
  <cols>
    <col min="1" max="1" width="21" bestFit="1" customWidth="1"/>
    <col min="2" max="3" width="25" customWidth="1"/>
    <col min="4" max="4" width="18.375" bestFit="1" customWidth="1"/>
    <col min="5" max="5" width="14.375" customWidth="1"/>
    <col min="6" max="6" width="17.375" customWidth="1"/>
    <col min="7" max="7" width="22.125" customWidth="1"/>
  </cols>
  <sheetData>
    <row r="1" spans="1:7" x14ac:dyDescent="0.25">
      <c r="A1" s="147" t="s">
        <v>217</v>
      </c>
      <c r="B1" s="186">
        <f>'2. Loss Trend Factor -- 2'!B14</f>
        <v>4.0300000000000002E-2</v>
      </c>
      <c r="C1" s="186"/>
    </row>
    <row r="3" spans="1:7" x14ac:dyDescent="0.25">
      <c r="B3" s="259" t="s">
        <v>218</v>
      </c>
      <c r="C3" s="259"/>
      <c r="E3" s="259" t="s">
        <v>223</v>
      </c>
      <c r="F3" s="259"/>
    </row>
    <row r="4" spans="1:7" x14ac:dyDescent="0.25">
      <c r="A4" s="147" t="s">
        <v>27</v>
      </c>
      <c r="B4" s="188" t="s">
        <v>221</v>
      </c>
      <c r="C4" s="188" t="s">
        <v>222</v>
      </c>
      <c r="D4" s="147" t="s">
        <v>219</v>
      </c>
      <c r="E4" s="147" t="s">
        <v>221</v>
      </c>
      <c r="F4" s="147" t="s">
        <v>222</v>
      </c>
      <c r="G4" s="147" t="s">
        <v>224</v>
      </c>
    </row>
    <row r="5" spans="1:7" x14ac:dyDescent="0.25">
      <c r="A5">
        <v>2015</v>
      </c>
      <c r="B5" s="192">
        <f>'4. Expected loss and loss ratio'!H16</f>
        <v>828.77497787218454</v>
      </c>
      <c r="C5" s="191">
        <f>'4. Expected loss and loss ratio'!S16</f>
        <v>303.33164190121954</v>
      </c>
      <c r="D5">
        <f>Inputs!$B$13</f>
        <v>950</v>
      </c>
      <c r="E5" s="191">
        <f>B5*D5</f>
        <v>787336.22897857532</v>
      </c>
      <c r="F5" s="191">
        <f>C5*D5</f>
        <v>288165.05980615859</v>
      </c>
      <c r="G5" s="191">
        <f>E5-F5</f>
        <v>499171.16917241673</v>
      </c>
    </row>
    <row r="6" spans="1:7" x14ac:dyDescent="0.25">
      <c r="A6">
        <v>2016</v>
      </c>
      <c r="B6" s="193">
        <f>B5*(1+$B$1)</f>
        <v>862.17460948043356</v>
      </c>
      <c r="C6" s="193">
        <f>C5*(1+$B$1)</f>
        <v>315.55590706983867</v>
      </c>
      <c r="D6">
        <f>Inputs!$B$13</f>
        <v>950</v>
      </c>
      <c r="E6" s="191">
        <f t="shared" ref="E6:E14" si="0">B6*D6</f>
        <v>819065.87900641188</v>
      </c>
      <c r="F6" s="191">
        <f t="shared" ref="F6:F14" si="1">C6*D6</f>
        <v>299778.11171634676</v>
      </c>
      <c r="G6" s="191">
        <f t="shared" ref="G6:G14" si="2">E6-F6</f>
        <v>519287.76729006512</v>
      </c>
    </row>
    <row r="7" spans="1:7" x14ac:dyDescent="0.25">
      <c r="A7">
        <v>2017</v>
      </c>
      <c r="B7" s="193">
        <f t="shared" ref="B7:B13" si="3">B6*(1+$B$1)</f>
        <v>896.92024624249507</v>
      </c>
      <c r="C7" s="193">
        <f t="shared" ref="C7:C14" si="4">C6*(1+$B$1)</f>
        <v>328.27281012475316</v>
      </c>
      <c r="D7">
        <f>Inputs!$B$13</f>
        <v>950</v>
      </c>
      <c r="E7" s="191">
        <f t="shared" si="0"/>
        <v>852074.2339303703</v>
      </c>
      <c r="F7" s="191">
        <f t="shared" si="1"/>
        <v>311859.16961851553</v>
      </c>
      <c r="G7" s="191">
        <f t="shared" si="2"/>
        <v>540215.06431185477</v>
      </c>
    </row>
    <row r="8" spans="1:7" x14ac:dyDescent="0.25">
      <c r="A8">
        <v>2018</v>
      </c>
      <c r="B8" s="193">
        <f t="shared" si="3"/>
        <v>933.06613216606763</v>
      </c>
      <c r="C8" s="193">
        <f t="shared" si="4"/>
        <v>341.50220437278074</v>
      </c>
      <c r="D8">
        <f>Inputs!$B$13</f>
        <v>950</v>
      </c>
      <c r="E8" s="191">
        <f t="shared" si="0"/>
        <v>886412.82555776427</v>
      </c>
      <c r="F8" s="191">
        <f t="shared" si="1"/>
        <v>324427.09415414173</v>
      </c>
      <c r="G8" s="191">
        <f t="shared" si="2"/>
        <v>561985.73140362254</v>
      </c>
    </row>
    <row r="9" spans="1:7" x14ac:dyDescent="0.25">
      <c r="A9">
        <v>2019</v>
      </c>
      <c r="B9" s="193">
        <f t="shared" si="3"/>
        <v>970.66869729236021</v>
      </c>
      <c r="C9" s="193">
        <f t="shared" si="4"/>
        <v>355.26474320900383</v>
      </c>
      <c r="D9">
        <f>Inputs!$B$13</f>
        <v>950</v>
      </c>
      <c r="E9" s="191">
        <f t="shared" si="0"/>
        <v>922135.26242774224</v>
      </c>
      <c r="F9" s="191">
        <f t="shared" si="1"/>
        <v>337501.50604855362</v>
      </c>
      <c r="G9" s="191">
        <f t="shared" si="2"/>
        <v>584633.75637918862</v>
      </c>
    </row>
    <row r="10" spans="1:7" x14ac:dyDescent="0.25">
      <c r="A10">
        <v>2020</v>
      </c>
      <c r="B10" s="193">
        <f t="shared" si="3"/>
        <v>1009.7866457932423</v>
      </c>
      <c r="C10" s="193">
        <f t="shared" si="4"/>
        <v>369.58191236032667</v>
      </c>
      <c r="D10">
        <f>Inputs!$B$13</f>
        <v>950</v>
      </c>
      <c r="E10" s="191">
        <f t="shared" si="0"/>
        <v>959297.31350358017</v>
      </c>
      <c r="F10" s="191">
        <f t="shared" si="1"/>
        <v>351102.81674231036</v>
      </c>
      <c r="G10" s="191">
        <f t="shared" si="2"/>
        <v>608194.49676126987</v>
      </c>
    </row>
    <row r="11" spans="1:7" x14ac:dyDescent="0.25">
      <c r="A11">
        <v>2021</v>
      </c>
      <c r="B11" s="193">
        <f t="shared" si="3"/>
        <v>1050.4810476187099</v>
      </c>
      <c r="C11" s="193">
        <f t="shared" si="4"/>
        <v>384.47606342844784</v>
      </c>
      <c r="D11">
        <f>Inputs!$B$13</f>
        <v>950</v>
      </c>
      <c r="E11" s="191">
        <f t="shared" si="0"/>
        <v>997956.99523777445</v>
      </c>
      <c r="F11" s="191">
        <f t="shared" si="1"/>
        <v>365252.26025702542</v>
      </c>
      <c r="G11" s="191">
        <f t="shared" si="2"/>
        <v>632704.73498074897</v>
      </c>
    </row>
    <row r="12" spans="1:7" x14ac:dyDescent="0.25">
      <c r="A12">
        <v>2022</v>
      </c>
      <c r="B12" s="193">
        <f t="shared" si="3"/>
        <v>1092.815433837744</v>
      </c>
      <c r="C12" s="193">
        <f t="shared" si="4"/>
        <v>399.97044878461429</v>
      </c>
      <c r="D12">
        <f>Inputs!$B$13</f>
        <v>950</v>
      </c>
      <c r="E12" s="191">
        <f t="shared" si="0"/>
        <v>1038174.6621458568</v>
      </c>
      <c r="F12" s="191">
        <f t="shared" si="1"/>
        <v>379971.92634538357</v>
      </c>
      <c r="G12" s="191">
        <f t="shared" si="2"/>
        <v>658202.73580047325</v>
      </c>
    </row>
    <row r="13" spans="1:7" x14ac:dyDescent="0.25">
      <c r="A13">
        <v>2023</v>
      </c>
      <c r="B13" s="193">
        <f t="shared" si="3"/>
        <v>1136.8558958214051</v>
      </c>
      <c r="C13" s="193">
        <f t="shared" si="4"/>
        <v>416.08925787063424</v>
      </c>
      <c r="D13">
        <f>Inputs!$B$13</f>
        <v>950</v>
      </c>
      <c r="E13" s="191">
        <f t="shared" si="0"/>
        <v>1080013.1010303348</v>
      </c>
      <c r="F13" s="191">
        <f t="shared" si="1"/>
        <v>395284.79497710255</v>
      </c>
      <c r="G13" s="191">
        <f t="shared" si="2"/>
        <v>684728.30605323229</v>
      </c>
    </row>
    <row r="14" spans="1:7" x14ac:dyDescent="0.25">
      <c r="A14">
        <v>2024</v>
      </c>
      <c r="B14" s="193">
        <f>B13*(1+$B$1)</f>
        <v>1182.6711884230076</v>
      </c>
      <c r="C14" s="193">
        <f t="shared" si="4"/>
        <v>432.85765496282079</v>
      </c>
      <c r="D14">
        <f>Inputs!$B$13</f>
        <v>950</v>
      </c>
      <c r="E14" s="191">
        <f t="shared" si="0"/>
        <v>1123537.6290018572</v>
      </c>
      <c r="F14" s="191">
        <f t="shared" si="1"/>
        <v>411214.77221467975</v>
      </c>
      <c r="G14" s="191">
        <f t="shared" si="2"/>
        <v>712322.8567871775</v>
      </c>
    </row>
  </sheetData>
  <mergeCells count="2">
    <mergeCell ref="B3:C3"/>
    <mergeCell ref="E3:F3"/>
  </mergeCells>
  <pageMargins left="0.7" right="0.7" top="0.75" bottom="0.75" header="0.3" footer="0.3"/>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G24"/>
  <sheetViews>
    <sheetView workbookViewId="0"/>
  </sheetViews>
  <sheetFormatPr defaultColWidth="8.875" defaultRowHeight="15" x14ac:dyDescent="0.25"/>
  <cols>
    <col min="1" max="1" width="28.125" customWidth="1"/>
    <col min="2" max="2" width="16.75" customWidth="1"/>
    <col min="3" max="3" width="23.125" customWidth="1"/>
    <col min="4" max="4" width="24.25" customWidth="1"/>
    <col min="5" max="6" width="15" bestFit="1" customWidth="1"/>
    <col min="7" max="7" width="14" bestFit="1" customWidth="1"/>
  </cols>
  <sheetData>
    <row r="1" spans="1:7" x14ac:dyDescent="0.25">
      <c r="A1" s="159" t="s">
        <v>230</v>
      </c>
      <c r="B1">
        <f>YEAR(EffDate)</f>
        <v>2015</v>
      </c>
    </row>
    <row r="2" spans="1:7" x14ac:dyDescent="0.25">
      <c r="A2" s="159" t="s">
        <v>225</v>
      </c>
      <c r="B2">
        <f>Inputs!B13</f>
        <v>950</v>
      </c>
    </row>
    <row r="3" spans="1:7" x14ac:dyDescent="0.25">
      <c r="A3" s="159" t="s">
        <v>226</v>
      </c>
      <c r="B3" s="189">
        <f>'0. Adjust losses for new book'!C28</f>
        <v>3850</v>
      </c>
    </row>
    <row r="4" spans="1:7" x14ac:dyDescent="0.25">
      <c r="A4" s="159" t="s">
        <v>227</v>
      </c>
      <c r="B4" s="189">
        <f>'0. Adjust losses for new book'!C29</f>
        <v>100</v>
      </c>
    </row>
    <row r="5" spans="1:7" x14ac:dyDescent="0.25">
      <c r="A5" s="159" t="s">
        <v>228</v>
      </c>
      <c r="B5" s="189">
        <f>'0. Adjust losses for new book'!C30*'0. Adjust losses for new book'!B31</f>
        <v>300</v>
      </c>
    </row>
    <row r="7" spans="1:7" x14ac:dyDescent="0.25">
      <c r="A7" s="159" t="s">
        <v>27</v>
      </c>
      <c r="B7" s="159" t="s">
        <v>165</v>
      </c>
      <c r="C7" s="159" t="s">
        <v>166</v>
      </c>
      <c r="D7" s="159" t="s">
        <v>196</v>
      </c>
      <c r="E7" s="159" t="s">
        <v>167</v>
      </c>
      <c r="F7" s="159" t="s">
        <v>229</v>
      </c>
      <c r="G7" s="159" t="s">
        <v>290</v>
      </c>
    </row>
    <row r="8" spans="1:7" x14ac:dyDescent="0.25">
      <c r="A8">
        <v>2015</v>
      </c>
      <c r="B8" s="49">
        <f>'Projected insurance cost'!G5</f>
        <v>499171.16917241673</v>
      </c>
      <c r="C8" s="189">
        <f>B3*B2</f>
        <v>3657500</v>
      </c>
      <c r="D8" s="189">
        <f>B5*B2</f>
        <v>285000</v>
      </c>
      <c r="E8" s="191">
        <f>B8-C8-D8</f>
        <v>-3443328.8308275831</v>
      </c>
      <c r="F8" s="191">
        <f>E8*(1+$B$20)^(-(A8-$B$1))</f>
        <v>-3443328.8308275831</v>
      </c>
      <c r="G8" s="234">
        <f>E8</f>
        <v>-3443328.8308275831</v>
      </c>
    </row>
    <row r="9" spans="1:7" x14ac:dyDescent="0.25">
      <c r="A9">
        <v>2016</v>
      </c>
      <c r="B9" s="49">
        <f>'Projected insurance cost'!G6</f>
        <v>519287.76729006512</v>
      </c>
      <c r="C9" s="189">
        <f>$B$4*$B$2</f>
        <v>95000</v>
      </c>
      <c r="D9" s="190">
        <f>0</f>
        <v>0</v>
      </c>
      <c r="E9" s="191">
        <f t="shared" ref="E9:E17" si="0">B9-C9-D9</f>
        <v>424287.76729006512</v>
      </c>
      <c r="F9" s="191">
        <f>E9*(1+$B$20)^(-(A9-$B$1))+F8</f>
        <v>-3035359.823817905</v>
      </c>
      <c r="G9" s="234">
        <f>G8+E9</f>
        <v>-3019041.063537518</v>
      </c>
    </row>
    <row r="10" spans="1:7" x14ac:dyDescent="0.25">
      <c r="A10">
        <v>2017</v>
      </c>
      <c r="B10" s="49">
        <f>'Projected insurance cost'!G7</f>
        <v>540215.06431185477</v>
      </c>
      <c r="C10" s="189">
        <f t="shared" ref="C10:C17" si="1">$B$4*$B$2</f>
        <v>95000</v>
      </c>
      <c r="D10" s="190">
        <f>0</f>
        <v>0</v>
      </c>
      <c r="E10" s="191">
        <f t="shared" si="0"/>
        <v>445215.06431185477</v>
      </c>
      <c r="F10" s="191">
        <f t="shared" ref="F10:F17" si="2">E10*(1+$B$20)^(-(A10-$B$1))+F9</f>
        <v>-2623733.469979282</v>
      </c>
      <c r="G10" s="234">
        <f t="shared" ref="G10:G17" si="3">G9+E10</f>
        <v>-2573825.999225663</v>
      </c>
    </row>
    <row r="11" spans="1:7" x14ac:dyDescent="0.25">
      <c r="A11">
        <v>2018</v>
      </c>
      <c r="B11" s="49">
        <f>'Projected insurance cost'!G8</f>
        <v>561985.73140362254</v>
      </c>
      <c r="C11" s="189">
        <f t="shared" si="1"/>
        <v>95000</v>
      </c>
      <c r="D11" s="190">
        <f>0</f>
        <v>0</v>
      </c>
      <c r="E11" s="191">
        <f t="shared" si="0"/>
        <v>466985.73140362254</v>
      </c>
      <c r="F11" s="191">
        <f t="shared" si="2"/>
        <v>-2208584.8552101878</v>
      </c>
      <c r="G11" s="234">
        <f t="shared" si="3"/>
        <v>-2106840.2678220402</v>
      </c>
    </row>
    <row r="12" spans="1:7" x14ac:dyDescent="0.25">
      <c r="A12">
        <v>2019</v>
      </c>
      <c r="B12" s="49">
        <f>'Projected insurance cost'!G9</f>
        <v>584633.75637918862</v>
      </c>
      <c r="C12" s="189">
        <f t="shared" si="1"/>
        <v>95000</v>
      </c>
      <c r="D12" s="190">
        <f>0</f>
        <v>0</v>
      </c>
      <c r="E12" s="191">
        <f t="shared" si="0"/>
        <v>489633.75637918862</v>
      </c>
      <c r="F12" s="191">
        <f t="shared" si="2"/>
        <v>-1790043.8681876296</v>
      </c>
      <c r="G12" s="234">
        <f t="shared" si="3"/>
        <v>-1617206.5114428517</v>
      </c>
    </row>
    <row r="13" spans="1:7" x14ac:dyDescent="0.25">
      <c r="A13">
        <v>2020</v>
      </c>
      <c r="B13" s="49">
        <f>'Projected insurance cost'!G10</f>
        <v>608194.49676126987</v>
      </c>
      <c r="C13" s="189">
        <f t="shared" si="1"/>
        <v>95000</v>
      </c>
      <c r="D13" s="190">
        <f>0</f>
        <v>0</v>
      </c>
      <c r="E13" s="191">
        <f t="shared" si="0"/>
        <v>513194.49676126987</v>
      </c>
      <c r="F13" s="191">
        <f t="shared" si="2"/>
        <v>-1368235.4002598177</v>
      </c>
      <c r="G13" s="234">
        <f t="shared" si="3"/>
        <v>-1104012.0146815819</v>
      </c>
    </row>
    <row r="14" spans="1:7" x14ac:dyDescent="0.25">
      <c r="A14">
        <v>2021</v>
      </c>
      <c r="B14" s="49">
        <f>'Projected insurance cost'!G11</f>
        <v>632704.73498074897</v>
      </c>
      <c r="C14" s="189">
        <f t="shared" si="1"/>
        <v>95000</v>
      </c>
      <c r="D14" s="190">
        <f>0</f>
        <v>0</v>
      </c>
      <c r="E14" s="191">
        <f t="shared" si="0"/>
        <v>537704.73498074897</v>
      </c>
      <c r="F14" s="191">
        <f t="shared" si="2"/>
        <v>-943279.53765065339</v>
      </c>
      <c r="G14" s="234">
        <f t="shared" si="3"/>
        <v>-566307.27970083291</v>
      </c>
    </row>
    <row r="15" spans="1:7" x14ac:dyDescent="0.25">
      <c r="A15">
        <v>2022</v>
      </c>
      <c r="B15" s="49">
        <f>'Projected insurance cost'!G12</f>
        <v>658202.73580047325</v>
      </c>
      <c r="C15" s="189">
        <f t="shared" si="1"/>
        <v>95000</v>
      </c>
      <c r="D15" s="190">
        <f>0</f>
        <v>0</v>
      </c>
      <c r="E15" s="191">
        <f t="shared" si="0"/>
        <v>563202.73580047325</v>
      </c>
      <c r="F15" s="191">
        <f t="shared" si="2"/>
        <v>-515291.74627173838</v>
      </c>
      <c r="G15" s="234">
        <f t="shared" si="3"/>
        <v>-3104.5439003596548</v>
      </c>
    </row>
    <row r="16" spans="1:7" x14ac:dyDescent="0.25">
      <c r="A16">
        <v>2023</v>
      </c>
      <c r="B16" s="49">
        <f>'Projected insurance cost'!G13</f>
        <v>684728.30605323229</v>
      </c>
      <c r="C16" s="189">
        <f t="shared" si="1"/>
        <v>95000</v>
      </c>
      <c r="D16" s="190">
        <f>0</f>
        <v>0</v>
      </c>
      <c r="E16" s="191">
        <f t="shared" si="0"/>
        <v>589728.30605323229</v>
      </c>
      <c r="F16" s="191">
        <f t="shared" si="2"/>
        <v>-84383.049426229438</v>
      </c>
      <c r="G16" s="234">
        <f t="shared" si="3"/>
        <v>586623.76215287263</v>
      </c>
    </row>
    <row r="17" spans="1:7" ht="15.75" thickBot="1" x14ac:dyDescent="0.3">
      <c r="A17">
        <v>2024</v>
      </c>
      <c r="B17" s="49">
        <f>'Projected insurance cost'!G14</f>
        <v>712322.8567871775</v>
      </c>
      <c r="C17" s="189">
        <f t="shared" si="1"/>
        <v>95000</v>
      </c>
      <c r="D17" s="190">
        <f>0</f>
        <v>0</v>
      </c>
      <c r="E17" s="191">
        <f t="shared" si="0"/>
        <v>617322.8567871775</v>
      </c>
      <c r="F17" s="191">
        <f t="shared" si="2"/>
        <v>349339.80132207146</v>
      </c>
      <c r="G17" s="234">
        <f t="shared" si="3"/>
        <v>1203946.6189400502</v>
      </c>
    </row>
    <row r="18" spans="1:7" ht="15.75" thickBot="1" x14ac:dyDescent="0.3">
      <c r="C18" s="153" t="s">
        <v>231</v>
      </c>
      <c r="D18" s="147"/>
      <c r="E18" s="231">
        <f>IRR(E8:E17)</f>
        <v>6.0350901668434487E-2</v>
      </c>
    </row>
    <row r="19" spans="1:7" x14ac:dyDescent="0.25">
      <c r="C19" s="147"/>
      <c r="D19" s="147"/>
      <c r="E19" s="149"/>
    </row>
    <row r="20" spans="1:7" x14ac:dyDescent="0.25">
      <c r="A20" s="147" t="s">
        <v>288</v>
      </c>
      <c r="B20" s="149">
        <v>0.04</v>
      </c>
      <c r="D20" s="147"/>
      <c r="E20" s="149"/>
    </row>
    <row r="21" spans="1:7" x14ac:dyDescent="0.25">
      <c r="A21" s="147" t="s">
        <v>291</v>
      </c>
      <c r="B21" s="233">
        <f>MATCH(TRUE,INDEX(F8:F17&gt;0,0),0)</f>
        <v>10</v>
      </c>
    </row>
    <row r="22" spans="1:7" x14ac:dyDescent="0.25">
      <c r="A22" s="147" t="s">
        <v>289</v>
      </c>
      <c r="B22">
        <f>MATCH(TRUE,INDEX(G8:G17&gt;0,0),0)</f>
        <v>9</v>
      </c>
      <c r="E22" s="206"/>
    </row>
    <row r="24" spans="1:7" x14ac:dyDescent="0.25">
      <c r="E24" s="206"/>
    </row>
  </sheetData>
  <pageMargins left="0.7" right="0.7" top="0.75" bottom="0.75" header="0.3" footer="0.3"/>
  <pageSetup orientation="portrait" r:id="rId1"/>
  <legacyDrawing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F34"/>
  <sheetViews>
    <sheetView workbookViewId="0"/>
  </sheetViews>
  <sheetFormatPr defaultColWidth="11.375" defaultRowHeight="15" x14ac:dyDescent="0.25"/>
  <cols>
    <col min="2" max="2" width="35.375" customWidth="1"/>
    <col min="3" max="3" width="30" customWidth="1"/>
    <col min="4" max="4" width="13.875" customWidth="1"/>
    <col min="5" max="5" width="13.125" bestFit="1" customWidth="1"/>
    <col min="6" max="6" width="17.875" customWidth="1"/>
  </cols>
  <sheetData>
    <row r="2" spans="1:3" x14ac:dyDescent="0.25">
      <c r="B2" s="259" t="s">
        <v>234</v>
      </c>
      <c r="C2" s="259"/>
    </row>
    <row r="3" spans="1:3" x14ac:dyDescent="0.25">
      <c r="A3" t="s">
        <v>17</v>
      </c>
      <c r="B3" t="s">
        <v>238</v>
      </c>
      <c r="C3" t="s">
        <v>239</v>
      </c>
    </row>
    <row r="4" spans="1:3" x14ac:dyDescent="0.25">
      <c r="A4">
        <f>'4. Expected loss and loss ratio'!A8</f>
        <v>2010</v>
      </c>
      <c r="B4" s="202">
        <f>'4. Expected loss and loss ratio'!H8</f>
        <v>885.07151363814296</v>
      </c>
      <c r="C4" s="202"/>
    </row>
    <row r="5" spans="1:3" x14ac:dyDescent="0.25">
      <c r="A5">
        <f>'4. Expected loss and loss ratio'!A9</f>
        <v>2011</v>
      </c>
      <c r="B5" s="202">
        <f>'4. Expected loss and loss ratio'!H9</f>
        <v>827.17932216725842</v>
      </c>
      <c r="C5" s="202"/>
    </row>
    <row r="6" spans="1:3" x14ac:dyDescent="0.25">
      <c r="A6">
        <f>'4. Expected loss and loss ratio'!A10</f>
        <v>2012</v>
      </c>
      <c r="B6" s="202">
        <f>'4. Expected loss and loss ratio'!H10</f>
        <v>707.96785707240815</v>
      </c>
      <c r="C6" s="202"/>
    </row>
    <row r="7" spans="1:3" x14ac:dyDescent="0.25">
      <c r="A7">
        <f>'4. Expected loss and loss ratio'!A11</f>
        <v>2013</v>
      </c>
      <c r="B7" s="202">
        <f>'4. Expected loss and loss ratio'!H11</f>
        <v>791.80415753160537</v>
      </c>
      <c r="C7" s="202"/>
    </row>
    <row r="8" spans="1:3" x14ac:dyDescent="0.25">
      <c r="A8">
        <f>'4. Expected loss and loss ratio'!A12</f>
        <v>2014</v>
      </c>
      <c r="B8" s="202">
        <f>'4. Expected loss and loss ratio'!H12</f>
        <v>931.85203895150789</v>
      </c>
      <c r="C8" s="202"/>
    </row>
    <row r="9" spans="1:3" x14ac:dyDescent="0.25">
      <c r="A9" s="201">
        <f>'Projected insurance cost'!A5</f>
        <v>2015</v>
      </c>
      <c r="B9" s="202">
        <f>'Projected insurance cost'!B5</f>
        <v>828.77497787218454</v>
      </c>
      <c r="C9" s="202">
        <f>'Projected insurance cost'!C5</f>
        <v>303.33164190121954</v>
      </c>
    </row>
    <row r="10" spans="1:3" x14ac:dyDescent="0.25">
      <c r="A10" s="201">
        <f>'Projected insurance cost'!A6</f>
        <v>2016</v>
      </c>
      <c r="B10" s="202">
        <f>'Projected insurance cost'!B6</f>
        <v>862.17460948043356</v>
      </c>
      <c r="C10" s="202">
        <f>'Projected insurance cost'!C6</f>
        <v>315.55590706983867</v>
      </c>
    </row>
    <row r="11" spans="1:3" x14ac:dyDescent="0.25">
      <c r="A11" s="201">
        <f>'Projected insurance cost'!A7</f>
        <v>2017</v>
      </c>
      <c r="B11" s="202">
        <f>'Projected insurance cost'!B7</f>
        <v>896.92024624249507</v>
      </c>
      <c r="C11" s="202">
        <f>'Projected insurance cost'!C7</f>
        <v>328.27281012475316</v>
      </c>
    </row>
    <row r="12" spans="1:3" x14ac:dyDescent="0.25">
      <c r="A12" s="201">
        <f>'Projected insurance cost'!A8</f>
        <v>2018</v>
      </c>
      <c r="B12" s="202">
        <f>'Projected insurance cost'!B8</f>
        <v>933.06613216606763</v>
      </c>
      <c r="C12" s="202">
        <f>'Projected insurance cost'!C8</f>
        <v>341.50220437278074</v>
      </c>
    </row>
    <row r="13" spans="1:3" x14ac:dyDescent="0.25">
      <c r="A13" s="201">
        <f>'Projected insurance cost'!A9</f>
        <v>2019</v>
      </c>
      <c r="B13" s="202">
        <f>'Projected insurance cost'!B9</f>
        <v>970.66869729236021</v>
      </c>
      <c r="C13" s="202">
        <f>'Projected insurance cost'!C9</f>
        <v>355.26474320900383</v>
      </c>
    </row>
    <row r="14" spans="1:3" x14ac:dyDescent="0.25">
      <c r="A14" s="201">
        <f>'Projected insurance cost'!A10</f>
        <v>2020</v>
      </c>
      <c r="B14" s="202">
        <f>'Projected insurance cost'!B10</f>
        <v>1009.7866457932423</v>
      </c>
      <c r="C14" s="202">
        <f>'Projected insurance cost'!C10</f>
        <v>369.58191236032667</v>
      </c>
    </row>
    <row r="15" spans="1:3" x14ac:dyDescent="0.25">
      <c r="A15" s="201">
        <f>'Projected insurance cost'!A11</f>
        <v>2021</v>
      </c>
      <c r="B15" s="202">
        <f>'Projected insurance cost'!B11</f>
        <v>1050.4810476187099</v>
      </c>
      <c r="C15" s="202">
        <f>'Projected insurance cost'!C11</f>
        <v>384.47606342844784</v>
      </c>
    </row>
    <row r="16" spans="1:3" x14ac:dyDescent="0.25">
      <c r="A16" s="201">
        <f>'Projected insurance cost'!A12</f>
        <v>2022</v>
      </c>
      <c r="B16" s="202">
        <f>'Projected insurance cost'!B12</f>
        <v>1092.815433837744</v>
      </c>
      <c r="C16" s="202">
        <f>'Projected insurance cost'!C12</f>
        <v>399.97044878461429</v>
      </c>
    </row>
    <row r="17" spans="1:6" x14ac:dyDescent="0.25">
      <c r="A17" s="201">
        <f>'Projected insurance cost'!A13</f>
        <v>2023</v>
      </c>
      <c r="B17" s="202">
        <f>'Projected insurance cost'!B13</f>
        <v>1136.8558958214051</v>
      </c>
      <c r="C17" s="202">
        <f>'Projected insurance cost'!C13</f>
        <v>416.08925787063424</v>
      </c>
    </row>
    <row r="18" spans="1:6" x14ac:dyDescent="0.25">
      <c r="A18" s="201">
        <f>'Projected insurance cost'!A14</f>
        <v>2024</v>
      </c>
      <c r="B18" s="202">
        <f>'Projected insurance cost'!B14</f>
        <v>1182.6711884230076</v>
      </c>
      <c r="C18" s="202">
        <f>'Projected insurance cost'!C14</f>
        <v>432.85765496282079</v>
      </c>
    </row>
    <row r="19" spans="1:6" x14ac:dyDescent="0.25">
      <c r="A19" s="201"/>
      <c r="B19" s="201"/>
      <c r="C19" s="201"/>
    </row>
    <row r="20" spans="1:6" x14ac:dyDescent="0.25">
      <c r="A20" s="201"/>
      <c r="B20" s="201"/>
      <c r="C20" s="201"/>
    </row>
    <row r="23" spans="1:6" x14ac:dyDescent="0.25">
      <c r="A23" s="259" t="s">
        <v>247</v>
      </c>
      <c r="B23" s="259"/>
      <c r="C23" s="259"/>
      <c r="D23" s="259"/>
      <c r="E23" s="259"/>
      <c r="F23" s="259"/>
    </row>
    <row r="24" spans="1:6" x14ac:dyDescent="0.25">
      <c r="A24" s="210" t="str">
        <f>'Return on Investment'!A7</f>
        <v>Year</v>
      </c>
      <c r="B24" s="209" t="s">
        <v>241</v>
      </c>
      <c r="C24" s="209" t="s">
        <v>240</v>
      </c>
      <c r="D24" s="209" t="str">
        <f>'Return on Investment'!D7</f>
        <v>Training Cost</v>
      </c>
      <c r="E24" s="209" t="s">
        <v>242</v>
      </c>
      <c r="F24" s="209" t="s">
        <v>243</v>
      </c>
    </row>
    <row r="25" spans="1:6" x14ac:dyDescent="0.25">
      <c r="A25" s="210">
        <f>'Return on Investment'!A8</f>
        <v>2015</v>
      </c>
      <c r="B25" s="208">
        <f>ROUND('Return on Investment'!B8/1000,0)</f>
        <v>499</v>
      </c>
      <c r="C25" s="208">
        <f>ROUND('Return on Investment'!C8/1000,0)</f>
        <v>3658</v>
      </c>
      <c r="D25" s="207">
        <f>'Return on Investment'!D8</f>
        <v>285000</v>
      </c>
      <c r="E25" s="191">
        <f>B25-C25</f>
        <v>-3159</v>
      </c>
      <c r="F25" s="191">
        <f>E25*(1+'Return on Investment'!$B$20)^(-(A25-2015))</f>
        <v>-3159</v>
      </c>
    </row>
    <row r="26" spans="1:6" x14ac:dyDescent="0.25">
      <c r="A26" s="210">
        <f>'Return on Investment'!A9</f>
        <v>2016</v>
      </c>
      <c r="B26" s="208">
        <f>ROUND('Return on Investment'!B9/1000,0)</f>
        <v>519</v>
      </c>
      <c r="C26" s="208">
        <f>ROUND('Return on Investment'!C9/1000,0)</f>
        <v>95</v>
      </c>
      <c r="D26" s="191">
        <f>'Return on Investment'!D9</f>
        <v>0</v>
      </c>
      <c r="E26" s="191">
        <f t="shared" ref="E26:E34" si="0">B26-C26</f>
        <v>424</v>
      </c>
      <c r="F26" s="191">
        <f>E26*(1+'Return on Investment'!$B$20)^(-(A26-2015))+F25</f>
        <v>-2751.3076923076924</v>
      </c>
    </row>
    <row r="27" spans="1:6" x14ac:dyDescent="0.25">
      <c r="A27" s="210">
        <f>'Return on Investment'!A10</f>
        <v>2017</v>
      </c>
      <c r="B27" s="208">
        <f>ROUND('Return on Investment'!B10/1000,0)</f>
        <v>540</v>
      </c>
      <c r="C27" s="208">
        <f>ROUND('Return on Investment'!C10/1000,0)</f>
        <v>95</v>
      </c>
      <c r="D27" s="191">
        <f>'Return on Investment'!D10</f>
        <v>0</v>
      </c>
      <c r="E27" s="191">
        <f t="shared" si="0"/>
        <v>445</v>
      </c>
      <c r="F27" s="191">
        <f>E27*(1+'Return on Investment'!$B$20)^(-(A27-2015))+F26</f>
        <v>-2339.8801775147931</v>
      </c>
    </row>
    <row r="28" spans="1:6" x14ac:dyDescent="0.25">
      <c r="A28" s="210">
        <f>'Return on Investment'!A11</f>
        <v>2018</v>
      </c>
      <c r="B28" s="208">
        <f>ROUND('Return on Investment'!B11/1000,0)</f>
        <v>562</v>
      </c>
      <c r="C28" s="208">
        <f>ROUND('Return on Investment'!C11/1000,0)</f>
        <v>95</v>
      </c>
      <c r="D28" s="191">
        <f>'Return on Investment'!D11</f>
        <v>0</v>
      </c>
      <c r="E28" s="191">
        <f t="shared" si="0"/>
        <v>467</v>
      </c>
      <c r="F28" s="191">
        <f>E28*(1+'Return on Investment'!$B$20)^(-(A28-2015))+F27</f>
        <v>-1924.7188780154759</v>
      </c>
    </row>
    <row r="29" spans="1:6" x14ac:dyDescent="0.25">
      <c r="A29" s="210">
        <f>'Return on Investment'!A12</f>
        <v>2019</v>
      </c>
      <c r="B29" s="208">
        <f>ROUND('Return on Investment'!B12/1000,0)</f>
        <v>585</v>
      </c>
      <c r="C29" s="208">
        <f>ROUND('Return on Investment'!C12/1000,0)</f>
        <v>95</v>
      </c>
      <c r="D29" s="191">
        <f>'Return on Investment'!D12</f>
        <v>0</v>
      </c>
      <c r="E29" s="191">
        <f t="shared" si="0"/>
        <v>490</v>
      </c>
      <c r="F29" s="191">
        <f>E29*(1+'Return on Investment'!$B$20)^(-(A29-2015))+F28</f>
        <v>-1505.8648244109104</v>
      </c>
    </row>
    <row r="30" spans="1:6" x14ac:dyDescent="0.25">
      <c r="A30" s="210">
        <f>'Return on Investment'!A13</f>
        <v>2020</v>
      </c>
      <c r="B30" s="208">
        <f>ROUND('Return on Investment'!B13/1000,0)</f>
        <v>608</v>
      </c>
      <c r="C30" s="208">
        <f>ROUND('Return on Investment'!C13/1000,0)</f>
        <v>95</v>
      </c>
      <c r="D30" s="191">
        <f>'Return on Investment'!D13</f>
        <v>0</v>
      </c>
      <c r="E30" s="191">
        <f t="shared" si="0"/>
        <v>513</v>
      </c>
      <c r="F30" s="191">
        <f>E30*(1+'Return on Investment'!$B$20)^(-(A30-2015))+F29</f>
        <v>-1084.2162186433629</v>
      </c>
    </row>
    <row r="31" spans="1:6" x14ac:dyDescent="0.25">
      <c r="A31" s="210">
        <f>'Return on Investment'!A14</f>
        <v>2021</v>
      </c>
      <c r="B31" s="208">
        <f>ROUND('Return on Investment'!B14/1000,0)</f>
        <v>633</v>
      </c>
      <c r="C31" s="208">
        <f>ROUND('Return on Investment'!C14/1000,0)</f>
        <v>95</v>
      </c>
      <c r="D31" s="191">
        <f>'Return on Investment'!D14</f>
        <v>0</v>
      </c>
      <c r="E31" s="191">
        <f t="shared" si="0"/>
        <v>538</v>
      </c>
      <c r="F31" s="191">
        <f>E31*(1+'Return on Investment'!$B$20)^(-(A31-2015))+F30</f>
        <v>-659.02700380054455</v>
      </c>
    </row>
    <row r="32" spans="1:6" x14ac:dyDescent="0.25">
      <c r="A32" s="210">
        <f>'Return on Investment'!A15</f>
        <v>2022</v>
      </c>
      <c r="B32" s="208">
        <f>ROUND('Return on Investment'!B15/1000,0)</f>
        <v>658</v>
      </c>
      <c r="C32" s="208">
        <f>ROUND('Return on Investment'!C15/1000,0)</f>
        <v>95</v>
      </c>
      <c r="D32" s="191">
        <f>'Return on Investment'!D15</f>
        <v>0</v>
      </c>
      <c r="E32" s="191">
        <f t="shared" si="0"/>
        <v>563</v>
      </c>
      <c r="F32" s="191">
        <f>E32*(1+'Return on Investment'!$B$20)^(-(A32-2015))+F31</f>
        <v>-231.19327496778288</v>
      </c>
    </row>
    <row r="33" spans="1:6" x14ac:dyDescent="0.25">
      <c r="A33" s="210">
        <f>'Return on Investment'!A16</f>
        <v>2023</v>
      </c>
      <c r="B33" s="208">
        <f>ROUND('Return on Investment'!B16/1000,0)</f>
        <v>685</v>
      </c>
      <c r="C33" s="208">
        <f>ROUND('Return on Investment'!C16/1000,0)</f>
        <v>95</v>
      </c>
      <c r="D33" s="191">
        <f>'Return on Investment'!D16</f>
        <v>0</v>
      </c>
      <c r="E33" s="191">
        <f t="shared" si="0"/>
        <v>590</v>
      </c>
      <c r="F33" s="191">
        <f>E33*(1+'Return on Investment'!$B$20)^(-(A33-2015))+F32</f>
        <v>199.91394598338752</v>
      </c>
    </row>
    <row r="34" spans="1:6" x14ac:dyDescent="0.25">
      <c r="A34" s="210">
        <f>'Return on Investment'!A17</f>
        <v>2024</v>
      </c>
      <c r="B34" s="208">
        <f>ROUND('Return on Investment'!B17/1000,0)</f>
        <v>712</v>
      </c>
      <c r="C34" s="208">
        <f>ROUND('Return on Investment'!C17/1000,0)</f>
        <v>95</v>
      </c>
      <c r="D34" s="191">
        <f>'Return on Investment'!D17</f>
        <v>0</v>
      </c>
      <c r="E34" s="191">
        <f t="shared" si="0"/>
        <v>617</v>
      </c>
      <c r="F34" s="191">
        <f>E34*(1+'Return on Investment'!$B$20)^(-(A34-2015))+F33</f>
        <v>633.40996183552591</v>
      </c>
    </row>
  </sheetData>
  <mergeCells count="2">
    <mergeCell ref="B2:C2"/>
    <mergeCell ref="A23:F23"/>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I24"/>
  <sheetViews>
    <sheetView workbookViewId="0"/>
  </sheetViews>
  <sheetFormatPr defaultRowHeight="15" x14ac:dyDescent="0.25"/>
  <cols>
    <col min="1" max="1" width="31.375" customWidth="1"/>
    <col min="2" max="2" width="21.375" customWidth="1"/>
    <col min="3" max="3" width="26.375" customWidth="1"/>
    <col min="4" max="4" width="12.125" customWidth="1"/>
    <col min="5" max="5" width="20.75" customWidth="1"/>
    <col min="6" max="6" width="12.25" customWidth="1"/>
    <col min="7" max="7" width="25.625" customWidth="1"/>
    <col min="8" max="8" width="16" customWidth="1"/>
    <col min="9" max="9" width="20.375" customWidth="1"/>
  </cols>
  <sheetData>
    <row r="1" spans="1:9" x14ac:dyDescent="0.25">
      <c r="C1" s="259" t="s">
        <v>221</v>
      </c>
      <c r="D1" s="259"/>
      <c r="E1" s="259" t="s">
        <v>258</v>
      </c>
      <c r="F1" s="259"/>
      <c r="G1" s="259"/>
      <c r="H1" s="259"/>
      <c r="I1" s="259"/>
    </row>
    <row r="2" spans="1:9" x14ac:dyDescent="0.25">
      <c r="A2" s="216" t="s">
        <v>27</v>
      </c>
      <c r="B2" s="216" t="s">
        <v>257</v>
      </c>
      <c r="C2" s="215" t="s">
        <v>248</v>
      </c>
      <c r="D2" s="215" t="s">
        <v>249</v>
      </c>
      <c r="E2" s="159" t="s">
        <v>248</v>
      </c>
      <c r="F2" s="159" t="s">
        <v>249</v>
      </c>
      <c r="G2" s="159" t="s">
        <v>259</v>
      </c>
      <c r="H2" s="159" t="s">
        <v>251</v>
      </c>
      <c r="I2" s="159" t="s">
        <v>250</v>
      </c>
    </row>
    <row r="3" spans="1:9" x14ac:dyDescent="0.25">
      <c r="A3">
        <v>2015</v>
      </c>
      <c r="B3" s="218">
        <f t="shared" ref="B3:B12" si="0">(1+$B$16)^(-(A3-$A$3))</f>
        <v>1</v>
      </c>
      <c r="C3" s="191">
        <f>'Projected insurance cost'!B5</f>
        <v>828.77497787218454</v>
      </c>
      <c r="D3" s="191">
        <f>C3</f>
        <v>828.77497787218454</v>
      </c>
      <c r="E3" s="191">
        <f>'Projected insurance cost'!C5</f>
        <v>303.33164190121954</v>
      </c>
      <c r="F3" s="191">
        <f>E3</f>
        <v>303.33164190121954</v>
      </c>
      <c r="G3" s="207">
        <f>'Return on Investment'!C8/'Return on Investment'!$B$2</f>
        <v>3850</v>
      </c>
      <c r="H3" s="207">
        <f>'Return on Investment'!D8/'Return on Investment'!$B$2</f>
        <v>300</v>
      </c>
      <c r="I3" s="207">
        <f>G3+H3</f>
        <v>4150</v>
      </c>
    </row>
    <row r="4" spans="1:9" x14ac:dyDescent="0.25">
      <c r="A4">
        <v>2016</v>
      </c>
      <c r="B4" s="218">
        <f t="shared" si="0"/>
        <v>0.96153846153846145</v>
      </c>
      <c r="C4" s="191">
        <f>'Projected insurance cost'!B6</f>
        <v>862.17460948043356</v>
      </c>
      <c r="D4" s="191">
        <f t="shared" ref="D4:D12" si="1">C4</f>
        <v>862.17460948043356</v>
      </c>
      <c r="E4" s="191">
        <f>'Projected insurance cost'!C6</f>
        <v>315.55590706983867</v>
      </c>
      <c r="F4" s="191">
        <f t="shared" ref="F4:F12" si="2">E4</f>
        <v>315.55590706983867</v>
      </c>
      <c r="G4" s="207">
        <f>'Return on Investment'!C9/'Return on Investment'!$B$2</f>
        <v>100</v>
      </c>
      <c r="H4" s="207">
        <f>'Return on Investment'!D9/'Return on Investment'!$B$2</f>
        <v>0</v>
      </c>
      <c r="I4" s="207">
        <f t="shared" ref="I4:I12" si="3">G4+H4</f>
        <v>100</v>
      </c>
    </row>
    <row r="5" spans="1:9" x14ac:dyDescent="0.25">
      <c r="A5">
        <v>2017</v>
      </c>
      <c r="B5" s="218">
        <f t="shared" si="0"/>
        <v>0.92455621301775137</v>
      </c>
      <c r="C5" s="191">
        <f>'Projected insurance cost'!B7</f>
        <v>896.92024624249507</v>
      </c>
      <c r="D5" s="191">
        <f t="shared" si="1"/>
        <v>896.92024624249507</v>
      </c>
      <c r="E5" s="191">
        <f>'Projected insurance cost'!C7</f>
        <v>328.27281012475316</v>
      </c>
      <c r="F5" s="191">
        <f t="shared" si="2"/>
        <v>328.27281012475316</v>
      </c>
      <c r="G5" s="207">
        <f>'Return on Investment'!C10/'Return on Investment'!$B$2</f>
        <v>100</v>
      </c>
      <c r="H5" s="207">
        <f>'Return on Investment'!D10/'Return on Investment'!$B$2</f>
        <v>0</v>
      </c>
      <c r="I5" s="207">
        <f t="shared" si="3"/>
        <v>100</v>
      </c>
    </row>
    <row r="6" spans="1:9" x14ac:dyDescent="0.25">
      <c r="A6">
        <v>2018</v>
      </c>
      <c r="B6" s="218">
        <f t="shared" si="0"/>
        <v>0.88899635867091487</v>
      </c>
      <c r="C6" s="191">
        <f>'Projected insurance cost'!B8</f>
        <v>933.06613216606763</v>
      </c>
      <c r="D6" s="191">
        <f t="shared" si="1"/>
        <v>933.06613216606763</v>
      </c>
      <c r="E6" s="191">
        <f>'Projected insurance cost'!C8</f>
        <v>341.50220437278074</v>
      </c>
      <c r="F6" s="191">
        <f t="shared" si="2"/>
        <v>341.50220437278074</v>
      </c>
      <c r="G6" s="207">
        <f>'Return on Investment'!C11/'Return on Investment'!$B$2</f>
        <v>100</v>
      </c>
      <c r="H6" s="207">
        <f>'Return on Investment'!D11/'Return on Investment'!$B$2</f>
        <v>0</v>
      </c>
      <c r="I6" s="207">
        <f t="shared" si="3"/>
        <v>100</v>
      </c>
    </row>
    <row r="7" spans="1:9" x14ac:dyDescent="0.25">
      <c r="A7">
        <v>2019</v>
      </c>
      <c r="B7" s="218">
        <f t="shared" si="0"/>
        <v>0.85480419102972571</v>
      </c>
      <c r="C7" s="191">
        <f>'Projected insurance cost'!B9</f>
        <v>970.66869729236021</v>
      </c>
      <c r="D7" s="191">
        <f t="shared" si="1"/>
        <v>970.66869729236021</v>
      </c>
      <c r="E7" s="191">
        <f>'Projected insurance cost'!C9</f>
        <v>355.26474320900383</v>
      </c>
      <c r="F7" s="191">
        <f t="shared" si="2"/>
        <v>355.26474320900383</v>
      </c>
      <c r="G7" s="207">
        <f>'Return on Investment'!C12/'Return on Investment'!$B$2</f>
        <v>100</v>
      </c>
      <c r="H7" s="207">
        <f>'Return on Investment'!D12/'Return on Investment'!$B$2</f>
        <v>0</v>
      </c>
      <c r="I7" s="207">
        <f t="shared" si="3"/>
        <v>100</v>
      </c>
    </row>
    <row r="8" spans="1:9" x14ac:dyDescent="0.25">
      <c r="A8">
        <v>2020</v>
      </c>
      <c r="B8" s="218">
        <f t="shared" si="0"/>
        <v>0.82192710675935154</v>
      </c>
      <c r="C8" s="191">
        <f>'Projected insurance cost'!B10</f>
        <v>1009.7866457932423</v>
      </c>
      <c r="D8" s="191">
        <f t="shared" si="1"/>
        <v>1009.7866457932423</v>
      </c>
      <c r="E8" s="191">
        <f>'Projected insurance cost'!C10</f>
        <v>369.58191236032667</v>
      </c>
      <c r="F8" s="191">
        <f t="shared" si="2"/>
        <v>369.58191236032667</v>
      </c>
      <c r="G8" s="207">
        <f>'Return on Investment'!C13/'Return on Investment'!$B$2</f>
        <v>100</v>
      </c>
      <c r="H8" s="207">
        <f>'Return on Investment'!D13/'Return on Investment'!$B$2</f>
        <v>0</v>
      </c>
      <c r="I8" s="207">
        <f t="shared" si="3"/>
        <v>100</v>
      </c>
    </row>
    <row r="9" spans="1:9" x14ac:dyDescent="0.25">
      <c r="A9">
        <v>2021</v>
      </c>
      <c r="B9" s="218">
        <f t="shared" si="0"/>
        <v>0.79031452573014571</v>
      </c>
      <c r="C9" s="191">
        <f>'Projected insurance cost'!B11</f>
        <v>1050.4810476187099</v>
      </c>
      <c r="D9" s="191">
        <f t="shared" si="1"/>
        <v>1050.4810476187099</v>
      </c>
      <c r="E9" s="191">
        <f>'Projected insurance cost'!C11</f>
        <v>384.47606342844784</v>
      </c>
      <c r="F9" s="191">
        <f t="shared" si="2"/>
        <v>384.47606342844784</v>
      </c>
      <c r="G9" s="207">
        <f>'Return on Investment'!C14/'Return on Investment'!$B$2</f>
        <v>100</v>
      </c>
      <c r="H9" s="207">
        <f>'Return on Investment'!D14/'Return on Investment'!$B$2</f>
        <v>0</v>
      </c>
      <c r="I9" s="207">
        <f t="shared" si="3"/>
        <v>100</v>
      </c>
    </row>
    <row r="10" spans="1:9" x14ac:dyDescent="0.25">
      <c r="A10">
        <v>2022</v>
      </c>
      <c r="B10" s="218">
        <f t="shared" si="0"/>
        <v>0.75991781320206331</v>
      </c>
      <c r="C10" s="191">
        <f>'Projected insurance cost'!B12</f>
        <v>1092.815433837744</v>
      </c>
      <c r="D10" s="191">
        <f t="shared" si="1"/>
        <v>1092.815433837744</v>
      </c>
      <c r="E10" s="191">
        <f>'Projected insurance cost'!C12</f>
        <v>399.97044878461429</v>
      </c>
      <c r="F10" s="191">
        <f t="shared" si="2"/>
        <v>399.97044878461429</v>
      </c>
      <c r="G10" s="207">
        <f>'Return on Investment'!C15/'Return on Investment'!$B$2</f>
        <v>100</v>
      </c>
      <c r="H10" s="207">
        <f>'Return on Investment'!D15/'Return on Investment'!$B$2</f>
        <v>0</v>
      </c>
      <c r="I10" s="207">
        <f t="shared" si="3"/>
        <v>100</v>
      </c>
    </row>
    <row r="11" spans="1:9" x14ac:dyDescent="0.25">
      <c r="A11">
        <v>2023</v>
      </c>
      <c r="B11" s="218">
        <f t="shared" si="0"/>
        <v>0.73069020500198378</v>
      </c>
      <c r="C11" s="191">
        <f>'Projected insurance cost'!B13</f>
        <v>1136.8558958214051</v>
      </c>
      <c r="D11" s="191">
        <f t="shared" si="1"/>
        <v>1136.8558958214051</v>
      </c>
      <c r="E11" s="191">
        <f>'Projected insurance cost'!C13</f>
        <v>416.08925787063424</v>
      </c>
      <c r="F11" s="191">
        <f t="shared" si="2"/>
        <v>416.08925787063424</v>
      </c>
      <c r="G11" s="207">
        <f>'Return on Investment'!C16/'Return on Investment'!$B$2</f>
        <v>100</v>
      </c>
      <c r="H11" s="207">
        <f>'Return on Investment'!D16/'Return on Investment'!$B$2</f>
        <v>0</v>
      </c>
      <c r="I11" s="207">
        <f t="shared" si="3"/>
        <v>100</v>
      </c>
    </row>
    <row r="12" spans="1:9" x14ac:dyDescent="0.25">
      <c r="A12">
        <v>2024</v>
      </c>
      <c r="B12" s="218">
        <f t="shared" si="0"/>
        <v>0.70258673557883045</v>
      </c>
      <c r="C12" s="191">
        <f>'Projected insurance cost'!B14</f>
        <v>1182.6711884230076</v>
      </c>
      <c r="D12" s="191">
        <f t="shared" si="1"/>
        <v>1182.6711884230076</v>
      </c>
      <c r="E12" s="191">
        <f>'Projected insurance cost'!C14</f>
        <v>432.85765496282079</v>
      </c>
      <c r="F12" s="191">
        <f t="shared" si="2"/>
        <v>432.85765496282079</v>
      </c>
      <c r="G12" s="207">
        <f>'Return on Investment'!C17/'Return on Investment'!$B$2</f>
        <v>100</v>
      </c>
      <c r="H12" s="207">
        <f>'Return on Investment'!D17/'Return on Investment'!$B$2</f>
        <v>0</v>
      </c>
      <c r="I12" s="207">
        <f t="shared" si="3"/>
        <v>100</v>
      </c>
    </row>
    <row r="13" spans="1:9" x14ac:dyDescent="0.25">
      <c r="G13" s="260" t="s">
        <v>254</v>
      </c>
      <c r="H13" s="260"/>
    </row>
    <row r="14" spans="1:9" x14ac:dyDescent="0.25">
      <c r="A14" s="217"/>
      <c r="B14" s="217"/>
      <c r="C14" s="217"/>
      <c r="G14" s="260"/>
      <c r="H14" s="260"/>
    </row>
    <row r="15" spans="1:9" x14ac:dyDescent="0.25">
      <c r="B15" s="147" t="s">
        <v>260</v>
      </c>
      <c r="C15" s="147" t="s">
        <v>258</v>
      </c>
    </row>
    <row r="16" spans="1:9" x14ac:dyDescent="0.25">
      <c r="A16" s="147" t="s">
        <v>252</v>
      </c>
      <c r="B16" s="149">
        <f>Inputs!B14</f>
        <v>0.04</v>
      </c>
      <c r="C16" s="149">
        <f>B16</f>
        <v>0.04</v>
      </c>
    </row>
    <row r="17" spans="1:5" x14ac:dyDescent="0.25">
      <c r="A17" s="147" t="s">
        <v>255</v>
      </c>
      <c r="B17" s="191">
        <f>SUMPRODUCT(B3:B12,D3:D12)</f>
        <v>8298.5161951226091</v>
      </c>
      <c r="C17" s="191">
        <f>SUMPRODUCT(B3:B12,F3:F12)</f>
        <v>3037.2569274148755</v>
      </c>
    </row>
    <row r="18" spans="1:5" x14ac:dyDescent="0.25">
      <c r="A18" s="147" t="s">
        <v>256</v>
      </c>
      <c r="B18" s="6">
        <f>(1-(1+B16)^(-10))/(B16/(B16+1))</f>
        <v>8.4353316105292375</v>
      </c>
      <c r="C18" s="6">
        <f>B18</f>
        <v>8.4353316105292375</v>
      </c>
    </row>
    <row r="19" spans="1:5" ht="30" x14ac:dyDescent="0.25">
      <c r="A19" s="219" t="s">
        <v>271</v>
      </c>
      <c r="B19" s="191">
        <f>D3</f>
        <v>828.77497787218454</v>
      </c>
      <c r="C19" s="191">
        <f>F3</f>
        <v>303.33164190121954</v>
      </c>
      <c r="D19" s="228"/>
      <c r="E19" s="229"/>
    </row>
    <row r="20" spans="1:5" x14ac:dyDescent="0.25">
      <c r="A20" s="147"/>
      <c r="B20" s="191"/>
      <c r="C20" s="191"/>
    </row>
    <row r="21" spans="1:5" ht="15" customHeight="1" x14ac:dyDescent="0.25">
      <c r="A21" s="260" t="s">
        <v>275</v>
      </c>
      <c r="B21" s="260"/>
      <c r="C21" s="260"/>
    </row>
    <row r="22" spans="1:5" x14ac:dyDescent="0.25">
      <c r="A22" s="260"/>
      <c r="B22" s="260"/>
      <c r="C22" s="260"/>
    </row>
    <row r="23" spans="1:5" x14ac:dyDescent="0.25">
      <c r="A23" s="260"/>
      <c r="B23" s="260"/>
      <c r="C23" s="260"/>
    </row>
    <row r="24" spans="1:5" x14ac:dyDescent="0.25">
      <c r="A24" s="260"/>
      <c r="B24" s="260"/>
      <c r="C24" s="260"/>
    </row>
  </sheetData>
  <mergeCells count="4">
    <mergeCell ref="A21:C24"/>
    <mergeCell ref="C1:D1"/>
    <mergeCell ref="G13:H14"/>
    <mergeCell ref="E1:I1"/>
  </mergeCells>
  <pageMargins left="0.7" right="0.7" top="0.75" bottom="0.75" header="0.3" footer="0.3"/>
  <pageSetup orientation="portrait" r:id="rId1"/>
  <ignoredErrors>
    <ignoredError sqref="C17 E3:E12" formula="1"/>
  </ignoredErrors>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16"/>
  <sheetViews>
    <sheetView workbookViewId="0"/>
  </sheetViews>
  <sheetFormatPr defaultColWidth="8.875" defaultRowHeight="15" x14ac:dyDescent="0.25"/>
  <cols>
    <col min="1" max="1" width="30.875" bestFit="1" customWidth="1"/>
    <col min="2" max="3" width="25" customWidth="1"/>
    <col min="4" max="4" width="22" customWidth="1"/>
    <col min="5" max="5" width="14.375" customWidth="1"/>
    <col min="6" max="6" width="17.375" customWidth="1"/>
    <col min="7" max="7" width="22.125" customWidth="1"/>
  </cols>
  <sheetData>
    <row r="1" spans="1:7" x14ac:dyDescent="0.25">
      <c r="A1" s="147" t="s">
        <v>272</v>
      </c>
      <c r="B1" s="186">
        <f>'2. Loss Trend Factor -- 2'!B14</f>
        <v>4.0300000000000002E-2</v>
      </c>
      <c r="C1" s="186"/>
      <c r="D1" s="222"/>
    </row>
    <row r="3" spans="1:7" x14ac:dyDescent="0.25">
      <c r="B3" s="259" t="s">
        <v>249</v>
      </c>
      <c r="C3" s="259"/>
      <c r="E3" s="259" t="s">
        <v>223</v>
      </c>
      <c r="F3" s="259"/>
    </row>
    <row r="4" spans="1:7" x14ac:dyDescent="0.25">
      <c r="A4" s="147" t="s">
        <v>27</v>
      </c>
      <c r="B4" s="188" t="s">
        <v>221</v>
      </c>
      <c r="C4" s="188" t="s">
        <v>222</v>
      </c>
      <c r="D4" s="147" t="s">
        <v>219</v>
      </c>
      <c r="E4" s="147" t="s">
        <v>221</v>
      </c>
      <c r="F4" s="147" t="s">
        <v>222</v>
      </c>
      <c r="G4" s="147" t="s">
        <v>224</v>
      </c>
    </row>
    <row r="5" spans="1:7" x14ac:dyDescent="0.25">
      <c r="A5">
        <v>2015</v>
      </c>
      <c r="B5" s="192">
        <f>'UO Premium'!B19</f>
        <v>828.77497787218454</v>
      </c>
      <c r="C5" s="191">
        <f>'Max premium (no safety)'!B6</f>
        <v>441.07936567768661</v>
      </c>
      <c r="D5">
        <f>Inputs!$B$13</f>
        <v>950</v>
      </c>
      <c r="E5" s="191">
        <f>B5*D5</f>
        <v>787336.22897857532</v>
      </c>
      <c r="F5" s="191">
        <f>C5*D5</f>
        <v>419025.3973938023</v>
      </c>
      <c r="G5" s="191">
        <f>E5-F5</f>
        <v>368310.83158477303</v>
      </c>
    </row>
    <row r="6" spans="1:7" x14ac:dyDescent="0.25">
      <c r="A6">
        <v>2016</v>
      </c>
      <c r="B6" s="192">
        <f>$B$5*(1+$B$1)^(A6-$A$5)</f>
        <v>862.17460948043356</v>
      </c>
      <c r="C6" s="191">
        <f>$C$5*(1+$B$1)^(A6-$A$5)</f>
        <v>458.85486411449739</v>
      </c>
      <c r="D6">
        <f>Inputs!$B$13</f>
        <v>950</v>
      </c>
      <c r="E6" s="191">
        <f t="shared" ref="E6:E14" si="0">B6*D6</f>
        <v>819065.87900641188</v>
      </c>
      <c r="F6" s="191">
        <f t="shared" ref="F6:F14" si="1">C6*D6</f>
        <v>435912.12090877251</v>
      </c>
      <c r="G6" s="191">
        <f t="shared" ref="G6:G14" si="2">E6-F6</f>
        <v>383153.75809763937</v>
      </c>
    </row>
    <row r="7" spans="1:7" x14ac:dyDescent="0.25">
      <c r="A7">
        <v>2017</v>
      </c>
      <c r="B7" s="192">
        <f t="shared" ref="B7:B14" si="3">$B$5*(1+$B$1)^(A7-$A$5)</f>
        <v>896.92024624249507</v>
      </c>
      <c r="C7" s="191">
        <f t="shared" ref="C7:C14" si="4">$C$5*(1+$B$1)^(A7-$A$5)</f>
        <v>477.34671513831159</v>
      </c>
      <c r="D7">
        <f>Inputs!$B$13</f>
        <v>950</v>
      </c>
      <c r="E7" s="191">
        <f t="shared" si="0"/>
        <v>852074.2339303703</v>
      </c>
      <c r="F7" s="191">
        <f t="shared" si="1"/>
        <v>453479.37938139599</v>
      </c>
      <c r="G7" s="191">
        <f t="shared" si="2"/>
        <v>398594.85454897431</v>
      </c>
    </row>
    <row r="8" spans="1:7" x14ac:dyDescent="0.25">
      <c r="A8">
        <v>2018</v>
      </c>
      <c r="B8" s="192">
        <f t="shared" si="3"/>
        <v>933.06613216606763</v>
      </c>
      <c r="C8" s="191">
        <f t="shared" si="4"/>
        <v>496.5837877583856</v>
      </c>
      <c r="D8">
        <f>Inputs!$B$13</f>
        <v>950</v>
      </c>
      <c r="E8" s="191">
        <f t="shared" si="0"/>
        <v>886412.82555776427</v>
      </c>
      <c r="F8" s="191">
        <f t="shared" si="1"/>
        <v>471754.59837046632</v>
      </c>
      <c r="G8" s="191">
        <f t="shared" si="2"/>
        <v>414658.22718729795</v>
      </c>
    </row>
    <row r="9" spans="1:7" x14ac:dyDescent="0.25">
      <c r="A9">
        <v>2019</v>
      </c>
      <c r="B9" s="192">
        <f t="shared" si="3"/>
        <v>970.66869729235998</v>
      </c>
      <c r="C9" s="191">
        <f t="shared" si="4"/>
        <v>516.59611440504841</v>
      </c>
      <c r="D9">
        <f>Inputs!$B$13</f>
        <v>950</v>
      </c>
      <c r="E9" s="191">
        <f t="shared" si="0"/>
        <v>922135.26242774201</v>
      </c>
      <c r="F9" s="191">
        <f t="shared" si="1"/>
        <v>490766.30868479598</v>
      </c>
      <c r="G9" s="191">
        <f t="shared" si="2"/>
        <v>431368.95374294603</v>
      </c>
    </row>
    <row r="10" spans="1:7" x14ac:dyDescent="0.25">
      <c r="A10">
        <v>2020</v>
      </c>
      <c r="B10" s="192">
        <f t="shared" si="3"/>
        <v>1009.7866457932421</v>
      </c>
      <c r="C10" s="191">
        <f t="shared" si="4"/>
        <v>537.41493781557188</v>
      </c>
      <c r="D10">
        <f>Inputs!$B$13</f>
        <v>950</v>
      </c>
      <c r="E10" s="191">
        <f t="shared" si="0"/>
        <v>959297.31350357994</v>
      </c>
      <c r="F10" s="191">
        <f t="shared" si="1"/>
        <v>510544.19092479331</v>
      </c>
      <c r="G10" s="191">
        <f t="shared" si="2"/>
        <v>448753.12257878663</v>
      </c>
    </row>
    <row r="11" spans="1:7" x14ac:dyDescent="0.25">
      <c r="A11">
        <v>2021</v>
      </c>
      <c r="B11" s="192">
        <f t="shared" si="3"/>
        <v>1050.4810476187097</v>
      </c>
      <c r="C11" s="191">
        <f t="shared" si="4"/>
        <v>559.07275980953943</v>
      </c>
      <c r="D11">
        <f>Inputs!$B$13</f>
        <v>950</v>
      </c>
      <c r="E11" s="191">
        <f t="shared" si="0"/>
        <v>997956.99523777422</v>
      </c>
      <c r="F11" s="191">
        <f t="shared" si="1"/>
        <v>531119.12181906251</v>
      </c>
      <c r="G11" s="191">
        <f t="shared" si="2"/>
        <v>466837.87341871171</v>
      </c>
    </row>
    <row r="12" spans="1:7" x14ac:dyDescent="0.25">
      <c r="A12">
        <v>2022</v>
      </c>
      <c r="B12" s="192">
        <f t="shared" si="3"/>
        <v>1092.8154338377437</v>
      </c>
      <c r="C12" s="191">
        <f t="shared" si="4"/>
        <v>581.60339202986393</v>
      </c>
      <c r="D12">
        <f>Inputs!$B$13</f>
        <v>950</v>
      </c>
      <c r="E12" s="191">
        <f t="shared" si="0"/>
        <v>1038174.6621458565</v>
      </c>
      <c r="F12" s="191">
        <f t="shared" si="1"/>
        <v>552523.22242837073</v>
      </c>
      <c r="G12" s="191">
        <f t="shared" si="2"/>
        <v>485651.4397174858</v>
      </c>
    </row>
    <row r="13" spans="1:7" x14ac:dyDescent="0.25">
      <c r="A13">
        <v>2023</v>
      </c>
      <c r="B13" s="192">
        <f t="shared" si="3"/>
        <v>1136.8558958214048</v>
      </c>
      <c r="C13" s="191">
        <f t="shared" si="4"/>
        <v>605.04200872866738</v>
      </c>
      <c r="D13">
        <f>Inputs!$B$13</f>
        <v>950</v>
      </c>
      <c r="E13" s="191">
        <f t="shared" si="0"/>
        <v>1080013.1010303346</v>
      </c>
      <c r="F13" s="191">
        <f t="shared" si="1"/>
        <v>574789.90829223406</v>
      </c>
      <c r="G13" s="191">
        <f t="shared" si="2"/>
        <v>505223.19273810054</v>
      </c>
    </row>
    <row r="14" spans="1:7" x14ac:dyDescent="0.25">
      <c r="A14">
        <v>2024</v>
      </c>
      <c r="B14" s="192">
        <f t="shared" si="3"/>
        <v>1182.6711884230074</v>
      </c>
      <c r="C14" s="191">
        <f t="shared" si="4"/>
        <v>629.42520168043256</v>
      </c>
      <c r="D14">
        <f>Inputs!$B$13</f>
        <v>950</v>
      </c>
      <c r="E14" s="191">
        <f t="shared" si="0"/>
        <v>1123537.629001857</v>
      </c>
      <c r="F14" s="191">
        <f t="shared" si="1"/>
        <v>597953.94159641094</v>
      </c>
      <c r="G14" s="191">
        <f t="shared" si="2"/>
        <v>525583.68740544608</v>
      </c>
    </row>
    <row r="16" spans="1:7" x14ac:dyDescent="0.25">
      <c r="A16" s="261" t="s">
        <v>280</v>
      </c>
      <c r="B16" s="261"/>
    </row>
  </sheetData>
  <mergeCells count="3">
    <mergeCell ref="B3:C3"/>
    <mergeCell ref="E3:F3"/>
    <mergeCell ref="A16:B16"/>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K23"/>
  <sheetViews>
    <sheetView zoomScaleNormal="100" workbookViewId="0"/>
  </sheetViews>
  <sheetFormatPr defaultRowHeight="15" x14ac:dyDescent="0.25"/>
  <cols>
    <col min="1" max="1" width="45.375" customWidth="1"/>
    <col min="2" max="2" width="14.25" customWidth="1"/>
    <col min="3" max="3" width="15.625" customWidth="1"/>
    <col min="4" max="4" width="19.25" customWidth="1"/>
    <col min="5" max="5" width="12.25" customWidth="1"/>
    <col min="6" max="6" width="14.375" bestFit="1" customWidth="1"/>
    <col min="7" max="7" width="16.625" customWidth="1"/>
    <col min="10" max="10" width="17.25" customWidth="1"/>
  </cols>
  <sheetData>
    <row r="1" spans="1:11" x14ac:dyDescent="0.25">
      <c r="B1" s="259" t="s">
        <v>263</v>
      </c>
      <c r="C1" s="259"/>
      <c r="D1" s="259"/>
      <c r="E1" s="259" t="s">
        <v>266</v>
      </c>
      <c r="F1" s="259"/>
      <c r="G1" s="259"/>
    </row>
    <row r="2" spans="1:11" ht="32.25" customHeight="1" x14ac:dyDescent="0.25">
      <c r="A2" s="147" t="s">
        <v>261</v>
      </c>
      <c r="B2" s="215" t="s">
        <v>262</v>
      </c>
      <c r="C2" s="215" t="s">
        <v>253</v>
      </c>
      <c r="D2" s="220" t="s">
        <v>264</v>
      </c>
      <c r="E2" s="159" t="s">
        <v>262</v>
      </c>
      <c r="F2" s="159" t="s">
        <v>253</v>
      </c>
      <c r="G2" s="221" t="s">
        <v>267</v>
      </c>
    </row>
    <row r="3" spans="1:11" x14ac:dyDescent="0.25">
      <c r="A3" s="149">
        <v>0.75</v>
      </c>
      <c r="B3" s="191">
        <f>C3*A3</f>
        <v>6223.8871463419564</v>
      </c>
      <c r="C3" s="191">
        <f>'UO Premium'!$B$17</f>
        <v>8298.5161951226091</v>
      </c>
      <c r="D3" s="191">
        <f>B3-C3</f>
        <v>-2074.6290487806527</v>
      </c>
      <c r="E3" s="191">
        <f>F3*A3</f>
        <v>3312.3927095460558</v>
      </c>
      <c r="F3" s="191">
        <f>'UO Premium'!$C$17*(1+'Max premium (no safety)'!$B$7)</f>
        <v>4416.5236127280741</v>
      </c>
      <c r="G3" s="207">
        <f>E3-F3</f>
        <v>-1104.1309031820183</v>
      </c>
    </row>
    <row r="4" spans="1:11" x14ac:dyDescent="0.25">
      <c r="A4" s="149">
        <v>0.8</v>
      </c>
      <c r="B4" s="191">
        <f t="shared" ref="B4:B13" si="0">C4*A4</f>
        <v>6638.8129560980879</v>
      </c>
      <c r="C4" s="191">
        <f>'UO Premium'!$B$17</f>
        <v>8298.5161951226091</v>
      </c>
      <c r="D4" s="191">
        <f t="shared" ref="D4:D13" si="1">B4-C4</f>
        <v>-1659.7032390245213</v>
      </c>
      <c r="E4" s="191">
        <f t="shared" ref="E4:E13" si="2">F4*A4</f>
        <v>3533.2188901824593</v>
      </c>
      <c r="F4" s="191">
        <f>'UO Premium'!$C$17*(1+'Max premium (no safety)'!$B$7)</f>
        <v>4416.5236127280741</v>
      </c>
      <c r="G4" s="207">
        <f t="shared" ref="G4:G13" si="3">E4-F4</f>
        <v>-883.30472254561482</v>
      </c>
    </row>
    <row r="5" spans="1:11" x14ac:dyDescent="0.25">
      <c r="A5" s="149">
        <v>0.85</v>
      </c>
      <c r="B5" s="191">
        <f t="shared" si="0"/>
        <v>7053.7387658542175</v>
      </c>
      <c r="C5" s="191">
        <f>'UO Premium'!$B$17</f>
        <v>8298.5161951226091</v>
      </c>
      <c r="D5" s="191">
        <f t="shared" si="1"/>
        <v>-1244.7774292683916</v>
      </c>
      <c r="E5" s="191">
        <f t="shared" si="2"/>
        <v>3754.0450708188628</v>
      </c>
      <c r="F5" s="191">
        <f>'UO Premium'!$C$17*(1+'Max premium (no safety)'!$B$7)</f>
        <v>4416.5236127280741</v>
      </c>
      <c r="G5" s="207">
        <f t="shared" si="3"/>
        <v>-662.47854190921134</v>
      </c>
    </row>
    <row r="6" spans="1:11" x14ac:dyDescent="0.25">
      <c r="A6" s="149">
        <v>0.9</v>
      </c>
      <c r="B6" s="191">
        <f t="shared" si="0"/>
        <v>7468.664575610348</v>
      </c>
      <c r="C6" s="191">
        <f>'UO Premium'!$B$17</f>
        <v>8298.5161951226091</v>
      </c>
      <c r="D6" s="191">
        <f t="shared" si="1"/>
        <v>-829.8516195122611</v>
      </c>
      <c r="E6" s="191">
        <f t="shared" si="2"/>
        <v>3974.8712514552667</v>
      </c>
      <c r="F6" s="191">
        <f>'UO Premium'!$C$17*(1+'Max premium (no safety)'!$B$7)</f>
        <v>4416.5236127280741</v>
      </c>
      <c r="G6" s="207">
        <f t="shared" si="3"/>
        <v>-441.65236127280741</v>
      </c>
    </row>
    <row r="7" spans="1:11" x14ac:dyDescent="0.25">
      <c r="A7" s="149">
        <v>0.95</v>
      </c>
      <c r="B7" s="191">
        <f t="shared" si="0"/>
        <v>7883.5903853664786</v>
      </c>
      <c r="C7" s="191">
        <f>'UO Premium'!$B$17</f>
        <v>8298.5161951226091</v>
      </c>
      <c r="D7" s="191">
        <f t="shared" si="1"/>
        <v>-414.92580975613055</v>
      </c>
      <c r="E7" s="191">
        <f t="shared" si="2"/>
        <v>4195.6974320916706</v>
      </c>
      <c r="F7" s="191">
        <f>'UO Premium'!$C$17*(1+'Max premium (no safety)'!$B$7)</f>
        <v>4416.5236127280741</v>
      </c>
      <c r="G7" s="207">
        <f t="shared" si="3"/>
        <v>-220.82618063640348</v>
      </c>
      <c r="J7" s="189"/>
    </row>
    <row r="8" spans="1:11" x14ac:dyDescent="0.25">
      <c r="A8" s="149">
        <v>1</v>
      </c>
      <c r="B8" s="191">
        <f t="shared" si="0"/>
        <v>8298.5161951226091</v>
      </c>
      <c r="C8" s="191">
        <f>'UO Premium'!$B$17</f>
        <v>8298.5161951226091</v>
      </c>
      <c r="D8" s="191">
        <f t="shared" si="1"/>
        <v>0</v>
      </c>
      <c r="E8" s="191">
        <f t="shared" si="2"/>
        <v>4416.5236127280741</v>
      </c>
      <c r="F8" s="191">
        <f>'UO Premium'!$C$17*(1+'Max premium (no safety)'!$B$7)</f>
        <v>4416.5236127280741</v>
      </c>
      <c r="G8" s="207">
        <f t="shared" si="3"/>
        <v>0</v>
      </c>
      <c r="J8" s="189"/>
    </row>
    <row r="9" spans="1:11" x14ac:dyDescent="0.25">
      <c r="A9" s="149">
        <v>1.05</v>
      </c>
      <c r="B9" s="191">
        <f t="shared" si="0"/>
        <v>8713.4420048787397</v>
      </c>
      <c r="C9" s="191">
        <f>'UO Premium'!$B$17</f>
        <v>8298.5161951226091</v>
      </c>
      <c r="D9" s="191">
        <f t="shared" si="1"/>
        <v>414.92580975613055</v>
      </c>
      <c r="E9" s="191">
        <f t="shared" si="2"/>
        <v>4637.3497933644776</v>
      </c>
      <c r="F9" s="191">
        <f>'UO Premium'!$C$17*(1+'Max premium (no safety)'!$B$7)</f>
        <v>4416.5236127280741</v>
      </c>
      <c r="G9" s="207">
        <f t="shared" si="3"/>
        <v>220.82618063640348</v>
      </c>
    </row>
    <row r="10" spans="1:11" x14ac:dyDescent="0.25">
      <c r="A10" s="149">
        <v>1.1000000000000001</v>
      </c>
      <c r="B10" s="191">
        <f t="shared" si="0"/>
        <v>9128.3678146348702</v>
      </c>
      <c r="C10" s="191">
        <f>'UO Premium'!$B$17</f>
        <v>8298.5161951226091</v>
      </c>
      <c r="D10" s="191">
        <f t="shared" si="1"/>
        <v>829.8516195122611</v>
      </c>
      <c r="E10" s="191">
        <f t="shared" si="2"/>
        <v>4858.175974000882</v>
      </c>
      <c r="F10" s="191">
        <f>'UO Premium'!$C$17*(1+'Max premium (no safety)'!$B$7)</f>
        <v>4416.5236127280741</v>
      </c>
      <c r="G10" s="207">
        <f t="shared" si="3"/>
        <v>441.65236127280787</v>
      </c>
    </row>
    <row r="11" spans="1:11" x14ac:dyDescent="0.25">
      <c r="A11" s="149">
        <v>1.1499999999999999</v>
      </c>
      <c r="B11" s="191">
        <f t="shared" si="0"/>
        <v>9543.293624390999</v>
      </c>
      <c r="C11" s="191">
        <f>'UO Premium'!$B$17</f>
        <v>8298.5161951226091</v>
      </c>
      <c r="D11" s="191">
        <f t="shared" si="1"/>
        <v>1244.7774292683898</v>
      </c>
      <c r="E11" s="191">
        <f t="shared" si="2"/>
        <v>5079.0021546372845</v>
      </c>
      <c r="F11" s="191">
        <f>'UO Premium'!$C$17*(1+'Max premium (no safety)'!$B$7)</f>
        <v>4416.5236127280741</v>
      </c>
      <c r="G11" s="207">
        <f>E11-F11</f>
        <v>662.47854190921043</v>
      </c>
    </row>
    <row r="12" spans="1:11" x14ac:dyDescent="0.25">
      <c r="A12" s="149">
        <v>1.2</v>
      </c>
      <c r="B12" s="191">
        <f t="shared" si="0"/>
        <v>9958.2194341471313</v>
      </c>
      <c r="C12" s="191">
        <f>'UO Premium'!$B$17</f>
        <v>8298.5161951226091</v>
      </c>
      <c r="D12" s="191">
        <f t="shared" si="1"/>
        <v>1659.7032390245222</v>
      </c>
      <c r="E12" s="191">
        <f t="shared" si="2"/>
        <v>5299.8283352736889</v>
      </c>
      <c r="F12" s="191">
        <f>'UO Premium'!$C$17*(1+'Max premium (no safety)'!$B$7)</f>
        <v>4416.5236127280741</v>
      </c>
      <c r="G12" s="207">
        <f t="shared" si="3"/>
        <v>883.30472254561482</v>
      </c>
      <c r="I12" t="s">
        <v>292</v>
      </c>
      <c r="J12">
        <v>829</v>
      </c>
      <c r="K12">
        <v>829</v>
      </c>
    </row>
    <row r="13" spans="1:11" x14ac:dyDescent="0.25">
      <c r="A13" s="149">
        <v>1.25</v>
      </c>
      <c r="B13" s="191">
        <f t="shared" si="0"/>
        <v>10373.145243903262</v>
      </c>
      <c r="C13" s="191">
        <f>'UO Premium'!$B$17</f>
        <v>8298.5161951226091</v>
      </c>
      <c r="D13" s="191">
        <f t="shared" si="1"/>
        <v>2074.6290487806527</v>
      </c>
      <c r="E13" s="191">
        <f t="shared" si="2"/>
        <v>5520.6545159100924</v>
      </c>
      <c r="F13" s="191">
        <f>'UO Premium'!$C$17*(1+'Max premium (no safety)'!$B$7)</f>
        <v>4416.5236127280741</v>
      </c>
      <c r="G13" s="207">
        <f t="shared" si="3"/>
        <v>1104.1309031820183</v>
      </c>
      <c r="I13" t="s">
        <v>293</v>
      </c>
      <c r="J13">
        <v>340</v>
      </c>
      <c r="K13">
        <v>303</v>
      </c>
    </row>
    <row r="14" spans="1:11" ht="15" customHeight="1" x14ac:dyDescent="0.25">
      <c r="A14" s="262" t="s">
        <v>265</v>
      </c>
      <c r="B14" s="262"/>
      <c r="C14" s="262"/>
      <c r="D14" s="262"/>
      <c r="J14">
        <f>J13/J12</f>
        <v>0.41013268998793728</v>
      </c>
      <c r="K14">
        <f>K13/K12</f>
        <v>0.36550060313630883</v>
      </c>
    </row>
    <row r="15" spans="1:11" x14ac:dyDescent="0.25">
      <c r="A15" s="217"/>
      <c r="B15" s="217"/>
      <c r="C15" s="217"/>
      <c r="D15" s="217"/>
      <c r="J15" s="237">
        <v>0.1</v>
      </c>
      <c r="K15">
        <f>1-K14</f>
        <v>0.63449939686369117</v>
      </c>
    </row>
    <row r="16" spans="1:11" x14ac:dyDescent="0.25">
      <c r="J16" s="149">
        <f>1-J15</f>
        <v>0.9</v>
      </c>
    </row>
    <row r="17" spans="1:10" x14ac:dyDescent="0.25">
      <c r="A17" s="147" t="s">
        <v>268</v>
      </c>
      <c r="J17">
        <f>J16*J12</f>
        <v>746.1</v>
      </c>
    </row>
    <row r="18" spans="1:10" x14ac:dyDescent="0.25">
      <c r="A18" s="3" t="s">
        <v>276</v>
      </c>
      <c r="B18" s="207">
        <f>'UO Premium'!B19</f>
        <v>828.77497787218454</v>
      </c>
      <c r="C18" s="191"/>
    </row>
    <row r="19" spans="1:10" x14ac:dyDescent="0.25">
      <c r="A19" s="3" t="s">
        <v>277</v>
      </c>
      <c r="B19" s="207">
        <f>'UO Premium'!C19</f>
        <v>303.33164190121954</v>
      </c>
    </row>
    <row r="21" spans="1:10" ht="45" x14ac:dyDescent="0.25">
      <c r="A21" s="3" t="s">
        <v>278</v>
      </c>
    </row>
    <row r="23" spans="1:10" ht="63.75" customHeight="1" x14ac:dyDescent="0.25">
      <c r="A23" s="3" t="s">
        <v>279</v>
      </c>
    </row>
  </sheetData>
  <mergeCells count="3">
    <mergeCell ref="B1:D1"/>
    <mergeCell ref="A14:D14"/>
    <mergeCell ref="E1:G1"/>
  </mergeCells>
  <pageMargins left="0.7" right="0.7" top="0.75" bottom="0.75" header="0.3" footer="0.3"/>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6"/>
  <sheetViews>
    <sheetView workbookViewId="0"/>
  </sheetViews>
  <sheetFormatPr defaultColWidth="8.875" defaultRowHeight="15" x14ac:dyDescent="0.25"/>
  <cols>
    <col min="1" max="1" width="24.75" customWidth="1"/>
    <col min="2" max="2" width="16.75" customWidth="1"/>
    <col min="3" max="3" width="23.125" customWidth="1"/>
    <col min="4" max="4" width="37.625" customWidth="1"/>
    <col min="5" max="6" width="15" bestFit="1" customWidth="1"/>
    <col min="8" max="8" width="12.625" bestFit="1" customWidth="1"/>
  </cols>
  <sheetData>
    <row r="1" spans="1:8" x14ac:dyDescent="0.25">
      <c r="A1" s="159" t="s">
        <v>230</v>
      </c>
      <c r="B1">
        <f>YEAR(EffDate)</f>
        <v>2015</v>
      </c>
    </row>
    <row r="2" spans="1:8" x14ac:dyDescent="0.25">
      <c r="A2" s="159" t="s">
        <v>225</v>
      </c>
      <c r="B2">
        <f>Inputs!$B$13</f>
        <v>950</v>
      </c>
    </row>
    <row r="3" spans="1:8" x14ac:dyDescent="0.25">
      <c r="A3" s="159" t="s">
        <v>226</v>
      </c>
      <c r="B3" s="189">
        <f>'0. Adjust losses for new book'!C28</f>
        <v>3850</v>
      </c>
    </row>
    <row r="4" spans="1:8" x14ac:dyDescent="0.25">
      <c r="A4" s="159" t="s">
        <v>227</v>
      </c>
      <c r="B4" s="189">
        <f>'0. Adjust losses for new book'!C29</f>
        <v>100</v>
      </c>
    </row>
    <row r="5" spans="1:8" ht="15.75" thickBot="1" x14ac:dyDescent="0.3">
      <c r="A5" s="159" t="s">
        <v>228</v>
      </c>
      <c r="B5" s="189">
        <f>'0. Adjust losses for new book'!C30</f>
        <v>300</v>
      </c>
    </row>
    <row r="6" spans="1:8" ht="30.75" thickBot="1" x14ac:dyDescent="0.3">
      <c r="A6" s="159" t="s">
        <v>274</v>
      </c>
      <c r="B6" s="227">
        <v>441.07936567768661</v>
      </c>
      <c r="C6" s="223" t="s">
        <v>270</v>
      </c>
      <c r="D6" s="3" t="s">
        <v>287</v>
      </c>
      <c r="H6" s="189"/>
    </row>
    <row r="7" spans="1:8" ht="15" customHeight="1" x14ac:dyDescent="0.25">
      <c r="A7" s="224" t="s">
        <v>269</v>
      </c>
      <c r="B7" s="186">
        <f>B6/'UO Premium'!C19 - 1</f>
        <v>0.45411590730559137</v>
      </c>
      <c r="C7" s="223"/>
      <c r="D7" s="3"/>
    </row>
    <row r="9" spans="1:8" x14ac:dyDescent="0.25">
      <c r="A9" s="159" t="s">
        <v>27</v>
      </c>
      <c r="B9" s="159" t="s">
        <v>165</v>
      </c>
      <c r="C9" s="159" t="s">
        <v>166</v>
      </c>
      <c r="D9" s="159" t="s">
        <v>196</v>
      </c>
      <c r="E9" s="159" t="s">
        <v>167</v>
      </c>
      <c r="F9" s="159" t="s">
        <v>229</v>
      </c>
    </row>
    <row r="10" spans="1:8" x14ac:dyDescent="0.25">
      <c r="A10">
        <v>2015</v>
      </c>
      <c r="B10" s="49">
        <f>'Projected (Premium) Cost'!G5</f>
        <v>368310.83158477303</v>
      </c>
      <c r="C10" s="189">
        <f>B3*B2</f>
        <v>3657500</v>
      </c>
      <c r="D10" s="189">
        <f>B5*B2</f>
        <v>285000</v>
      </c>
      <c r="E10" s="191">
        <f>B10-C10-D10</f>
        <v>-3574189.168415227</v>
      </c>
      <c r="F10" s="191">
        <f>E10*(1+$B$22)^(-(A10-$B$1))</f>
        <v>-3574189.168415227</v>
      </c>
    </row>
    <row r="11" spans="1:8" x14ac:dyDescent="0.25">
      <c r="A11">
        <v>2016</v>
      </c>
      <c r="B11" s="49">
        <f>'Projected (Premium) Cost'!G6</f>
        <v>383153.75809763937</v>
      </c>
      <c r="C11" s="189">
        <f>$B$4*$B$2</f>
        <v>95000</v>
      </c>
      <c r="D11" s="190">
        <f>0</f>
        <v>0</v>
      </c>
      <c r="E11" s="191">
        <f t="shared" ref="E11:E19" si="0">B11-C11-D11</f>
        <v>288153.75809763937</v>
      </c>
      <c r="F11" s="191">
        <f t="shared" ref="F11:F19" si="1">E11*(1+$B$22)^(-(A11-$B$1))+F10</f>
        <v>-3286035.4103175877</v>
      </c>
    </row>
    <row r="12" spans="1:8" x14ac:dyDescent="0.25">
      <c r="A12">
        <v>2017</v>
      </c>
      <c r="B12" s="49">
        <f>'Projected (Premium) Cost'!G7</f>
        <v>398594.85454897431</v>
      </c>
      <c r="C12" s="189">
        <f t="shared" ref="C12:C19" si="2">$B$4*$B$2</f>
        <v>95000</v>
      </c>
      <c r="D12" s="190">
        <f>0</f>
        <v>0</v>
      </c>
      <c r="E12" s="191">
        <f t="shared" si="0"/>
        <v>303594.85454897431</v>
      </c>
      <c r="F12" s="191">
        <f t="shared" si="1"/>
        <v>-2982440.5557686132</v>
      </c>
      <c r="H12" s="149"/>
    </row>
    <row r="13" spans="1:8" x14ac:dyDescent="0.25">
      <c r="A13">
        <v>2018</v>
      </c>
      <c r="B13" s="49">
        <f>'Projected (Premium) Cost'!G8</f>
        <v>414658.22718729795</v>
      </c>
      <c r="C13" s="189">
        <f t="shared" si="2"/>
        <v>95000</v>
      </c>
      <c r="D13" s="190">
        <f>0</f>
        <v>0</v>
      </c>
      <c r="E13" s="191">
        <f t="shared" si="0"/>
        <v>319658.22718729795</v>
      </c>
      <c r="F13" s="191">
        <f t="shared" si="1"/>
        <v>-2662782.3285813155</v>
      </c>
    </row>
    <row r="14" spans="1:8" x14ac:dyDescent="0.25">
      <c r="A14">
        <v>2019</v>
      </c>
      <c r="B14" s="49">
        <f>'Projected (Premium) Cost'!G9</f>
        <v>431368.95374294603</v>
      </c>
      <c r="C14" s="189">
        <f t="shared" si="2"/>
        <v>95000</v>
      </c>
      <c r="D14" s="190">
        <f>0</f>
        <v>0</v>
      </c>
      <c r="E14" s="191">
        <f t="shared" si="0"/>
        <v>336368.95374294603</v>
      </c>
      <c r="F14" s="191">
        <f t="shared" si="1"/>
        <v>-2326413.3748383694</v>
      </c>
    </row>
    <row r="15" spans="1:8" x14ac:dyDescent="0.25">
      <c r="A15">
        <v>2020</v>
      </c>
      <c r="B15" s="49">
        <f>'Projected (Premium) Cost'!G10</f>
        <v>448753.12257878663</v>
      </c>
      <c r="C15" s="189">
        <f t="shared" si="2"/>
        <v>95000</v>
      </c>
      <c r="D15" s="190">
        <f>0</f>
        <v>0</v>
      </c>
      <c r="E15" s="191">
        <f t="shared" si="0"/>
        <v>353753.12257878663</v>
      </c>
      <c r="F15" s="191">
        <f t="shared" si="1"/>
        <v>-1972660.2522595827</v>
      </c>
    </row>
    <row r="16" spans="1:8" x14ac:dyDescent="0.25">
      <c r="A16">
        <v>2021</v>
      </c>
      <c r="B16" s="49">
        <f>'Projected (Premium) Cost'!G11</f>
        <v>466837.87341871171</v>
      </c>
      <c r="C16" s="189">
        <f t="shared" si="2"/>
        <v>95000</v>
      </c>
      <c r="D16" s="190">
        <f>0</f>
        <v>0</v>
      </c>
      <c r="E16" s="191">
        <f t="shared" si="0"/>
        <v>371837.87341871171</v>
      </c>
      <c r="F16" s="191">
        <f t="shared" si="1"/>
        <v>-1600822.3788408712</v>
      </c>
    </row>
    <row r="17" spans="1:6" x14ac:dyDescent="0.25">
      <c r="A17">
        <v>2022</v>
      </c>
      <c r="B17" s="49">
        <f>'Projected (Premium) Cost'!G12</f>
        <v>485651.4397174858</v>
      </c>
      <c r="C17" s="189">
        <f t="shared" si="2"/>
        <v>95000</v>
      </c>
      <c r="D17" s="190">
        <f>0</f>
        <v>0</v>
      </c>
      <c r="E17" s="191">
        <f t="shared" si="0"/>
        <v>390651.4397174858</v>
      </c>
      <c r="F17" s="191">
        <f t="shared" si="1"/>
        <v>-1210170.9391233854</v>
      </c>
    </row>
    <row r="18" spans="1:6" x14ac:dyDescent="0.25">
      <c r="A18">
        <v>2023</v>
      </c>
      <c r="B18" s="49">
        <f>'Projected (Premium) Cost'!G13</f>
        <v>505223.19273810054</v>
      </c>
      <c r="C18" s="189">
        <f t="shared" si="2"/>
        <v>95000</v>
      </c>
      <c r="D18" s="190">
        <f>0</f>
        <v>0</v>
      </c>
      <c r="E18" s="191">
        <f t="shared" si="0"/>
        <v>410223.19273810054</v>
      </c>
      <c r="F18" s="191">
        <f t="shared" si="1"/>
        <v>-799947.74638528482</v>
      </c>
    </row>
    <row r="19" spans="1:6" ht="15.75" thickBot="1" x14ac:dyDescent="0.3">
      <c r="A19">
        <v>2024</v>
      </c>
      <c r="B19" s="49">
        <f>'Projected (Premium) Cost'!G14</f>
        <v>525583.68740544608</v>
      </c>
      <c r="C19" s="189">
        <f t="shared" si="2"/>
        <v>95000</v>
      </c>
      <c r="D19" s="190">
        <f>0</f>
        <v>0</v>
      </c>
      <c r="E19" s="191">
        <f t="shared" si="0"/>
        <v>430583.68740544608</v>
      </c>
      <c r="F19" s="191">
        <f t="shared" si="1"/>
        <v>-369364.05897983874</v>
      </c>
    </row>
    <row r="20" spans="1:6" ht="15.75" thickBot="1" x14ac:dyDescent="0.3">
      <c r="C20" s="153" t="s">
        <v>231</v>
      </c>
      <c r="D20" s="147"/>
      <c r="E20" s="194">
        <f>IRR(E10:E19)</f>
        <v>-2.000000049053785E-2</v>
      </c>
    </row>
    <row r="21" spans="1:6" x14ac:dyDescent="0.25">
      <c r="C21" s="147"/>
      <c r="D21" s="147"/>
      <c r="E21" s="149"/>
    </row>
    <row r="22" spans="1:6" x14ac:dyDescent="0.25">
      <c r="D22" s="147"/>
      <c r="E22" s="149"/>
    </row>
    <row r="24" spans="1:6" x14ac:dyDescent="0.25">
      <c r="E24" s="206"/>
    </row>
    <row r="26" spans="1:6" x14ac:dyDescent="0.25">
      <c r="E26" s="206"/>
    </row>
  </sheetData>
  <pageMargins left="0.7" right="0.7" top="0.75" bottom="0.75" header="0.3" footer="0.3"/>
  <pageSetup orientation="portrait"/>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52"/>
  <sheetViews>
    <sheetView workbookViewId="0"/>
  </sheetViews>
  <sheetFormatPr defaultRowHeight="15" x14ac:dyDescent="0.25"/>
  <cols>
    <col min="2" max="2" width="20.625" bestFit="1" customWidth="1"/>
    <col min="3" max="3" width="17.625" customWidth="1"/>
  </cols>
  <sheetData>
    <row r="1" spans="1:4" ht="15.75" thickBot="1" x14ac:dyDescent="0.3">
      <c r="A1" t="s">
        <v>249</v>
      </c>
      <c r="B1" t="s">
        <v>286</v>
      </c>
    </row>
    <row r="2" spans="1:4" ht="15.75" thickBot="1" x14ac:dyDescent="0.3">
      <c r="A2" s="227">
        <v>441.07936567768661</v>
      </c>
      <c r="B2" s="149">
        <v>-0.02</v>
      </c>
    </row>
    <row r="3" spans="1:4" ht="15.75" thickBot="1" x14ac:dyDescent="0.3">
      <c r="A3" s="227">
        <v>425.09075521710486</v>
      </c>
      <c r="B3" s="186">
        <v>-0.01</v>
      </c>
    </row>
    <row r="4" spans="1:4" ht="15.75" thickBot="1" x14ac:dyDescent="0.3">
      <c r="A4" s="227">
        <v>408.74050299685922</v>
      </c>
      <c r="B4" s="186">
        <v>0</v>
      </c>
    </row>
    <row r="5" spans="1:4" ht="15.75" thickBot="1" x14ac:dyDescent="0.3">
      <c r="A5" s="227">
        <v>392.04656417847099</v>
      </c>
      <c r="B5" s="186">
        <v>0.01</v>
      </c>
    </row>
    <row r="6" spans="1:4" ht="15.75" thickBot="1" x14ac:dyDescent="0.3">
      <c r="A6" s="227">
        <v>375.02368529486995</v>
      </c>
      <c r="B6" s="186">
        <v>0.02</v>
      </c>
      <c r="D6" s="189"/>
    </row>
    <row r="7" spans="1:4" ht="15.75" thickBot="1" x14ac:dyDescent="0.3">
      <c r="A7" s="227">
        <v>357.68812203712031</v>
      </c>
      <c r="B7" s="186">
        <f>B6+0.01</f>
        <v>0.03</v>
      </c>
      <c r="D7" s="189"/>
    </row>
    <row r="8" spans="1:4" ht="15.75" thickBot="1" x14ac:dyDescent="0.3">
      <c r="A8" s="235">
        <v>340.05651548088701</v>
      </c>
      <c r="B8" s="236">
        <f t="shared" ref="B8:B13" si="0">B7+0.01</f>
        <v>0.04</v>
      </c>
      <c r="D8" s="189"/>
    </row>
    <row r="9" spans="1:4" ht="15.75" thickBot="1" x14ac:dyDescent="0.3">
      <c r="A9" s="227">
        <v>322.14601774630347</v>
      </c>
      <c r="B9" s="186">
        <f t="shared" si="0"/>
        <v>0.05</v>
      </c>
      <c r="D9" s="189"/>
    </row>
    <row r="10" spans="1:4" ht="15.75" thickBot="1" x14ac:dyDescent="0.3">
      <c r="A10" s="227">
        <v>303.97370860039518</v>
      </c>
      <c r="B10" s="186">
        <f t="shared" si="0"/>
        <v>6.0000000000000005E-2</v>
      </c>
      <c r="D10" s="189"/>
    </row>
    <row r="11" spans="1:4" ht="15.75" thickBot="1" x14ac:dyDescent="0.3">
      <c r="A11" s="227">
        <v>285.55749429376726</v>
      </c>
      <c r="B11" s="186">
        <f t="shared" si="0"/>
        <v>7.0000000000000007E-2</v>
      </c>
      <c r="D11" s="189"/>
    </row>
    <row r="12" spans="1:4" ht="15.75" thickBot="1" x14ac:dyDescent="0.3">
      <c r="A12" s="227">
        <v>266.91454692636273</v>
      </c>
      <c r="B12" s="186">
        <f t="shared" si="0"/>
        <v>0.08</v>
      </c>
      <c r="D12" s="189"/>
    </row>
    <row r="13" spans="1:4" ht="15.75" thickBot="1" x14ac:dyDescent="0.3">
      <c r="A13" s="227">
        <v>248.0626562303035</v>
      </c>
      <c r="B13" s="186">
        <f t="shared" si="0"/>
        <v>0.09</v>
      </c>
    </row>
    <row r="14" spans="1:4" ht="15.75" thickBot="1" x14ac:dyDescent="0.3">
      <c r="A14" s="227">
        <v>229.019031563374</v>
      </c>
      <c r="B14" s="186">
        <f>B13+0.01</f>
        <v>9.9999999999999992E-2</v>
      </c>
    </row>
    <row r="15" spans="1:4" ht="15.75" thickBot="1" x14ac:dyDescent="0.3">
      <c r="A15" s="230">
        <f>'Premium Summary'!B$19</f>
        <v>303.33164190121954</v>
      </c>
      <c r="B15" s="149">
        <v>-0.05</v>
      </c>
    </row>
    <row r="16" spans="1:4" ht="15.75" thickBot="1" x14ac:dyDescent="0.3">
      <c r="A16" s="230">
        <f>'Premium Summary'!B$19</f>
        <v>303.33164190121954</v>
      </c>
      <c r="B16" s="186">
        <f>B15+1%</f>
        <v>-0.04</v>
      </c>
    </row>
    <row r="17" spans="1:2" ht="15.75" thickBot="1" x14ac:dyDescent="0.3">
      <c r="A17" s="230">
        <f>'Premium Summary'!B$19</f>
        <v>303.33164190121954</v>
      </c>
      <c r="B17" s="186">
        <f t="shared" ref="B17:B33" si="1">B16+1%</f>
        <v>-0.03</v>
      </c>
    </row>
    <row r="18" spans="1:2" ht="15.75" thickBot="1" x14ac:dyDescent="0.3">
      <c r="A18" s="230">
        <f>'Premium Summary'!B$19</f>
        <v>303.33164190121954</v>
      </c>
      <c r="B18" s="186">
        <f t="shared" si="1"/>
        <v>-1.9999999999999997E-2</v>
      </c>
    </row>
    <row r="19" spans="1:2" ht="15.75" thickBot="1" x14ac:dyDescent="0.3">
      <c r="A19" s="230">
        <f>'Premium Summary'!B$19</f>
        <v>303.33164190121954</v>
      </c>
      <c r="B19" s="186">
        <f t="shared" si="1"/>
        <v>-9.9999999999999967E-3</v>
      </c>
    </row>
    <row r="20" spans="1:2" ht="15.75" thickBot="1" x14ac:dyDescent="0.3">
      <c r="A20" s="230">
        <f>'Premium Summary'!B$19</f>
        <v>303.33164190121954</v>
      </c>
      <c r="B20" s="186">
        <f t="shared" si="1"/>
        <v>0</v>
      </c>
    </row>
    <row r="21" spans="1:2" ht="15.75" thickBot="1" x14ac:dyDescent="0.3">
      <c r="A21" s="230">
        <f>'Premium Summary'!B$19</f>
        <v>303.33164190121954</v>
      </c>
      <c r="B21" s="186">
        <f t="shared" si="1"/>
        <v>0.01</v>
      </c>
    </row>
    <row r="22" spans="1:2" ht="15.75" thickBot="1" x14ac:dyDescent="0.3">
      <c r="A22" s="230">
        <f>'Premium Summary'!B$19</f>
        <v>303.33164190121954</v>
      </c>
      <c r="B22" s="186">
        <f t="shared" si="1"/>
        <v>0.02</v>
      </c>
    </row>
    <row r="23" spans="1:2" ht="15.75" thickBot="1" x14ac:dyDescent="0.3">
      <c r="A23" s="230">
        <f>'Premium Summary'!B$19</f>
        <v>303.33164190121954</v>
      </c>
      <c r="B23" s="186">
        <f t="shared" si="1"/>
        <v>0.03</v>
      </c>
    </row>
    <row r="24" spans="1:2" ht="15.75" thickBot="1" x14ac:dyDescent="0.3">
      <c r="A24" s="230">
        <f>'Premium Summary'!B$19</f>
        <v>303.33164190121954</v>
      </c>
      <c r="B24" s="186">
        <f t="shared" si="1"/>
        <v>0.04</v>
      </c>
    </row>
    <row r="25" spans="1:2" ht="15.75" thickBot="1" x14ac:dyDescent="0.3">
      <c r="A25" s="230">
        <f>'Premium Summary'!B$19</f>
        <v>303.33164190121954</v>
      </c>
      <c r="B25" s="186">
        <f t="shared" si="1"/>
        <v>0.05</v>
      </c>
    </row>
    <row r="26" spans="1:2" ht="15.75" thickBot="1" x14ac:dyDescent="0.3">
      <c r="A26" s="230">
        <f>'Premium Summary'!B$19</f>
        <v>303.33164190121954</v>
      </c>
      <c r="B26" s="186">
        <f t="shared" si="1"/>
        <v>6.0000000000000005E-2</v>
      </c>
    </row>
    <row r="27" spans="1:2" ht="15.75" thickBot="1" x14ac:dyDescent="0.3">
      <c r="A27" s="230">
        <f>'Premium Summary'!B$19</f>
        <v>303.33164190121954</v>
      </c>
      <c r="B27" s="186">
        <f t="shared" si="1"/>
        <v>7.0000000000000007E-2</v>
      </c>
    </row>
    <row r="28" spans="1:2" ht="15.75" thickBot="1" x14ac:dyDescent="0.3">
      <c r="A28" s="230">
        <f>'Premium Summary'!B$19</f>
        <v>303.33164190121954</v>
      </c>
      <c r="B28" s="186">
        <f t="shared" si="1"/>
        <v>0.08</v>
      </c>
    </row>
    <row r="29" spans="1:2" ht="15.75" thickBot="1" x14ac:dyDescent="0.3">
      <c r="A29" s="230">
        <f>'Premium Summary'!B$19</f>
        <v>303.33164190121954</v>
      </c>
      <c r="B29" s="186">
        <f t="shared" si="1"/>
        <v>0.09</v>
      </c>
    </row>
    <row r="30" spans="1:2" ht="15.75" thickBot="1" x14ac:dyDescent="0.3">
      <c r="A30" s="230">
        <f>'Premium Summary'!B$19</f>
        <v>303.33164190121954</v>
      </c>
      <c r="B30" s="186">
        <f t="shared" si="1"/>
        <v>9.9999999999999992E-2</v>
      </c>
    </row>
    <row r="31" spans="1:2" ht="15.75" thickBot="1" x14ac:dyDescent="0.3">
      <c r="A31" s="230">
        <f>'Premium Summary'!B$19</f>
        <v>303.33164190121954</v>
      </c>
      <c r="B31" s="186">
        <f t="shared" si="1"/>
        <v>0.10999999999999999</v>
      </c>
    </row>
    <row r="32" spans="1:2" ht="15.75" thickBot="1" x14ac:dyDescent="0.3">
      <c r="A32" s="230">
        <f>'Premium Summary'!B$19</f>
        <v>303.33164190121954</v>
      </c>
      <c r="B32" s="186">
        <f t="shared" si="1"/>
        <v>0.11999999999999998</v>
      </c>
    </row>
    <row r="33" spans="1:2" ht="15.75" thickBot="1" x14ac:dyDescent="0.3">
      <c r="A33" s="230">
        <f>'Premium Summary'!B$19</f>
        <v>303.33164190121954</v>
      </c>
      <c r="B33" s="186">
        <f t="shared" si="1"/>
        <v>0.12999999999999998</v>
      </c>
    </row>
    <row r="34" spans="1:2" ht="15.75" thickBot="1" x14ac:dyDescent="0.3">
      <c r="A34" s="232">
        <v>340.05651548088701</v>
      </c>
      <c r="B34" s="149">
        <v>-0.05</v>
      </c>
    </row>
    <row r="35" spans="1:2" ht="15.75" thickBot="1" x14ac:dyDescent="0.3">
      <c r="A35" s="232">
        <v>340.05651548088701</v>
      </c>
      <c r="B35" s="186">
        <f>B34+1%</f>
        <v>-0.04</v>
      </c>
    </row>
    <row r="36" spans="1:2" ht="15.75" thickBot="1" x14ac:dyDescent="0.3">
      <c r="A36" s="232">
        <v>340.05651548088701</v>
      </c>
      <c r="B36" s="186">
        <f t="shared" ref="B36:B52" si="2">B35+1%</f>
        <v>-0.03</v>
      </c>
    </row>
    <row r="37" spans="1:2" ht="15.75" thickBot="1" x14ac:dyDescent="0.3">
      <c r="A37" s="232">
        <v>340.05651548088701</v>
      </c>
      <c r="B37" s="186">
        <f t="shared" si="2"/>
        <v>-1.9999999999999997E-2</v>
      </c>
    </row>
    <row r="38" spans="1:2" ht="15.75" thickBot="1" x14ac:dyDescent="0.3">
      <c r="A38" s="232">
        <v>340.05651548088701</v>
      </c>
      <c r="B38" s="186">
        <f t="shared" si="2"/>
        <v>-9.9999999999999967E-3</v>
      </c>
    </row>
    <row r="39" spans="1:2" ht="15.75" thickBot="1" x14ac:dyDescent="0.3">
      <c r="A39" s="232">
        <v>340.05651548088701</v>
      </c>
      <c r="B39" s="186">
        <f t="shared" si="2"/>
        <v>0</v>
      </c>
    </row>
    <row r="40" spans="1:2" ht="15.75" thickBot="1" x14ac:dyDescent="0.3">
      <c r="A40" s="232">
        <v>340.05651548088701</v>
      </c>
      <c r="B40" s="186">
        <f t="shared" si="2"/>
        <v>0.01</v>
      </c>
    </row>
    <row r="41" spans="1:2" ht="15.75" thickBot="1" x14ac:dyDescent="0.3">
      <c r="A41" s="232">
        <v>340.05651548088701</v>
      </c>
      <c r="B41" s="186">
        <f t="shared" si="2"/>
        <v>0.02</v>
      </c>
    </row>
    <row r="42" spans="1:2" ht="15.75" thickBot="1" x14ac:dyDescent="0.3">
      <c r="A42" s="232">
        <v>340.05651548088701</v>
      </c>
      <c r="B42" s="186">
        <f t="shared" si="2"/>
        <v>0.03</v>
      </c>
    </row>
    <row r="43" spans="1:2" ht="15.75" thickBot="1" x14ac:dyDescent="0.3">
      <c r="A43" s="232">
        <v>340.05651548088701</v>
      </c>
      <c r="B43" s="186">
        <f t="shared" si="2"/>
        <v>0.04</v>
      </c>
    </row>
    <row r="44" spans="1:2" ht="15.75" thickBot="1" x14ac:dyDescent="0.3">
      <c r="A44" s="232">
        <v>340.05651548088701</v>
      </c>
      <c r="B44" s="186">
        <f t="shared" si="2"/>
        <v>0.05</v>
      </c>
    </row>
    <row r="45" spans="1:2" ht="15.75" thickBot="1" x14ac:dyDescent="0.3">
      <c r="A45" s="232">
        <v>340.05651548088701</v>
      </c>
      <c r="B45" s="186">
        <f t="shared" si="2"/>
        <v>6.0000000000000005E-2</v>
      </c>
    </row>
    <row r="46" spans="1:2" ht="15.75" thickBot="1" x14ac:dyDescent="0.3">
      <c r="A46" s="232">
        <v>340.05651548088701</v>
      </c>
      <c r="B46" s="186">
        <f t="shared" si="2"/>
        <v>7.0000000000000007E-2</v>
      </c>
    </row>
    <row r="47" spans="1:2" ht="15.75" thickBot="1" x14ac:dyDescent="0.3">
      <c r="A47" s="232">
        <v>340.05651548088701</v>
      </c>
      <c r="B47" s="186">
        <f t="shared" si="2"/>
        <v>0.08</v>
      </c>
    </row>
    <row r="48" spans="1:2" ht="15.75" thickBot="1" x14ac:dyDescent="0.3">
      <c r="A48" s="232">
        <v>340.05651548088701</v>
      </c>
      <c r="B48" s="186">
        <f t="shared" si="2"/>
        <v>0.09</v>
      </c>
    </row>
    <row r="49" spans="1:2" ht="15.75" thickBot="1" x14ac:dyDescent="0.3">
      <c r="A49" s="232">
        <v>340.05651548088701</v>
      </c>
      <c r="B49" s="186">
        <f t="shared" si="2"/>
        <v>9.9999999999999992E-2</v>
      </c>
    </row>
    <row r="50" spans="1:2" ht="15.75" thickBot="1" x14ac:dyDescent="0.3">
      <c r="A50" s="232">
        <v>340.05651548088701</v>
      </c>
      <c r="B50" s="186">
        <f t="shared" si="2"/>
        <v>0.10999999999999999</v>
      </c>
    </row>
    <row r="51" spans="1:2" ht="15.75" thickBot="1" x14ac:dyDescent="0.3">
      <c r="A51" s="232">
        <v>340.05651548088701</v>
      </c>
      <c r="B51" s="186">
        <f t="shared" si="2"/>
        <v>0.11999999999999998</v>
      </c>
    </row>
    <row r="52" spans="1:2" ht="15.75" thickBot="1" x14ac:dyDescent="0.3">
      <c r="A52" s="232">
        <v>340.05651548088701</v>
      </c>
      <c r="B52" s="186">
        <f t="shared" si="2"/>
        <v>0.12999999999999998</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E14"/>
  <sheetViews>
    <sheetView workbookViewId="0"/>
  </sheetViews>
  <sheetFormatPr defaultRowHeight="15" x14ac:dyDescent="0.25"/>
  <cols>
    <col min="1" max="1" width="13" customWidth="1"/>
    <col min="2" max="2" width="12.625" bestFit="1" customWidth="1"/>
    <col min="4" max="4" width="31.125" customWidth="1"/>
    <col min="5" max="5" width="55.375" bestFit="1" customWidth="1"/>
  </cols>
  <sheetData>
    <row r="1" spans="1:5" x14ac:dyDescent="0.25">
      <c r="A1" t="s">
        <v>284</v>
      </c>
    </row>
    <row r="2" spans="1:5" x14ac:dyDescent="0.25">
      <c r="A2" t="s">
        <v>283</v>
      </c>
      <c r="B2">
        <f>'Premium Summary'!B18*950</f>
        <v>787336.22897857532</v>
      </c>
    </row>
    <row r="5" spans="1:5" x14ac:dyDescent="0.25">
      <c r="A5" t="s">
        <v>266</v>
      </c>
      <c r="B5">
        <f>'Premium Summary'!B19*950</f>
        <v>288165.05980615859</v>
      </c>
      <c r="E5" s="238"/>
    </row>
    <row r="6" spans="1:5" x14ac:dyDescent="0.25">
      <c r="E6" s="239"/>
    </row>
    <row r="7" spans="1:5" x14ac:dyDescent="0.25">
      <c r="A7" t="s">
        <v>285</v>
      </c>
    </row>
    <row r="8" spans="1:5" x14ac:dyDescent="0.25">
      <c r="A8" t="s">
        <v>283</v>
      </c>
      <c r="B8" s="189">
        <f>'Max premium (no safety)'!B6*950</f>
        <v>419025.3973938023</v>
      </c>
      <c r="D8" s="259" t="s">
        <v>299</v>
      </c>
      <c r="E8" t="s">
        <v>298</v>
      </c>
    </row>
    <row r="9" spans="1:5" x14ac:dyDescent="0.25">
      <c r="D9" s="259"/>
      <c r="E9" t="s">
        <v>297</v>
      </c>
    </row>
    <row r="10" spans="1:5" ht="32.25" customHeight="1" x14ac:dyDescent="0.25">
      <c r="D10" t="s">
        <v>294</v>
      </c>
      <c r="E10" s="238">
        <v>0.59</v>
      </c>
    </row>
    <row r="11" spans="1:5" ht="30" x14ac:dyDescent="0.25">
      <c r="D11" s="259" t="s">
        <v>300</v>
      </c>
      <c r="E11" s="240" t="s">
        <v>301</v>
      </c>
    </row>
    <row r="12" spans="1:5" x14ac:dyDescent="0.25">
      <c r="D12" s="259"/>
      <c r="E12" s="239" t="s">
        <v>302</v>
      </c>
    </row>
    <row r="13" spans="1:5" x14ac:dyDescent="0.25">
      <c r="D13" s="259" t="s">
        <v>284</v>
      </c>
      <c r="E13" t="s">
        <v>296</v>
      </c>
    </row>
    <row r="14" spans="1:5" x14ac:dyDescent="0.25">
      <c r="D14" s="259"/>
      <c r="E14" t="s">
        <v>295</v>
      </c>
    </row>
  </sheetData>
  <mergeCells count="3">
    <mergeCell ref="D11:D12"/>
    <mergeCell ref="D13:D14"/>
    <mergeCell ref="D8: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9</vt:i4>
      </vt:variant>
    </vt:vector>
  </HeadingPairs>
  <TitlesOfParts>
    <vt:vector size="29" baseType="lpstr">
      <vt:lpstr>Team Info</vt:lpstr>
      <vt:lpstr>Intro</vt:lpstr>
      <vt:lpstr>Safety Feature Description</vt:lpstr>
      <vt:lpstr>Inputs</vt:lpstr>
      <vt:lpstr>0. Adjust losses for new book</vt:lpstr>
      <vt:lpstr>1. Loss Development Factor</vt:lpstr>
      <vt:lpstr>Loss Trend Factor - Selection</vt:lpstr>
      <vt:lpstr>2. Loss Trend Factor -- 1</vt:lpstr>
      <vt:lpstr>2. Loss Trend Factor -- 2</vt:lpstr>
      <vt:lpstr>3. ULAE Factor</vt:lpstr>
      <vt:lpstr>4. Expected loss and loss ratio</vt:lpstr>
      <vt:lpstr>Projected insurance cost</vt:lpstr>
      <vt:lpstr>Return on Investment</vt:lpstr>
      <vt:lpstr>Loss Costs Plot</vt:lpstr>
      <vt:lpstr>UO Premium</vt:lpstr>
      <vt:lpstr>Projected (Premium) Cost</vt:lpstr>
      <vt:lpstr>Premium Summary</vt:lpstr>
      <vt:lpstr>Max premium (no safety)</vt:lpstr>
      <vt:lpstr>ROI Plot</vt:lpstr>
      <vt:lpstr>Presentation</vt:lpstr>
      <vt:lpstr>Company</vt:lpstr>
      <vt:lpstr>EffDate</vt:lpstr>
      <vt:lpstr>EvalDate</vt:lpstr>
      <vt:lpstr>Institution</vt:lpstr>
      <vt:lpstr>LatestYear</vt:lpstr>
      <vt:lpstr>LOB</vt:lpstr>
      <vt:lpstr>'2. Loss Trend Factor -- 1'!Print_Area</vt:lpstr>
      <vt:lpstr>'4. Expected loss and loss ratio'!Print_Area</vt:lpstr>
      <vt:lpstr>Intro!Print_Area</vt:lpstr>
    </vt:vector>
  </TitlesOfParts>
  <Company>AON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Coleianne</dc:creator>
  <cp:lastModifiedBy>Nathan Esau</cp:lastModifiedBy>
  <cp:lastPrinted>2015-09-24T12:30:39Z</cp:lastPrinted>
  <dcterms:created xsi:type="dcterms:W3CDTF">2013-09-03T15:38:37Z</dcterms:created>
  <dcterms:modified xsi:type="dcterms:W3CDTF">2016-07-02T17:49:43Z</dcterms:modified>
</cp:coreProperties>
</file>