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ll Creator" sheetId="1" r:id="rId4"/>
    <sheet state="visible" name="References" sheetId="2" r:id="rId5"/>
    <sheet state="visible" name="Calculations" sheetId="3" r:id="rId6"/>
  </sheets>
  <definedNames/>
  <calcPr/>
</workbook>
</file>

<file path=xl/sharedStrings.xml><?xml version="1.0" encoding="utf-8"?>
<sst xmlns="http://schemas.openxmlformats.org/spreadsheetml/2006/main" count="319" uniqueCount="233">
  <si>
    <t>D&amp;D 5E Custom Spell Creator</t>
  </si>
  <si>
    <t>Basic Information</t>
  </si>
  <si>
    <t>Spell Name:</t>
  </si>
  <si>
    <t>School of Magic:</t>
  </si>
  <si>
    <t>Necromancy</t>
  </si>
  <si>
    <t>Spell Level:</t>
  </si>
  <si>
    <t>Available Classes:</t>
  </si>
  <si>
    <t>Artificer</t>
  </si>
  <si>
    <t>Bard</t>
  </si>
  <si>
    <t>Cleric</t>
  </si>
  <si>
    <t>Druid</t>
  </si>
  <si>
    <t>Paladin</t>
  </si>
  <si>
    <t>Ranger</t>
  </si>
  <si>
    <t>Sorcerer</t>
  </si>
  <si>
    <t>Warlock</t>
  </si>
  <si>
    <t>Wizard</t>
  </si>
  <si>
    <t>Components</t>
  </si>
  <si>
    <t>Select Components:</t>
  </si>
  <si>
    <t>Verbal</t>
  </si>
  <si>
    <t>Somatic</t>
  </si>
  <si>
    <t>Material</t>
  </si>
  <si>
    <t>Material Component Value:</t>
  </si>
  <si>
    <t>3000gp</t>
  </si>
  <si>
    <t>Consumed?</t>
  </si>
  <si>
    <t>Range &amp; Targeting</t>
  </si>
  <si>
    <t>Range:</t>
  </si>
  <si>
    <t>Self</t>
  </si>
  <si>
    <t>ft</t>
  </si>
  <si>
    <t>Target Type:</t>
  </si>
  <si>
    <t>Area of Effect</t>
  </si>
  <si>
    <t>Shape:</t>
  </si>
  <si>
    <t>Sphere</t>
  </si>
  <si>
    <t>Size:</t>
  </si>
  <si>
    <t>Effects</t>
  </si>
  <si>
    <t>Damage Types:</t>
  </si>
  <si>
    <t>Effect Type:</t>
  </si>
  <si>
    <t>Damage</t>
  </si>
  <si>
    <t>Fire</t>
  </si>
  <si>
    <t>Cold</t>
  </si>
  <si>
    <t>Target Style:</t>
  </si>
  <si>
    <t>Thunder</t>
  </si>
  <si>
    <t>Acid</t>
  </si>
  <si>
    <t>Number of Dice:</t>
  </si>
  <si>
    <t>Necrotic</t>
  </si>
  <si>
    <t>Force</t>
  </si>
  <si>
    <t>Die Size:</t>
  </si>
  <si>
    <t>d10</t>
  </si>
  <si>
    <t>Poison</t>
  </si>
  <si>
    <t>Lightning</t>
  </si>
  <si>
    <t>Radiant</t>
  </si>
  <si>
    <t>Slashing</t>
  </si>
  <si>
    <t>Secondary Effect Dice:</t>
  </si>
  <si>
    <t>Psychic</t>
  </si>
  <si>
    <t>Piercing</t>
  </si>
  <si>
    <t>Bludgeoning</t>
  </si>
  <si>
    <t>Status Effect</t>
  </si>
  <si>
    <t>Add Status Effects?</t>
  </si>
  <si>
    <t>Select Status Effects:</t>
  </si>
  <si>
    <t>Blinded</t>
  </si>
  <si>
    <t>Charmed</t>
  </si>
  <si>
    <t>Deafened</t>
  </si>
  <si>
    <t>Frightened</t>
  </si>
  <si>
    <t>Grappled</t>
  </si>
  <si>
    <t>Incapacitated</t>
  </si>
  <si>
    <t>Invisible</t>
  </si>
  <si>
    <t>Paralyzed</t>
  </si>
  <si>
    <t>Petrified</t>
  </si>
  <si>
    <t>Poisoned</t>
  </si>
  <si>
    <t>Prone</t>
  </si>
  <si>
    <t>Restrained</t>
  </si>
  <si>
    <t>Stunned</t>
  </si>
  <si>
    <t>Unconscious</t>
  </si>
  <si>
    <t>Status Duration:</t>
  </si>
  <si>
    <t>1 minute</t>
  </si>
  <si>
    <t>Casting Time</t>
  </si>
  <si>
    <t>Cast Time:</t>
  </si>
  <si>
    <t>Action</t>
  </si>
  <si>
    <t>Concentration:</t>
  </si>
  <si>
    <t>Concentration Required?</t>
  </si>
  <si>
    <t>Saving Throws</t>
  </si>
  <si>
    <t>Saving Throw:</t>
  </si>
  <si>
    <t>Required?</t>
  </si>
  <si>
    <t>Primary Save Type:</t>
  </si>
  <si>
    <t>Constitution Save</t>
  </si>
  <si>
    <t>Additional Save:</t>
  </si>
  <si>
    <t>Secondary Save Type:</t>
  </si>
  <si>
    <t>Special Features</t>
  </si>
  <si>
    <t>Additional Features:</t>
  </si>
  <si>
    <t>Additional Features?</t>
  </si>
  <si>
    <t>Special Features Description:</t>
  </si>
  <si>
    <t>Spell Description</t>
  </si>
  <si>
    <t>Full Description:</t>
  </si>
  <si>
    <t>Point Calculations</t>
  </si>
  <si>
    <t>Level Points:</t>
  </si>
  <si>
    <t>Component Points:</t>
  </si>
  <si>
    <t>Range Points:</t>
  </si>
  <si>
    <t>Effect Points:</t>
  </si>
  <si>
    <t>Status Points:</t>
  </si>
  <si>
    <t>Casting Points:</t>
  </si>
  <si>
    <t>Save Points:</t>
  </si>
  <si>
    <t>Total Points:</t>
  </si>
  <si>
    <t>Valid Spell:</t>
  </si>
  <si>
    <t>Level</t>
  </si>
  <si>
    <t>Bonus</t>
  </si>
  <si>
    <t>Component Value</t>
  </si>
  <si>
    <t>Not Consumed</t>
  </si>
  <si>
    <t>Consumed</t>
  </si>
  <si>
    <t>Range</t>
  </si>
  <si>
    <t>Distance</t>
  </si>
  <si>
    <t>Modifier</t>
  </si>
  <si>
    <t>Point Cost</t>
  </si>
  <si>
    <t>Requires Concentration</t>
  </si>
  <si>
    <t>Duration</t>
  </si>
  <si>
    <t>Point Modifier</t>
  </si>
  <si>
    <t>Concentration Option</t>
  </si>
  <si>
    <t>Damage Die Options</t>
  </si>
  <si>
    <t>Healing Die Options</t>
  </si>
  <si>
    <t>Spell Level</t>
  </si>
  <si>
    <t>Single Target Die Value</t>
  </si>
  <si>
    <t>AOE Die Value</t>
  </si>
  <si>
    <t>Effect Type</t>
  </si>
  <si>
    <t>Additional Cost</t>
  </si>
  <si>
    <t>Modification Type</t>
  </si>
  <si>
    <t>Cast Time</t>
  </si>
  <si>
    <t>5gp</t>
  </si>
  <si>
    <t>No</t>
  </si>
  <si>
    <t>Instant</t>
  </si>
  <si>
    <t>d4</t>
  </si>
  <si>
    <t>Additional Effect Type</t>
  </si>
  <si>
    <t>Additional Effect Type*</t>
  </si>
  <si>
    <t>Reaction</t>
  </si>
  <si>
    <t>10gp</t>
  </si>
  <si>
    <t>Touch</t>
  </si>
  <si>
    <t>Yes</t>
  </si>
  <si>
    <t>1 round</t>
  </si>
  <si>
    <t>d6</t>
  </si>
  <si>
    <t>Temp HP</t>
  </si>
  <si>
    <t>Additonal Save Required</t>
  </si>
  <si>
    <t>25gp</t>
  </si>
  <si>
    <t>Close</t>
  </si>
  <si>
    <t>d8</t>
  </si>
  <si>
    <t>Concentration Required</t>
  </si>
  <si>
    <t>50gp</t>
  </si>
  <si>
    <t>Medium</t>
  </si>
  <si>
    <t>10 minutes</t>
  </si>
  <si>
    <t>Bonus Action/Reaction</t>
  </si>
  <si>
    <t>100gp</t>
  </si>
  <si>
    <t>Long</t>
  </si>
  <si>
    <t>1 hour</t>
  </si>
  <si>
    <t>d12</t>
  </si>
  <si>
    <t>Strength Save</t>
  </si>
  <si>
    <t>300gp</t>
  </si>
  <si>
    <t>Extended</t>
  </si>
  <si>
    <t>8 hours</t>
  </si>
  <si>
    <t>Dexterity Save</t>
  </si>
  <si>
    <t>8-12 hours</t>
  </si>
  <si>
    <t>500gp</t>
  </si>
  <si>
    <t>Far</t>
  </si>
  <si>
    <t>24 hours</t>
  </si>
  <si>
    <t>1000gp</t>
  </si>
  <si>
    <t>Distant</t>
  </si>
  <si>
    <t>Permanent</t>
  </si>
  <si>
    <t>Intelligence Save</t>
  </si>
  <si>
    <t>1500gp</t>
  </si>
  <si>
    <t>⅛ Mile</t>
  </si>
  <si>
    <t>Wisdom Save</t>
  </si>
  <si>
    <t>2000gp</t>
  </si>
  <si>
    <t>¼ Mile</t>
  </si>
  <si>
    <t>Charisma Save</t>
  </si>
  <si>
    <t>½ Mile</t>
  </si>
  <si>
    <t>Ritual Casting Option</t>
  </si>
  <si>
    <t>25000gp</t>
  </si>
  <si>
    <t>1 Mile</t>
  </si>
  <si>
    <t>School Name</t>
  </si>
  <si>
    <t>Class Name</t>
  </si>
  <si>
    <t>Abjuration</t>
  </si>
  <si>
    <t>Conjuration</t>
  </si>
  <si>
    <t>Divination</t>
  </si>
  <si>
    <t>Enchantment</t>
  </si>
  <si>
    <t>Evocation</t>
  </si>
  <si>
    <t>Fighter</t>
  </si>
  <si>
    <t>Illusion</t>
  </si>
  <si>
    <t>Transmutation</t>
  </si>
  <si>
    <t>Component Calculations</t>
  </si>
  <si>
    <t>Total Component Points</t>
  </si>
  <si>
    <t>Level Points Calculation</t>
  </si>
  <si>
    <t>Total Level Points</t>
  </si>
  <si>
    <t>Range &amp; Targeting Calculations</t>
  </si>
  <si>
    <t>Total Range &amp; Targeting Points</t>
  </si>
  <si>
    <t>Effect Calculations</t>
  </si>
  <si>
    <t>Total Effect Points</t>
  </si>
  <si>
    <t>Casting Calculations</t>
  </si>
  <si>
    <t>Total Casting Points</t>
  </si>
  <si>
    <t>Additional Modifier Calculations</t>
  </si>
  <si>
    <t>Total Additional Points</t>
  </si>
  <si>
    <t>Final Points Calculation</t>
  </si>
  <si>
    <t>TOTAL POINTS</t>
  </si>
  <si>
    <t>Base Range Modifier</t>
  </si>
  <si>
    <t>Base Damage/Healing</t>
  </si>
  <si>
    <t>Cast Time Modifier</t>
  </si>
  <si>
    <t>Save Type</t>
  </si>
  <si>
    <t>Components Total</t>
  </si>
  <si>
    <t>Level Bonus</t>
  </si>
  <si>
    <t>Additional Target Cost</t>
  </si>
  <si>
    <t>Additional Effects</t>
  </si>
  <si>
    <t>Concentration</t>
  </si>
  <si>
    <t>Additional Saves</t>
  </si>
  <si>
    <t>"Valid?"</t>
  </si>
  <si>
    <t>Material Value</t>
  </si>
  <si>
    <t>Volume Level</t>
  </si>
  <si>
    <t>Status Effects</t>
  </si>
  <si>
    <t>Ritual Option</t>
  </si>
  <si>
    <t>Material Consumed</t>
  </si>
  <si>
    <t>Volume Modifier</t>
  </si>
  <si>
    <t>Status Duration</t>
  </si>
  <si>
    <t>Effects Total</t>
  </si>
  <si>
    <t>Additional Damage Types</t>
  </si>
  <si>
    <t>Casting Total</t>
  </si>
  <si>
    <t>Die Size Options</t>
  </si>
  <si>
    <t>Additional Modifiers</t>
  </si>
  <si>
    <t>Number of Effects</t>
  </si>
  <si>
    <t>Status Total</t>
  </si>
  <si>
    <t>Volume Calculations</t>
  </si>
  <si>
    <t>Shape</t>
  </si>
  <si>
    <t>Size</t>
  </si>
  <si>
    <t>Volume</t>
  </si>
  <si>
    <t>Base Dice Count</t>
  </si>
  <si>
    <t>Damage Type Count</t>
  </si>
  <si>
    <t>Adjusted Dice per Type</t>
  </si>
  <si>
    <t>Die Point Cost</t>
  </si>
  <si>
    <t>Base Point Cost</t>
  </si>
  <si>
    <t>Additional Type Cost</t>
  </si>
  <si>
    <t>Total Die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</si>
</sst>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8.0"/>
      <color theme="1"/>
      <name val="Arial"/>
      <scheme val="minor"/>
    </font>
    <font/>
    <font>
      <color theme="1"/>
      <name val="Arial"/>
      <scheme val="minor"/>
    </font>
    <font>
      <sz val="12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5" fillId="0" fontId="3" numFmtId="0" xfId="0" applyBorder="1" applyFont="1"/>
    <xf borderId="4" fillId="0" fontId="4" numFmtId="0" xfId="0" applyAlignment="1" applyBorder="1" applyFont="1">
      <alignment readingOrder="0"/>
    </xf>
    <xf borderId="4" fillId="0" fontId="3" numFmtId="0" xfId="0" applyAlignment="1" applyBorder="1" applyFont="1">
      <alignment horizontal="left" readingOrder="0"/>
    </xf>
    <xf borderId="0" fillId="0" fontId="3" numFmtId="0" xfId="0" applyAlignment="1" applyFont="1">
      <alignment readingOrder="0"/>
    </xf>
    <xf borderId="4" fillId="0" fontId="3" numFmtId="0" xfId="0" applyAlignment="1" applyBorder="1" applyFont="1">
      <alignment readingOrder="0"/>
    </xf>
    <xf borderId="6" fillId="0" fontId="3" numFmtId="0" xfId="0" applyBorder="1" applyFont="1"/>
    <xf borderId="7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0" fillId="0" fontId="3" numFmtId="0" xfId="0" applyFont="1"/>
    <xf borderId="0" fillId="0" fontId="3" numFmtId="0" xfId="0" applyAlignment="1" applyFon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0" fillId="0" fontId="3" numFmtId="0" xfId="0" applyAlignment="1" applyFont="1">
      <alignment horizontal="center"/>
    </xf>
    <xf borderId="9" fillId="0" fontId="3" numFmtId="0" xfId="0" applyAlignment="1" applyBorder="1" applyFont="1">
      <alignment readingOrder="0"/>
    </xf>
    <xf borderId="10" fillId="0" fontId="3" numFmtId="0" xfId="0" applyAlignment="1" applyBorder="1" applyFont="1">
      <alignment horizontal="center"/>
    </xf>
    <xf borderId="10" fillId="0" fontId="3" numFmtId="0" xfId="0" applyBorder="1" applyFont="1"/>
    <xf borderId="11" fillId="0" fontId="3" numFmtId="0" xfId="0" applyBorder="1" applyFont="1"/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8">
    <dxf>
      <font/>
      <fill>
        <patternFill patternType="solid">
          <fgColor rgb="FFFFFFFF"/>
          <bgColor rgb="FFFFFFFF"/>
        </patternFill>
      </fill>
      <border/>
    </dxf>
    <dxf>
      <font>
        <color rgb="FF666666"/>
      </font>
      <fill>
        <patternFill patternType="solid">
          <fgColor rgb="FFB7B7B7"/>
          <bgColor rgb="FFB7B7B7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>
        <color rgb="FF434343"/>
      </font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38761D"/>
          <bgColor rgb="FF38761D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20.88"/>
    <col customWidth="1" min="3" max="3" width="19.38"/>
    <col customWidth="1" min="4" max="4" width="18.38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/>
      <c r="G2" s="5"/>
    </row>
    <row r="3">
      <c r="A3" s="6" t="s">
        <v>1</v>
      </c>
      <c r="G3" s="5"/>
    </row>
    <row r="4">
      <c r="A4" s="7" t="s">
        <v>2</v>
      </c>
      <c r="G4" s="5"/>
    </row>
    <row r="5">
      <c r="A5" s="7" t="s">
        <v>3</v>
      </c>
      <c r="B5" s="8" t="s">
        <v>4</v>
      </c>
      <c r="G5" s="5"/>
    </row>
    <row r="6">
      <c r="A6" s="7" t="s">
        <v>5</v>
      </c>
      <c r="B6" s="8">
        <v>3.0</v>
      </c>
      <c r="G6" s="5"/>
    </row>
    <row r="7">
      <c r="A7" s="9" t="s">
        <v>6</v>
      </c>
      <c r="B7" s="10" t="b">
        <v>0</v>
      </c>
      <c r="C7" s="11" t="s">
        <v>7</v>
      </c>
      <c r="D7" s="10" t="b">
        <v>0</v>
      </c>
      <c r="E7" s="11" t="s">
        <v>8</v>
      </c>
      <c r="F7" s="12" t="b">
        <v>1</v>
      </c>
      <c r="G7" s="13" t="s">
        <v>9</v>
      </c>
    </row>
    <row r="8">
      <c r="A8" s="4"/>
      <c r="B8" s="4" t="b">
        <v>0</v>
      </c>
      <c r="C8" s="8" t="s">
        <v>10</v>
      </c>
      <c r="D8" s="4" t="b">
        <v>0</v>
      </c>
      <c r="E8" s="8" t="s">
        <v>11</v>
      </c>
      <c r="F8" s="9" t="b">
        <v>0</v>
      </c>
      <c r="G8" s="14" t="s">
        <v>12</v>
      </c>
    </row>
    <row r="9">
      <c r="A9" s="4"/>
      <c r="B9" s="4" t="b">
        <v>0</v>
      </c>
      <c r="C9" s="8" t="s">
        <v>13</v>
      </c>
      <c r="D9" s="4" t="b">
        <v>0</v>
      </c>
      <c r="E9" s="8" t="s">
        <v>14</v>
      </c>
      <c r="F9" s="9" t="b">
        <v>0</v>
      </c>
      <c r="G9" s="14" t="s">
        <v>15</v>
      </c>
    </row>
    <row r="10">
      <c r="A10" s="6" t="s">
        <v>16</v>
      </c>
      <c r="G10" s="5"/>
    </row>
    <row r="11">
      <c r="A11" s="9" t="s">
        <v>17</v>
      </c>
      <c r="B11" s="8" t="b">
        <v>1</v>
      </c>
      <c r="C11" s="8" t="s">
        <v>18</v>
      </c>
      <c r="G11" s="5"/>
    </row>
    <row r="12">
      <c r="A12" s="4"/>
      <c r="B12" s="8" t="b">
        <v>0</v>
      </c>
      <c r="C12" s="8" t="s">
        <v>19</v>
      </c>
      <c r="G12" s="5"/>
    </row>
    <row r="13">
      <c r="A13" s="4"/>
      <c r="B13" s="8" t="b">
        <v>0</v>
      </c>
      <c r="C13" s="8" t="s">
        <v>20</v>
      </c>
      <c r="G13" s="5"/>
    </row>
    <row r="14">
      <c r="A14" s="9" t="s">
        <v>21</v>
      </c>
      <c r="B14" s="8" t="s">
        <v>22</v>
      </c>
      <c r="C14" s="8" t="b">
        <v>0</v>
      </c>
      <c r="D14" s="8" t="s">
        <v>23</v>
      </c>
      <c r="G14" s="5"/>
    </row>
    <row r="15">
      <c r="A15" s="6" t="s">
        <v>24</v>
      </c>
      <c r="G15" s="5"/>
    </row>
    <row r="16">
      <c r="A16" s="9" t="s">
        <v>25</v>
      </c>
      <c r="B16" s="8" t="s">
        <v>26</v>
      </c>
      <c r="C16" s="15">
        <f>VLOOKUP('Spell Creator'!B16, References!$F$2:$H$13, 2, FALSE)</f>
        <v>0</v>
      </c>
      <c r="D16" s="8" t="s">
        <v>27</v>
      </c>
      <c r="G16" s="5"/>
    </row>
    <row r="17">
      <c r="A17" s="9" t="s">
        <v>28</v>
      </c>
      <c r="B17" s="8" t="s">
        <v>29</v>
      </c>
      <c r="G17" s="5"/>
    </row>
    <row r="18">
      <c r="A18" s="9" t="s">
        <v>30</v>
      </c>
      <c r="B18" s="8" t="s">
        <v>31</v>
      </c>
      <c r="G18" s="5"/>
    </row>
    <row r="19">
      <c r="A19" s="9" t="s">
        <v>32</v>
      </c>
      <c r="B19" s="8">
        <v>40.0</v>
      </c>
      <c r="C19" s="8" t="s">
        <v>27</v>
      </c>
      <c r="G19" s="5"/>
    </row>
    <row r="20">
      <c r="A20" s="4"/>
      <c r="G20" s="5"/>
    </row>
    <row r="21">
      <c r="A21" s="6" t="s">
        <v>33</v>
      </c>
      <c r="C21" s="16" t="s">
        <v>34</v>
      </c>
      <c r="G21" s="5"/>
    </row>
    <row r="22">
      <c r="A22" s="9" t="s">
        <v>35</v>
      </c>
      <c r="B22" s="8" t="s">
        <v>36</v>
      </c>
      <c r="C22" s="12" t="b">
        <v>1</v>
      </c>
      <c r="D22" s="11" t="s">
        <v>37</v>
      </c>
      <c r="E22" s="10" t="b">
        <v>0</v>
      </c>
      <c r="F22" s="11" t="s">
        <v>38</v>
      </c>
      <c r="G22" s="5"/>
    </row>
    <row r="23">
      <c r="A23" s="9" t="s">
        <v>39</v>
      </c>
      <c r="B23" s="8" t="s">
        <v>29</v>
      </c>
      <c r="C23" s="4" t="b">
        <v>0</v>
      </c>
      <c r="D23" s="8" t="s">
        <v>40</v>
      </c>
      <c r="E23" s="4" t="b">
        <v>0</v>
      </c>
      <c r="F23" s="8" t="s">
        <v>41</v>
      </c>
      <c r="G23" s="5"/>
    </row>
    <row r="24">
      <c r="A24" s="9" t="s">
        <v>42</v>
      </c>
      <c r="B24" s="15">
        <f>IF(B6="","",IF(B23="Single Target",
  VLOOKUP(B6,References!S2:U11,2,FALSE),
  VLOOKUP(B6,References!S2:U11,3,FALSE)))</f>
        <v>6</v>
      </c>
      <c r="C24" s="9" t="b">
        <v>0</v>
      </c>
      <c r="D24" s="8" t="s">
        <v>43</v>
      </c>
      <c r="E24" s="9" t="b">
        <v>0</v>
      </c>
      <c r="F24" s="8" t="s">
        <v>44</v>
      </c>
      <c r="G24" s="5"/>
    </row>
    <row r="25">
      <c r="A25" s="9" t="s">
        <v>45</v>
      </c>
      <c r="B25" s="8" t="s">
        <v>46</v>
      </c>
      <c r="C25" s="9" t="b">
        <v>0</v>
      </c>
      <c r="D25" s="8" t="s">
        <v>47</v>
      </c>
      <c r="E25" s="9" t="b">
        <v>0</v>
      </c>
      <c r="F25" s="8" t="s">
        <v>48</v>
      </c>
      <c r="G25" s="5"/>
    </row>
    <row r="26">
      <c r="A26" s="9"/>
      <c r="B26" s="8"/>
      <c r="C26" s="9" t="b">
        <v>1</v>
      </c>
      <c r="D26" s="8" t="s">
        <v>49</v>
      </c>
      <c r="E26" s="4" t="b">
        <v>0</v>
      </c>
      <c r="F26" s="8" t="s">
        <v>50</v>
      </c>
      <c r="G26" s="5"/>
    </row>
    <row r="27">
      <c r="A27" s="9" t="s">
        <v>51</v>
      </c>
      <c r="B27" s="15" t="str">
        <f>IF(OR(B22&lt;&gt;"Both",B6=""),"",
  IF(B23="Single Target",
    LEFT(VLOOKUP(B6,References!$A$2:$C$11,2,FALSE),
      FIND("d",VLOOKUP(B6,References!$A$2:$C$11,2,FALSE))-1),
    LEFT(VLOOKUP(B6,References!$A$2:$C$11,3,FALSE),
      FIND("d",VLOOKUP(B6,References!$A$2:$C$11,3,FALSE))-1)
  )
)</f>
        <v/>
      </c>
      <c r="C27" s="4" t="b">
        <v>0</v>
      </c>
      <c r="D27" s="8" t="s">
        <v>52</v>
      </c>
      <c r="E27" s="4" t="b">
        <v>0</v>
      </c>
      <c r="F27" s="8" t="s">
        <v>53</v>
      </c>
      <c r="G27" s="5"/>
    </row>
    <row r="28">
      <c r="A28" s="4"/>
      <c r="E28" s="4" t="b">
        <v>0</v>
      </c>
      <c r="F28" s="8" t="s">
        <v>54</v>
      </c>
      <c r="G28" s="5"/>
    </row>
    <row r="29">
      <c r="A29" s="6" t="s">
        <v>55</v>
      </c>
      <c r="G29" s="5"/>
    </row>
    <row r="30">
      <c r="A30" s="9" t="s">
        <v>56</v>
      </c>
      <c r="B30" s="8" t="b">
        <v>0</v>
      </c>
      <c r="G30" s="5"/>
    </row>
    <row r="31">
      <c r="A31" s="9" t="s">
        <v>57</v>
      </c>
      <c r="B31" s="12" t="b">
        <v>0</v>
      </c>
      <c r="C31" s="11" t="s">
        <v>58</v>
      </c>
      <c r="D31" s="12" t="b">
        <v>0</v>
      </c>
      <c r="E31" s="11" t="s">
        <v>59</v>
      </c>
      <c r="F31" s="12" t="b">
        <v>0</v>
      </c>
      <c r="G31" s="13" t="s">
        <v>60</v>
      </c>
    </row>
    <row r="32">
      <c r="A32" s="4"/>
      <c r="B32" s="9" t="b">
        <v>0</v>
      </c>
      <c r="C32" s="8" t="s">
        <v>61</v>
      </c>
      <c r="D32" s="9" t="b">
        <v>0</v>
      </c>
      <c r="E32" s="8" t="s">
        <v>62</v>
      </c>
      <c r="F32" s="9" t="b">
        <v>0</v>
      </c>
      <c r="G32" s="14" t="s">
        <v>63</v>
      </c>
    </row>
    <row r="33">
      <c r="A33" s="4"/>
      <c r="B33" s="9" t="b">
        <v>0</v>
      </c>
      <c r="C33" s="8" t="s">
        <v>64</v>
      </c>
      <c r="D33" s="9" t="b">
        <v>0</v>
      </c>
      <c r="E33" s="8" t="s">
        <v>65</v>
      </c>
      <c r="F33" s="9" t="b">
        <v>0</v>
      </c>
      <c r="G33" s="14" t="s">
        <v>66</v>
      </c>
    </row>
    <row r="34">
      <c r="A34" s="4"/>
      <c r="B34" s="9" t="b">
        <v>0</v>
      </c>
      <c r="C34" s="8" t="s">
        <v>67</v>
      </c>
      <c r="D34" s="9" t="b">
        <v>0</v>
      </c>
      <c r="E34" s="8" t="s">
        <v>68</v>
      </c>
      <c r="F34" s="9" t="b">
        <v>0</v>
      </c>
      <c r="G34" s="14" t="s">
        <v>69</v>
      </c>
    </row>
    <row r="35">
      <c r="A35" s="4"/>
      <c r="B35" s="9" t="b">
        <v>0</v>
      </c>
      <c r="C35" s="8" t="s">
        <v>70</v>
      </c>
      <c r="D35" s="9" t="b">
        <v>0</v>
      </c>
      <c r="E35" s="8" t="s">
        <v>71</v>
      </c>
      <c r="F35" s="4"/>
      <c r="G35" s="5"/>
    </row>
    <row r="36">
      <c r="A36" s="9" t="s">
        <v>72</v>
      </c>
      <c r="B36" s="8" t="s">
        <v>73</v>
      </c>
      <c r="G36" s="5"/>
    </row>
    <row r="37">
      <c r="A37" s="4"/>
      <c r="G37" s="5"/>
    </row>
    <row r="38">
      <c r="A38" s="6" t="s">
        <v>74</v>
      </c>
      <c r="G38" s="5"/>
    </row>
    <row r="39">
      <c r="A39" s="9" t="s">
        <v>75</v>
      </c>
      <c r="B39" s="8" t="s">
        <v>76</v>
      </c>
      <c r="G39" s="5"/>
    </row>
    <row r="40">
      <c r="A40" s="9"/>
      <c r="B40" s="8"/>
      <c r="G40" s="5"/>
    </row>
    <row r="41">
      <c r="A41" s="9" t="s">
        <v>77</v>
      </c>
      <c r="B41" s="15" t="b">
        <v>0</v>
      </c>
      <c r="C41" s="8" t="s">
        <v>78</v>
      </c>
      <c r="D41" s="15" t="str">
        <f>IF(Calculations!P23="Not Required", "Not Required", "Required")</f>
        <v>Not Required</v>
      </c>
      <c r="G41" s="5"/>
    </row>
    <row r="42">
      <c r="A42" s="4"/>
      <c r="G42" s="5"/>
    </row>
    <row r="43">
      <c r="A43" s="6" t="s">
        <v>79</v>
      </c>
      <c r="G43" s="5"/>
    </row>
    <row r="44">
      <c r="A44" s="9" t="s">
        <v>80</v>
      </c>
      <c r="B44" s="8" t="b">
        <v>1</v>
      </c>
      <c r="C44" s="8" t="s">
        <v>81</v>
      </c>
      <c r="G44" s="5"/>
    </row>
    <row r="45">
      <c r="A45" s="9" t="s">
        <v>82</v>
      </c>
      <c r="B45" s="8" t="s">
        <v>83</v>
      </c>
      <c r="G45" s="5"/>
    </row>
    <row r="46">
      <c r="A46" s="9" t="s">
        <v>84</v>
      </c>
      <c r="B46" s="8" t="b">
        <v>0</v>
      </c>
      <c r="C46" s="8" t="s">
        <v>81</v>
      </c>
      <c r="G46" s="5"/>
    </row>
    <row r="47">
      <c r="A47" s="9" t="s">
        <v>85</v>
      </c>
      <c r="B47" s="8" t="s">
        <v>83</v>
      </c>
      <c r="G47" s="5"/>
    </row>
    <row r="48">
      <c r="A48" s="4"/>
      <c r="G48" s="5"/>
    </row>
    <row r="49">
      <c r="A49" s="6" t="s">
        <v>86</v>
      </c>
      <c r="G49" s="5"/>
    </row>
    <row r="50">
      <c r="A50" s="9" t="s">
        <v>87</v>
      </c>
      <c r="B50" s="8" t="b">
        <v>1</v>
      </c>
      <c r="C50" s="8" t="s">
        <v>88</v>
      </c>
      <c r="G50" s="5"/>
    </row>
    <row r="51">
      <c r="A51" s="9" t="s">
        <v>89</v>
      </c>
      <c r="B51" s="10"/>
      <c r="C51" s="17"/>
      <c r="D51" s="17"/>
      <c r="E51" s="17"/>
      <c r="F51" s="18"/>
      <c r="G51" s="5"/>
    </row>
    <row r="52">
      <c r="A52" s="4"/>
      <c r="B52" s="19"/>
      <c r="F52" s="20"/>
      <c r="G52" s="5"/>
    </row>
    <row r="53">
      <c r="A53" s="4"/>
      <c r="B53" s="21"/>
      <c r="C53" s="22"/>
      <c r="D53" s="22"/>
      <c r="E53" s="22"/>
      <c r="F53" s="23"/>
      <c r="G53" s="5"/>
    </row>
    <row r="54">
      <c r="A54" s="4"/>
      <c r="G54" s="5"/>
    </row>
    <row r="55">
      <c r="A55" s="6" t="s">
        <v>90</v>
      </c>
      <c r="G55" s="5"/>
    </row>
    <row r="56">
      <c r="A56" s="9" t="s">
        <v>91</v>
      </c>
      <c r="B56" s="10"/>
      <c r="C56" s="17"/>
      <c r="D56" s="17"/>
      <c r="E56" s="17"/>
      <c r="F56" s="18"/>
      <c r="G56" s="5"/>
    </row>
    <row r="57">
      <c r="A57" s="4"/>
      <c r="B57" s="19"/>
      <c r="F57" s="20"/>
      <c r="G57" s="5"/>
    </row>
    <row r="58">
      <c r="A58" s="4"/>
      <c r="B58" s="21"/>
      <c r="C58" s="22"/>
      <c r="D58" s="22"/>
      <c r="E58" s="22"/>
      <c r="F58" s="23"/>
      <c r="G58" s="5"/>
    </row>
    <row r="59">
      <c r="A59" s="4"/>
      <c r="G59" s="5"/>
    </row>
    <row r="60">
      <c r="A60" s="4"/>
      <c r="G60" s="5"/>
    </row>
    <row r="61">
      <c r="A61" s="6" t="s">
        <v>92</v>
      </c>
      <c r="G61" s="5"/>
    </row>
    <row r="62">
      <c r="A62" s="9" t="s">
        <v>93</v>
      </c>
      <c r="B62" s="15">
        <f>Calculations!H2</f>
        <v>7</v>
      </c>
      <c r="G62" s="5"/>
    </row>
    <row r="63">
      <c r="A63" s="9" t="s">
        <v>94</v>
      </c>
      <c r="B63" s="15">
        <f>Calculations!D2</f>
        <v>1</v>
      </c>
      <c r="G63" s="5"/>
    </row>
    <row r="64">
      <c r="A64" s="9" t="s">
        <v>95</v>
      </c>
      <c r="B64" s="15">
        <f>Calculations!M2</f>
        <v>0</v>
      </c>
      <c r="G64" s="5"/>
    </row>
    <row r="65">
      <c r="A65" s="9" t="s">
        <v>96</v>
      </c>
      <c r="B65" s="15">
        <f>Calculations!R2</f>
        <v>-13</v>
      </c>
      <c r="G65" s="5"/>
    </row>
    <row r="66">
      <c r="A66" s="9" t="s">
        <v>97</v>
      </c>
      <c r="B66" s="15">
        <f>Calculations!P4</f>
        <v>0</v>
      </c>
      <c r="G66" s="5"/>
    </row>
    <row r="67">
      <c r="A67" s="9" t="s">
        <v>98</v>
      </c>
      <c r="B67" s="15">
        <f>Calculations!W2</f>
        <v>0</v>
      </c>
      <c r="G67" s="5"/>
    </row>
    <row r="68">
      <c r="A68" s="9" t="s">
        <v>99</v>
      </c>
      <c r="B68" s="15">
        <f>Calculations!AB2</f>
        <v>1</v>
      </c>
      <c r="G68" s="5"/>
    </row>
    <row r="69">
      <c r="A69" s="4"/>
      <c r="G69" s="5"/>
    </row>
    <row r="70">
      <c r="A70" s="9" t="s">
        <v>100</v>
      </c>
      <c r="B70" s="24">
        <f>Calculations!AF2</f>
        <v>-4</v>
      </c>
      <c r="G70" s="5"/>
    </row>
    <row r="71">
      <c r="A71" s="25" t="s">
        <v>101</v>
      </c>
      <c r="B71" s="26" t="str">
        <f>Calculations!AF4</f>
        <v>NO</v>
      </c>
      <c r="C71" s="27"/>
      <c r="D71" s="27"/>
      <c r="E71" s="27"/>
      <c r="F71" s="27"/>
      <c r="G71" s="28"/>
    </row>
  </sheetData>
  <mergeCells count="4">
    <mergeCell ref="A1:G1"/>
    <mergeCell ref="C21:F21"/>
    <mergeCell ref="B51:F53"/>
    <mergeCell ref="B56:F58"/>
  </mergeCells>
  <conditionalFormatting sqref="A18:B19">
    <cfRule type="expression" dxfId="0" priority="1">
      <formula>" =$B$17="Area of Effect""</formula>
    </cfRule>
  </conditionalFormatting>
  <conditionalFormatting sqref="A18:B19">
    <cfRule type="expression" dxfId="1" priority="2">
      <formula>$B$17&lt;&gt;"Area of Effect"</formula>
    </cfRule>
  </conditionalFormatting>
  <conditionalFormatting sqref="A27:B27">
    <cfRule type="expression" dxfId="2" priority="3">
      <formula>$B$22="Both"</formula>
    </cfRule>
  </conditionalFormatting>
  <conditionalFormatting sqref="A27:B27">
    <cfRule type="expression" dxfId="1" priority="4">
      <formula>$B$22&lt;&gt;"Both"</formula>
    </cfRule>
  </conditionalFormatting>
  <conditionalFormatting sqref="B35:E35 B31:G34 A31">
    <cfRule type="expression" dxfId="1" priority="5">
      <formula>" =$B$29=FALSE"</formula>
    </cfRule>
  </conditionalFormatting>
  <conditionalFormatting sqref="B35:E35 B31:G34 A31">
    <cfRule type="expression" dxfId="3" priority="6">
      <formula>" =$B$29=TRUE"</formula>
    </cfRule>
  </conditionalFormatting>
  <conditionalFormatting sqref="A45:B45">
    <cfRule type="expression" dxfId="4" priority="7">
      <formula>$B$44=FALSE</formula>
    </cfRule>
  </conditionalFormatting>
  <conditionalFormatting sqref="A45:B45">
    <cfRule type="expression" dxfId="3" priority="8">
      <formula>$B$44=TRUE</formula>
    </cfRule>
  </conditionalFormatting>
  <conditionalFormatting sqref="A47:B47">
    <cfRule type="expression" dxfId="4" priority="9">
      <formula>$B$44=FALSE</formula>
    </cfRule>
  </conditionalFormatting>
  <conditionalFormatting sqref="A47:B47">
    <cfRule type="expression" dxfId="3" priority="10">
      <formula>$B$44=TRUE</formula>
    </cfRule>
  </conditionalFormatting>
  <conditionalFormatting sqref="A47:B47">
    <cfRule type="expression" dxfId="4" priority="11">
      <formula>$B$46=FALSE</formula>
    </cfRule>
  </conditionalFormatting>
  <conditionalFormatting sqref="A47:B47">
    <cfRule type="expression" dxfId="3" priority="12">
      <formula>$B$46=TRUE</formula>
    </cfRule>
  </conditionalFormatting>
  <conditionalFormatting sqref="B71">
    <cfRule type="cellIs" dxfId="5" priority="13" operator="equal">
      <formula>"NO"</formula>
    </cfRule>
  </conditionalFormatting>
  <conditionalFormatting sqref="B71">
    <cfRule type="cellIs" dxfId="6" priority="14" operator="equal">
      <formula>"YES"</formula>
    </cfRule>
  </conditionalFormatting>
  <conditionalFormatting sqref="B70">
    <cfRule type="cellIs" dxfId="6" priority="15" operator="greaterThanOrEqual">
      <formula>0</formula>
    </cfRule>
  </conditionalFormatting>
  <conditionalFormatting sqref="B70">
    <cfRule type="cellIs" dxfId="7" priority="16" operator="lessThan">
      <formula>0</formula>
    </cfRule>
  </conditionalFormatting>
  <dataValidations>
    <dataValidation type="list" allowBlank="1" showErrorMessage="1" sqref="B18">
      <formula1>"Cube,Cone,Cylinder,Sphere"</formula1>
    </dataValidation>
    <dataValidation type="list" allowBlank="1" showErrorMessage="1" sqref="B45 B47">
      <formula1>References!$Y$6:$Y$11</formula1>
    </dataValidation>
    <dataValidation type="list" allowBlank="1" showErrorMessage="1" sqref="B5">
      <formula1>References!$A$19:$A$26</formula1>
    </dataValidation>
    <dataValidation type="list" allowBlank="1" showErrorMessage="1" sqref="B36">
      <formula1>References!$L$2:$L$9</formula1>
    </dataValidation>
    <dataValidation type="list" allowBlank="1" showErrorMessage="1" sqref="B22">
      <formula1>"Damage,Healing"</formula1>
    </dataValidation>
    <dataValidation type="decimal" operator="greaterThanOrEqual" allowBlank="1" showDropDown="1" showErrorMessage="1" sqref="B19">
      <formula1>0.0</formula1>
    </dataValidation>
    <dataValidation type="list" allowBlank="1" showErrorMessage="1" sqref="B17">
      <formula1>"Single Target,Multi-Target,Area of Effect"</formula1>
    </dataValidation>
    <dataValidation type="list" allowBlank="1" showErrorMessage="1" sqref="B16">
      <formula1>References!$F$2:$F$13</formula1>
    </dataValidation>
    <dataValidation type="decimal" allowBlank="1" showDropDown="1" showInputMessage="1" showErrorMessage="1" prompt="Enter a number between 0 and 9" sqref="B6">
      <formula1>0.0</formula1>
      <formula2>9.0</formula2>
    </dataValidation>
    <dataValidation type="list" allowBlank="1" showErrorMessage="1" sqref="B14">
      <formula1>References!$C$2:$C$13</formula1>
    </dataValidation>
    <dataValidation type="list" allowBlank="1" showErrorMessage="1" sqref="B39">
      <formula1>References!$AA$2:$AA$8</formula1>
    </dataValidation>
    <dataValidation type="list" allowBlank="1" showErrorMessage="1" sqref="B25">
      <formula1>Calculations!$R$8:$R$12</formula1>
    </dataValidation>
    <dataValidation type="list" allowBlank="1" showErrorMessage="1" sqref="B23">
      <formula1>"Single Target,Area of Effect"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9" max="9" width="11.13"/>
    <col customWidth="1" min="10" max="10" width="9.38"/>
    <col customWidth="1" min="11" max="11" width="19.88"/>
    <col customWidth="1" min="14" max="14" width="16.75"/>
    <col customWidth="1" min="16" max="16" width="16.5"/>
    <col customWidth="1" min="17" max="17" width="15.88"/>
    <col customWidth="1" min="20" max="21" width="21.13"/>
    <col customWidth="1" min="23" max="23" width="17.13"/>
    <col customWidth="1" min="25" max="25" width="19.38"/>
  </cols>
  <sheetData>
    <row r="1">
      <c r="A1" s="8" t="s">
        <v>102</v>
      </c>
      <c r="B1" s="8" t="s">
        <v>103</v>
      </c>
      <c r="C1" s="29" t="s">
        <v>104</v>
      </c>
      <c r="D1" s="29" t="s">
        <v>105</v>
      </c>
      <c r="E1" s="29" t="s">
        <v>106</v>
      </c>
      <c r="F1" s="29" t="s">
        <v>107</v>
      </c>
      <c r="G1" s="29" t="s">
        <v>108</v>
      </c>
      <c r="H1" s="29" t="s">
        <v>109</v>
      </c>
      <c r="I1" s="29" t="s">
        <v>55</v>
      </c>
      <c r="J1" s="29" t="s">
        <v>110</v>
      </c>
      <c r="K1" s="29" t="s">
        <v>111</v>
      </c>
      <c r="L1" s="8" t="s">
        <v>112</v>
      </c>
      <c r="M1" s="8" t="s">
        <v>113</v>
      </c>
      <c r="N1" s="8" t="s">
        <v>114</v>
      </c>
      <c r="P1" s="8" t="s">
        <v>115</v>
      </c>
      <c r="Q1" s="8" t="s">
        <v>116</v>
      </c>
      <c r="S1" s="8" t="s">
        <v>117</v>
      </c>
      <c r="T1" s="8" t="s">
        <v>118</v>
      </c>
      <c r="U1" s="8" t="s">
        <v>119</v>
      </c>
      <c r="V1" s="8" t="s">
        <v>110</v>
      </c>
      <c r="W1" s="8" t="s">
        <v>120</v>
      </c>
      <c r="X1" s="8" t="s">
        <v>121</v>
      </c>
      <c r="Y1" s="8" t="s">
        <v>122</v>
      </c>
      <c r="Z1" s="8" t="s">
        <v>110</v>
      </c>
      <c r="AA1" s="8" t="s">
        <v>123</v>
      </c>
      <c r="AB1" s="8" t="s">
        <v>110</v>
      </c>
    </row>
    <row r="2">
      <c r="A2" s="8">
        <v>0.0</v>
      </c>
      <c r="B2" s="8">
        <v>1.0</v>
      </c>
      <c r="C2" s="8" t="s">
        <v>124</v>
      </c>
      <c r="D2" s="8">
        <v>0.5</v>
      </c>
      <c r="E2" s="8">
        <v>1.0</v>
      </c>
      <c r="F2" s="8" t="s">
        <v>26</v>
      </c>
      <c r="G2" s="8">
        <v>0.0</v>
      </c>
      <c r="H2" s="8">
        <v>0.0</v>
      </c>
      <c r="I2" s="8" t="s">
        <v>58</v>
      </c>
      <c r="J2" s="8">
        <v>-2.0</v>
      </c>
      <c r="K2" s="8" t="s">
        <v>125</v>
      </c>
      <c r="L2" s="8" t="s">
        <v>126</v>
      </c>
      <c r="M2" s="8">
        <v>0.0</v>
      </c>
      <c r="N2" s="8" t="s">
        <v>125</v>
      </c>
      <c r="P2" s="8" t="s">
        <v>127</v>
      </c>
      <c r="Q2" s="8" t="s">
        <v>127</v>
      </c>
      <c r="S2" s="8">
        <v>0.0</v>
      </c>
      <c r="T2" s="8">
        <v>1.0</v>
      </c>
      <c r="U2" s="8">
        <v>1.0</v>
      </c>
      <c r="V2" s="8">
        <v>-1.0</v>
      </c>
      <c r="W2" s="8" t="s">
        <v>128</v>
      </c>
      <c r="X2" s="8">
        <v>-1.0</v>
      </c>
      <c r="Y2" s="8" t="s">
        <v>129</v>
      </c>
      <c r="Z2" s="8">
        <v>-1.0</v>
      </c>
      <c r="AA2" s="8" t="s">
        <v>130</v>
      </c>
      <c r="AB2" s="8">
        <v>-1.0</v>
      </c>
    </row>
    <row r="3">
      <c r="A3" s="8">
        <v>1.0</v>
      </c>
      <c r="B3" s="8">
        <v>3.0</v>
      </c>
      <c r="C3" s="8" t="s">
        <v>131</v>
      </c>
      <c r="D3" s="8">
        <v>1.0</v>
      </c>
      <c r="E3" s="8">
        <v>2.0</v>
      </c>
      <c r="F3" s="8" t="s">
        <v>132</v>
      </c>
      <c r="G3" s="8">
        <v>5.0</v>
      </c>
      <c r="H3" s="8">
        <v>2.0</v>
      </c>
      <c r="I3" s="8" t="s">
        <v>59</v>
      </c>
      <c r="J3" s="8">
        <v>-2.0</v>
      </c>
      <c r="K3" s="8" t="s">
        <v>133</v>
      </c>
      <c r="L3" s="8" t="s">
        <v>134</v>
      </c>
      <c r="M3" s="8">
        <v>0.0</v>
      </c>
      <c r="N3" s="8" t="s">
        <v>125</v>
      </c>
      <c r="P3" s="8" t="s">
        <v>135</v>
      </c>
      <c r="Q3" s="8" t="s">
        <v>135</v>
      </c>
      <c r="S3" s="8">
        <v>1.0</v>
      </c>
      <c r="T3" s="8">
        <v>2.0</v>
      </c>
      <c r="U3" s="8">
        <v>2.0</v>
      </c>
      <c r="V3" s="8">
        <v>-2.0</v>
      </c>
      <c r="W3" s="8" t="s">
        <v>136</v>
      </c>
      <c r="X3" s="8">
        <v>-1.0</v>
      </c>
      <c r="Y3" s="8" t="s">
        <v>137</v>
      </c>
      <c r="Z3" s="8">
        <v>-1.0</v>
      </c>
      <c r="AA3" s="8" t="s">
        <v>76</v>
      </c>
      <c r="AB3" s="8">
        <v>0.0</v>
      </c>
    </row>
    <row r="4">
      <c r="A4" s="8">
        <v>2.0</v>
      </c>
      <c r="B4" s="8">
        <v>5.0</v>
      </c>
      <c r="C4" s="8" t="s">
        <v>138</v>
      </c>
      <c r="D4" s="8">
        <v>1.0</v>
      </c>
      <c r="E4" s="8">
        <v>2.5</v>
      </c>
      <c r="F4" s="8" t="s">
        <v>139</v>
      </c>
      <c r="G4" s="8">
        <v>15.0</v>
      </c>
      <c r="H4" s="8">
        <v>1.0</v>
      </c>
      <c r="I4" s="8" t="s">
        <v>60</v>
      </c>
      <c r="J4" s="8">
        <v>-2.0</v>
      </c>
      <c r="K4" s="8" t="s">
        <v>125</v>
      </c>
      <c r="L4" s="8" t="s">
        <v>73</v>
      </c>
      <c r="M4" s="8">
        <v>-2.0</v>
      </c>
      <c r="N4" s="8" t="s">
        <v>133</v>
      </c>
      <c r="P4" s="8" t="s">
        <v>140</v>
      </c>
      <c r="Q4" s="8" t="s">
        <v>140</v>
      </c>
      <c r="S4" s="8">
        <v>2.0</v>
      </c>
      <c r="T4" s="8">
        <v>3.0</v>
      </c>
      <c r="U4" s="8">
        <v>4.0</v>
      </c>
      <c r="V4" s="8">
        <v>-4.0</v>
      </c>
      <c r="Y4" s="8" t="s">
        <v>141</v>
      </c>
      <c r="Z4" s="15">
        <f>2</f>
        <v>2</v>
      </c>
      <c r="AA4" s="8" t="s">
        <v>73</v>
      </c>
      <c r="AB4" s="8">
        <v>1.0</v>
      </c>
    </row>
    <row r="5">
      <c r="A5" s="8">
        <v>3.0</v>
      </c>
      <c r="B5" s="8">
        <v>7.0</v>
      </c>
      <c r="C5" s="8" t="s">
        <v>142</v>
      </c>
      <c r="D5" s="8">
        <v>1.5</v>
      </c>
      <c r="E5" s="8">
        <v>3.5</v>
      </c>
      <c r="F5" s="8" t="s">
        <v>143</v>
      </c>
      <c r="G5" s="8">
        <v>60.0</v>
      </c>
      <c r="H5" s="8">
        <v>-1.0</v>
      </c>
      <c r="I5" s="8" t="s">
        <v>61</v>
      </c>
      <c r="J5" s="8">
        <v>-2.0</v>
      </c>
      <c r="K5" s="8" t="s">
        <v>133</v>
      </c>
      <c r="L5" s="8" t="s">
        <v>144</v>
      </c>
      <c r="M5" s="8">
        <v>-2.0</v>
      </c>
      <c r="N5" s="8" t="s">
        <v>133</v>
      </c>
      <c r="P5" s="8" t="s">
        <v>46</v>
      </c>
      <c r="S5" s="8">
        <v>3.0</v>
      </c>
      <c r="T5" s="8">
        <v>5.0</v>
      </c>
      <c r="U5" s="8">
        <v>6.0</v>
      </c>
      <c r="V5" s="8">
        <v>-6.0</v>
      </c>
      <c r="Y5" s="8" t="s">
        <v>145</v>
      </c>
      <c r="Z5" s="8">
        <v>-1.0</v>
      </c>
      <c r="AA5" s="8" t="s">
        <v>144</v>
      </c>
      <c r="AB5" s="8">
        <v>2.0</v>
      </c>
    </row>
    <row r="6">
      <c r="A6" s="8">
        <v>4.0</v>
      </c>
      <c r="B6" s="8">
        <v>9.0</v>
      </c>
      <c r="C6" s="8" t="s">
        <v>146</v>
      </c>
      <c r="D6" s="8">
        <v>2.0</v>
      </c>
      <c r="E6" s="8">
        <v>4.5</v>
      </c>
      <c r="F6" s="8" t="s">
        <v>147</v>
      </c>
      <c r="G6" s="8">
        <v>90.0</v>
      </c>
      <c r="H6" s="8">
        <v>-1.5</v>
      </c>
      <c r="I6" s="8" t="s">
        <v>62</v>
      </c>
      <c r="J6" s="8">
        <v>-2.0</v>
      </c>
      <c r="K6" s="8" t="s">
        <v>125</v>
      </c>
      <c r="L6" s="8" t="s">
        <v>148</v>
      </c>
      <c r="M6" s="8">
        <v>-3.0</v>
      </c>
      <c r="N6" s="8" t="s">
        <v>133</v>
      </c>
      <c r="P6" s="8" t="s">
        <v>149</v>
      </c>
      <c r="S6" s="8">
        <v>4.0</v>
      </c>
      <c r="T6" s="8">
        <v>6.0</v>
      </c>
      <c r="U6" s="8">
        <v>7.0</v>
      </c>
      <c r="V6" s="8">
        <v>-8.0</v>
      </c>
      <c r="Y6" s="8" t="s">
        <v>150</v>
      </c>
      <c r="Z6" s="8">
        <v>1.0</v>
      </c>
      <c r="AA6" s="8" t="s">
        <v>148</v>
      </c>
      <c r="AB6" s="8">
        <v>3.0</v>
      </c>
    </row>
    <row r="7">
      <c r="A7" s="8">
        <v>5.0</v>
      </c>
      <c r="B7" s="8">
        <v>11.0</v>
      </c>
      <c r="C7" s="8" t="s">
        <v>151</v>
      </c>
      <c r="D7" s="8">
        <v>2.0</v>
      </c>
      <c r="E7" s="8">
        <v>5.0</v>
      </c>
      <c r="F7" s="8" t="s">
        <v>152</v>
      </c>
      <c r="G7" s="8">
        <v>120.0</v>
      </c>
      <c r="H7" s="8">
        <v>-2.0</v>
      </c>
      <c r="I7" s="8" t="s">
        <v>63</v>
      </c>
      <c r="J7" s="8">
        <v>-2.0</v>
      </c>
      <c r="K7" s="8" t="s">
        <v>133</v>
      </c>
      <c r="L7" s="8" t="s">
        <v>153</v>
      </c>
      <c r="M7" s="8">
        <v>-4.0</v>
      </c>
      <c r="N7" s="8" t="s">
        <v>133</v>
      </c>
      <c r="S7" s="8">
        <v>5.0</v>
      </c>
      <c r="T7" s="8">
        <v>8.0</v>
      </c>
      <c r="U7" s="8">
        <v>8.0</v>
      </c>
      <c r="V7" s="8">
        <v>-10.0</v>
      </c>
      <c r="Y7" s="8" t="s">
        <v>154</v>
      </c>
      <c r="Z7" s="8">
        <v>1.0</v>
      </c>
      <c r="AA7" s="8" t="s">
        <v>155</v>
      </c>
      <c r="AB7" s="8">
        <v>4.0</v>
      </c>
    </row>
    <row r="8">
      <c r="A8" s="8">
        <v>6.0</v>
      </c>
      <c r="B8" s="8">
        <v>13.0</v>
      </c>
      <c r="C8" s="8" t="s">
        <v>156</v>
      </c>
      <c r="D8" s="8">
        <v>2.5</v>
      </c>
      <c r="E8" s="8">
        <v>6.0</v>
      </c>
      <c r="F8" s="8" t="s">
        <v>157</v>
      </c>
      <c r="G8" s="8">
        <v>150.0</v>
      </c>
      <c r="H8" s="8">
        <v>-2.5</v>
      </c>
      <c r="I8" s="8" t="s">
        <v>64</v>
      </c>
      <c r="J8" s="8">
        <v>-2.0</v>
      </c>
      <c r="K8" s="8" t="s">
        <v>133</v>
      </c>
      <c r="L8" s="8" t="s">
        <v>158</v>
      </c>
      <c r="M8" s="8">
        <v>-5.0</v>
      </c>
      <c r="N8" s="8" t="s">
        <v>133</v>
      </c>
      <c r="S8" s="8">
        <v>6.0</v>
      </c>
      <c r="T8" s="8">
        <v>10.0</v>
      </c>
      <c r="U8" s="8">
        <v>10.0</v>
      </c>
      <c r="V8" s="8">
        <v>-12.0</v>
      </c>
      <c r="Y8" s="8" t="s">
        <v>83</v>
      </c>
      <c r="Z8" s="8">
        <v>1.0</v>
      </c>
      <c r="AA8" s="8" t="s">
        <v>158</v>
      </c>
      <c r="AB8" s="8">
        <v>5.0</v>
      </c>
    </row>
    <row r="9">
      <c r="A9" s="8">
        <v>7.0</v>
      </c>
      <c r="B9" s="8">
        <v>15.0</v>
      </c>
      <c r="C9" s="8" t="s">
        <v>159</v>
      </c>
      <c r="D9" s="8">
        <v>3.0</v>
      </c>
      <c r="E9" s="8">
        <v>7.0</v>
      </c>
      <c r="F9" s="8" t="s">
        <v>160</v>
      </c>
      <c r="G9" s="8">
        <v>300.0</v>
      </c>
      <c r="H9" s="8">
        <v>-3.0</v>
      </c>
      <c r="I9" s="8" t="s">
        <v>65</v>
      </c>
      <c r="J9" s="8">
        <v>-2.0</v>
      </c>
      <c r="K9" s="8" t="s">
        <v>133</v>
      </c>
      <c r="L9" s="8" t="s">
        <v>161</v>
      </c>
      <c r="M9" s="8">
        <v>-10.0</v>
      </c>
      <c r="N9" s="8" t="s">
        <v>133</v>
      </c>
      <c r="S9" s="8">
        <v>7.0</v>
      </c>
      <c r="T9" s="8">
        <v>11.0</v>
      </c>
      <c r="U9" s="8">
        <v>11.0</v>
      </c>
      <c r="V9" s="8">
        <v>-14.0</v>
      </c>
      <c r="Y9" s="8" t="s">
        <v>162</v>
      </c>
      <c r="Z9" s="8">
        <v>1.0</v>
      </c>
      <c r="AA9" s="8"/>
    </row>
    <row r="10">
      <c r="A10" s="8">
        <v>8.0</v>
      </c>
      <c r="B10" s="8">
        <v>17.0</v>
      </c>
      <c r="C10" s="8" t="s">
        <v>163</v>
      </c>
      <c r="D10" s="8">
        <v>3.0</v>
      </c>
      <c r="E10" s="8">
        <v>7.5</v>
      </c>
      <c r="F10" s="8" t="s">
        <v>164</v>
      </c>
      <c r="G10" s="8">
        <v>660.0</v>
      </c>
      <c r="H10" s="8">
        <v>-4.0</v>
      </c>
      <c r="I10" s="8" t="s">
        <v>66</v>
      </c>
      <c r="J10" s="8">
        <v>-2.0</v>
      </c>
      <c r="K10" s="8" t="s">
        <v>133</v>
      </c>
      <c r="S10" s="8">
        <v>8.0</v>
      </c>
      <c r="T10" s="8">
        <v>12.0</v>
      </c>
      <c r="U10" s="8">
        <v>12.0</v>
      </c>
      <c r="V10" s="8">
        <v>-16.0</v>
      </c>
      <c r="Y10" s="8" t="s">
        <v>165</v>
      </c>
      <c r="Z10" s="8">
        <v>1.0</v>
      </c>
      <c r="AA10" s="8"/>
      <c r="AB10" s="8"/>
    </row>
    <row r="11">
      <c r="A11" s="8">
        <v>9.0</v>
      </c>
      <c r="B11" s="8">
        <v>19.0</v>
      </c>
      <c r="C11" s="8" t="s">
        <v>166</v>
      </c>
      <c r="D11" s="8">
        <v>3.0</v>
      </c>
      <c r="E11" s="8">
        <v>8.0</v>
      </c>
      <c r="F11" s="8" t="s">
        <v>167</v>
      </c>
      <c r="G11" s="8">
        <v>1320.0</v>
      </c>
      <c r="H11" s="8">
        <v>-5.0</v>
      </c>
      <c r="I11" s="8" t="s">
        <v>67</v>
      </c>
      <c r="J11" s="8">
        <v>-2.0</v>
      </c>
      <c r="K11" s="8" t="s">
        <v>125</v>
      </c>
      <c r="S11" s="8">
        <v>9.0</v>
      </c>
      <c r="T11" s="8">
        <v>15.0</v>
      </c>
      <c r="U11" s="8">
        <v>14.0</v>
      </c>
      <c r="V11" s="8">
        <v>-18.0</v>
      </c>
      <c r="Y11" s="8" t="s">
        <v>168</v>
      </c>
      <c r="Z11" s="8">
        <v>1.0</v>
      </c>
      <c r="AA11" s="8"/>
      <c r="AB11" s="8"/>
    </row>
    <row r="12">
      <c r="C12" s="8" t="s">
        <v>22</v>
      </c>
      <c r="D12" s="8">
        <v>3.5</v>
      </c>
      <c r="E12" s="8">
        <v>9.0</v>
      </c>
      <c r="F12" s="8" t="s">
        <v>169</v>
      </c>
      <c r="G12" s="8">
        <v>2640.0</v>
      </c>
      <c r="H12" s="8">
        <v>-6.0</v>
      </c>
      <c r="I12" s="8" t="s">
        <v>68</v>
      </c>
      <c r="J12" s="8">
        <v>-2.0</v>
      </c>
      <c r="K12" s="8" t="s">
        <v>125</v>
      </c>
      <c r="Y12" s="8" t="s">
        <v>170</v>
      </c>
      <c r="Z12" s="8">
        <v>1.0</v>
      </c>
      <c r="AA12" s="8"/>
      <c r="AB12" s="8"/>
    </row>
    <row r="13">
      <c r="C13" s="8" t="s">
        <v>171</v>
      </c>
      <c r="D13" s="8">
        <v>4.0</v>
      </c>
      <c r="E13" s="8">
        <v>10.0</v>
      </c>
      <c r="F13" s="8" t="s">
        <v>172</v>
      </c>
      <c r="G13" s="8">
        <v>5280.0</v>
      </c>
      <c r="H13" s="8">
        <v>-7.0</v>
      </c>
      <c r="I13" s="8" t="s">
        <v>69</v>
      </c>
      <c r="J13" s="8">
        <v>-2.0</v>
      </c>
      <c r="K13" s="8" t="s">
        <v>125</v>
      </c>
    </row>
    <row r="14">
      <c r="I14" s="8" t="s">
        <v>70</v>
      </c>
      <c r="J14" s="8">
        <v>-2.0</v>
      </c>
      <c r="K14" s="8" t="s">
        <v>133</v>
      </c>
    </row>
    <row r="15">
      <c r="I15" s="8" t="s">
        <v>71</v>
      </c>
      <c r="J15" s="8">
        <v>-2.0</v>
      </c>
      <c r="K15" s="8" t="s">
        <v>133</v>
      </c>
    </row>
    <row r="18">
      <c r="A18" s="8" t="s">
        <v>173</v>
      </c>
      <c r="B18" s="8" t="s">
        <v>174</v>
      </c>
    </row>
    <row r="19">
      <c r="A19" s="8" t="s">
        <v>175</v>
      </c>
      <c r="B19" s="8" t="s">
        <v>7</v>
      </c>
    </row>
    <row r="20">
      <c r="A20" s="8" t="s">
        <v>176</v>
      </c>
      <c r="B20" s="8" t="s">
        <v>8</v>
      </c>
    </row>
    <row r="21">
      <c r="A21" s="8" t="s">
        <v>177</v>
      </c>
      <c r="B21" s="8" t="s">
        <v>9</v>
      </c>
    </row>
    <row r="22">
      <c r="A22" s="8" t="s">
        <v>178</v>
      </c>
      <c r="B22" s="8" t="s">
        <v>10</v>
      </c>
    </row>
    <row r="23">
      <c r="A23" s="8" t="s">
        <v>179</v>
      </c>
      <c r="B23" s="8" t="s">
        <v>180</v>
      </c>
    </row>
    <row r="24">
      <c r="A24" s="8" t="s">
        <v>181</v>
      </c>
      <c r="B24" s="8" t="s">
        <v>11</v>
      </c>
    </row>
    <row r="25">
      <c r="A25" s="8" t="s">
        <v>4</v>
      </c>
      <c r="B25" s="8" t="s">
        <v>12</v>
      </c>
    </row>
    <row r="26">
      <c r="A26" s="8" t="s">
        <v>182</v>
      </c>
      <c r="B26" s="8" t="s">
        <v>13</v>
      </c>
    </row>
    <row r="27">
      <c r="B27" s="8" t="s">
        <v>14</v>
      </c>
    </row>
    <row r="28">
      <c r="B28" s="8" t="s"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3" max="3" width="17.13"/>
    <col customWidth="1" min="4" max="4" width="18.75"/>
    <col customWidth="1" min="6" max="6" width="18.75"/>
    <col customWidth="1" min="8" max="8" width="14.0"/>
    <col customWidth="1" min="10" max="10" width="24.38"/>
    <col customWidth="1" min="11" max="11" width="27.88"/>
    <col customWidth="1" min="13" max="13" width="23.88"/>
    <col customWidth="1" min="15" max="15" width="20.0"/>
    <col customWidth="1" min="18" max="18" width="18.25"/>
    <col customWidth="1" min="20" max="20" width="24.5"/>
    <col customWidth="1" min="23" max="23" width="15.75"/>
    <col customWidth="1" min="25" max="25" width="24.25"/>
    <col customWidth="1" min="28" max="28" width="17.38"/>
    <col customWidth="1" min="29" max="29" width="18.38"/>
  </cols>
  <sheetData>
    <row r="1">
      <c r="A1" s="8" t="s">
        <v>183</v>
      </c>
      <c r="D1" s="8" t="s">
        <v>184</v>
      </c>
      <c r="F1" s="8" t="s">
        <v>185</v>
      </c>
      <c r="H1" s="8" t="s">
        <v>186</v>
      </c>
      <c r="J1" s="8" t="s">
        <v>187</v>
      </c>
      <c r="M1" s="8" t="s">
        <v>188</v>
      </c>
      <c r="O1" s="8" t="s">
        <v>189</v>
      </c>
      <c r="R1" s="8" t="s">
        <v>190</v>
      </c>
      <c r="T1" s="8" t="s">
        <v>191</v>
      </c>
      <c r="W1" s="8" t="s">
        <v>192</v>
      </c>
      <c r="Y1" s="8" t="s">
        <v>193</v>
      </c>
      <c r="AB1" s="8" t="s">
        <v>194</v>
      </c>
      <c r="AC1" s="8" t="s">
        <v>195</v>
      </c>
      <c r="AF1" s="8" t="s">
        <v>196</v>
      </c>
    </row>
    <row r="2">
      <c r="A2" s="8" t="s">
        <v>18</v>
      </c>
      <c r="B2" s="15">
        <f>IF('Spell Creator'!B11=TRUE, 1, 0)</f>
        <v>1</v>
      </c>
      <c r="D2" s="15">
        <f>SUM(B2:B5)</f>
        <v>1</v>
      </c>
      <c r="F2" s="8" t="s">
        <v>117</v>
      </c>
      <c r="G2" s="15">
        <f>'Spell Creator'!B6</f>
        <v>3</v>
      </c>
      <c r="H2" s="15">
        <f>G3</f>
        <v>7</v>
      </c>
      <c r="J2" s="8" t="s">
        <v>197</v>
      </c>
      <c r="K2" s="15">
        <f>VLOOKUP('Spell Creator'!B16, References!$F$2:$H$13, 3, FALSE)</f>
        <v>0</v>
      </c>
      <c r="M2" s="15">
        <f>SUM(K2:K5)</f>
        <v>0</v>
      </c>
      <c r="O2" s="8" t="s">
        <v>198</v>
      </c>
      <c r="P2" s="15">
        <f>S20</f>
        <v>-11</v>
      </c>
      <c r="R2" s="15">
        <f>SUM(P2:P5)</f>
        <v>-13</v>
      </c>
      <c r="T2" s="8" t="s">
        <v>199</v>
      </c>
      <c r="U2" s="15">
        <f>VLOOKUP('Spell Creator'!B39, References!$AA$2:$AB$9, 2, FALSE)</f>
        <v>0</v>
      </c>
      <c r="W2" s="15">
        <f>SUM(U2:U3)</f>
        <v>0</v>
      </c>
      <c r="Y2" s="8" t="s">
        <v>200</v>
      </c>
      <c r="Z2" s="15">
        <f>IF('Spell Creator'!B44=TRUE,VLOOKUP('Spell Creator'!B45, References!$Y$6:$Z$11, 2, FALSE), 0)</f>
        <v>1</v>
      </c>
      <c r="AB2" s="15">
        <f>SUM(Z2:Z4)</f>
        <v>1</v>
      </c>
      <c r="AC2" s="8" t="s">
        <v>201</v>
      </c>
      <c r="AD2" s="15">
        <f>D2</f>
        <v>1</v>
      </c>
      <c r="AF2" s="15">
        <f>SUM(AD2:AD7)</f>
        <v>-4</v>
      </c>
    </row>
    <row r="3">
      <c r="A3" s="8" t="s">
        <v>19</v>
      </c>
      <c r="B3" s="15">
        <f>IF('Spell Creator'!B12=TRUE, 1, 0)</f>
        <v>0</v>
      </c>
      <c r="F3" s="8" t="s">
        <v>202</v>
      </c>
      <c r="G3" s="15">
        <f>VLOOKUP(G2, References!$A$2:$B$11, 2, FALSE)</f>
        <v>7</v>
      </c>
      <c r="J3" s="8" t="s">
        <v>203</v>
      </c>
      <c r="K3" s="15">
        <f>IF('Spell Creator'!B17="Multi-Target", 0, IF('Spell Creator'!C3="AOE", 0, 0))</f>
        <v>0</v>
      </c>
      <c r="O3" s="8" t="s">
        <v>204</v>
      </c>
      <c r="P3" s="15">
        <f>COUNTIF('Spell Creator'!B27:B28, TRUE) * -1</f>
        <v>0</v>
      </c>
      <c r="T3" s="8" t="s">
        <v>205</v>
      </c>
      <c r="U3" s="15">
        <f>IF('Spell Creator'!B41=TRUE, 2, 0)</f>
        <v>0</v>
      </c>
      <c r="Y3" s="8" t="s">
        <v>206</v>
      </c>
      <c r="Z3" s="15">
        <f>IF('Spell Creator'!B46 = TRUE, VLOOKUP('Spell Creator'!B47, References!$Y$6:$Z$11, 2, FALSE), 0)</f>
        <v>0</v>
      </c>
      <c r="AC3" s="8" t="s">
        <v>202</v>
      </c>
      <c r="AD3" s="15">
        <f>H2</f>
        <v>7</v>
      </c>
      <c r="AF3" s="8" t="s">
        <v>207</v>
      </c>
    </row>
    <row r="4">
      <c r="A4" s="8" t="s">
        <v>208</v>
      </c>
      <c r="B4" s="15">
        <f>IF('Spell Creator'!B13 = TRUE, VLOOKUP('Spell Creator'!B14, References!$C$2:$D$13, 2, FALSE), 0)</f>
        <v>0</v>
      </c>
      <c r="J4" s="8" t="s">
        <v>209</v>
      </c>
      <c r="K4" s="15">
        <f>IF('Spell Creator'!C3="AOE", AB5, 0)</f>
        <v>0</v>
      </c>
      <c r="O4" s="8" t="s">
        <v>210</v>
      </c>
      <c r="P4" s="15">
        <f>COUNTIF('Spell Creator'!B31:F34, TRUE) * -2</f>
        <v>0</v>
      </c>
      <c r="Y4" s="8" t="s">
        <v>211</v>
      </c>
      <c r="Z4" s="15">
        <f>IF('Spell Creator'!G4=TRUE, 1, 0)</f>
        <v>0</v>
      </c>
      <c r="AC4" s="8" t="s">
        <v>24</v>
      </c>
      <c r="AD4" s="15">
        <f>M2</f>
        <v>0</v>
      </c>
      <c r="AF4" s="15" t="str">
        <f>IF(AF2&gt;=0, "YES", "NO")</f>
        <v>NO</v>
      </c>
    </row>
    <row r="5">
      <c r="A5" s="8" t="s">
        <v>212</v>
      </c>
      <c r="B5" s="15">
        <f>IF('Spell Creator'!C14=TRUE, VLOOKUP('Spell Creator'!B14, References!$C$2:$E$13, 3, FALSE), 0)</f>
        <v>0</v>
      </c>
      <c r="J5" s="8" t="s">
        <v>213</v>
      </c>
      <c r="K5" s="15">
        <f>IF('Spell Creator'!C3="AOE", 'Spell Creator'!A2 - K4, 0)</f>
        <v>0</v>
      </c>
      <c r="O5" s="8" t="s">
        <v>214</v>
      </c>
      <c r="P5" s="15">
        <f>VLOOKUP('Spell Creator'!B36, References!$L$2:$M$8, 2, FALSE)</f>
        <v>-2</v>
      </c>
      <c r="AC5" s="8" t="s">
        <v>215</v>
      </c>
      <c r="AD5" s="15">
        <f>R2</f>
        <v>-13</v>
      </c>
    </row>
    <row r="6">
      <c r="O6" s="8" t="s">
        <v>216</v>
      </c>
      <c r="P6" s="15">
        <f>IF(OR('Spell Creator'!B22="Damage",'Spell Creator'!B22="Both"),  (COUNTIF('Spell Creator'!C22:E28,TRUE)-1)*-1,  0)</f>
        <v>-1</v>
      </c>
      <c r="AC6" s="8" t="s">
        <v>217</v>
      </c>
      <c r="AD6" s="15">
        <f>W2</f>
        <v>0</v>
      </c>
    </row>
    <row r="7">
      <c r="R7" s="8" t="s">
        <v>218</v>
      </c>
      <c r="AC7" s="8" t="s">
        <v>219</v>
      </c>
      <c r="AD7" s="15">
        <f>AB2</f>
        <v>1</v>
      </c>
    </row>
    <row r="8">
      <c r="O8" s="8" t="s">
        <v>220</v>
      </c>
      <c r="P8" s="15">
        <f>COUNTIF('Spell Creator'!B31:F35, TRUE)</f>
        <v>0</v>
      </c>
      <c r="R8" s="15" t="str">
        <f>IFERROR(__xludf.DUMMYFUNCTION("IF('Spell Creator'!B22=""Damage"",  FILTER(References!P2:P6, References!P2:P6&lt;&gt;""""),  FILTER(References!Q2:Q4, References!Q2:Q4&lt;&gt;""""))"),"d4")</f>
        <v>d4</v>
      </c>
      <c r="AC8" s="8" t="s">
        <v>221</v>
      </c>
    </row>
    <row r="9">
      <c r="O9" s="8" t="s">
        <v>58</v>
      </c>
      <c r="P9" s="15" t="str">
        <f>IF('Spell Creator'!B31=TRUE, VLOOKUP(O9, References!I2:K15, 3, FALSE), "No")</f>
        <v>No</v>
      </c>
      <c r="R9" s="15" t="str">
        <f>IFERROR(__xludf.DUMMYFUNCTION("""COMPUTED_VALUE"""),"d6")</f>
        <v>d6</v>
      </c>
      <c r="Y9" s="8" t="s">
        <v>222</v>
      </c>
    </row>
    <row r="10">
      <c r="O10" s="8" t="s">
        <v>59</v>
      </c>
      <c r="P10" s="15" t="str">
        <f>IF('Spell Creator'!D31=TRUE, VLOOKUP(O10, References!I2:K15, 3, FALSE), "No")</f>
        <v>No</v>
      </c>
      <c r="R10" s="15" t="str">
        <f>IFERROR(__xludf.DUMMYFUNCTION("""COMPUTED_VALUE"""),"d8")</f>
        <v>d8</v>
      </c>
      <c r="Y10" s="8" t="s">
        <v>223</v>
      </c>
      <c r="Z10" s="15" t="str">
        <f>'Spell Creator'!B18</f>
        <v>Sphere</v>
      </c>
    </row>
    <row r="11">
      <c r="O11" s="8" t="s">
        <v>60</v>
      </c>
      <c r="P11" s="15" t="str">
        <f>IF('Spell Creator'!F31=TRUE, VLOOKUP(O11, References!I2:K15, 3, FALSE), "No")</f>
        <v>No</v>
      </c>
      <c r="R11" s="15" t="str">
        <f>IFERROR(__xludf.DUMMYFUNCTION("""COMPUTED_VALUE"""),"d10")</f>
        <v>d10</v>
      </c>
      <c r="Y11" s="8" t="s">
        <v>224</v>
      </c>
      <c r="Z11" s="15">
        <f>'Spell Creator'!B19</f>
        <v>40</v>
      </c>
    </row>
    <row r="12">
      <c r="O12" s="8" t="s">
        <v>61</v>
      </c>
      <c r="P12" s="15" t="str">
        <f>IF('Spell Creator'!B32=TRUE, VLOOKUP(O12, References!I2:K15, 3, FALSE), "No")</f>
        <v>No</v>
      </c>
      <c r="R12" s="15" t="str">
        <f>IFERROR(__xludf.DUMMYFUNCTION("""COMPUTED_VALUE"""),"d12")</f>
        <v>d12</v>
      </c>
      <c r="Y12" s="8" t="s">
        <v>225</v>
      </c>
      <c r="Z12" s="15">
        <f>IF(AB2="","",  IF(AB2="Cube", AB3^3,  IF(AB2="Sphere", (4/3)*PI()*AB3^3,  IF(AB2="Cone", (PI()*AB3^2*AB3)/3,  IF(AB2="Cylinder", PI()*AB3^2*AB3, 0)))))</f>
        <v>0</v>
      </c>
    </row>
    <row r="13">
      <c r="O13" s="8" t="s">
        <v>62</v>
      </c>
      <c r="P13" s="15" t="str">
        <f>IF('Spell Creator'!D32=TRUE, VLOOKUP(O13, References!I2:K15, 3, FALSE), "No")</f>
        <v>No</v>
      </c>
      <c r="Y13" s="8" t="s">
        <v>209</v>
      </c>
      <c r="Z13" s="15" t="str">
        <f>IF(AB4="","",  IF(AB4&lt;=10, 0,  IF(AB4&lt;=24, 1,  IF(AB4&lt;=79, 2,  IF(AB4&lt;=199, 3,  IF(AB4&lt;=499, 4,  IF(AB4&lt;=1249, 5,  IF(AB4&lt;=2999, 6,  IF(AB4&lt;=7499, 7,  IF(AB4&lt;=19999, 8, 9))))))))))</f>
        <v/>
      </c>
    </row>
    <row r="14">
      <c r="O14" s="8" t="s">
        <v>63</v>
      </c>
      <c r="P14" s="15" t="str">
        <f>IF('Spell Creator'!F32=TRUE, VLOOKUP(O14, References!I2:K15, 3, FALSE), "No")</f>
        <v>No</v>
      </c>
      <c r="R14" s="8" t="s">
        <v>226</v>
      </c>
      <c r="S14" s="15">
        <f>'Spell Creator'!B24</f>
        <v>6</v>
      </c>
    </row>
    <row r="15">
      <c r="O15" s="8" t="s">
        <v>64</v>
      </c>
      <c r="P15" s="15" t="str">
        <f>IF('Spell Creator'!B33=TRUE, VLOOKUP(O15, References!I2:K15, 3, FALSE), "No")</f>
        <v>No</v>
      </c>
      <c r="R15" s="8" t="s">
        <v>227</v>
      </c>
      <c r="S15" s="15">
        <f>IF('Spell Creator'!B22="Damage",  COUNTIF('Spell Creator'!C22:F28,TRUE),  1)</f>
        <v>2</v>
      </c>
    </row>
    <row r="16">
      <c r="O16" s="8" t="s">
        <v>65</v>
      </c>
      <c r="P16" s="15" t="str">
        <f>IF('Spell Creator'!D33=TRUE, VLOOKUP(O16, References!I2:K15, 3, FALSE), "No")</f>
        <v>No</v>
      </c>
      <c r="R16" s="8" t="s">
        <v>228</v>
      </c>
      <c r="S16" s="15">
        <f>IF(S15&gt;0,FLOOR(S14/S15,1),0)</f>
        <v>3</v>
      </c>
    </row>
    <row r="17">
      <c r="O17" s="8" t="s">
        <v>66</v>
      </c>
      <c r="P17" s="15" t="str">
        <f>IF('Spell Creator'!F33=TRUE, VLOOKUP(O17, References!I2:K15, 3, FALSE), "No")</f>
        <v>No</v>
      </c>
      <c r="R17" s="8" t="s">
        <v>229</v>
      </c>
      <c r="S17" s="15">
        <f>IF('Spell Creator'!B25="",0,  IF('Spell Creator'!B25="d4",-1,  IF('Spell Creator'!B25="d6",-2,  IF('Spell Creator'!B25="d8",-3,  IF('Spell Creator'!B25="d10",-4,  IF('Spell Creator'!B25="d12",-5,0))))))</f>
        <v>-4</v>
      </c>
    </row>
    <row r="18">
      <c r="O18" s="8" t="s">
        <v>67</v>
      </c>
      <c r="P18" s="15" t="str">
        <f>IF('Spell Creator'!B34=TRUE, VLOOKUP(O18, References!I2:K15, 3, FALSE), "No")</f>
        <v>No</v>
      </c>
      <c r="R18" s="8" t="s">
        <v>230</v>
      </c>
      <c r="S18" s="15">
        <f>VLOOKUP('Spell Creator'!B6,References!S2:V11,4,FALSE)</f>
        <v>-6</v>
      </c>
    </row>
    <row r="19">
      <c r="O19" s="8" t="s">
        <v>68</v>
      </c>
      <c r="P19" s="15" t="str">
        <f>IF('Spell Creator'!D34=TRUE, VLOOKUP(O19, References!I2:K15, 3, FALSE), "No")</f>
        <v>No</v>
      </c>
      <c r="R19" s="8" t="s">
        <v>231</v>
      </c>
      <c r="S19" s="15">
        <f>IF(S15&gt;1,(S15-1)*-1,0)</f>
        <v>-1</v>
      </c>
    </row>
    <row r="20">
      <c r="O20" s="8" t="s">
        <v>69</v>
      </c>
      <c r="P20" s="15" t="str">
        <f>IF('Spell Creator'!F34=TRUE, VLOOKUP(O20, References!I2:K15, 3, FALSE), "No")</f>
        <v>No</v>
      </c>
      <c r="R20" s="8" t="s">
        <v>232</v>
      </c>
      <c r="S20" s="15">
        <f>SUM(S17:S19)</f>
        <v>-11</v>
      </c>
    </row>
    <row r="21">
      <c r="O21" s="8" t="s">
        <v>70</v>
      </c>
      <c r="P21" s="15" t="str">
        <f>IF('Spell Creator'!B35=TRUE, VLOOKUP(O21, References!I2:K15, 3, FALSE), "No")</f>
        <v>No</v>
      </c>
    </row>
    <row r="22">
      <c r="O22" s="8" t="s">
        <v>71</v>
      </c>
      <c r="P22" s="15" t="str">
        <f>IF('Spell Creator'!D35=TRUE, VLOOKUP(O22, References!I2:K15, 3, FALSE), "No")</f>
        <v>No</v>
      </c>
    </row>
    <row r="23">
      <c r="O23" s="8" t="s">
        <v>205</v>
      </c>
      <c r="P23" s="15" t="str">
        <f>IF(AND(COUNTIF(P9:P22, "Yes")&gt;0, OR('Spell Creator'!B36="1 minute",  'Spell Creator'!B36="10 minutes",  'Spell Creator'!B36="1 hour",  'Spell Creator'!B36="8 hours",  'Spell Creator'!B36="24 hours")),  "Required", "Not Required")</f>
        <v>Not Required</v>
      </c>
    </row>
  </sheetData>
  <drawing r:id="rId1"/>
</worksheet>
</file>