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"/>
    </mc:Choice>
  </mc:AlternateContent>
  <xr:revisionPtr revIDLastSave="0" documentId="13_ncr:1_{52DFA85E-5964-45D2-AB18-5CE5203EA5B5}" xr6:coauthVersionLast="47" xr6:coauthVersionMax="47" xr10:uidLastSave="{00000000-0000-0000-0000-000000000000}"/>
  <bookViews>
    <workbookView xWindow="-108" yWindow="-108" windowWidth="23256" windowHeight="12456" activeTab="3" xr2:uid="{7674F113-A605-430F-96C6-B052F47C0354}"/>
  </bookViews>
  <sheets>
    <sheet name="tiota" sheetId="3" r:id="rId1"/>
    <sheet name="שלב 1" sheetId="4" r:id="rId2"/>
    <sheet name="שלב 2" sheetId="5" r:id="rId3"/>
    <sheet name="שלב 3" sheetId="7" r:id="rId4"/>
  </sheets>
  <definedNames>
    <definedName name="_xlnm._FilterDatabase" localSheetId="2" hidden="1">'שלב 2'!$T$2:$T$52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7" l="1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2" i="7"/>
  <c r="V3" i="7"/>
  <c r="V4" i="7"/>
  <c r="V5" i="7"/>
  <c r="V6" i="7"/>
  <c r="V7" i="7"/>
  <c r="V8" i="7"/>
  <c r="V9" i="7"/>
  <c r="V10" i="7"/>
  <c r="J10" i="7" s="1"/>
  <c r="V11" i="7"/>
  <c r="V12" i="7"/>
  <c r="V13" i="7"/>
  <c r="V14" i="7"/>
  <c r="J14" i="7" s="1"/>
  <c r="V15" i="7"/>
  <c r="J15" i="7" s="1"/>
  <c r="V16" i="7"/>
  <c r="V17" i="7"/>
  <c r="V18" i="7"/>
  <c r="J18" i="7" s="1"/>
  <c r="V19" i="7"/>
  <c r="V20" i="7"/>
  <c r="V21" i="7"/>
  <c r="V22" i="7"/>
  <c r="V23" i="7"/>
  <c r="V24" i="7"/>
  <c r="V25" i="7"/>
  <c r="V26" i="7"/>
  <c r="J26" i="7" s="1"/>
  <c r="V27" i="7"/>
  <c r="V28" i="7"/>
  <c r="V29" i="7"/>
  <c r="V30" i="7"/>
  <c r="V31" i="7"/>
  <c r="V32" i="7"/>
  <c r="V33" i="7"/>
  <c r="J33" i="7" s="1"/>
  <c r="V34" i="7"/>
  <c r="J34" i="7" s="1"/>
  <c r="V35" i="7"/>
  <c r="V36" i="7"/>
  <c r="V37" i="7"/>
  <c r="V38" i="7"/>
  <c r="J38" i="7" s="1"/>
  <c r="V39" i="7"/>
  <c r="J39" i="7" s="1"/>
  <c r="V40" i="7"/>
  <c r="V41" i="7"/>
  <c r="V42" i="7"/>
  <c r="J42" i="7" s="1"/>
  <c r="V43" i="7"/>
  <c r="V44" i="7"/>
  <c r="V45" i="7"/>
  <c r="V46" i="7"/>
  <c r="V47" i="7"/>
  <c r="V48" i="7"/>
  <c r="V49" i="7"/>
  <c r="V50" i="7"/>
  <c r="J50" i="7" s="1"/>
  <c r="V51" i="7"/>
  <c r="V52" i="7"/>
  <c r="V2" i="7"/>
  <c r="J8" i="7"/>
  <c r="J9" i="7"/>
  <c r="J32" i="7"/>
  <c r="J48" i="7"/>
  <c r="J49" i="7"/>
  <c r="J52" i="7"/>
  <c r="J3" i="7"/>
  <c r="J4" i="7"/>
  <c r="J5" i="7"/>
  <c r="J6" i="7"/>
  <c r="J7" i="7"/>
  <c r="J11" i="7"/>
  <c r="J12" i="7"/>
  <c r="J13" i="7"/>
  <c r="J19" i="7"/>
  <c r="J20" i="7"/>
  <c r="J21" i="7"/>
  <c r="J22" i="7"/>
  <c r="J23" i="7"/>
  <c r="J27" i="7"/>
  <c r="J28" i="7"/>
  <c r="J29" i="7"/>
  <c r="J30" i="7"/>
  <c r="J31" i="7"/>
  <c r="J35" i="7"/>
  <c r="J36" i="7"/>
  <c r="J37" i="7"/>
  <c r="J43" i="7"/>
  <c r="J44" i="7"/>
  <c r="J45" i="7"/>
  <c r="J46" i="7"/>
  <c r="J47" i="7"/>
  <c r="J51" i="7"/>
  <c r="Q8" i="7" a="1"/>
  <c r="Q8" i="7" s="1"/>
  <c r="P8" i="7" a="1"/>
  <c r="P8" i="7" s="1"/>
  <c r="O8" i="7" a="1"/>
  <c r="O8" i="7" s="1"/>
  <c r="N8" i="7" a="1"/>
  <c r="N8" i="7" s="1"/>
  <c r="M8" i="7" a="1"/>
  <c r="M8" i="7" s="1"/>
  <c r="R5" i="7"/>
  <c r="R4" i="7"/>
  <c r="R3" i="7"/>
  <c r="R2" i="7"/>
  <c r="L8" i="5" a="1"/>
  <c r="L8" i="5" s="1"/>
  <c r="M8" i="5" a="1"/>
  <c r="M8" i="5" s="1"/>
  <c r="N8" i="5" a="1"/>
  <c r="N8" i="5" s="1"/>
  <c r="O8" i="5" a="1"/>
  <c r="O8" i="5" s="1"/>
  <c r="P8" i="5" a="1"/>
  <c r="P8" i="5" s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2" i="5"/>
  <c r="G3" i="5"/>
  <c r="H2" i="5"/>
  <c r="P7" i="5" a="1"/>
  <c r="P7" i="5" s="1"/>
  <c r="T5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2" i="5"/>
  <c r="H4" i="4"/>
  <c r="H5" i="4" s="1"/>
  <c r="Q5" i="5"/>
  <c r="Q4" i="5"/>
  <c r="Q3" i="5"/>
  <c r="Q2" i="5"/>
  <c r="I2" i="4"/>
  <c r="I3" i="4"/>
  <c r="I4" i="4"/>
  <c r="H2" i="4"/>
  <c r="G16" i="4"/>
  <c r="P10" i="4" a="1"/>
  <c r="P10" i="4" s="1"/>
  <c r="P9" i="4" a="1"/>
  <c r="P9" i="4" s="1"/>
  <c r="P8" i="4" a="1"/>
  <c r="P8" i="4" s="1"/>
  <c r="P7" i="4" a="1"/>
  <c r="P7" i="4" s="1"/>
  <c r="O10" i="4" a="1"/>
  <c r="O10" i="4" s="1"/>
  <c r="O9" i="4" a="1"/>
  <c r="O9" i="4" s="1"/>
  <c r="O8" i="4" a="1"/>
  <c r="O8" i="4" s="1"/>
  <c r="O7" i="4" a="1"/>
  <c r="O7" i="4" s="1"/>
  <c r="N10" i="4" a="1"/>
  <c r="N10" i="4" s="1"/>
  <c r="N9" i="4" a="1"/>
  <c r="N9" i="4" s="1"/>
  <c r="N8" i="4" a="1"/>
  <c r="N8" i="4" s="1"/>
  <c r="N7" i="4" a="1"/>
  <c r="N7" i="4" s="1"/>
  <c r="M10" i="4" a="1"/>
  <c r="M10" i="4" s="1"/>
  <c r="M9" i="4" a="1"/>
  <c r="M9" i="4" s="1"/>
  <c r="M8" i="4" a="1"/>
  <c r="M8" i="4" s="1"/>
  <c r="M7" i="4" a="1"/>
  <c r="M7" i="4" s="1"/>
  <c r="L10" i="4" a="1"/>
  <c r="L10" i="4" s="1"/>
  <c r="L9" i="4" a="1"/>
  <c r="L9" i="4" s="1"/>
  <c r="L8" i="4" a="1"/>
  <c r="L8" i="4" s="1"/>
  <c r="L7" i="4" a="1"/>
  <c r="L7" i="4" s="1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T27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Q5" i="4"/>
  <c r="G5" i="4"/>
  <c r="Q4" i="4"/>
  <c r="G4" i="4"/>
  <c r="Q3" i="4"/>
  <c r="G3" i="4"/>
  <c r="Q2" i="4"/>
  <c r="G2" i="4"/>
  <c r="J18" i="3" a="1"/>
  <c r="J18" i="3"/>
  <c r="O10" i="3" a="1"/>
  <c r="O10" i="3" s="1"/>
  <c r="N10" i="3" a="1"/>
  <c r="N10" i="3" s="1"/>
  <c r="M10" i="3" a="1"/>
  <c r="M10" i="3" s="1"/>
  <c r="L10" i="3" a="1"/>
  <c r="L10" i="3" s="1"/>
  <c r="N9" i="3" a="1"/>
  <c r="N9" i="3" s="1"/>
  <c r="O9" i="3" a="1"/>
  <c r="O9" i="3" s="1"/>
  <c r="M9" i="3" a="1"/>
  <c r="M9" i="3" s="1"/>
  <c r="L9" i="3" a="1"/>
  <c r="L9" i="3" s="1"/>
  <c r="O8" i="3" a="1"/>
  <c r="O8" i="3" s="1"/>
  <c r="N8" i="3" a="1"/>
  <c r="N8" i="3" s="1"/>
  <c r="L8" i="3" a="1"/>
  <c r="L8" i="3" s="1"/>
  <c r="M8" i="3" a="1"/>
  <c r="M8" i="3" s="1"/>
  <c r="K8" i="3" a="1"/>
  <c r="K8" i="3" s="1"/>
  <c r="O7" i="3" a="1"/>
  <c r="O7" i="3" s="1"/>
  <c r="O12" i="3" s="1"/>
  <c r="N7" i="3" a="1"/>
  <c r="N7" i="3" s="1"/>
  <c r="N12" i="3" s="1"/>
  <c r="M7" i="3" a="1"/>
  <c r="M7" i="3" s="1"/>
  <c r="L7" i="3" a="1"/>
  <c r="L7" i="3" s="1"/>
  <c r="L12" i="3" s="1"/>
  <c r="P6" i="3"/>
  <c r="K10" i="3" a="1"/>
  <c r="K10" i="3" s="1"/>
  <c r="K9" i="3" a="1"/>
  <c r="K9" i="3" s="1"/>
  <c r="K7" i="3" a="1"/>
  <c r="K7" i="3" s="1"/>
  <c r="L21" i="3"/>
  <c r="G3" i="3"/>
  <c r="H3" i="3" s="1"/>
  <c r="G2" i="3"/>
  <c r="H2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P2" i="3"/>
  <c r="S27" i="3"/>
  <c r="P5" i="3"/>
  <c r="P4" i="3"/>
  <c r="P3" i="3"/>
  <c r="L24" i="3"/>
  <c r="L23" i="3"/>
  <c r="L22" i="3"/>
  <c r="J25" i="7" l="1"/>
  <c r="J41" i="7"/>
  <c r="J40" i="7"/>
  <c r="J17" i="7"/>
  <c r="J16" i="7"/>
  <c r="J24" i="7"/>
  <c r="J2" i="7"/>
  <c r="G40" i="7"/>
  <c r="G23" i="7"/>
  <c r="G16" i="7"/>
  <c r="G38" i="7"/>
  <c r="G21" i="7"/>
  <c r="G15" i="7"/>
  <c r="G48" i="7"/>
  <c r="G34" i="7"/>
  <c r="G52" i="7"/>
  <c r="G29" i="7"/>
  <c r="G46" i="7"/>
  <c r="G6" i="7"/>
  <c r="G8" i="7"/>
  <c r="G7" i="7"/>
  <c r="G5" i="7"/>
  <c r="G10" i="7"/>
  <c r="G31" i="7"/>
  <c r="G49" i="7"/>
  <c r="G9" i="7"/>
  <c r="G39" i="7"/>
  <c r="G3" i="7"/>
  <c r="G11" i="7"/>
  <c r="G33" i="7"/>
  <c r="G18" i="7"/>
  <c r="G2" i="7"/>
  <c r="H2" i="7" s="1"/>
  <c r="G22" i="7"/>
  <c r="G17" i="7"/>
  <c r="G30" i="7"/>
  <c r="G35" i="7"/>
  <c r="G4" i="7"/>
  <c r="G42" i="7"/>
  <c r="G41" i="7"/>
  <c r="G37" i="7"/>
  <c r="G26" i="7"/>
  <c r="G50" i="7"/>
  <c r="G51" i="7"/>
  <c r="G44" i="7"/>
  <c r="G12" i="7"/>
  <c r="G25" i="7"/>
  <c r="G32" i="7"/>
  <c r="G13" i="7"/>
  <c r="G43" i="7"/>
  <c r="G19" i="7"/>
  <c r="G47" i="7"/>
  <c r="G28" i="7"/>
  <c r="G45" i="7"/>
  <c r="G36" i="7"/>
  <c r="G20" i="7"/>
  <c r="G27" i="7"/>
  <c r="G14" i="7"/>
  <c r="P7" i="7" a="1"/>
  <c r="P7" i="7" s="1"/>
  <c r="G24" i="7"/>
  <c r="M7" i="7" a="1"/>
  <c r="M7" i="7" s="1"/>
  <c r="N7" i="7" a="1"/>
  <c r="N7" i="7" s="1"/>
  <c r="O7" i="7" a="1"/>
  <c r="O7" i="7" s="1"/>
  <c r="Q7" i="7" a="1"/>
  <c r="Q7" i="7" s="1"/>
  <c r="I5" i="4"/>
  <c r="H6" i="4"/>
  <c r="N7" i="5" a="1"/>
  <c r="N7" i="5" s="1"/>
  <c r="O7" i="5" a="1"/>
  <c r="O7" i="5" s="1"/>
  <c r="L7" i="5" a="1"/>
  <c r="L7" i="5" s="1"/>
  <c r="M7" i="5" a="1"/>
  <c r="M7" i="5" s="1"/>
  <c r="M12" i="4"/>
  <c r="N12" i="4"/>
  <c r="L12" i="4"/>
  <c r="P12" i="4"/>
  <c r="O12" i="4"/>
  <c r="M12" i="3"/>
  <c r="K12" i="3"/>
  <c r="L26" i="3"/>
  <c r="L15" i="7" l="1"/>
  <c r="I6" i="4"/>
  <c r="H7" i="4"/>
  <c r="K15" i="5"/>
  <c r="K15" i="4"/>
  <c r="J15" i="3"/>
  <c r="I7" i="4" l="1"/>
  <c r="H8" i="4"/>
  <c r="H3" i="4"/>
  <c r="I8" i="4" l="1"/>
  <c r="H9" i="4"/>
  <c r="I2" i="5"/>
  <c r="I9" i="4" l="1"/>
  <c r="H10" i="4"/>
  <c r="H11" i="4" l="1"/>
  <c r="I10" i="4"/>
  <c r="H12" i="4" l="1"/>
  <c r="I11" i="4"/>
  <c r="I12" i="4" l="1"/>
  <c r="H13" i="4"/>
  <c r="I13" i="4" l="1"/>
  <c r="H14" i="4"/>
  <c r="I14" i="4" l="1"/>
  <c r="H15" i="4"/>
  <c r="I15" i="4" l="1"/>
  <c r="H16" i="4"/>
  <c r="I16" i="4" l="1"/>
  <c r="H17" i="4"/>
  <c r="I17" i="4" l="1"/>
  <c r="H18" i="4"/>
  <c r="I18" i="4" l="1"/>
  <c r="H19" i="4"/>
  <c r="H20" i="4" l="1"/>
  <c r="I19" i="4"/>
  <c r="I20" i="4" l="1"/>
  <c r="H21" i="4"/>
  <c r="I21" i="4" l="1"/>
  <c r="H22" i="4"/>
  <c r="I22" i="4" l="1"/>
  <c r="H23" i="4"/>
  <c r="I23" i="4" l="1"/>
  <c r="H24" i="4"/>
  <c r="I24" i="4" l="1"/>
  <c r="H25" i="4"/>
  <c r="I25" i="4" l="1"/>
  <c r="H26" i="4"/>
  <c r="H27" i="4" l="1"/>
  <c r="I26" i="4"/>
  <c r="H28" i="4" l="1"/>
  <c r="I27" i="4"/>
  <c r="H29" i="4" l="1"/>
  <c r="I28" i="4"/>
  <c r="I29" i="4" l="1"/>
  <c r="H30" i="4"/>
  <c r="I30" i="4" l="1"/>
  <c r="H31" i="4"/>
  <c r="I31" i="4" l="1"/>
  <c r="H32" i="4"/>
  <c r="I32" i="4" l="1"/>
  <c r="H33" i="4"/>
  <c r="I33" i="4" l="1"/>
  <c r="H34" i="4"/>
  <c r="H35" i="4" l="1"/>
  <c r="I34" i="4"/>
  <c r="H36" i="4" l="1"/>
  <c r="I35" i="4"/>
  <c r="I36" i="4" l="1"/>
  <c r="H37" i="4"/>
  <c r="I37" i="4" l="1"/>
  <c r="H38" i="4"/>
  <c r="I38" i="4" l="1"/>
  <c r="H39" i="4"/>
  <c r="I39" i="4" l="1"/>
  <c r="H40" i="4"/>
  <c r="I40" i="4" l="1"/>
  <c r="H41" i="4"/>
  <c r="H42" i="4" l="1"/>
  <c r="I41" i="4"/>
  <c r="H43" i="4" l="1"/>
  <c r="I42" i="4"/>
  <c r="H44" i="4" l="1"/>
  <c r="I43" i="4"/>
  <c r="I44" i="4" l="1"/>
  <c r="H45" i="4"/>
  <c r="I45" i="4" l="1"/>
  <c r="H46" i="4"/>
  <c r="I46" i="4" l="1"/>
  <c r="H47" i="4"/>
  <c r="I47" i="4" l="1"/>
  <c r="H48" i="4"/>
  <c r="I48" i="4" l="1"/>
  <c r="H49" i="4"/>
  <c r="H50" i="4" l="1"/>
  <c r="I49" i="4"/>
  <c r="H51" i="4" l="1"/>
  <c r="I50" i="4"/>
  <c r="H52" i="4" l="1"/>
  <c r="I52" i="4" s="1"/>
  <c r="K18" i="4" s="1" a="1"/>
  <c r="K18" i="4" s="1"/>
  <c r="I51" i="4"/>
  <c r="H3" i="5"/>
  <c r="I3" i="5" s="1"/>
  <c r="H4" i="5" l="1"/>
  <c r="H5" i="5" l="1"/>
  <c r="I4" i="5"/>
  <c r="I5" i="5" l="1"/>
  <c r="H6" i="5"/>
  <c r="I6" i="5" l="1"/>
  <c r="H7" i="5"/>
  <c r="I7" i="5" l="1"/>
  <c r="H8" i="5"/>
  <c r="H9" i="5" l="1"/>
  <c r="I8" i="5"/>
  <c r="I9" i="5" l="1"/>
  <c r="H10" i="5"/>
  <c r="I10" i="5" l="1"/>
  <c r="H11" i="5"/>
  <c r="I11" i="5" l="1"/>
  <c r="H12" i="5"/>
  <c r="H13" i="5" l="1"/>
  <c r="I12" i="5"/>
  <c r="I13" i="5" l="1"/>
  <c r="H14" i="5"/>
  <c r="I14" i="5" l="1"/>
  <c r="H15" i="5"/>
  <c r="I15" i="5" l="1"/>
  <c r="H16" i="5"/>
  <c r="H17" i="5" l="1"/>
  <c r="I16" i="5"/>
  <c r="I17" i="5" l="1"/>
  <c r="H18" i="5"/>
  <c r="I18" i="5" l="1"/>
  <c r="H19" i="5"/>
  <c r="I19" i="5" l="1"/>
  <c r="H20" i="5"/>
  <c r="H21" i="5" l="1"/>
  <c r="I20" i="5"/>
  <c r="I21" i="5" l="1"/>
  <c r="H22" i="5"/>
  <c r="I22" i="5" l="1"/>
  <c r="H23" i="5"/>
  <c r="I23" i="5" l="1"/>
  <c r="H24" i="5"/>
  <c r="H25" i="5" l="1"/>
  <c r="I24" i="5"/>
  <c r="I25" i="5" l="1"/>
  <c r="H26" i="5"/>
  <c r="I26" i="5" l="1"/>
  <c r="H27" i="5"/>
  <c r="I27" i="5" l="1"/>
  <c r="H28" i="5"/>
  <c r="H29" i="5" l="1"/>
  <c r="I28" i="5"/>
  <c r="I29" i="5" l="1"/>
  <c r="H30" i="5"/>
  <c r="I30" i="5" l="1"/>
  <c r="H31" i="5"/>
  <c r="I31" i="5" l="1"/>
  <c r="H32" i="5"/>
  <c r="H33" i="5" l="1"/>
  <c r="I32" i="5"/>
  <c r="I33" i="5" l="1"/>
  <c r="H34" i="5"/>
  <c r="I34" i="5" l="1"/>
  <c r="H35" i="5"/>
  <c r="I35" i="5" l="1"/>
  <c r="H36" i="5"/>
  <c r="H37" i="5" l="1"/>
  <c r="I36" i="5"/>
  <c r="I37" i="5" l="1"/>
  <c r="H38" i="5"/>
  <c r="I38" i="5" l="1"/>
  <c r="H39" i="5"/>
  <c r="H40" i="5" l="1"/>
  <c r="I39" i="5"/>
  <c r="H41" i="5" l="1"/>
  <c r="I40" i="5"/>
  <c r="I41" i="5" l="1"/>
  <c r="H42" i="5"/>
  <c r="I42" i="5" l="1"/>
  <c r="H43" i="5"/>
  <c r="I43" i="5" l="1"/>
  <c r="H44" i="5"/>
  <c r="H45" i="5" l="1"/>
  <c r="I44" i="5"/>
  <c r="I45" i="5" l="1"/>
  <c r="H46" i="5"/>
  <c r="I46" i="5" l="1"/>
  <c r="H47" i="5"/>
  <c r="I47" i="5" l="1"/>
  <c r="H48" i="5"/>
  <c r="H49" i="5" l="1"/>
  <c r="I48" i="5"/>
  <c r="I49" i="5" l="1"/>
  <c r="H50" i="5"/>
  <c r="I50" i="5" l="1"/>
  <c r="H51" i="5"/>
  <c r="I51" i="5" l="1"/>
  <c r="H52" i="5"/>
  <c r="I52" i="5" s="1"/>
  <c r="K18" i="5" s="1" a="1"/>
  <c r="K18" i="5" s="1"/>
  <c r="H3" i="7" l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I3" i="7" l="1"/>
  <c r="H44" i="7"/>
  <c r="I43" i="7"/>
  <c r="I4" i="7"/>
  <c r="I2" i="7"/>
  <c r="H45" i="7" l="1"/>
  <c r="I44" i="7"/>
  <c r="I5" i="7"/>
  <c r="H46" i="7" l="1"/>
  <c r="I45" i="7"/>
  <c r="I6" i="7"/>
  <c r="H47" i="7" l="1"/>
  <c r="I46" i="7"/>
  <c r="I7" i="7"/>
  <c r="H48" i="7" l="1"/>
  <c r="I47" i="7"/>
  <c r="I8" i="7"/>
  <c r="H49" i="7" l="1"/>
  <c r="I48" i="7"/>
  <c r="I10" i="7"/>
  <c r="I9" i="7"/>
  <c r="I12" i="7"/>
  <c r="I14" i="7"/>
  <c r="I15" i="7"/>
  <c r="I13" i="7"/>
  <c r="I11" i="7"/>
  <c r="H50" i="7" l="1"/>
  <c r="I49" i="7"/>
  <c r="I17" i="7"/>
  <c r="I16" i="7"/>
  <c r="H51" i="7" l="1"/>
  <c r="I50" i="7"/>
  <c r="I18" i="7"/>
  <c r="H52" i="7" l="1"/>
  <c r="I52" i="7" s="1"/>
  <c r="I51" i="7"/>
  <c r="I19" i="7"/>
  <c r="I20" i="7" l="1"/>
  <c r="I21" i="7" l="1"/>
  <c r="I22" i="7" l="1"/>
  <c r="I23" i="7" l="1"/>
  <c r="I24" i="7" l="1"/>
  <c r="I25" i="7" l="1"/>
  <c r="I26" i="7" l="1"/>
  <c r="I27" i="7" l="1"/>
  <c r="I28" i="7" l="1"/>
  <c r="I29" i="7" l="1"/>
  <c r="I30" i="7" l="1"/>
  <c r="I31" i="7" l="1"/>
  <c r="I32" i="7" l="1"/>
  <c r="I33" i="7" l="1"/>
  <c r="I34" i="7" l="1"/>
  <c r="I35" i="7" l="1"/>
  <c r="I36" i="7" l="1"/>
  <c r="I37" i="7" l="1"/>
  <c r="I38" i="7" l="1"/>
  <c r="I39" i="7" l="1"/>
  <c r="I40" i="7" l="1"/>
  <c r="I41" i="7" l="1"/>
  <c r="I42" i="7"/>
  <c r="L18" i="7" s="1" a="1"/>
  <c r="L1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<sst xmlns="http://schemas.openxmlformats.org/spreadsheetml/2006/main" count="523" uniqueCount="43">
  <si>
    <t>מוצר</t>
  </si>
  <si>
    <t>כמות</t>
  </si>
  <si>
    <t>תאריך יעד לאספקה</t>
  </si>
  <si>
    <t>צבע</t>
  </si>
  <si>
    <t>מוצר A</t>
  </si>
  <si>
    <t>מוצר B</t>
  </si>
  <si>
    <t>מוצר C</t>
  </si>
  <si>
    <t>מוצר D</t>
  </si>
  <si>
    <t>A</t>
  </si>
  <si>
    <t>B</t>
  </si>
  <si>
    <t>C</t>
  </si>
  <si>
    <t>D</t>
  </si>
  <si>
    <t>תחנה 2: כיפוף</t>
  </si>
  <si>
    <t>תחנה 1: ניקוב</t>
  </si>
  <si>
    <t>תחנה 3: ניקוי</t>
  </si>
  <si>
    <t>תחנה 4: צביעה</t>
  </si>
  <si>
    <t>תחנה 5: הרכבה</t>
  </si>
  <si>
    <t xml:space="preserve">Set-Up </t>
  </si>
  <si>
    <t>Hours</t>
  </si>
  <si>
    <t>שחור</t>
  </si>
  <si>
    <t>אדום</t>
  </si>
  <si>
    <t>צהוב</t>
  </si>
  <si>
    <t>לבן</t>
  </si>
  <si>
    <t>מס_סידורי</t>
  </si>
  <si>
    <t>סה"כ</t>
  </si>
  <si>
    <t>סה"כ כמות</t>
  </si>
  <si>
    <t>MinutsInWeek</t>
  </si>
  <si>
    <t>OTD</t>
  </si>
  <si>
    <t>תאריך התחלה</t>
  </si>
  <si>
    <t>זמן ייצור</t>
  </si>
  <si>
    <t>סה"כ זמן למוצר</t>
  </si>
  <si>
    <t>תאריך אספקה בפועל</t>
  </si>
  <si>
    <t>מס' מנות</t>
  </si>
  <si>
    <t>סה"כ עומס לתחנה:</t>
  </si>
  <si>
    <t xml:space="preserve">צוואר הבקבוק </t>
  </si>
  <si>
    <t>תחנה מס'</t>
  </si>
  <si>
    <t>זמן מצטבר</t>
  </si>
  <si>
    <t>Column1</t>
  </si>
  <si>
    <t>שינוי מוצר</t>
  </si>
  <si>
    <t>BUFFER</t>
  </si>
  <si>
    <t>דגל שינוי מוצר</t>
  </si>
  <si>
    <t>זמן יחידה בהרכבה</t>
  </si>
  <si>
    <t>זמן ההרכבה להזמנה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</si>
</sst>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0" xfId="0" applyNumberFormat="1"/>
    <xf numFmtId="0" fontId="0" fillId="0" borderId="18" xfId="0" applyBorder="1" applyAlignment="1">
      <alignment horizontal="center" vertical="center"/>
    </xf>
    <xf numFmtId="0" fontId="0" fillId="3" borderId="2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4" borderId="22" xfId="0" applyFill="1" applyBorder="1"/>
    <xf numFmtId="0" fontId="0" fillId="5" borderId="0" xfId="0" applyFill="1"/>
  </cellXfs>
  <cellStyles count="1">
    <cellStyle name="Normal" xfId="0" builtinId="0"/>
  </cellStyles>
  <dxfs count="58">
    <dxf>
      <numFmt numFmtId="19" formatCode="dd/mm/yy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"/>
    </dxf>
    <dxf>
      <numFmt numFmtId="0" formatCode="General"/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"/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"/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numFmt numFmtId="0" formatCode="General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1996E-3107-463C-AA6C-98B4B9BFD89D}" name="טבלה2" displayName="טבלה2" ref="A1:H52" totalsRowShown="0" headerRowDxfId="57">
  <autoFilter ref="A1:H52" xr:uid="{3D51996E-3107-463C-AA6C-98B4B9BFD89D}"/>
  <sortState xmlns:xlrd2="http://schemas.microsoft.com/office/spreadsheetml/2017/richdata2" ref="A2:F52">
    <sortCondition ref="A1:A52"/>
  </sortState>
  <tableColumns count="8">
    <tableColumn id="1" xr3:uid="{18EEB45B-13CC-4D2E-A1A5-4A69D3474CE7}" name="מס_סידורי"/>
    <tableColumn id="2" xr3:uid="{37EF5C7D-63FF-4506-88ED-93B3AA2B06DA}" name="מוצר"/>
    <tableColumn id="3" xr3:uid="{4395F17F-4B5A-4E92-85D3-98DFCEE5AF9D}" name="כמות"/>
    <tableColumn id="7" xr3:uid="{A468D33E-2928-4BC0-9FA2-D615D49BB3F8}" name="תאריך התחלה"/>
    <tableColumn id="4" xr3:uid="{CFF5136B-CE7A-445A-BC55-C5F725971E8B}" name="תאריך יעד לאספקה" dataDxfId="56"/>
    <tableColumn id="5" xr3:uid="{FC8EF7F1-976B-4371-B989-95A4C293F353}" name="צבע"/>
    <tableColumn id="8" xr3:uid="{A719ED67-F6F2-4440-8804-4E8ABA56AE11}" name="זמן ייצור" dataDxfId="55">
      <calculatedColumnFormula>VLOOKUP(RIGHT(B2,1), {"A",43;"B",42;"C",50;"D",45}, 2, FALSE) * C2 + 50</calculatedColumnFormula>
    </tableColumn>
    <tableColumn id="9" xr3:uid="{52A6A7EC-D59D-4A5A-93E1-70954AD3883D}" name="תאריך אספקה בפועל" dataDxfId="54">
      <calculatedColumnFormula xml:space="preserve"> D2 + (G2 / 1440)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3A449C-D9DD-4CDE-837D-7A221B536B92}" name="טבלה4" displayName="טבלה4" ref="K20:M26" totalsRowShown="0" headerRowDxfId="53">
  <autoFilter ref="K20:M26" xr:uid="{3D3A449C-D9DD-4CDE-837D-7A221B536B92}"/>
  <tableColumns count="3">
    <tableColumn id="1" xr3:uid="{7D2EA9A1-C2D9-4E5E-93B6-DEB79CCBEB7F}" name="מוצר"/>
    <tableColumn id="2" xr3:uid="{44EA54CD-67B5-4E1B-B8E4-62C7BF2F374E}" name="סה&quot;כ כמות"/>
    <tableColumn id="3" xr3:uid="{0E764B2C-77FD-4D9C-B397-AE33F4DF58DB}" name="מס' מנות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CBB101-ED08-4117-9B7A-024153764FF9}" name="טבלה6" displayName="טבלה6" ref="J1:P6" totalsRowShown="0" headerRowDxfId="51" dataDxfId="50" tableBorderDxfId="49">
  <autoFilter ref="J1:P6" xr:uid="{48CBB101-ED08-4117-9B7A-024153764FF9}"/>
  <tableColumns count="7">
    <tableColumn id="1" xr3:uid="{373D3D22-7A8A-4BD1-A6B2-F9828C95BE11}" name="מוצר" dataDxfId="48"/>
    <tableColumn id="2" xr3:uid="{8E076F1A-FC9E-412F-8DD5-5EFD44B7D01F}" name="תחנה 1: ניקוב" dataDxfId="47"/>
    <tableColumn id="3" xr3:uid="{E13850EC-C030-4BCD-A0C0-740DDEC29813}" name="תחנה 2: כיפוף" dataDxfId="46"/>
    <tableColumn id="4" xr3:uid="{CA978F90-E3C1-4935-AC66-8F9F821B2147}" name="תחנה 3: ניקוי" dataDxfId="45"/>
    <tableColumn id="5" xr3:uid="{7A6D1D12-B68F-4405-8EED-FFC79B01BE25}" name="תחנה 4: צביעה" dataDxfId="44"/>
    <tableColumn id="6" xr3:uid="{BA39A533-A318-48C0-A02B-398131D99C33}" name="תחנה 5: הרכבה" dataDxfId="43"/>
    <tableColumn id="7" xr3:uid="{5D74619E-957F-4FF9-BE29-93ABE623749E}" name="סה&quot;כ זמן למוצר">
      <calculatedColumnFormula>SUM(K2:O2)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2C341A-DC3E-40F6-8EDC-7BF768FA64AB}" name="טבלה28" displayName="טבלה28" ref="A1:I52" totalsRowShown="0" headerRowDxfId="42">
  <autoFilter ref="A1:I52" xr:uid="{3D51996E-3107-463C-AA6C-98B4B9BFD89D}"/>
  <sortState xmlns:xlrd2="http://schemas.microsoft.com/office/spreadsheetml/2017/richdata2" ref="A2:I52">
    <sortCondition ref="A1:A52"/>
  </sortState>
  <tableColumns count="9">
    <tableColumn id="1" xr3:uid="{EF3DAC76-02AF-46FE-B005-ED74B8201FB8}" name="מס_סידורי"/>
    <tableColumn id="2" xr3:uid="{2EA5B12C-28E9-4262-909B-0BAC3A244200}" name="מוצר"/>
    <tableColumn id="3" xr3:uid="{0A23845F-BB61-46C2-8D56-E107F98E2756}" name="כמות"/>
    <tableColumn id="7" xr3:uid="{E3C028E2-626F-4138-8E1A-D215FE330036}" name="תאריך התחלה"/>
    <tableColumn id="4" xr3:uid="{6A278E15-3C22-4A97-960A-4FD36BC74C68}" name="תאריך יעד לאספקה" dataDxfId="41"/>
    <tableColumn id="5" xr3:uid="{2C2FBCBE-EB9F-4FC5-9D39-B4E89A9EB7A4}" name="צבע"/>
    <tableColumn id="8" xr3:uid="{25C234D2-E467-4A68-9C7B-82CB7F642464}" name="זמן ייצור" dataDxfId="40">
      <calculatedColumnFormula>VLOOKUP(RIGHT(B2,1), {"A",43;"B",42;"C",50;"D",45}, 2, FALSE) * C2 + 50</calculatedColumnFormula>
    </tableColumn>
    <tableColumn id="6" xr3:uid="{D51DD884-2D94-457E-AD32-3E0F348A3ABB}" name="זמן מצטבר" dataDxfId="30">
      <calculatedColumnFormula>G2</calculatedColumnFormula>
    </tableColumn>
    <tableColumn id="9" xr3:uid="{3A2AE8C4-1FA6-41EC-81ED-2B825A13C0F8}" name="תאריך אספקה בפועל" dataDxfId="29">
      <calculatedColumnFormula>WORKDAY.INTL(D2,INT(H2/1440),7) + MOD(H2/1440,1)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E058B6-205E-4B76-82B1-444C21633A41}" name="טבלה610" displayName="טבלה610" ref="K1:Q6" totalsRowShown="0" headerRowDxfId="39" dataDxfId="38" tableBorderDxfId="37">
  <autoFilter ref="K1:Q6" xr:uid="{48CBB101-ED08-4117-9B7A-024153764FF9}"/>
  <tableColumns count="7">
    <tableColumn id="1" xr3:uid="{BD3B3130-5EBE-41BF-9E1A-75F35FBDC209}" name="מוצר" dataDxfId="36"/>
    <tableColumn id="2" xr3:uid="{8525C69C-DD51-4556-A30A-973893243090}" name="תחנה 1: ניקוב" dataDxfId="35"/>
    <tableColumn id="3" xr3:uid="{BA63C8FB-D994-43B5-81C4-ED8EE096C682}" name="תחנה 2: כיפוף" dataDxfId="34"/>
    <tableColumn id="4" xr3:uid="{FE95684A-D590-46E2-B1A5-E923A507E96C}" name="תחנה 3: ניקוי" dataDxfId="33"/>
    <tableColumn id="5" xr3:uid="{D8631E57-58E9-4EE1-ADC8-CAB6DF7D168D}" name="תחנה 4: צביעה" dataDxfId="32"/>
    <tableColumn id="6" xr3:uid="{198082BD-1543-4F82-8B12-66DF9EB71904}" name="תחנה 5: הרכבה" dataDxfId="31"/>
    <tableColumn id="7" xr3:uid="{769615F4-0D00-44B4-ABA6-DAAAAB9D47EA}" name="סה&quot;כ זמן למוצר">
      <calculatedColumnFormula>SUM(L2:P2)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7365F-457A-4BFC-B9EE-1850C8813BED}" name="טבלה284" displayName="טבלה284" ref="A1:I52" totalsRowShown="0" headerRowDxfId="28">
  <sortState xmlns:xlrd2="http://schemas.microsoft.com/office/spreadsheetml/2017/richdata2" ref="A2:I52">
    <sortCondition ref="C2:C52"/>
    <sortCondition ref="E2:E52"/>
    <sortCondition ref="B2:B52"/>
    <sortCondition ref="F2:F52"/>
  </sortState>
  <tableColumns count="9">
    <tableColumn id="1" xr3:uid="{124602DE-F945-4F8E-9AC0-5116C2F3F89E}" name="מס_סידורי"/>
    <tableColumn id="2" xr3:uid="{7D6F321A-F045-48CA-9B49-F0B9EA9423A2}" name="מוצר"/>
    <tableColumn id="3" xr3:uid="{CF3B6259-A1E0-43D5-844D-CB8E53B6CD12}" name="כמות"/>
    <tableColumn id="7" xr3:uid="{B673C2A2-DB67-466D-A19F-22064EAFA6AE}" name="תאריך התחלה"/>
    <tableColumn id="4" xr3:uid="{8D5E0942-2A59-48DE-B08E-3D0C8C22EE92}" name="תאריך יעד לאספקה" dataDxfId="27"/>
    <tableColumn id="5" xr3:uid="{43CC2729-A482-4EA3-9CB4-B3488E59DB1A}" name="צבע"/>
    <tableColumn id="8" xr3:uid="{DE562550-66B2-4CFB-A617-FF1A5748189C}" name="זמן ייצור" dataDxfId="15">
      <calculatedColumnFormula>VLOOKUP(RIGHT(B2,1), {"A",43;"B",42;"C",50;"D",45}, 2, FALSE) * C2 + 50*T2</calculatedColumnFormula>
    </tableColumn>
    <tableColumn id="6" xr3:uid="{E2F9BD0D-403B-48D2-A5BC-671E3AC98550}" name="זמן מצטבר" dataDxfId="26">
      <calculatedColumnFormula>G2</calculatedColumnFormula>
    </tableColumn>
    <tableColumn id="9" xr3:uid="{96ADA964-BB01-45CA-BD4D-448F086443D6}" name="תאריך אספקה בפועל" dataDxfId="25">
      <calculatedColumnFormula>WORKDAY.INTL(D2,INT(H2/1440),7) + MOD(H2/1440,1)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1B8852-9D84-4C50-9FBA-8B12BE99CB8E}" name="טבלה6109" displayName="טבלה6109" ref="K1:Q6" totalsRowShown="0" headerRowDxfId="24" dataDxfId="23" tableBorderDxfId="22">
  <autoFilter ref="K1:Q6" xr:uid="{031B8852-9D84-4C50-9FBA-8B12BE99CB8E}"/>
  <tableColumns count="7">
    <tableColumn id="1" xr3:uid="{75C83EB6-DF98-4DF5-8EE9-E4A249AD44D0}" name="מוצר" dataDxfId="21"/>
    <tableColumn id="2" xr3:uid="{ACA8710A-1ED1-4E7E-A7F7-87BFEF096BED}" name="תחנה 1: ניקוב" dataDxfId="20"/>
    <tableColumn id="3" xr3:uid="{689F5A0C-D2C6-462A-9B9A-3D54B6A150AA}" name="תחנה 2: כיפוף" dataDxfId="19"/>
    <tableColumn id="4" xr3:uid="{377FB9E9-DBC2-426A-ADF2-BDCAB05B75A7}" name="תחנה 3: ניקוי" dataDxfId="18"/>
    <tableColumn id="5" xr3:uid="{50645991-AFCB-49BB-920B-45EC1035E774}" name="תחנה 4: צביעה" dataDxfId="17"/>
    <tableColumn id="6" xr3:uid="{78D326D5-84AB-4EED-BCA8-A9BF32B91444}" name="תחנה 5: הרכבה" dataDxfId="16"/>
    <tableColumn id="7" xr3:uid="{03977D69-D222-4FB8-88D0-5A745DD68A1F}" name="סה&quot;כ זמן למוצר">
      <calculatedColumnFormula>SUM(L2:P2)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8DA465-0A5F-4A1C-A758-767EDBA36C73}" name="טבלה28413" displayName="טבלה28413" ref="A1:J52" totalsRowShown="0" headerRowDxfId="14">
  <autoFilter ref="A1:J52" xr:uid="{9B8DA465-0A5F-4A1C-A758-767EDBA36C73}"/>
  <sortState xmlns:xlrd2="http://schemas.microsoft.com/office/spreadsheetml/2017/richdata2" ref="A2:J52">
    <sortCondition ref="J2:J52"/>
    <sortCondition ref="C2:C52"/>
    <sortCondition ref="B2:B52"/>
    <sortCondition ref="F2:F52"/>
    <sortCondition ref="E2:E52"/>
  </sortState>
  <tableColumns count="10">
    <tableColumn id="1" xr3:uid="{011A11C3-1700-420D-AF63-770B790B32AA}" name="מס_סידורי"/>
    <tableColumn id="2" xr3:uid="{666D9504-0F9D-40F0-A7FA-35346FBFADFB}" name="מוצר"/>
    <tableColumn id="3" xr3:uid="{8F9BA6F7-3353-4159-9AAE-A280A99A909B}" name="כמות"/>
    <tableColumn id="7" xr3:uid="{AF6E2CF0-C84B-4FBE-98A3-451529E4C867}" name="תאריך התחלה"/>
    <tableColumn id="4" xr3:uid="{A1EC4192-8314-4D49-94B5-0A0772BD8EBE}" name="תאריך יעד לאספקה" dataDxfId="13"/>
    <tableColumn id="5" xr3:uid="{EEB3A823-4FB6-4432-878C-FB82D359C8B7}" name="צבע"/>
    <tableColumn id="8" xr3:uid="{F915297A-1283-4F35-852E-69CC8060DDCE}" name="זמן ייצור" dataDxfId="12">
      <calculatedColumnFormula>VLOOKUP(RIGHT(B2,1), {"A",43;"B",42;"C",50;"D",45}, 2, FALSE) * C2 + 50*U2</calculatedColumnFormula>
    </tableColumn>
    <tableColumn id="6" xr3:uid="{880C3288-9084-4230-B8C0-A6AE58E000CF}" name="זמן מצטבר" dataDxfId="11">
      <calculatedColumnFormula>G2</calculatedColumnFormula>
    </tableColumn>
    <tableColumn id="9" xr3:uid="{EB455FB0-8F31-4B04-85D0-AF699ECDC38C}" name="תאריך אספקה בפועל" dataDxfId="10">
      <calculatedColumnFormula>WORKDAY.INTL(D2,INT(H2/1440),7) + MOD(H2/1440,1)</calculatedColumnFormula>
    </tableColumn>
    <tableColumn id="10" xr3:uid="{D0A00F5C-EDC5-4F86-8C88-D629A2F9EE12}" name="Column1" dataDxfId="0">
      <calculatedColumnFormula xml:space="preserve"> ( $E2 - $D$2 ) - ( ($V2 + $O$15) / 1440 )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702025-19E7-4B9C-9CAD-1A387C209C73}" name="טבלה610914" displayName="טבלה610914" ref="L1:R6" totalsRowShown="0" headerRowDxfId="9" dataDxfId="8" tableBorderDxfId="7">
  <autoFilter ref="L1:R6" xr:uid="{02702025-19E7-4B9C-9CAD-1A387C209C73}"/>
  <tableColumns count="7">
    <tableColumn id="1" xr3:uid="{E06D334C-1937-4E69-8961-2B94B1C29D0D}" name="מוצר" dataDxfId="6"/>
    <tableColumn id="2" xr3:uid="{BEACFA8A-4BF9-4BF9-BB80-D86A3B08C29F}" name="תחנה 1: ניקוב" dataDxfId="5"/>
    <tableColumn id="3" xr3:uid="{C4358F21-8D1B-4396-8408-9728F17B4DC2}" name="תחנה 2: כיפוף" dataDxfId="4"/>
    <tableColumn id="4" xr3:uid="{04FB2C2C-93C8-42A2-A425-A3D1B56661D2}" name="תחנה 3: ניקוי" dataDxfId="3"/>
    <tableColumn id="5" xr3:uid="{0A24DEC1-6FA6-4A38-B614-205B38EF9ECE}" name="תחנה 4: צביעה" dataDxfId="2"/>
    <tableColumn id="6" xr3:uid="{24D0E5E9-2624-4ABC-B51C-F82DA9BBF38C}" name="תחנה 5: הרכבה" dataDxfId="1"/>
    <tableColumn id="7" xr3:uid="{491AAAEA-9A31-417F-AA9A-85CD6862DAD9}" name="סה&quot;כ זמן למוצר">
      <calculatedColumnFormula>SUM(M2:Q2)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A72D-C2FE-4FE9-96CA-83881DD10505}">
  <dimension ref="A1:T52"/>
  <sheetViews>
    <sheetView rightToLeft="1" workbookViewId="0">
      <selection activeCell="I14" sqref="I14"/>
    </sheetView>
  </sheetViews>
  <sheetFormatPr defaultRowHeight="13.8" x14ac:dyDescent="0.25"/>
  <cols>
    <col min="1" max="1" width="5.09765625" customWidth="1"/>
    <col min="2" max="2" width="6" bestFit="1" customWidth="1"/>
    <col min="3" max="3" width="6.19921875" customWidth="1"/>
    <col min="4" max="4" width="11.19921875" customWidth="1"/>
    <col min="5" max="5" width="12.8984375" customWidth="1"/>
    <col min="6" max="6" width="5.59765625" customWidth="1"/>
    <col min="7" max="7" width="10.8984375" bestFit="1" customWidth="1"/>
    <col min="8" max="9" width="10.8984375" customWidth="1"/>
    <col min="10" max="10" width="14.3984375" bestFit="1" customWidth="1"/>
    <col min="11" max="11" width="9.69921875" bestFit="1" customWidth="1"/>
    <col min="14" max="14" width="13.09765625" customWidth="1"/>
    <col min="15" max="15" width="13.3984375" customWidth="1"/>
    <col min="16" max="16" width="14.59765625" bestFit="1" customWidth="1"/>
    <col min="17" max="17" width="14.59765625" customWidth="1"/>
  </cols>
  <sheetData>
    <row r="1" spans="1:16" ht="14.4" thickBot="1" x14ac:dyDescent="0.3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5" t="s">
        <v>29</v>
      </c>
      <c r="H1" s="25" t="s">
        <v>31</v>
      </c>
      <c r="I1" s="22"/>
      <c r="J1" s="23" t="s">
        <v>0</v>
      </c>
      <c r="K1" s="5" t="s">
        <v>13</v>
      </c>
      <c r="L1" s="5" t="s">
        <v>12</v>
      </c>
      <c r="M1" s="5" t="s">
        <v>14</v>
      </c>
      <c r="N1" s="5" t="s">
        <v>15</v>
      </c>
      <c r="O1" s="5" t="s">
        <v>16</v>
      </c>
      <c r="P1" t="s">
        <v>30</v>
      </c>
    </row>
    <row r="2" spans="1:16" ht="14.4" thickBot="1" x14ac:dyDescent="0.3">
      <c r="A2">
        <v>1</v>
      </c>
      <c r="B2" t="s">
        <v>5</v>
      </c>
      <c r="C2">
        <v>23</v>
      </c>
      <c r="D2" s="17">
        <v>45850</v>
      </c>
      <c r="E2" s="17">
        <v>45879</v>
      </c>
      <c r="F2" t="s">
        <v>21</v>
      </c>
      <c r="G2">
        <f>VLOOKUP(RIGHT(B2,1), {"A",43;"B",42;"C",50;"D",45}, 2, FALSE) * C2 + 50</f>
        <v>1016</v>
      </c>
      <c r="H2" s="17">
        <f t="shared" ref="H2:H33" si="0" xml:space="preserve"> D2 + (G2 / 1440)</f>
        <v>45850.705555555556</v>
      </c>
      <c r="I2" s="17"/>
      <c r="J2" s="24" t="s">
        <v>8</v>
      </c>
      <c r="K2" s="10">
        <v>5</v>
      </c>
      <c r="L2" s="3">
        <v>8</v>
      </c>
      <c r="M2" s="3">
        <v>14</v>
      </c>
      <c r="N2" s="3">
        <v>6</v>
      </c>
      <c r="O2" s="9">
        <v>10</v>
      </c>
      <c r="P2">
        <f>SUM(K2:O2)</f>
        <v>43</v>
      </c>
    </row>
    <row r="3" spans="1:16" ht="14.4" thickBot="1" x14ac:dyDescent="0.3">
      <c r="A3">
        <v>2</v>
      </c>
      <c r="B3" t="s">
        <v>6</v>
      </c>
      <c r="C3">
        <v>21</v>
      </c>
      <c r="D3" s="17">
        <v>45850</v>
      </c>
      <c r="E3" s="17">
        <v>45874</v>
      </c>
      <c r="F3" t="s">
        <v>20</v>
      </c>
      <c r="G3">
        <f>VLOOKUP(RIGHT(B3,1), {"A",43;"B",42;"C",50;"D",45}, 2, FALSE) * C3 + 50</f>
        <v>1100</v>
      </c>
      <c r="H3" s="17">
        <f t="shared" si="0"/>
        <v>45850.763888888891</v>
      </c>
      <c r="I3" s="17"/>
      <c r="J3" s="24" t="s">
        <v>9</v>
      </c>
      <c r="K3" s="11">
        <v>7</v>
      </c>
      <c r="L3" s="4">
        <v>6</v>
      </c>
      <c r="M3" s="4">
        <v>11</v>
      </c>
      <c r="N3" s="4">
        <v>6</v>
      </c>
      <c r="O3" s="6">
        <v>12</v>
      </c>
      <c r="P3">
        <f>SUM(K3:O3)</f>
        <v>42</v>
      </c>
    </row>
    <row r="4" spans="1:16" ht="14.4" thickBot="1" x14ac:dyDescent="0.3">
      <c r="A4">
        <v>3</v>
      </c>
      <c r="B4" t="s">
        <v>5</v>
      </c>
      <c r="C4">
        <v>26</v>
      </c>
      <c r="D4" s="17">
        <v>45850</v>
      </c>
      <c r="E4" s="17">
        <v>45859</v>
      </c>
      <c r="F4" t="s">
        <v>22</v>
      </c>
      <c r="G4">
        <f>VLOOKUP(RIGHT(B4,1), {"A",43;"B",42;"C",50;"D",45}, 2, FALSE) * C4 + 50</f>
        <v>1142</v>
      </c>
      <c r="H4" s="17">
        <f t="shared" si="0"/>
        <v>45850.793055555558</v>
      </c>
      <c r="I4" s="17"/>
      <c r="J4" s="24" t="s">
        <v>10</v>
      </c>
      <c r="K4" s="11">
        <v>10</v>
      </c>
      <c r="L4" s="4">
        <v>10</v>
      </c>
      <c r="M4" s="4">
        <v>10</v>
      </c>
      <c r="N4" s="4">
        <v>6</v>
      </c>
      <c r="O4" s="6">
        <v>14</v>
      </c>
      <c r="P4">
        <f>SUM(K4:O4)</f>
        <v>50</v>
      </c>
    </row>
    <row r="5" spans="1:16" ht="14.4" thickBot="1" x14ac:dyDescent="0.3">
      <c r="A5">
        <v>4</v>
      </c>
      <c r="B5" t="s">
        <v>4</v>
      </c>
      <c r="C5">
        <v>32</v>
      </c>
      <c r="D5" s="17">
        <v>45850</v>
      </c>
      <c r="E5" s="17">
        <v>45876</v>
      </c>
      <c r="F5" t="s">
        <v>22</v>
      </c>
      <c r="G5">
        <f>VLOOKUP(RIGHT(B5,1), {"A",43;"B",42;"C",50;"D",45}, 2, FALSE) * C5 + 50</f>
        <v>1426</v>
      </c>
      <c r="H5" s="17">
        <f t="shared" si="0"/>
        <v>45850.990277777775</v>
      </c>
      <c r="I5" s="17"/>
      <c r="J5" s="24" t="s">
        <v>11</v>
      </c>
      <c r="K5" s="12">
        <v>6</v>
      </c>
      <c r="L5" s="7">
        <v>7</v>
      </c>
      <c r="M5" s="7">
        <v>12</v>
      </c>
      <c r="N5" s="7">
        <v>6</v>
      </c>
      <c r="O5" s="8">
        <v>14</v>
      </c>
      <c r="P5">
        <f>SUM(K5:O5)</f>
        <v>45</v>
      </c>
    </row>
    <row r="6" spans="1:16" x14ac:dyDescent="0.25">
      <c r="A6">
        <v>5</v>
      </c>
      <c r="B6" t="s">
        <v>7</v>
      </c>
      <c r="C6">
        <v>23</v>
      </c>
      <c r="D6" s="17">
        <v>45850</v>
      </c>
      <c r="E6" s="17">
        <v>45859</v>
      </c>
      <c r="F6" t="s">
        <v>19</v>
      </c>
      <c r="G6">
        <f>VLOOKUP(RIGHT(B6,1), {"A",43;"B",42;"C",50;"D",45}, 2, FALSE) * C6 + 50</f>
        <v>1085</v>
      </c>
      <c r="H6" s="17">
        <f t="shared" si="0"/>
        <v>45850.753472222219</v>
      </c>
      <c r="I6" s="17"/>
      <c r="J6" s="27"/>
      <c r="K6" s="18"/>
      <c r="L6" s="28"/>
      <c r="M6" s="28"/>
      <c r="N6" s="28"/>
      <c r="O6" s="29"/>
      <c r="P6">
        <f>SUM(K6:O6)</f>
        <v>0</v>
      </c>
    </row>
    <row r="7" spans="1:16" x14ac:dyDescent="0.25">
      <c r="A7">
        <v>6</v>
      </c>
      <c r="B7" t="s">
        <v>7</v>
      </c>
      <c r="C7">
        <v>29</v>
      </c>
      <c r="D7" s="17">
        <v>45850</v>
      </c>
      <c r="E7" s="17">
        <v>45859</v>
      </c>
      <c r="F7" t="s">
        <v>21</v>
      </c>
      <c r="G7">
        <f>VLOOKUP(RIGHT(B7,1), {"A",43;"B",42;"C",50;"D",45}, 2, FALSE) * C7 + 50</f>
        <v>1355</v>
      </c>
      <c r="H7" s="17">
        <f t="shared" si="0"/>
        <v>45850.940972222219</v>
      </c>
      <c r="I7" s="17"/>
      <c r="J7" t="s">
        <v>33</v>
      </c>
      <c r="K7" cm="1">
        <f t="array" ref="K7">SUMPRODUCT((RIGHT($B$2:$B$53,1)="A")*($K$2*$C$2:$C$53+10)) / COUNTIF($B$2:$B$53,"*A")</f>
        <v>403.07692307692309</v>
      </c>
      <c r="L7" cm="1">
        <f t="array" ref="L7">SUMPRODUCT((RIGHT($B$2:$B$53,1)="A")*($L$2*$C$2:$C$53+10)) / COUNTIF($B$2:$B$53,"*A")</f>
        <v>638.92307692307691</v>
      </c>
      <c r="M7" cm="1">
        <f t="array" ref="M7">SUMPRODUCT((RIGHT($B$2:$B$53,1)="A")*($M$2*$C$2:$C$53+10)) / COUNTIF($B$2:$B$53,"*A")</f>
        <v>1110.6153846153845</v>
      </c>
      <c r="N7" cm="1">
        <f t="array" ref="N7">SUMPRODUCT((RIGHT($B$2:$B$53,1)="A")*($N$2*$C$2:$C$53+10)) / COUNTIF($B$2:$B$53,"*A")</f>
        <v>481.69230769230768</v>
      </c>
      <c r="O7" cm="1">
        <f t="array" ref="O7">SUMPRODUCT((RIGHT($B$2:$B$53,1)="A")*($O$2*$C$2:$C$53+10)) / COUNTIF($B$2:$B$53,"*A")</f>
        <v>796.15384615384619</v>
      </c>
    </row>
    <row r="8" spans="1:16" x14ac:dyDescent="0.25">
      <c r="A8">
        <v>7</v>
      </c>
      <c r="B8" t="s">
        <v>5</v>
      </c>
      <c r="C8">
        <v>34</v>
      </c>
      <c r="D8" s="17">
        <v>45850</v>
      </c>
      <c r="E8" s="17">
        <v>45861</v>
      </c>
      <c r="F8" t="s">
        <v>21</v>
      </c>
      <c r="G8">
        <f>VLOOKUP(RIGHT(B8,1), {"A",43;"B",42;"C",50;"D",45}, 2, FALSE) * C8 + 50</f>
        <v>1478</v>
      </c>
      <c r="H8" s="17">
        <f t="shared" si="0"/>
        <v>45851.026388888888</v>
      </c>
      <c r="I8" s="17"/>
      <c r="K8" cm="1">
        <f t="array" ref="K8">SUMPRODUCT((RIGHT($B$2:$B$53,1)="B")*($K$3*$C$2:$C$53+10)) / COUNTIF($B$2:$B$53,"*B")</f>
        <v>511.84615384615387</v>
      </c>
      <c r="L8" cm="1">
        <f t="array" ref="L8">SUMPRODUCT((RIGHT($B$2:$B$53,1)="B")*($L$3*$C$2:$C$53+10)) / COUNTIF($B$2:$B$53,"*B")</f>
        <v>440.15384615384613</v>
      </c>
      <c r="M8" cm="1">
        <f t="array" ref="M8">SUMPRODUCT((RIGHT($B$2:$B$53,1)="B")*($M$3*$C$2:$C$53+10)) / COUNTIF($B$2:$B$53,"*B")</f>
        <v>798.61538461538464</v>
      </c>
      <c r="N8" cm="1">
        <f t="array" ref="N8">SUMPRODUCT((RIGHT($B$2:$B$53,1)="B")*($N$3*$C$2:$C$53+10)) / COUNTIF($B$2:$B$53,"*B")</f>
        <v>440.15384615384613</v>
      </c>
      <c r="O8" cm="1">
        <f t="array" ref="O8">SUMPRODUCT((RIGHT($B$2:$B$53,1)="B")*($O$3*$C$2:$C$53+10)) / COUNTIF($B$2:$B$53,"*B")</f>
        <v>870.30769230769226</v>
      </c>
    </row>
    <row r="9" spans="1:16" x14ac:dyDescent="0.25">
      <c r="A9">
        <v>8</v>
      </c>
      <c r="B9" t="s">
        <v>6</v>
      </c>
      <c r="C9">
        <v>30</v>
      </c>
      <c r="D9" s="17">
        <v>45850</v>
      </c>
      <c r="E9" s="17">
        <v>45851</v>
      </c>
      <c r="F9" t="s">
        <v>21</v>
      </c>
      <c r="G9">
        <f>VLOOKUP(RIGHT(B9,1), {"A",43;"B",42;"C",50;"D",45}, 2, FALSE) * C9 + 50</f>
        <v>1550</v>
      </c>
      <c r="H9" s="17">
        <f t="shared" si="0"/>
        <v>45851.076388888891</v>
      </c>
      <c r="I9" s="17"/>
      <c r="K9" cm="1">
        <f t="array" ref="K9">SUMPRODUCT((RIGHT($B$2:$B$53,1)="C")*($K$4*$C$2:$C$53+10)) / COUNTIF($B$2:$B$53,"*C")</f>
        <v>886.15384615384619</v>
      </c>
      <c r="L9" cm="1">
        <f t="array" ref="L9">SUMPRODUCT((RIGHT($B$2:$B$53,1)="C")*($L$4*$C$2:$C$53+10)) / COUNTIF($B$2:$B$53,"*C")</f>
        <v>886.15384615384619</v>
      </c>
      <c r="M9" cm="1">
        <f t="array" ref="M9">SUMPRODUCT((RIGHT($B$2:$B$53,1)="C")*($M$4*$C$2:$C$53+10)) / COUNTIF($B$2:$B$53,"*C")</f>
        <v>886.15384615384619</v>
      </c>
      <c r="N9" cm="1">
        <f t="array" ref="N9">SUMPRODUCT((RIGHT($B$2:$B$53,1)="C")*($N$4*$C$2:$C$53+10)) / COUNTIF($B$2:$B$53,"*C")</f>
        <v>535.69230769230774</v>
      </c>
      <c r="O9" cm="1">
        <f t="array" ref="O9">SUMPRODUCT((RIGHT($B$2:$B$53,1)="C")*($O$4*$C$2:$C$53+10)) / COUNTIF($B$2:$B$53,"*C")</f>
        <v>1236.6153846153845</v>
      </c>
    </row>
    <row r="10" spans="1:16" x14ac:dyDescent="0.25">
      <c r="A10">
        <v>9</v>
      </c>
      <c r="B10" t="s">
        <v>4</v>
      </c>
      <c r="C10">
        <v>43</v>
      </c>
      <c r="D10" s="17">
        <v>45850</v>
      </c>
      <c r="E10" s="17">
        <v>45861</v>
      </c>
      <c r="F10" t="s">
        <v>21</v>
      </c>
      <c r="G10">
        <f>VLOOKUP(RIGHT(B10,1), {"A",43;"B",42;"C",50;"D",45}, 2, FALSE) * C10 + 50</f>
        <v>1899</v>
      </c>
      <c r="H10" s="17">
        <f t="shared" si="0"/>
        <v>45851.318749999999</v>
      </c>
      <c r="I10" s="17"/>
      <c r="K10" cm="1">
        <f t="array" ref="K10">SUMPRODUCT((RIGHT($B$2:$B$53,1)="D")*($K$5*$C$2:$C$53+10)) / COUNTIF($B$2:$B$53,"*D")</f>
        <v>449.5</v>
      </c>
      <c r="L10" cm="1">
        <f t="array" ref="L10">SUMPRODUCT((RIGHT($B$2:$B$53,1)="D")*($L$5*$C$2:$C$53+10)) / COUNTIF($B$2:$B$53,"*D")</f>
        <v>522.75</v>
      </c>
      <c r="M10" cm="1">
        <f t="array" ref="M10">SUMPRODUCT((RIGHT($B$2:$B$53,1)="D")*($M$5*$C$2:$C$53+10)) / COUNTIF($B$2:$B$53,"*D")</f>
        <v>889</v>
      </c>
      <c r="N10" cm="1">
        <f t="array" ref="N10">SUMPRODUCT((RIGHT($B$2:$B$53,1)="D")*($N$5*$C$2:$C$53+10)) / COUNTIF($B$2:$B$53,"*D")</f>
        <v>449.5</v>
      </c>
      <c r="O10" cm="1">
        <f t="array" ref="O10">SUMPRODUCT((RIGHT($B$2:$B$53,1)="D")*($O$5*$C$2:$C$53+10)) / COUNTIF($B$2:$B$53,"*D")</f>
        <v>1035.5</v>
      </c>
    </row>
    <row r="11" spans="1:16" x14ac:dyDescent="0.25">
      <c r="A11">
        <v>10</v>
      </c>
      <c r="B11" t="s">
        <v>6</v>
      </c>
      <c r="C11">
        <v>31</v>
      </c>
      <c r="D11" s="17">
        <v>45850</v>
      </c>
      <c r="E11" s="17">
        <v>45851</v>
      </c>
      <c r="F11" t="s">
        <v>19</v>
      </c>
      <c r="G11">
        <f>VLOOKUP(RIGHT(B11,1), {"A",43;"B",42;"C",50;"D",45}, 2, FALSE) * C11 + 50</f>
        <v>1600</v>
      </c>
      <c r="H11" s="17">
        <f t="shared" si="0"/>
        <v>45851.111111111109</v>
      </c>
      <c r="I11" s="17"/>
    </row>
    <row r="12" spans="1:16" x14ac:dyDescent="0.25">
      <c r="A12">
        <v>11</v>
      </c>
      <c r="B12" t="s">
        <v>4</v>
      </c>
      <c r="C12">
        <v>44</v>
      </c>
      <c r="D12" s="17">
        <v>45850</v>
      </c>
      <c r="E12" s="17">
        <v>45867</v>
      </c>
      <c r="F12" t="s">
        <v>22</v>
      </c>
      <c r="G12">
        <f>VLOOKUP(RIGHT(B12,1), {"A",43;"B",42;"C",50;"D",45}, 2, FALSE) * C12 + 50</f>
        <v>1942</v>
      </c>
      <c r="H12" s="17">
        <f t="shared" si="0"/>
        <v>45851.348611111112</v>
      </c>
      <c r="I12" s="17"/>
      <c r="K12" s="19">
        <f>AVERAGE(K7:K10)</f>
        <v>562.64423076923072</v>
      </c>
      <c r="L12" s="19">
        <f>AVERAGE(L7:L10)</f>
        <v>621.99519230769238</v>
      </c>
      <c r="M12" s="19">
        <f>AVERAGE(M7:M10)</f>
        <v>921.09615384615381</v>
      </c>
      <c r="N12" s="19">
        <f t="shared" ref="N12:O12" si="1">AVERAGE(N7:N10)</f>
        <v>476.75961538461536</v>
      </c>
      <c r="O12" s="19">
        <f t="shared" si="1"/>
        <v>984.64423076923072</v>
      </c>
    </row>
    <row r="13" spans="1:16" x14ac:dyDescent="0.25">
      <c r="A13">
        <v>12</v>
      </c>
      <c r="B13" t="s">
        <v>4</v>
      </c>
      <c r="C13">
        <v>46</v>
      </c>
      <c r="D13" s="17">
        <v>45850</v>
      </c>
      <c r="E13" s="17">
        <v>45853</v>
      </c>
      <c r="F13" t="s">
        <v>22</v>
      </c>
      <c r="G13">
        <f>VLOOKUP(RIGHT(B13,1), {"A",43;"B",42;"C",50;"D",45}, 2, FALSE) * C13 + 50</f>
        <v>2028</v>
      </c>
      <c r="H13" s="17">
        <f t="shared" si="0"/>
        <v>45851.408333333333</v>
      </c>
      <c r="I13" s="17"/>
    </row>
    <row r="14" spans="1:16" x14ac:dyDescent="0.25">
      <c r="A14">
        <v>13</v>
      </c>
      <c r="B14" t="s">
        <v>6</v>
      </c>
      <c r="C14">
        <v>33</v>
      </c>
      <c r="D14" s="17">
        <v>45850</v>
      </c>
      <c r="E14" s="17">
        <v>45868</v>
      </c>
      <c r="F14" t="s">
        <v>20</v>
      </c>
      <c r="G14">
        <f>VLOOKUP(RIGHT(B14,1), {"A",43;"B",42;"C",50;"D",45}, 2, FALSE) * C14 + 50</f>
        <v>1700</v>
      </c>
      <c r="H14" s="17">
        <f t="shared" si="0"/>
        <v>45851.180555555555</v>
      </c>
      <c r="I14" s="17"/>
      <c r="J14" s="21" t="s">
        <v>34</v>
      </c>
      <c r="K14" s="21" t="s">
        <v>35</v>
      </c>
    </row>
    <row r="15" spans="1:16" x14ac:dyDescent="0.25">
      <c r="A15">
        <v>14</v>
      </c>
      <c r="B15" t="s">
        <v>7</v>
      </c>
      <c r="C15">
        <v>35</v>
      </c>
      <c r="D15" s="17">
        <v>45850</v>
      </c>
      <c r="E15" s="17">
        <v>45851</v>
      </c>
      <c r="F15" t="s">
        <v>21</v>
      </c>
      <c r="G15">
        <f>VLOOKUP(RIGHT(B15,1), {"A",43;"B",42;"C",50;"D",45}, 2, FALSE) * C15 + 50</f>
        <v>1625</v>
      </c>
      <c r="H15" s="17">
        <f t="shared" si="0"/>
        <v>45851.128472222219</v>
      </c>
      <c r="I15" s="17"/>
      <c r="J15" s="30">
        <f>MAX(K12:O12)</f>
        <v>984.64423076923072</v>
      </c>
      <c r="K15" s="21">
        <v>5</v>
      </c>
    </row>
    <row r="16" spans="1:16" x14ac:dyDescent="0.25">
      <c r="A16">
        <v>15</v>
      </c>
      <c r="B16" t="s">
        <v>4</v>
      </c>
      <c r="C16">
        <v>54</v>
      </c>
      <c r="D16" s="17">
        <v>45850</v>
      </c>
      <c r="E16" s="17">
        <v>45875</v>
      </c>
      <c r="F16" t="s">
        <v>20</v>
      </c>
      <c r="G16">
        <f>VLOOKUP(RIGHT(B16,1), {"A",43;"B",42;"C",50;"D",45}, 2, FALSE) * C16 + 50</f>
        <v>2372</v>
      </c>
      <c r="H16" s="17">
        <f t="shared" si="0"/>
        <v>45851.647222222222</v>
      </c>
      <c r="I16" s="17"/>
    </row>
    <row r="17" spans="1:20" x14ac:dyDescent="0.25">
      <c r="A17">
        <v>16</v>
      </c>
      <c r="B17" t="s">
        <v>7</v>
      </c>
      <c r="C17">
        <v>39</v>
      </c>
      <c r="D17" s="17">
        <v>45850</v>
      </c>
      <c r="E17" s="17">
        <v>45851</v>
      </c>
      <c r="F17" t="s">
        <v>20</v>
      </c>
      <c r="G17">
        <f>VLOOKUP(RIGHT(B17,1), {"A",43;"B",42;"C",50;"D",45}, 2, FALSE) * C17 + 50</f>
        <v>1805</v>
      </c>
      <c r="H17" s="17">
        <f t="shared" si="0"/>
        <v>45851.253472222219</v>
      </c>
      <c r="I17" s="17"/>
      <c r="J17" s="21" t="s">
        <v>27</v>
      </c>
    </row>
    <row r="18" spans="1:20" x14ac:dyDescent="0.25">
      <c r="A18">
        <v>17</v>
      </c>
      <c r="B18" t="s">
        <v>7</v>
      </c>
      <c r="C18">
        <v>39</v>
      </c>
      <c r="D18" s="17">
        <v>45850</v>
      </c>
      <c r="E18" s="17">
        <v>45851</v>
      </c>
      <c r="F18" t="s">
        <v>20</v>
      </c>
      <c r="G18">
        <f>VLOOKUP(RIGHT(B18,1), {"A",43;"B",42;"C",50;"D",45}, 2, FALSE) * C18 + 50</f>
        <v>1805</v>
      </c>
      <c r="H18" s="17">
        <f t="shared" si="0"/>
        <v>45851.253472222219</v>
      </c>
      <c r="I18" s="17"/>
      <c r="J18" s="31" cm="1">
        <f t="array" ref="J18">SUMPRODUCT((H2:H53&lt;=E2:E53)*1) / COUNTA(H2:H53)</f>
        <v>0.68627450980392157</v>
      </c>
    </row>
    <row r="19" spans="1:20" x14ac:dyDescent="0.25">
      <c r="A19">
        <v>18</v>
      </c>
      <c r="B19" t="s">
        <v>5</v>
      </c>
      <c r="C19">
        <v>46</v>
      </c>
      <c r="D19" s="17">
        <v>45850</v>
      </c>
      <c r="E19" s="17">
        <v>45872</v>
      </c>
      <c r="F19" t="s">
        <v>20</v>
      </c>
      <c r="G19">
        <f>VLOOKUP(RIGHT(B19,1), {"A",43;"B",42;"C",50;"D",45}, 2, FALSE) * C19 + 50</f>
        <v>1982</v>
      </c>
      <c r="H19" s="17">
        <f t="shared" si="0"/>
        <v>45851.376388888886</v>
      </c>
      <c r="I19" s="17"/>
      <c r="J19" s="21"/>
      <c r="K19" s="26"/>
    </row>
    <row r="20" spans="1:20" x14ac:dyDescent="0.25">
      <c r="A20">
        <v>19</v>
      </c>
      <c r="B20" t="s">
        <v>5</v>
      </c>
      <c r="C20">
        <v>50</v>
      </c>
      <c r="D20" s="17">
        <v>45850</v>
      </c>
      <c r="E20" s="17">
        <v>45851</v>
      </c>
      <c r="F20" t="s">
        <v>20</v>
      </c>
      <c r="G20">
        <f>VLOOKUP(RIGHT(B20,1), {"A",43;"B",42;"C",50;"D",45}, 2, FALSE) * C20 + 50</f>
        <v>2150</v>
      </c>
      <c r="H20" s="17">
        <f t="shared" si="0"/>
        <v>45851.493055555555</v>
      </c>
      <c r="I20" s="17"/>
      <c r="K20" s="20" t="s">
        <v>0</v>
      </c>
      <c r="L20" s="20" t="s">
        <v>25</v>
      </c>
      <c r="M20" s="20" t="s">
        <v>32</v>
      </c>
    </row>
    <row r="21" spans="1:20" x14ac:dyDescent="0.25">
      <c r="A21">
        <v>20</v>
      </c>
      <c r="B21" t="s">
        <v>4</v>
      </c>
      <c r="C21">
        <v>60</v>
      </c>
      <c r="D21" s="17">
        <v>45850</v>
      </c>
      <c r="E21" s="17">
        <v>45860</v>
      </c>
      <c r="F21" t="s">
        <v>19</v>
      </c>
      <c r="G21">
        <f>VLOOKUP(RIGHT(B21,1), {"A",43;"B",42;"C",50;"D",45}, 2, FALSE) * C21 + 50</f>
        <v>2630</v>
      </c>
      <c r="H21" s="17">
        <f t="shared" si="0"/>
        <v>45851.826388888891</v>
      </c>
      <c r="I21" s="17"/>
      <c r="K21" t="s">
        <v>4</v>
      </c>
      <c r="L21">
        <f>SUMIF(B:B,"מוצר A",C:C)</f>
        <v>1022</v>
      </c>
    </row>
    <row r="22" spans="1:20" x14ac:dyDescent="0.25">
      <c r="A22">
        <v>21</v>
      </c>
      <c r="B22" t="s">
        <v>4</v>
      </c>
      <c r="C22">
        <v>61</v>
      </c>
      <c r="D22" s="17">
        <v>45850</v>
      </c>
      <c r="E22" s="17">
        <v>45872</v>
      </c>
      <c r="F22" t="s">
        <v>21</v>
      </c>
      <c r="G22">
        <f>VLOOKUP(RIGHT(B22,1), {"A",43;"B",42;"C",50;"D",45}, 2, FALSE) * C22 + 50</f>
        <v>2673</v>
      </c>
      <c r="H22" s="17">
        <f t="shared" si="0"/>
        <v>45851.856249999997</v>
      </c>
      <c r="I22" s="17"/>
      <c r="K22" t="s">
        <v>5</v>
      </c>
      <c r="L22">
        <f>SUMIF(B:B,"מוצר B",C:C)</f>
        <v>932</v>
      </c>
    </row>
    <row r="23" spans="1:20" x14ac:dyDescent="0.25">
      <c r="A23">
        <v>22</v>
      </c>
      <c r="B23" t="s">
        <v>6</v>
      </c>
      <c r="C23">
        <v>48</v>
      </c>
      <c r="D23" s="17">
        <v>45850</v>
      </c>
      <c r="E23" s="17">
        <v>45880</v>
      </c>
      <c r="F23" t="s">
        <v>22</v>
      </c>
      <c r="G23">
        <f>VLOOKUP(RIGHT(B23,1), {"A",43;"B",42;"C",50;"D",45}, 2, FALSE) * C23 + 50</f>
        <v>2450</v>
      </c>
      <c r="H23" s="17">
        <f t="shared" si="0"/>
        <v>45851.701388888891</v>
      </c>
      <c r="I23" s="17"/>
      <c r="K23" t="s">
        <v>6</v>
      </c>
      <c r="L23">
        <f>SUMIF(B:B,"מוצר C",C:C)</f>
        <v>1139</v>
      </c>
    </row>
    <row r="24" spans="1:20" x14ac:dyDescent="0.25">
      <c r="A24">
        <v>23</v>
      </c>
      <c r="B24" t="s">
        <v>7</v>
      </c>
      <c r="C24">
        <v>55</v>
      </c>
      <c r="D24" s="17">
        <v>45850</v>
      </c>
      <c r="E24" s="17">
        <v>45875</v>
      </c>
      <c r="F24" t="s">
        <v>20</v>
      </c>
      <c r="G24">
        <f>VLOOKUP(RIGHT(B24,1), {"A",43;"B",42;"C",50;"D",45}, 2, FALSE) * C24 + 50</f>
        <v>2525</v>
      </c>
      <c r="H24" s="17">
        <f t="shared" si="0"/>
        <v>45851.753472222219</v>
      </c>
      <c r="I24" s="17"/>
      <c r="K24" t="s">
        <v>7</v>
      </c>
      <c r="L24">
        <f>SUMIF(B:B,"מוצר D",C:C)</f>
        <v>879</v>
      </c>
    </row>
    <row r="25" spans="1:20" ht="14.4" thickBot="1" x14ac:dyDescent="0.3">
      <c r="A25">
        <v>24</v>
      </c>
      <c r="B25" t="s">
        <v>5</v>
      </c>
      <c r="C25">
        <v>66</v>
      </c>
      <c r="D25" s="17">
        <v>45850</v>
      </c>
      <c r="E25" s="17">
        <v>45876</v>
      </c>
      <c r="F25" t="s">
        <v>19</v>
      </c>
      <c r="G25">
        <f>VLOOKUP(RIGHT(B25,1), {"A",43;"B",42;"C",50;"D",45}, 2, FALSE) * C25 + 50</f>
        <v>2822</v>
      </c>
      <c r="H25" s="17">
        <f t="shared" si="0"/>
        <v>45851.959722222222</v>
      </c>
      <c r="I25" s="17"/>
    </row>
    <row r="26" spans="1:20" x14ac:dyDescent="0.25">
      <c r="A26">
        <v>25</v>
      </c>
      <c r="B26" t="s">
        <v>5</v>
      </c>
      <c r="C26">
        <v>75</v>
      </c>
      <c r="D26" s="17">
        <v>45850</v>
      </c>
      <c r="E26" s="17">
        <v>45852</v>
      </c>
      <c r="F26" t="s">
        <v>21</v>
      </c>
      <c r="G26">
        <f>VLOOKUP(RIGHT(B26,1), {"A",43;"B",42;"C",50;"D",45}, 2, FALSE) * C26 + 50</f>
        <v>3200</v>
      </c>
      <c r="H26" s="17">
        <f t="shared" si="0"/>
        <v>45852.222222222219</v>
      </c>
      <c r="I26" s="17"/>
      <c r="K26" t="s">
        <v>24</v>
      </c>
      <c r="L26">
        <f>SUM(L21:L25)</f>
        <v>3972</v>
      </c>
      <c r="S26" s="13">
        <v>10</v>
      </c>
      <c r="T26" s="14" t="s">
        <v>17</v>
      </c>
    </row>
    <row r="27" spans="1:20" x14ac:dyDescent="0.25">
      <c r="A27">
        <v>26</v>
      </c>
      <c r="B27" t="s">
        <v>4</v>
      </c>
      <c r="C27">
        <v>95</v>
      </c>
      <c r="D27" s="17">
        <v>45850</v>
      </c>
      <c r="E27" s="17">
        <v>45881</v>
      </c>
      <c r="F27" t="s">
        <v>20</v>
      </c>
      <c r="G27">
        <f>VLOOKUP(RIGHT(B27,1), {"A",43;"B",42;"C",50;"D",45}, 2, FALSE) * C27 + 50</f>
        <v>4135</v>
      </c>
      <c r="H27" s="17">
        <f t="shared" si="0"/>
        <v>45852.871527777781</v>
      </c>
      <c r="I27" s="17"/>
      <c r="S27" s="15">
        <f>5*24</f>
        <v>120</v>
      </c>
      <c r="T27" s="6" t="s">
        <v>18</v>
      </c>
    </row>
    <row r="28" spans="1:20" x14ac:dyDescent="0.25">
      <c r="A28">
        <v>27</v>
      </c>
      <c r="B28" t="s">
        <v>5</v>
      </c>
      <c r="C28">
        <v>84</v>
      </c>
      <c r="D28" s="17">
        <v>45850</v>
      </c>
      <c r="E28" s="17">
        <v>45883</v>
      </c>
      <c r="F28" t="s">
        <v>21</v>
      </c>
      <c r="G28">
        <f>VLOOKUP(RIGHT(B28,1), {"A",43;"B",42;"C",50;"D",45}, 2, FALSE) * C28 + 50</f>
        <v>3578</v>
      </c>
      <c r="H28" s="17">
        <f t="shared" si="0"/>
        <v>45852.484722222223</v>
      </c>
      <c r="I28" s="17"/>
      <c r="S28" s="15">
        <v>7200</v>
      </c>
      <c r="T28" s="6" t="s">
        <v>26</v>
      </c>
    </row>
    <row r="29" spans="1:20" ht="14.4" thickBot="1" x14ac:dyDescent="0.3">
      <c r="A29">
        <v>28</v>
      </c>
      <c r="B29" t="s">
        <v>5</v>
      </c>
      <c r="C29">
        <v>87</v>
      </c>
      <c r="D29" s="17">
        <v>45850</v>
      </c>
      <c r="E29" s="17">
        <v>45851</v>
      </c>
      <c r="F29" t="s">
        <v>20</v>
      </c>
      <c r="G29">
        <f>VLOOKUP(RIGHT(B29,1), {"A",43;"B",42;"C",50;"D",45}, 2, FALSE) * C29 + 50</f>
        <v>3704</v>
      </c>
      <c r="H29" s="17">
        <f t="shared" si="0"/>
        <v>45852.572222222225</v>
      </c>
      <c r="I29" s="17"/>
      <c r="S29" s="16"/>
      <c r="T29" s="8"/>
    </row>
    <row r="30" spans="1:20" x14ac:dyDescent="0.25">
      <c r="A30">
        <v>29</v>
      </c>
      <c r="B30" t="s">
        <v>4</v>
      </c>
      <c r="C30">
        <v>113</v>
      </c>
      <c r="D30" s="17">
        <v>45850</v>
      </c>
      <c r="E30" s="17">
        <v>45851</v>
      </c>
      <c r="F30" t="s">
        <v>20</v>
      </c>
      <c r="G30">
        <f>VLOOKUP(RIGHT(B30,1), {"A",43;"B",42;"C",50;"D",45}, 2, FALSE) * C30 + 50</f>
        <v>4909</v>
      </c>
      <c r="H30" s="17">
        <f t="shared" si="0"/>
        <v>45853.40902777778</v>
      </c>
      <c r="I30" s="17"/>
    </row>
    <row r="31" spans="1:20" x14ac:dyDescent="0.25">
      <c r="A31">
        <v>30</v>
      </c>
      <c r="B31" t="s">
        <v>5</v>
      </c>
      <c r="C31">
        <v>96</v>
      </c>
      <c r="D31" s="17">
        <v>45850</v>
      </c>
      <c r="E31" s="17">
        <v>45865</v>
      </c>
      <c r="F31" t="s">
        <v>20</v>
      </c>
      <c r="G31">
        <f>VLOOKUP(RIGHT(B31,1), {"A",43;"B",42;"C",50;"D",45}, 2, FALSE) * C31 + 50</f>
        <v>4082</v>
      </c>
      <c r="H31" s="17">
        <f t="shared" si="0"/>
        <v>45852.834722222222</v>
      </c>
      <c r="I31" s="17"/>
    </row>
    <row r="32" spans="1:20" x14ac:dyDescent="0.25">
      <c r="A32">
        <v>31</v>
      </c>
      <c r="B32" t="s">
        <v>4</v>
      </c>
      <c r="C32">
        <v>117</v>
      </c>
      <c r="D32" s="17">
        <v>45850</v>
      </c>
      <c r="E32" s="17">
        <v>45879</v>
      </c>
      <c r="F32" t="s">
        <v>19</v>
      </c>
      <c r="G32">
        <f>VLOOKUP(RIGHT(B32,1), {"A",43;"B",42;"C",50;"D",45}, 2, FALSE) * C32 + 50</f>
        <v>5081</v>
      </c>
      <c r="H32" s="17">
        <f t="shared" si="0"/>
        <v>45853.52847222222</v>
      </c>
      <c r="I32" s="17"/>
    </row>
    <row r="33" spans="1:9" x14ac:dyDescent="0.25">
      <c r="A33">
        <v>32</v>
      </c>
      <c r="B33" t="s">
        <v>4</v>
      </c>
      <c r="C33">
        <v>118</v>
      </c>
      <c r="D33" s="17">
        <v>45850</v>
      </c>
      <c r="E33" s="17">
        <v>45859</v>
      </c>
      <c r="F33" t="s">
        <v>22</v>
      </c>
      <c r="G33">
        <f>VLOOKUP(RIGHT(B33,1), {"A",43;"B",42;"C",50;"D",45}, 2, FALSE) * C33 + 50</f>
        <v>5124</v>
      </c>
      <c r="H33" s="17">
        <f t="shared" si="0"/>
        <v>45853.558333333334</v>
      </c>
      <c r="I33" s="17"/>
    </row>
    <row r="34" spans="1:9" x14ac:dyDescent="0.25">
      <c r="A34">
        <v>33</v>
      </c>
      <c r="B34" t="s">
        <v>4</v>
      </c>
      <c r="C34">
        <v>118</v>
      </c>
      <c r="D34" s="17">
        <v>45850</v>
      </c>
      <c r="E34" s="17">
        <v>45851</v>
      </c>
      <c r="F34" t="s">
        <v>19</v>
      </c>
      <c r="G34">
        <f>VLOOKUP(RIGHT(B34,1), {"A",43;"B",42;"C",50;"D",45}, 2, FALSE) * C34 + 50</f>
        <v>5124</v>
      </c>
      <c r="H34" s="17">
        <f t="shared" ref="H34:H52" si="2" xml:space="preserve"> D34 + (G34 / 1440)</f>
        <v>45853.558333333334</v>
      </c>
      <c r="I34" s="17"/>
    </row>
    <row r="35" spans="1:9" x14ac:dyDescent="0.25">
      <c r="A35">
        <v>34</v>
      </c>
      <c r="B35" t="s">
        <v>5</v>
      </c>
      <c r="C35">
        <v>99</v>
      </c>
      <c r="D35" s="17">
        <v>45850</v>
      </c>
      <c r="E35" s="17">
        <v>45866</v>
      </c>
      <c r="F35" t="s">
        <v>21</v>
      </c>
      <c r="G35">
        <f>VLOOKUP(RIGHT(B35,1), {"A",43;"B",42;"C",50;"D",45}, 2, FALSE) * C35 + 50</f>
        <v>4208</v>
      </c>
      <c r="H35" s="17">
        <f t="shared" si="2"/>
        <v>45852.922222222223</v>
      </c>
      <c r="I35" s="17"/>
    </row>
    <row r="36" spans="1:9" x14ac:dyDescent="0.25">
      <c r="A36">
        <v>35</v>
      </c>
      <c r="B36" t="s">
        <v>4</v>
      </c>
      <c r="C36">
        <v>121</v>
      </c>
      <c r="D36" s="17">
        <v>45850</v>
      </c>
      <c r="E36" s="17">
        <v>45866</v>
      </c>
      <c r="F36" t="s">
        <v>22</v>
      </c>
      <c r="G36">
        <f>VLOOKUP(RIGHT(B36,1), {"A",43;"B",42;"C",50;"D",45}, 2, FALSE) * C36 + 50</f>
        <v>5253</v>
      </c>
      <c r="H36" s="17">
        <f t="shared" si="2"/>
        <v>45853.647916666669</v>
      </c>
      <c r="I36" s="17"/>
    </row>
    <row r="37" spans="1:9" x14ac:dyDescent="0.25">
      <c r="A37">
        <v>36</v>
      </c>
      <c r="B37" t="s">
        <v>7</v>
      </c>
      <c r="C37">
        <v>88</v>
      </c>
      <c r="D37" s="17">
        <v>45850</v>
      </c>
      <c r="E37" s="17">
        <v>45858</v>
      </c>
      <c r="F37" t="s">
        <v>19</v>
      </c>
      <c r="G37">
        <f>VLOOKUP(RIGHT(B37,1), {"A",43;"B",42;"C",50;"D",45}, 2, FALSE) * C37 + 50</f>
        <v>4010</v>
      </c>
      <c r="H37" s="17">
        <f t="shared" si="2"/>
        <v>45852.784722222219</v>
      </c>
      <c r="I37" s="17"/>
    </row>
    <row r="38" spans="1:9" x14ac:dyDescent="0.25">
      <c r="A38">
        <v>37</v>
      </c>
      <c r="B38" t="s">
        <v>7</v>
      </c>
      <c r="C38">
        <v>90</v>
      </c>
      <c r="D38" s="17">
        <v>45850</v>
      </c>
      <c r="E38" s="17">
        <v>45867</v>
      </c>
      <c r="F38" t="s">
        <v>20</v>
      </c>
      <c r="G38">
        <f>VLOOKUP(RIGHT(B38,1), {"A",43;"B",42;"C",50;"D",45}, 2, FALSE) * C38 + 50</f>
        <v>4100</v>
      </c>
      <c r="H38" s="17">
        <f t="shared" si="2"/>
        <v>45852.847222222219</v>
      </c>
      <c r="I38" s="17"/>
    </row>
    <row r="39" spans="1:9" x14ac:dyDescent="0.25">
      <c r="A39">
        <v>38</v>
      </c>
      <c r="B39" t="s">
        <v>7</v>
      </c>
      <c r="C39">
        <v>90</v>
      </c>
      <c r="D39" s="17">
        <v>45850</v>
      </c>
      <c r="E39" s="17">
        <v>45851</v>
      </c>
      <c r="F39" t="s">
        <v>19</v>
      </c>
      <c r="G39">
        <f>VLOOKUP(RIGHT(B39,1), {"A",43;"B",42;"C",50;"D",45}, 2, FALSE) * C39 + 50</f>
        <v>4100</v>
      </c>
      <c r="H39" s="17">
        <f t="shared" si="2"/>
        <v>45852.847222222219</v>
      </c>
      <c r="I39" s="17"/>
    </row>
    <row r="40" spans="1:9" x14ac:dyDescent="0.25">
      <c r="A40">
        <v>39</v>
      </c>
      <c r="B40" t="s">
        <v>7</v>
      </c>
      <c r="C40">
        <v>100</v>
      </c>
      <c r="D40" s="17">
        <v>45850</v>
      </c>
      <c r="E40" s="17">
        <v>45868</v>
      </c>
      <c r="F40" t="s">
        <v>22</v>
      </c>
      <c r="G40">
        <f>VLOOKUP(RIGHT(B40,1), {"A",43;"B",42;"C",50;"D",45}, 2, FALSE) * C40 + 50</f>
        <v>4550</v>
      </c>
      <c r="H40" s="17">
        <f t="shared" si="2"/>
        <v>45853.159722222219</v>
      </c>
      <c r="I40" s="17"/>
    </row>
    <row r="41" spans="1:9" x14ac:dyDescent="0.25">
      <c r="A41">
        <v>40</v>
      </c>
      <c r="B41" t="s">
        <v>6</v>
      </c>
      <c r="C41">
        <v>102</v>
      </c>
      <c r="D41" s="17">
        <v>45850</v>
      </c>
      <c r="E41" s="17">
        <v>45859</v>
      </c>
      <c r="F41" t="s">
        <v>20</v>
      </c>
      <c r="G41">
        <f>VLOOKUP(RIGHT(B41,1), {"A",43;"B",42;"C",50;"D",45}, 2, FALSE) * C41 + 50</f>
        <v>5150</v>
      </c>
      <c r="H41" s="17">
        <f t="shared" si="2"/>
        <v>45853.576388888891</v>
      </c>
      <c r="I41" s="17"/>
    </row>
    <row r="42" spans="1:9" x14ac:dyDescent="0.25">
      <c r="A42">
        <v>41</v>
      </c>
      <c r="B42" t="s">
        <v>6</v>
      </c>
      <c r="C42">
        <v>102</v>
      </c>
      <c r="D42" s="17">
        <v>45850</v>
      </c>
      <c r="E42" s="17">
        <v>45851</v>
      </c>
      <c r="F42" t="s">
        <v>21</v>
      </c>
      <c r="G42">
        <f>VLOOKUP(RIGHT(B42,1), {"A",43;"B",42;"C",50;"D",45}, 2, FALSE) * C42 + 50</f>
        <v>5150</v>
      </c>
      <c r="H42" s="17">
        <f t="shared" si="2"/>
        <v>45853.576388888891</v>
      </c>
      <c r="I42" s="17"/>
    </row>
    <row r="43" spans="1:9" x14ac:dyDescent="0.25">
      <c r="A43">
        <v>42</v>
      </c>
      <c r="B43" t="s">
        <v>5</v>
      </c>
      <c r="C43">
        <v>120</v>
      </c>
      <c r="D43" s="17">
        <v>45850</v>
      </c>
      <c r="E43" s="17">
        <v>45851</v>
      </c>
      <c r="F43" t="s">
        <v>20</v>
      </c>
      <c r="G43">
        <f>VLOOKUP(RIGHT(B43,1), {"A",43;"B",42;"C",50;"D",45}, 2, FALSE) * C43 + 50</f>
        <v>5090</v>
      </c>
      <c r="H43" s="17">
        <f t="shared" si="2"/>
        <v>45853.534722222219</v>
      </c>
      <c r="I43" s="17"/>
    </row>
    <row r="44" spans="1:9" x14ac:dyDescent="0.25">
      <c r="A44">
        <v>43</v>
      </c>
      <c r="B44" t="s">
        <v>6</v>
      </c>
      <c r="C44">
        <v>104</v>
      </c>
      <c r="D44" s="17">
        <v>45850</v>
      </c>
      <c r="E44" s="17">
        <v>45851</v>
      </c>
      <c r="F44" t="s">
        <v>20</v>
      </c>
      <c r="G44">
        <f>VLOOKUP(RIGHT(B44,1), {"A",43;"B",42;"C",50;"D",45}, 2, FALSE) * C44 + 50</f>
        <v>5250</v>
      </c>
      <c r="H44" s="17">
        <f t="shared" si="2"/>
        <v>45853.645833333336</v>
      </c>
      <c r="I44" s="17"/>
    </row>
    <row r="45" spans="1:9" x14ac:dyDescent="0.25">
      <c r="A45">
        <v>44</v>
      </c>
      <c r="B45" t="s">
        <v>5</v>
      </c>
      <c r="C45">
        <v>126</v>
      </c>
      <c r="D45" s="17">
        <v>45850</v>
      </c>
      <c r="E45" s="17">
        <v>45861</v>
      </c>
      <c r="F45" t="s">
        <v>21</v>
      </c>
      <c r="G45">
        <f>VLOOKUP(RIGHT(B45,1), {"A",43;"B",42;"C",50;"D",45}, 2, FALSE) * C45 + 50</f>
        <v>5342</v>
      </c>
      <c r="H45" s="17">
        <f t="shared" si="2"/>
        <v>45853.709722222222</v>
      </c>
      <c r="I45" s="17"/>
    </row>
    <row r="46" spans="1:9" x14ac:dyDescent="0.25">
      <c r="A46">
        <v>45</v>
      </c>
      <c r="B46" t="s">
        <v>6</v>
      </c>
      <c r="C46">
        <v>114</v>
      </c>
      <c r="D46" s="17">
        <v>45850</v>
      </c>
      <c r="E46" s="17">
        <v>45859</v>
      </c>
      <c r="F46" t="s">
        <v>20</v>
      </c>
      <c r="G46">
        <f>VLOOKUP(RIGHT(B46,1), {"A",43;"B",42;"C",50;"D",45}, 2, FALSE) * C46 + 50</f>
        <v>5750</v>
      </c>
      <c r="H46" s="17">
        <f t="shared" si="2"/>
        <v>45853.993055555555</v>
      </c>
      <c r="I46" s="17"/>
    </row>
    <row r="47" spans="1:9" x14ac:dyDescent="0.25">
      <c r="A47">
        <v>46</v>
      </c>
      <c r="B47" t="s">
        <v>6</v>
      </c>
      <c r="C47">
        <v>127</v>
      </c>
      <c r="D47" s="17">
        <v>45850</v>
      </c>
      <c r="E47" s="17">
        <v>45866</v>
      </c>
      <c r="F47" t="s">
        <v>19</v>
      </c>
      <c r="G47">
        <f>VLOOKUP(RIGHT(B47,1), {"A",43;"B",42;"C",50;"D",45}, 2, FALSE) * C47 + 50</f>
        <v>6400</v>
      </c>
      <c r="H47" s="17">
        <f t="shared" si="2"/>
        <v>45854.444444444445</v>
      </c>
      <c r="I47" s="17"/>
    </row>
    <row r="48" spans="1:9" x14ac:dyDescent="0.25">
      <c r="A48">
        <v>47</v>
      </c>
      <c r="B48" t="s">
        <v>6</v>
      </c>
      <c r="C48">
        <v>138</v>
      </c>
      <c r="D48" s="17">
        <v>45850</v>
      </c>
      <c r="E48" s="17">
        <v>45865</v>
      </c>
      <c r="F48" t="s">
        <v>22</v>
      </c>
      <c r="G48">
        <f>VLOOKUP(RIGHT(B48,1), {"A",43;"B",42;"C",50;"D",45}, 2, FALSE) * C48 + 50</f>
        <v>6950</v>
      </c>
      <c r="H48" s="17">
        <f t="shared" si="2"/>
        <v>45854.826388888891</v>
      </c>
      <c r="I48" s="17"/>
    </row>
    <row r="49" spans="1:9" x14ac:dyDescent="0.25">
      <c r="A49">
        <v>48</v>
      </c>
      <c r="B49" t="s">
        <v>6</v>
      </c>
      <c r="C49">
        <v>140</v>
      </c>
      <c r="D49" s="17">
        <v>45850</v>
      </c>
      <c r="E49" s="17">
        <v>45866</v>
      </c>
      <c r="F49" t="s">
        <v>21</v>
      </c>
      <c r="G49">
        <f>VLOOKUP(RIGHT(B49,1), {"A",43;"B",42;"C",50;"D",45}, 2, FALSE) * C49 + 50</f>
        <v>7050</v>
      </c>
      <c r="H49" s="17">
        <f t="shared" si="2"/>
        <v>45854.895833333336</v>
      </c>
      <c r="I49" s="17"/>
    </row>
    <row r="50" spans="1:9" x14ac:dyDescent="0.25">
      <c r="A50">
        <v>49</v>
      </c>
      <c r="B50" t="s">
        <v>7</v>
      </c>
      <c r="C50">
        <v>143</v>
      </c>
      <c r="D50" s="17">
        <v>45850</v>
      </c>
      <c r="E50" s="17">
        <v>45851</v>
      </c>
      <c r="F50" t="s">
        <v>22</v>
      </c>
      <c r="G50">
        <f>VLOOKUP(RIGHT(B50,1), {"A",43;"B",42;"C",50;"D",45}, 2, FALSE) * C50 + 50</f>
        <v>6485</v>
      </c>
      <c r="H50" s="17">
        <f t="shared" si="2"/>
        <v>45854.503472222219</v>
      </c>
      <c r="I50" s="17"/>
    </row>
    <row r="51" spans="1:9" x14ac:dyDescent="0.25">
      <c r="A51">
        <v>50</v>
      </c>
      <c r="B51" t="s">
        <v>7</v>
      </c>
      <c r="C51">
        <v>148</v>
      </c>
      <c r="D51" s="17">
        <v>45850</v>
      </c>
      <c r="E51" s="17">
        <v>45851</v>
      </c>
      <c r="F51" t="s">
        <v>20</v>
      </c>
      <c r="G51">
        <f>VLOOKUP(RIGHT(B51,1), {"A",43;"B",42;"C",50;"D",45}, 2, FALSE) * C51 + 50</f>
        <v>6710</v>
      </c>
      <c r="H51" s="17">
        <f t="shared" si="2"/>
        <v>45854.659722222219</v>
      </c>
      <c r="I51" s="17"/>
    </row>
    <row r="52" spans="1:9" x14ac:dyDescent="0.25">
      <c r="A52">
        <v>51</v>
      </c>
      <c r="B52" t="s">
        <v>6</v>
      </c>
      <c r="C52">
        <v>149</v>
      </c>
      <c r="D52" s="17">
        <v>45850</v>
      </c>
      <c r="E52" s="17">
        <v>45854</v>
      </c>
      <c r="F52" t="s">
        <v>21</v>
      </c>
      <c r="G52">
        <f>VLOOKUP(RIGHT(B52,1), {"A",43;"B",42;"C",50;"D",45}, 2, FALSE) * C52 + 50</f>
        <v>7500</v>
      </c>
      <c r="H52" s="17">
        <f t="shared" si="2"/>
        <v>45855.208333333336</v>
      </c>
      <c r="I52" s="17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0E1F-9EE1-407A-9180-47B67A472CF1}">
  <dimension ref="A1:U52"/>
  <sheetViews>
    <sheetView rightToLeft="1" topLeftCell="F1" zoomScaleNormal="100" workbookViewId="0">
      <selection activeCell="L12" sqref="L12"/>
    </sheetView>
  </sheetViews>
  <sheetFormatPr defaultRowHeight="13.8" x14ac:dyDescent="0.25"/>
  <cols>
    <col min="1" max="1" width="10.69921875" bestFit="1" customWidth="1"/>
    <col min="2" max="2" width="8.5" bestFit="1" customWidth="1"/>
    <col min="3" max="3" width="8.59765625" bestFit="1" customWidth="1"/>
    <col min="4" max="4" width="15.69921875" bestFit="1" customWidth="1"/>
    <col min="5" max="5" width="17.69921875" customWidth="1"/>
    <col min="6" max="6" width="8" bestFit="1" customWidth="1"/>
    <col min="7" max="7" width="10.8984375" bestFit="1" customWidth="1"/>
    <col min="8" max="8" width="12.69921875" bestFit="1" customWidth="1"/>
    <col min="9" max="9" width="14.3984375" bestFit="1" customWidth="1"/>
    <col min="10" max="10" width="15.59765625" bestFit="1" customWidth="1"/>
    <col min="11" max="11" width="15.69921875" bestFit="1" customWidth="1"/>
    <col min="12" max="12" width="15" bestFit="1" customWidth="1"/>
    <col min="13" max="13" width="16.3984375" bestFit="1" customWidth="1"/>
    <col min="14" max="14" width="17" bestFit="1" customWidth="1"/>
    <col min="15" max="15" width="14.69921875" bestFit="1" customWidth="1"/>
    <col min="16" max="16" width="14.59765625" customWidth="1"/>
  </cols>
  <sheetData>
    <row r="1" spans="1:17" ht="14.4" thickBot="1" x14ac:dyDescent="0.3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5" t="s">
        <v>29</v>
      </c>
      <c r="H1" s="25" t="s">
        <v>36</v>
      </c>
      <c r="I1" s="25" t="s">
        <v>31</v>
      </c>
      <c r="J1" s="22"/>
      <c r="K1" s="23" t="s">
        <v>0</v>
      </c>
      <c r="L1" s="5" t="s">
        <v>13</v>
      </c>
      <c r="M1" s="5" t="s">
        <v>12</v>
      </c>
      <c r="N1" s="5" t="s">
        <v>14</v>
      </c>
      <c r="O1" s="5" t="s">
        <v>15</v>
      </c>
      <c r="P1" s="5" t="s">
        <v>16</v>
      </c>
      <c r="Q1" t="s">
        <v>30</v>
      </c>
    </row>
    <row r="2" spans="1:17" ht="14.4" thickBot="1" x14ac:dyDescent="0.3">
      <c r="A2">
        <v>1</v>
      </c>
      <c r="B2" t="s">
        <v>5</v>
      </c>
      <c r="C2">
        <v>23</v>
      </c>
      <c r="D2" s="17">
        <v>45839</v>
      </c>
      <c r="E2" s="17">
        <v>45879</v>
      </c>
      <c r="F2" t="s">
        <v>21</v>
      </c>
      <c r="G2">
        <f>VLOOKUP(RIGHT(B2,1), {"A",43;"B",42;"C",50;"D",45}, 2, FALSE) * C2 + 50</f>
        <v>1016</v>
      </c>
      <c r="H2">
        <f>G2</f>
        <v>1016</v>
      </c>
      <c r="I2" s="17">
        <f t="shared" ref="I2:I33" si="0">WORKDAY.INTL(D2,INT(H2/1440),7) + MOD(H2/1440,1)</f>
        <v>45839.705555555556</v>
      </c>
      <c r="J2" s="17"/>
      <c r="K2" s="24" t="s">
        <v>4</v>
      </c>
      <c r="L2" s="10">
        <v>5</v>
      </c>
      <c r="M2" s="3">
        <v>8</v>
      </c>
      <c r="N2" s="3">
        <v>14</v>
      </c>
      <c r="O2" s="3">
        <v>6</v>
      </c>
      <c r="P2" s="9">
        <v>10</v>
      </c>
      <c r="Q2">
        <f>SUM(L2:P2)</f>
        <v>43</v>
      </c>
    </row>
    <row r="3" spans="1:17" ht="14.4" thickBot="1" x14ac:dyDescent="0.3">
      <c r="A3">
        <v>2</v>
      </c>
      <c r="B3" t="s">
        <v>6</v>
      </c>
      <c r="C3">
        <v>21</v>
      </c>
      <c r="D3" s="17">
        <v>45839</v>
      </c>
      <c r="E3" s="17">
        <v>45874</v>
      </c>
      <c r="F3" t="s">
        <v>20</v>
      </c>
      <c r="G3">
        <f>VLOOKUP(RIGHT(B3,1), {"A",43;"B",42;"C",50;"D",45}, 2, FALSE) * C3 + 50</f>
        <v>1100</v>
      </c>
      <c r="H3">
        <f>H2 + G3</f>
        <v>2116</v>
      </c>
      <c r="I3" s="17">
        <f t="shared" si="0"/>
        <v>45840.469444444447</v>
      </c>
      <c r="J3" s="17"/>
      <c r="K3" s="24" t="s">
        <v>5</v>
      </c>
      <c r="L3" s="11">
        <v>7</v>
      </c>
      <c r="M3" s="4">
        <v>6</v>
      </c>
      <c r="N3" s="4">
        <v>11</v>
      </c>
      <c r="O3" s="4">
        <v>6</v>
      </c>
      <c r="P3" s="6">
        <v>12</v>
      </c>
      <c r="Q3">
        <f>SUM(L3:P3)</f>
        <v>42</v>
      </c>
    </row>
    <row r="4" spans="1:17" ht="14.4" thickBot="1" x14ac:dyDescent="0.3">
      <c r="A4">
        <v>3</v>
      </c>
      <c r="B4" t="s">
        <v>5</v>
      </c>
      <c r="C4">
        <v>26</v>
      </c>
      <c r="D4" s="17">
        <v>45839</v>
      </c>
      <c r="E4" s="17">
        <v>45859</v>
      </c>
      <c r="F4" t="s">
        <v>22</v>
      </c>
      <c r="G4">
        <f>VLOOKUP(RIGHT(B4,1), {"A",43;"B",42;"C",50;"D",45}, 2, FALSE) * C4 + 50</f>
        <v>1142</v>
      </c>
      <c r="H4">
        <f t="shared" ref="H4:H52" si="1">H3 + G4</f>
        <v>3258</v>
      </c>
      <c r="I4" s="17">
        <f t="shared" si="0"/>
        <v>45841.262499999997</v>
      </c>
      <c r="J4" s="17"/>
      <c r="K4" s="24" t="s">
        <v>6</v>
      </c>
      <c r="L4" s="11">
        <v>10</v>
      </c>
      <c r="M4" s="4">
        <v>10</v>
      </c>
      <c r="N4" s="4">
        <v>10</v>
      </c>
      <c r="O4" s="4">
        <v>6</v>
      </c>
      <c r="P4" s="6">
        <v>14</v>
      </c>
      <c r="Q4">
        <f>SUM(L4:P4)</f>
        <v>50</v>
      </c>
    </row>
    <row r="5" spans="1:17" ht="14.4" thickBot="1" x14ac:dyDescent="0.3">
      <c r="A5">
        <v>4</v>
      </c>
      <c r="B5" t="s">
        <v>4</v>
      </c>
      <c r="C5">
        <v>32</v>
      </c>
      <c r="D5" s="17">
        <v>45839</v>
      </c>
      <c r="E5" s="17">
        <v>45876</v>
      </c>
      <c r="F5" t="s">
        <v>22</v>
      </c>
      <c r="G5">
        <f>VLOOKUP(RIGHT(B5,1), {"A",43;"B",42;"C",50;"D",45}, 2, FALSE) * C5 + 50</f>
        <v>1426</v>
      </c>
      <c r="H5">
        <f t="shared" si="1"/>
        <v>4684</v>
      </c>
      <c r="I5" s="17">
        <f t="shared" si="0"/>
        <v>45844.25277777778</v>
      </c>
      <c r="J5" s="17"/>
      <c r="K5" s="24" t="s">
        <v>7</v>
      </c>
      <c r="L5" s="12">
        <v>6</v>
      </c>
      <c r="M5" s="7">
        <v>7</v>
      </c>
      <c r="N5" s="7">
        <v>12</v>
      </c>
      <c r="O5" s="7">
        <v>6</v>
      </c>
      <c r="P5" s="8">
        <v>14</v>
      </c>
      <c r="Q5">
        <f>SUM(L5:P5)</f>
        <v>45</v>
      </c>
    </row>
    <row r="6" spans="1:17" x14ac:dyDescent="0.25">
      <c r="A6">
        <v>5</v>
      </c>
      <c r="B6" t="s">
        <v>7</v>
      </c>
      <c r="C6">
        <v>23</v>
      </c>
      <c r="D6" s="17">
        <v>45839</v>
      </c>
      <c r="E6" s="17">
        <v>45859</v>
      </c>
      <c r="F6" t="s">
        <v>19</v>
      </c>
      <c r="G6">
        <f>VLOOKUP(RIGHT(B6,1), {"A",43;"B",42;"C",50;"D",45}, 2, FALSE) * C6 + 50</f>
        <v>1085</v>
      </c>
      <c r="H6">
        <f t="shared" si="1"/>
        <v>5769</v>
      </c>
      <c r="I6" s="17">
        <f t="shared" si="0"/>
        <v>45845.006249999999</v>
      </c>
      <c r="J6" s="17"/>
      <c r="K6" s="27"/>
      <c r="L6" s="18"/>
      <c r="M6" s="28"/>
      <c r="N6" s="28"/>
      <c r="O6" s="28"/>
      <c r="P6" s="29"/>
    </row>
    <row r="7" spans="1:17" x14ac:dyDescent="0.25">
      <c r="A7">
        <v>6</v>
      </c>
      <c r="B7" t="s">
        <v>7</v>
      </c>
      <c r="C7">
        <v>29</v>
      </c>
      <c r="D7" s="17">
        <v>45839</v>
      </c>
      <c r="E7" s="17">
        <v>45859</v>
      </c>
      <c r="F7" t="s">
        <v>21</v>
      </c>
      <c r="G7">
        <f>VLOOKUP(RIGHT(B7,1), {"A",43;"B",42;"C",50;"D",45}, 2, FALSE) * C7 + 50</f>
        <v>1355</v>
      </c>
      <c r="H7">
        <f t="shared" si="1"/>
        <v>7124</v>
      </c>
      <c r="I7" s="17">
        <f t="shared" si="0"/>
        <v>45845.947222222225</v>
      </c>
      <c r="J7" s="17"/>
      <c r="K7" t="s">
        <v>33</v>
      </c>
      <c r="L7" cm="1">
        <f t="array" ref="L7">SUMPRODUCT((RIGHT($B$2:$B$53,1)="A")*($L$2*$C$2:$C$53+10))</f>
        <v>5240</v>
      </c>
      <c r="M7" cm="1">
        <f t="array" ref="M7">SUMPRODUCT((RIGHT($B$2:$B$53,1)="A")*($M$2*$C$2:$C$53+10))</f>
        <v>8306</v>
      </c>
      <c r="N7" cm="1">
        <f t="array" ref="N7">SUMPRODUCT((RIGHT($B$2:$B$53,1)="A")*($N$2*$C$2:$C$53+10))</f>
        <v>14438</v>
      </c>
      <c r="O7" cm="1">
        <f t="array" ref="O7">SUMPRODUCT((RIGHT($B$2:$B$53,1)="A")*($O$2*$C$2:$C$53+10))</f>
        <v>6262</v>
      </c>
      <c r="P7" cm="1">
        <f t="array" ref="P7">SUMPRODUCT((RIGHT($B$2:$B$53,1)="A")*($P$2*$C$2:$C$53+10))</f>
        <v>10350</v>
      </c>
    </row>
    <row r="8" spans="1:17" x14ac:dyDescent="0.25">
      <c r="A8">
        <v>7</v>
      </c>
      <c r="B8" t="s">
        <v>5</v>
      </c>
      <c r="C8">
        <v>34</v>
      </c>
      <c r="D8" s="17">
        <v>45839</v>
      </c>
      <c r="E8" s="17">
        <v>45861</v>
      </c>
      <c r="F8" t="s">
        <v>21</v>
      </c>
      <c r="G8">
        <f>VLOOKUP(RIGHT(B8,1), {"A",43;"B",42;"C",50;"D",45}, 2, FALSE) * C8 + 50</f>
        <v>1478</v>
      </c>
      <c r="H8">
        <f t="shared" si="1"/>
        <v>8602</v>
      </c>
      <c r="I8" s="17">
        <f t="shared" si="0"/>
        <v>45846.973611111112</v>
      </c>
      <c r="J8" s="17"/>
      <c r="L8" cm="1">
        <f t="array" ref="L8">SUMPRODUCT((RIGHT($B$2:$B$53,1)="B")*($L$3*$C$2:$C$53+10))</f>
        <v>6654</v>
      </c>
      <c r="M8" cm="1">
        <f t="array" ref="M8">SUMPRODUCT((RIGHT($B$2:$B$53,1)="B")*($M$3*$C$2:$C$53+10))</f>
        <v>5722</v>
      </c>
      <c r="N8" cm="1">
        <f t="array" ref="N8">SUMPRODUCT((RIGHT($B$2:$B$53,1)="B")*($N$3*$C$2:$C$53+10))</f>
        <v>10382</v>
      </c>
      <c r="O8" cm="1">
        <f t="array" ref="O8">SUMPRODUCT((RIGHT($B$2:$B$53,1)="B")*($O$3*$C$2:$C$53+10))</f>
        <v>5722</v>
      </c>
      <c r="P8" cm="1">
        <f t="array" ref="P8">SUMPRODUCT((RIGHT($B$2:$B$53,1)="B")*($P$3*$C$2:$C$53+10))</f>
        <v>11314</v>
      </c>
    </row>
    <row r="9" spans="1:17" x14ac:dyDescent="0.25">
      <c r="A9">
        <v>8</v>
      </c>
      <c r="B9" t="s">
        <v>6</v>
      </c>
      <c r="C9">
        <v>30</v>
      </c>
      <c r="D9" s="17">
        <v>45839</v>
      </c>
      <c r="E9" s="17">
        <v>45851</v>
      </c>
      <c r="F9" t="s">
        <v>21</v>
      </c>
      <c r="G9">
        <f>VLOOKUP(RIGHT(B9,1), {"A",43;"B",42;"C",50;"D",45}, 2, FALSE) * C9 + 50</f>
        <v>1550</v>
      </c>
      <c r="H9">
        <f t="shared" si="1"/>
        <v>10152</v>
      </c>
      <c r="I9" s="17">
        <f t="shared" si="0"/>
        <v>45848.05</v>
      </c>
      <c r="J9" s="17"/>
      <c r="L9" cm="1">
        <f t="array" ref="L9">SUMPRODUCT((RIGHT($B$2:$B$53,1)="C")*($L$4*$C$2:$C$53+10))</f>
        <v>11520</v>
      </c>
      <c r="M9" cm="1">
        <f t="array" ref="M9">SUMPRODUCT((RIGHT($B$2:$B$53,1)="C")*($M$4*$C$2:$C$53+10))</f>
        <v>11520</v>
      </c>
      <c r="N9" cm="1">
        <f t="array" ref="N9">SUMPRODUCT((RIGHT($B$2:$B$53,1)="C")*($N$4*$C$2:$C$53+10))</f>
        <v>11520</v>
      </c>
      <c r="O9" cm="1">
        <f t="array" ref="O9">SUMPRODUCT((RIGHT($B$2:$B$53,1)="C")*($O$4*$C$2:$C$53+10))</f>
        <v>6964</v>
      </c>
      <c r="P9" cm="1">
        <f t="array" ref="P9">SUMPRODUCT((RIGHT($B$2:$B$53,1)="C")*($P$4*$C$2:$C$53+10))</f>
        <v>16076</v>
      </c>
    </row>
    <row r="10" spans="1:17" x14ac:dyDescent="0.25">
      <c r="A10">
        <v>9</v>
      </c>
      <c r="B10" t="s">
        <v>4</v>
      </c>
      <c r="C10">
        <v>43</v>
      </c>
      <c r="D10" s="17">
        <v>45839</v>
      </c>
      <c r="E10" s="17">
        <v>45861</v>
      </c>
      <c r="F10" t="s">
        <v>21</v>
      </c>
      <c r="G10">
        <f>VLOOKUP(RIGHT(B10,1), {"A",43;"B",42;"C",50;"D",45}, 2, FALSE) * C10 + 50</f>
        <v>1899</v>
      </c>
      <c r="H10">
        <f t="shared" si="1"/>
        <v>12051</v>
      </c>
      <c r="I10" s="17">
        <f t="shared" si="0"/>
        <v>45851.368750000001</v>
      </c>
      <c r="J10" s="17"/>
      <c r="L10" cm="1">
        <f t="array" ref="L10">SUMPRODUCT((RIGHT($B$2:$B$53,1)="D")*($L$5*$C$2:$C$53+10))</f>
        <v>5394</v>
      </c>
      <c r="M10" cm="1">
        <f t="array" ref="M10">SUMPRODUCT((RIGHT($B$2:$B$53,1)="D")*($M$5*$C$2:$C$53+10))</f>
        <v>6273</v>
      </c>
      <c r="N10" cm="1">
        <f t="array" ref="N10">SUMPRODUCT((RIGHT($B$2:$B$53,1)="D")*($N$5*$C$2:$C$53+10))</f>
        <v>10668</v>
      </c>
      <c r="O10" cm="1">
        <f t="array" ref="O10">SUMPRODUCT((RIGHT($B$2:$B$53,1)="D")*($O$5*$C$2:$C$53+10))</f>
        <v>5394</v>
      </c>
      <c r="P10" cm="1">
        <f t="array" ref="P10">SUMPRODUCT((RIGHT($B$2:$B$53,1)="D")*($P$5*$C$2:$C$53+10))</f>
        <v>12426</v>
      </c>
    </row>
    <row r="11" spans="1:17" x14ac:dyDescent="0.25">
      <c r="A11">
        <v>10</v>
      </c>
      <c r="B11" t="s">
        <v>6</v>
      </c>
      <c r="C11">
        <v>31</v>
      </c>
      <c r="D11" s="17">
        <v>45839</v>
      </c>
      <c r="E11" s="17">
        <v>45851</v>
      </c>
      <c r="F11" t="s">
        <v>19</v>
      </c>
      <c r="G11">
        <f>VLOOKUP(RIGHT(B11,1), {"A",43;"B",42;"C",50;"D",45}, 2, FALSE) * C11 + 50</f>
        <v>1600</v>
      </c>
      <c r="H11">
        <f t="shared" si="1"/>
        <v>13651</v>
      </c>
      <c r="I11" s="17">
        <f t="shared" si="0"/>
        <v>45852.479861111111</v>
      </c>
      <c r="J11" s="17"/>
    </row>
    <row r="12" spans="1:17" x14ac:dyDescent="0.25">
      <c r="A12">
        <v>11</v>
      </c>
      <c r="B12" t="s">
        <v>4</v>
      </c>
      <c r="C12">
        <v>44</v>
      </c>
      <c r="D12" s="17">
        <v>45839</v>
      </c>
      <c r="E12" s="17">
        <v>45867</v>
      </c>
      <c r="F12" t="s">
        <v>22</v>
      </c>
      <c r="G12">
        <f>VLOOKUP(RIGHT(B12,1), {"A",43;"B",42;"C",50;"D",45}, 2, FALSE) * C12 + 50</f>
        <v>1942</v>
      </c>
      <c r="H12">
        <f t="shared" si="1"/>
        <v>15593</v>
      </c>
      <c r="I12" s="17">
        <f t="shared" si="0"/>
        <v>45853.828472222223</v>
      </c>
      <c r="J12" s="17"/>
      <c r="L12" s="19">
        <f>SUM(L7:L10)</f>
        <v>28808</v>
      </c>
      <c r="M12" s="19">
        <f>SUM(M7:M10)</f>
        <v>31821</v>
      </c>
      <c r="N12" s="19">
        <f>SUM(N7:N10)</f>
        <v>47008</v>
      </c>
      <c r="O12" s="19">
        <f>SUM(O7:O10)</f>
        <v>24342</v>
      </c>
      <c r="P12" s="19">
        <f>SUM(P7:P10)</f>
        <v>50166</v>
      </c>
    </row>
    <row r="13" spans="1:17" x14ac:dyDescent="0.25">
      <c r="A13">
        <v>12</v>
      </c>
      <c r="B13" t="s">
        <v>4</v>
      </c>
      <c r="C13">
        <v>46</v>
      </c>
      <c r="D13" s="17">
        <v>45839</v>
      </c>
      <c r="E13" s="17">
        <v>45853</v>
      </c>
      <c r="F13" t="s">
        <v>22</v>
      </c>
      <c r="G13">
        <f>VLOOKUP(RIGHT(B13,1), {"A",43;"B",42;"C",50;"D",45}, 2, FALSE) * C13 + 50</f>
        <v>2028</v>
      </c>
      <c r="H13">
        <f t="shared" si="1"/>
        <v>17621</v>
      </c>
      <c r="I13" s="17">
        <f t="shared" si="0"/>
        <v>45855.236805555556</v>
      </c>
      <c r="J13" s="17"/>
    </row>
    <row r="14" spans="1:17" x14ac:dyDescent="0.25">
      <c r="A14">
        <v>13</v>
      </c>
      <c r="B14" t="s">
        <v>6</v>
      </c>
      <c r="C14">
        <v>33</v>
      </c>
      <c r="D14" s="17">
        <v>45839</v>
      </c>
      <c r="E14" s="17">
        <v>45868</v>
      </c>
      <c r="F14" t="s">
        <v>20</v>
      </c>
      <c r="G14">
        <f>VLOOKUP(RIGHT(B14,1), {"A",43;"B",42;"C",50;"D",45}, 2, FALSE) * C14 + 50</f>
        <v>1700</v>
      </c>
      <c r="H14">
        <f t="shared" si="1"/>
        <v>19321</v>
      </c>
      <c r="I14" s="17">
        <f t="shared" si="0"/>
        <v>45858.417361111111</v>
      </c>
      <c r="J14" s="17"/>
      <c r="K14" s="21" t="s">
        <v>34</v>
      </c>
      <c r="L14" s="21" t="s">
        <v>35</v>
      </c>
    </row>
    <row r="15" spans="1:17" x14ac:dyDescent="0.25">
      <c r="A15">
        <v>14</v>
      </c>
      <c r="B15" t="s">
        <v>7</v>
      </c>
      <c r="C15">
        <v>35</v>
      </c>
      <c r="D15" s="17">
        <v>45839</v>
      </c>
      <c r="E15" s="17">
        <v>45851</v>
      </c>
      <c r="F15" t="s">
        <v>21</v>
      </c>
      <c r="G15">
        <f>VLOOKUP(RIGHT(B15,1), {"A",43;"B",42;"C",50;"D",45}, 2, FALSE) * C15 + 50</f>
        <v>1625</v>
      </c>
      <c r="H15">
        <f t="shared" si="1"/>
        <v>20946</v>
      </c>
      <c r="I15" s="17">
        <f t="shared" si="0"/>
        <v>45859.54583333333</v>
      </c>
      <c r="J15" s="17"/>
      <c r="K15" s="30">
        <f>MAX(L12:P12)</f>
        <v>50166</v>
      </c>
      <c r="L15" s="21">
        <v>5</v>
      </c>
    </row>
    <row r="16" spans="1:17" x14ac:dyDescent="0.25">
      <c r="A16">
        <v>15</v>
      </c>
      <c r="B16" t="s">
        <v>4</v>
      </c>
      <c r="C16">
        <v>54</v>
      </c>
      <c r="D16" s="17">
        <v>45839</v>
      </c>
      <c r="E16" s="17">
        <v>45875</v>
      </c>
      <c r="F16" t="s">
        <v>20</v>
      </c>
      <c r="G16">
        <f>VLOOKUP(RIGHT(B16,1), {"A",43;"B",42;"C",50;"D",45}, 2, FALSE) * C16 + 50</f>
        <v>2372</v>
      </c>
      <c r="H16">
        <f t="shared" si="1"/>
        <v>23318</v>
      </c>
      <c r="I16" s="17">
        <f t="shared" si="0"/>
        <v>45861.193055555559</v>
      </c>
      <c r="J16" s="17"/>
    </row>
    <row r="17" spans="1:21" x14ac:dyDescent="0.25">
      <c r="A17">
        <v>16</v>
      </c>
      <c r="B17" t="s">
        <v>7</v>
      </c>
      <c r="C17">
        <v>39</v>
      </c>
      <c r="D17" s="17">
        <v>45839</v>
      </c>
      <c r="E17" s="17">
        <v>45851</v>
      </c>
      <c r="F17" t="s">
        <v>20</v>
      </c>
      <c r="G17">
        <f>VLOOKUP(RIGHT(B17,1), {"A",43;"B",42;"C",50;"D",45}, 2, FALSE) * C17 + 50</f>
        <v>1805</v>
      </c>
      <c r="H17">
        <f t="shared" si="1"/>
        <v>25123</v>
      </c>
      <c r="I17" s="17">
        <f t="shared" si="0"/>
        <v>45862.446527777778</v>
      </c>
      <c r="J17" s="17"/>
      <c r="K17" s="21" t="s">
        <v>27</v>
      </c>
    </row>
    <row r="18" spans="1:21" x14ac:dyDescent="0.25">
      <c r="A18">
        <v>17</v>
      </c>
      <c r="B18" t="s">
        <v>7</v>
      </c>
      <c r="C18">
        <v>39</v>
      </c>
      <c r="D18" s="17">
        <v>45839</v>
      </c>
      <c r="E18" s="17">
        <v>45851</v>
      </c>
      <c r="F18" t="s">
        <v>20</v>
      </c>
      <c r="G18">
        <f>VLOOKUP(RIGHT(B18,1), {"A",43;"B",42;"C",50;"D",45}, 2, FALSE) * C18 + 50</f>
        <v>1805</v>
      </c>
      <c r="H18">
        <f t="shared" si="1"/>
        <v>26928</v>
      </c>
      <c r="I18" s="17">
        <f t="shared" si="0"/>
        <v>45865.7</v>
      </c>
      <c r="J18" s="17"/>
      <c r="K18" s="31" cm="1">
        <f t="array" ref="K18">SUMPRODUCT((I2:I52&lt;=E2:E52)*1) / COUNTA(I2:I52)</f>
        <v>0.27450980392156865</v>
      </c>
    </row>
    <row r="19" spans="1:21" x14ac:dyDescent="0.25">
      <c r="A19">
        <v>18</v>
      </c>
      <c r="B19" t="s">
        <v>5</v>
      </c>
      <c r="C19">
        <v>46</v>
      </c>
      <c r="D19" s="17">
        <v>45839</v>
      </c>
      <c r="E19" s="17">
        <v>45872</v>
      </c>
      <c r="F19" t="s">
        <v>20</v>
      </c>
      <c r="G19">
        <f>VLOOKUP(RIGHT(B19,1), {"A",43;"B",42;"C",50;"D",45}, 2, FALSE) * C19 + 50</f>
        <v>1982</v>
      </c>
      <c r="H19">
        <f t="shared" si="1"/>
        <v>28910</v>
      </c>
      <c r="I19" s="17">
        <f t="shared" si="0"/>
        <v>45867.076388888891</v>
      </c>
      <c r="J19" s="17"/>
      <c r="K19" s="21"/>
      <c r="L19" s="26"/>
    </row>
    <row r="20" spans="1:21" x14ac:dyDescent="0.25">
      <c r="A20">
        <v>19</v>
      </c>
      <c r="B20" t="s">
        <v>5</v>
      </c>
      <c r="C20">
        <v>50</v>
      </c>
      <c r="D20" s="17">
        <v>45839</v>
      </c>
      <c r="E20" s="17">
        <v>45851</v>
      </c>
      <c r="F20" t="s">
        <v>20</v>
      </c>
      <c r="G20">
        <f>VLOOKUP(RIGHT(B20,1), {"A",43;"B",42;"C",50;"D",45}, 2, FALSE) * C20 + 50</f>
        <v>2150</v>
      </c>
      <c r="H20">
        <f t="shared" si="1"/>
        <v>31060</v>
      </c>
      <c r="I20" s="17">
        <f t="shared" si="0"/>
        <v>45868.569444444445</v>
      </c>
      <c r="J20" s="17"/>
      <c r="L20" s="20"/>
      <c r="M20" s="20"/>
      <c r="N20" s="20"/>
    </row>
    <row r="21" spans="1:21" x14ac:dyDescent="0.25">
      <c r="A21">
        <v>20</v>
      </c>
      <c r="B21" t="s">
        <v>4</v>
      </c>
      <c r="C21">
        <v>60</v>
      </c>
      <c r="D21" s="17">
        <v>45839</v>
      </c>
      <c r="E21" s="17">
        <v>45860</v>
      </c>
      <c r="F21" t="s">
        <v>19</v>
      </c>
      <c r="G21">
        <f>VLOOKUP(RIGHT(B21,1), {"A",43;"B",42;"C",50;"D",45}, 2, FALSE) * C21 + 50</f>
        <v>2630</v>
      </c>
      <c r="H21">
        <f t="shared" si="1"/>
        <v>33690</v>
      </c>
      <c r="I21" s="17">
        <f t="shared" si="0"/>
        <v>45872.395833333336</v>
      </c>
      <c r="J21" s="17"/>
    </row>
    <row r="22" spans="1:21" x14ac:dyDescent="0.25">
      <c r="A22">
        <v>21</v>
      </c>
      <c r="B22" t="s">
        <v>4</v>
      </c>
      <c r="C22">
        <v>61</v>
      </c>
      <c r="D22" s="17">
        <v>45839</v>
      </c>
      <c r="E22" s="17">
        <v>45872</v>
      </c>
      <c r="F22" t="s">
        <v>21</v>
      </c>
      <c r="G22">
        <f>VLOOKUP(RIGHT(B22,1), {"A",43;"B",42;"C",50;"D",45}, 2, FALSE) * C22 + 50</f>
        <v>2673</v>
      </c>
      <c r="H22">
        <f t="shared" si="1"/>
        <v>36363</v>
      </c>
      <c r="I22" s="17">
        <f t="shared" si="0"/>
        <v>45874.252083333333</v>
      </c>
      <c r="J22" s="17"/>
    </row>
    <row r="23" spans="1:21" x14ac:dyDescent="0.25">
      <c r="A23">
        <v>22</v>
      </c>
      <c r="B23" t="s">
        <v>6</v>
      </c>
      <c r="C23">
        <v>48</v>
      </c>
      <c r="D23" s="17">
        <v>45839</v>
      </c>
      <c r="E23" s="17">
        <v>45880</v>
      </c>
      <c r="F23" t="s">
        <v>22</v>
      </c>
      <c r="G23">
        <f>VLOOKUP(RIGHT(B23,1), {"A",43;"B",42;"C",50;"D",45}, 2, FALSE) * C23 + 50</f>
        <v>2450</v>
      </c>
      <c r="H23">
        <f t="shared" si="1"/>
        <v>38813</v>
      </c>
      <c r="I23" s="17">
        <f t="shared" si="0"/>
        <v>45875.953472222223</v>
      </c>
      <c r="J23" s="17"/>
    </row>
    <row r="24" spans="1:21" x14ac:dyDescent="0.25">
      <c r="A24">
        <v>23</v>
      </c>
      <c r="B24" t="s">
        <v>7</v>
      </c>
      <c r="C24">
        <v>55</v>
      </c>
      <c r="D24" s="17">
        <v>45839</v>
      </c>
      <c r="E24" s="17">
        <v>45875</v>
      </c>
      <c r="F24" t="s">
        <v>20</v>
      </c>
      <c r="G24">
        <f>VLOOKUP(RIGHT(B24,1), {"A",43;"B",42;"C",50;"D",45}, 2, FALSE) * C24 + 50</f>
        <v>2525</v>
      </c>
      <c r="H24">
        <f t="shared" si="1"/>
        <v>41338</v>
      </c>
      <c r="I24" s="17">
        <f t="shared" si="0"/>
        <v>45879.706944444442</v>
      </c>
      <c r="J24" s="17"/>
    </row>
    <row r="25" spans="1:21" ht="14.4" thickBot="1" x14ac:dyDescent="0.3">
      <c r="A25">
        <v>24</v>
      </c>
      <c r="B25" t="s">
        <v>5</v>
      </c>
      <c r="C25">
        <v>66</v>
      </c>
      <c r="D25" s="17">
        <v>45839</v>
      </c>
      <c r="E25" s="17">
        <v>45876</v>
      </c>
      <c r="F25" t="s">
        <v>19</v>
      </c>
      <c r="G25">
        <f>VLOOKUP(RIGHT(B25,1), {"A",43;"B",42;"C",50;"D",45}, 2, FALSE) * C25 + 50</f>
        <v>2822</v>
      </c>
      <c r="H25">
        <f t="shared" si="1"/>
        <v>44160</v>
      </c>
      <c r="I25" s="17">
        <f t="shared" si="0"/>
        <v>45881.666666666664</v>
      </c>
      <c r="J25" s="17"/>
    </row>
    <row r="26" spans="1:21" x14ac:dyDescent="0.25">
      <c r="A26">
        <v>25</v>
      </c>
      <c r="B26" t="s">
        <v>5</v>
      </c>
      <c r="C26">
        <v>75</v>
      </c>
      <c r="D26" s="17">
        <v>45839</v>
      </c>
      <c r="E26" s="17">
        <v>45852</v>
      </c>
      <c r="F26" t="s">
        <v>21</v>
      </c>
      <c r="G26">
        <f>VLOOKUP(RIGHT(B26,1), {"A",43;"B",42;"C",50;"D",45}, 2, FALSE) * C26 + 50</f>
        <v>3200</v>
      </c>
      <c r="H26">
        <f t="shared" si="1"/>
        <v>47360</v>
      </c>
      <c r="I26" s="17">
        <f t="shared" si="0"/>
        <v>45883.888888888891</v>
      </c>
      <c r="J26" s="17"/>
      <c r="T26" s="13">
        <v>10</v>
      </c>
      <c r="U26" s="14" t="s">
        <v>17</v>
      </c>
    </row>
    <row r="27" spans="1:21" x14ac:dyDescent="0.25">
      <c r="A27">
        <v>26</v>
      </c>
      <c r="B27" t="s">
        <v>4</v>
      </c>
      <c r="C27">
        <v>95</v>
      </c>
      <c r="D27" s="17">
        <v>45839</v>
      </c>
      <c r="E27" s="17">
        <v>45881</v>
      </c>
      <c r="F27" t="s">
        <v>20</v>
      </c>
      <c r="G27">
        <f>VLOOKUP(RIGHT(B27,1), {"A",43;"B",42;"C",50;"D",45}, 2, FALSE) * C27 + 50</f>
        <v>4135</v>
      </c>
      <c r="H27">
        <f t="shared" si="1"/>
        <v>51495</v>
      </c>
      <c r="I27" s="17">
        <f t="shared" si="0"/>
        <v>45888.760416666664</v>
      </c>
      <c r="J27" s="17"/>
      <c r="T27" s="15">
        <f>5*24</f>
        <v>120</v>
      </c>
      <c r="U27" s="6" t="s">
        <v>18</v>
      </c>
    </row>
    <row r="28" spans="1:21" x14ac:dyDescent="0.25">
      <c r="A28">
        <v>27</v>
      </c>
      <c r="B28" t="s">
        <v>5</v>
      </c>
      <c r="C28">
        <v>84</v>
      </c>
      <c r="D28" s="17">
        <v>45839</v>
      </c>
      <c r="E28" s="17">
        <v>45883</v>
      </c>
      <c r="F28" t="s">
        <v>21</v>
      </c>
      <c r="G28">
        <f>VLOOKUP(RIGHT(B28,1), {"A",43;"B",42;"C",50;"D",45}, 2, FALSE) * C28 + 50</f>
        <v>3578</v>
      </c>
      <c r="H28">
        <f t="shared" si="1"/>
        <v>55073</v>
      </c>
      <c r="I28" s="17">
        <f t="shared" si="0"/>
        <v>45893.245138888888</v>
      </c>
      <c r="J28" s="17"/>
      <c r="T28" s="15">
        <v>7200</v>
      </c>
      <c r="U28" s="6" t="s">
        <v>26</v>
      </c>
    </row>
    <row r="29" spans="1:21" ht="14.4" thickBot="1" x14ac:dyDescent="0.3">
      <c r="A29">
        <v>28</v>
      </c>
      <c r="B29" t="s">
        <v>5</v>
      </c>
      <c r="C29">
        <v>87</v>
      </c>
      <c r="D29" s="17">
        <v>45839</v>
      </c>
      <c r="E29" s="17">
        <v>45851</v>
      </c>
      <c r="F29" t="s">
        <v>20</v>
      </c>
      <c r="G29">
        <f>VLOOKUP(RIGHT(B29,1), {"A",43;"B",42;"C",50;"D",45}, 2, FALSE) * C29 + 50</f>
        <v>3704</v>
      </c>
      <c r="H29">
        <f t="shared" si="1"/>
        <v>58777</v>
      </c>
      <c r="I29" s="17">
        <f t="shared" si="0"/>
        <v>45895.817361111112</v>
      </c>
      <c r="J29" s="17"/>
      <c r="T29" s="16"/>
      <c r="U29" s="8"/>
    </row>
    <row r="30" spans="1:21" x14ac:dyDescent="0.25">
      <c r="A30">
        <v>29</v>
      </c>
      <c r="B30" t="s">
        <v>4</v>
      </c>
      <c r="C30">
        <v>113</v>
      </c>
      <c r="D30" s="17">
        <v>45839</v>
      </c>
      <c r="E30" s="17">
        <v>45853</v>
      </c>
      <c r="F30" t="s">
        <v>20</v>
      </c>
      <c r="G30">
        <f>VLOOKUP(RIGHT(B30,1), {"A",43;"B",42;"C",50;"D",45}, 2, FALSE) * C30 + 50</f>
        <v>4909</v>
      </c>
      <c r="H30">
        <f t="shared" si="1"/>
        <v>63686</v>
      </c>
      <c r="I30" s="17">
        <f t="shared" si="0"/>
        <v>45901.226388888892</v>
      </c>
      <c r="J30" s="17"/>
    </row>
    <row r="31" spans="1:21" x14ac:dyDescent="0.25">
      <c r="A31">
        <v>30</v>
      </c>
      <c r="B31" t="s">
        <v>5</v>
      </c>
      <c r="C31">
        <v>96</v>
      </c>
      <c r="D31" s="17">
        <v>45839</v>
      </c>
      <c r="E31" s="17">
        <v>45865</v>
      </c>
      <c r="F31" t="s">
        <v>20</v>
      </c>
      <c r="G31">
        <f>VLOOKUP(RIGHT(B31,1), {"A",43;"B",42;"C",50;"D",45}, 2, FALSE) * C31 + 50</f>
        <v>4082</v>
      </c>
      <c r="H31">
        <f t="shared" si="1"/>
        <v>67768</v>
      </c>
      <c r="I31" s="17">
        <f t="shared" si="0"/>
        <v>45904.061111111114</v>
      </c>
      <c r="J31" s="17"/>
    </row>
    <row r="32" spans="1:21" x14ac:dyDescent="0.25">
      <c r="A32">
        <v>31</v>
      </c>
      <c r="B32" t="s">
        <v>4</v>
      </c>
      <c r="C32">
        <v>117</v>
      </c>
      <c r="D32" s="17">
        <v>45839</v>
      </c>
      <c r="E32" s="17">
        <v>45879</v>
      </c>
      <c r="F32" t="s">
        <v>19</v>
      </c>
      <c r="G32">
        <f>VLOOKUP(RIGHT(B32,1), {"A",43;"B",42;"C",50;"D",45}, 2, FALSE) * C32 + 50</f>
        <v>5081</v>
      </c>
      <c r="H32">
        <f t="shared" si="1"/>
        <v>72849</v>
      </c>
      <c r="I32" s="17">
        <f t="shared" si="0"/>
        <v>45909.589583333334</v>
      </c>
      <c r="J32" s="17"/>
    </row>
    <row r="33" spans="1:10" x14ac:dyDescent="0.25">
      <c r="A33">
        <v>32</v>
      </c>
      <c r="B33" t="s">
        <v>4</v>
      </c>
      <c r="C33">
        <v>118</v>
      </c>
      <c r="D33" s="17">
        <v>45839</v>
      </c>
      <c r="E33" s="17">
        <v>45859</v>
      </c>
      <c r="F33" t="s">
        <v>22</v>
      </c>
      <c r="G33">
        <f>VLOOKUP(RIGHT(B33,1), {"A",43;"B",42;"C",50;"D",45}, 2, FALSE) * C33 + 50</f>
        <v>5124</v>
      </c>
      <c r="H33">
        <f t="shared" si="1"/>
        <v>77973</v>
      </c>
      <c r="I33" s="17">
        <f t="shared" si="0"/>
        <v>45915.147916666669</v>
      </c>
      <c r="J33" s="17"/>
    </row>
    <row r="34" spans="1:10" x14ac:dyDescent="0.25">
      <c r="A34">
        <v>33</v>
      </c>
      <c r="B34" t="s">
        <v>4</v>
      </c>
      <c r="C34">
        <v>118</v>
      </c>
      <c r="D34" s="17">
        <v>45839</v>
      </c>
      <c r="E34" s="17">
        <v>45851</v>
      </c>
      <c r="F34" t="s">
        <v>19</v>
      </c>
      <c r="G34">
        <f>VLOOKUP(RIGHT(B34,1), {"A",43;"B",42;"C",50;"D",45}, 2, FALSE) * C34 + 50</f>
        <v>5124</v>
      </c>
      <c r="H34">
        <f t="shared" si="1"/>
        <v>83097</v>
      </c>
      <c r="I34" s="17">
        <f t="shared" ref="I34:I65" si="2">WORKDAY.INTL(D34,INT(H34/1440),7) + MOD(H34/1440,1)</f>
        <v>45918.706250000003</v>
      </c>
      <c r="J34" s="17"/>
    </row>
    <row r="35" spans="1:10" x14ac:dyDescent="0.25">
      <c r="A35">
        <v>34</v>
      </c>
      <c r="B35" t="s">
        <v>5</v>
      </c>
      <c r="C35">
        <v>99</v>
      </c>
      <c r="D35" s="17">
        <v>45839</v>
      </c>
      <c r="E35" s="17">
        <v>45866</v>
      </c>
      <c r="F35" t="s">
        <v>21</v>
      </c>
      <c r="G35">
        <f>VLOOKUP(RIGHT(B35,1), {"A",43;"B",42;"C",50;"D",45}, 2, FALSE) * C35 + 50</f>
        <v>4208</v>
      </c>
      <c r="H35">
        <f t="shared" si="1"/>
        <v>87305</v>
      </c>
      <c r="I35" s="17">
        <f t="shared" si="2"/>
        <v>45923.628472222219</v>
      </c>
      <c r="J35" s="17"/>
    </row>
    <row r="36" spans="1:10" x14ac:dyDescent="0.25">
      <c r="A36">
        <v>35</v>
      </c>
      <c r="B36" t="s">
        <v>4</v>
      </c>
      <c r="C36">
        <v>121</v>
      </c>
      <c r="D36" s="17">
        <v>45839</v>
      </c>
      <c r="E36" s="17">
        <v>45866</v>
      </c>
      <c r="F36" t="s">
        <v>22</v>
      </c>
      <c r="G36">
        <f>VLOOKUP(RIGHT(B36,1), {"A",43;"B",42;"C",50;"D",45}, 2, FALSE) * C36 + 50</f>
        <v>5253</v>
      </c>
      <c r="H36">
        <f t="shared" si="1"/>
        <v>92558</v>
      </c>
      <c r="I36" s="17">
        <f t="shared" si="2"/>
        <v>45929.276388888888</v>
      </c>
      <c r="J36" s="17"/>
    </row>
    <row r="37" spans="1:10" x14ac:dyDescent="0.25">
      <c r="A37">
        <v>36</v>
      </c>
      <c r="B37" t="s">
        <v>7</v>
      </c>
      <c r="C37">
        <v>88</v>
      </c>
      <c r="D37" s="17">
        <v>45839</v>
      </c>
      <c r="E37" s="17">
        <v>45858</v>
      </c>
      <c r="F37" t="s">
        <v>19</v>
      </c>
      <c r="G37">
        <f>VLOOKUP(RIGHT(B37,1), {"A",43;"B",42;"C",50;"D",45}, 2, FALSE) * C37 + 50</f>
        <v>4010</v>
      </c>
      <c r="H37">
        <f t="shared" si="1"/>
        <v>96568</v>
      </c>
      <c r="I37" s="17">
        <f t="shared" si="2"/>
        <v>45932.061111111114</v>
      </c>
      <c r="J37" s="17"/>
    </row>
    <row r="38" spans="1:10" x14ac:dyDescent="0.25">
      <c r="A38">
        <v>37</v>
      </c>
      <c r="B38" t="s">
        <v>7</v>
      </c>
      <c r="C38">
        <v>90</v>
      </c>
      <c r="D38" s="17">
        <v>45839</v>
      </c>
      <c r="E38" s="17">
        <v>45867</v>
      </c>
      <c r="F38" t="s">
        <v>20</v>
      </c>
      <c r="G38">
        <f>VLOOKUP(RIGHT(B38,1), {"A",43;"B",42;"C",50;"D",45}, 2, FALSE) * C38 + 50</f>
        <v>4100</v>
      </c>
      <c r="H38">
        <f t="shared" si="1"/>
        <v>100668</v>
      </c>
      <c r="I38" s="17">
        <f t="shared" si="2"/>
        <v>45936.908333333333</v>
      </c>
      <c r="J38" s="17"/>
    </row>
    <row r="39" spans="1:10" x14ac:dyDescent="0.25">
      <c r="A39">
        <v>38</v>
      </c>
      <c r="B39" t="s">
        <v>7</v>
      </c>
      <c r="C39">
        <v>90</v>
      </c>
      <c r="D39" s="17">
        <v>45839</v>
      </c>
      <c r="E39" s="17">
        <v>45851</v>
      </c>
      <c r="F39" t="s">
        <v>19</v>
      </c>
      <c r="G39">
        <f>VLOOKUP(RIGHT(B39,1), {"A",43;"B",42;"C",50;"D",45}, 2, FALSE) * C39 + 50</f>
        <v>4100</v>
      </c>
      <c r="H39">
        <f t="shared" si="1"/>
        <v>104768</v>
      </c>
      <c r="I39" s="17">
        <f t="shared" si="2"/>
        <v>45939.755555555559</v>
      </c>
      <c r="J39" s="17"/>
    </row>
    <row r="40" spans="1:10" x14ac:dyDescent="0.25">
      <c r="A40">
        <v>39</v>
      </c>
      <c r="B40" t="s">
        <v>7</v>
      </c>
      <c r="C40">
        <v>100</v>
      </c>
      <c r="D40" s="17">
        <v>45839</v>
      </c>
      <c r="E40" s="17">
        <v>45868</v>
      </c>
      <c r="F40" t="s">
        <v>22</v>
      </c>
      <c r="G40">
        <f>VLOOKUP(RIGHT(B40,1), {"A",43;"B",42;"C",50;"D",45}, 2, FALSE) * C40 + 50</f>
        <v>4550</v>
      </c>
      <c r="H40">
        <f t="shared" si="1"/>
        <v>109318</v>
      </c>
      <c r="I40" s="17">
        <f t="shared" si="2"/>
        <v>45944.915277777778</v>
      </c>
      <c r="J40" s="17"/>
    </row>
    <row r="41" spans="1:10" x14ac:dyDescent="0.25">
      <c r="A41">
        <v>40</v>
      </c>
      <c r="B41" t="s">
        <v>6</v>
      </c>
      <c r="C41">
        <v>102</v>
      </c>
      <c r="D41" s="17">
        <v>45839</v>
      </c>
      <c r="E41" s="17">
        <v>45859</v>
      </c>
      <c r="F41" t="s">
        <v>20</v>
      </c>
      <c r="G41">
        <f>VLOOKUP(RIGHT(B41,1), {"A",43;"B",42;"C",50;"D",45}, 2, FALSE) * C41 + 50</f>
        <v>5150</v>
      </c>
      <c r="H41">
        <f t="shared" si="1"/>
        <v>114468</v>
      </c>
      <c r="I41" s="17">
        <f t="shared" si="2"/>
        <v>45950.491666666669</v>
      </c>
      <c r="J41" s="17"/>
    </row>
    <row r="42" spans="1:10" x14ac:dyDescent="0.25">
      <c r="A42">
        <v>41</v>
      </c>
      <c r="B42" t="s">
        <v>6</v>
      </c>
      <c r="C42">
        <v>102</v>
      </c>
      <c r="D42" s="17">
        <v>45839</v>
      </c>
      <c r="E42" s="17">
        <v>45851</v>
      </c>
      <c r="F42" t="s">
        <v>21</v>
      </c>
      <c r="G42">
        <f>VLOOKUP(RIGHT(B42,1), {"A",43;"B",42;"C",50;"D",45}, 2, FALSE) * C42 + 50</f>
        <v>5150</v>
      </c>
      <c r="H42">
        <f t="shared" si="1"/>
        <v>119618</v>
      </c>
      <c r="I42" s="17">
        <f t="shared" si="2"/>
        <v>45956.068055555559</v>
      </c>
      <c r="J42" s="17"/>
    </row>
    <row r="43" spans="1:10" x14ac:dyDescent="0.25">
      <c r="A43">
        <v>42</v>
      </c>
      <c r="B43" t="s">
        <v>5</v>
      </c>
      <c r="C43">
        <v>120</v>
      </c>
      <c r="D43" s="17">
        <v>45839</v>
      </c>
      <c r="E43" s="17">
        <v>45851</v>
      </c>
      <c r="F43" t="s">
        <v>20</v>
      </c>
      <c r="G43">
        <f>VLOOKUP(RIGHT(B43,1), {"A",43;"B",42;"C",50;"D",45}, 2, FALSE) * C43 + 50</f>
        <v>5090</v>
      </c>
      <c r="H43">
        <f t="shared" si="1"/>
        <v>124708</v>
      </c>
      <c r="I43" s="17">
        <f t="shared" si="2"/>
        <v>45959.602777777778</v>
      </c>
      <c r="J43" s="17"/>
    </row>
    <row r="44" spans="1:10" x14ac:dyDescent="0.25">
      <c r="A44">
        <v>43</v>
      </c>
      <c r="B44" t="s">
        <v>6</v>
      </c>
      <c r="C44">
        <v>104</v>
      </c>
      <c r="D44" s="17">
        <v>45839</v>
      </c>
      <c r="E44" s="17">
        <v>45851</v>
      </c>
      <c r="F44" t="s">
        <v>20</v>
      </c>
      <c r="G44">
        <f>VLOOKUP(RIGHT(B44,1), {"A",43;"B",42;"C",50;"D",45}, 2, FALSE) * C44 + 50</f>
        <v>5250</v>
      </c>
      <c r="H44">
        <f t="shared" si="1"/>
        <v>129958</v>
      </c>
      <c r="I44" s="17">
        <f t="shared" si="2"/>
        <v>45965.248611111114</v>
      </c>
      <c r="J44" s="17"/>
    </row>
    <row r="45" spans="1:10" x14ac:dyDescent="0.25">
      <c r="A45">
        <v>44</v>
      </c>
      <c r="B45" t="s">
        <v>5</v>
      </c>
      <c r="C45">
        <v>126</v>
      </c>
      <c r="D45" s="17">
        <v>45839</v>
      </c>
      <c r="E45" s="17">
        <v>45861</v>
      </c>
      <c r="F45" t="s">
        <v>21</v>
      </c>
      <c r="G45">
        <f>VLOOKUP(RIGHT(B45,1), {"A",43;"B",42;"C",50;"D",45}, 2, FALSE) * C45 + 50</f>
        <v>5342</v>
      </c>
      <c r="H45">
        <f t="shared" si="1"/>
        <v>135300</v>
      </c>
      <c r="I45" s="17">
        <f t="shared" si="2"/>
        <v>45970.958333333336</v>
      </c>
      <c r="J45" s="17"/>
    </row>
    <row r="46" spans="1:10" x14ac:dyDescent="0.25">
      <c r="A46">
        <v>45</v>
      </c>
      <c r="B46" t="s">
        <v>6</v>
      </c>
      <c r="C46">
        <v>114</v>
      </c>
      <c r="D46" s="17">
        <v>45839</v>
      </c>
      <c r="E46" s="17">
        <v>45859</v>
      </c>
      <c r="F46" t="s">
        <v>20</v>
      </c>
      <c r="G46">
        <f>VLOOKUP(RIGHT(B46,1), {"A",43;"B",42;"C",50;"D",45}, 2, FALSE) * C46 + 50</f>
        <v>5750</v>
      </c>
      <c r="H46">
        <f t="shared" si="1"/>
        <v>141050</v>
      </c>
      <c r="I46" s="17">
        <f t="shared" si="2"/>
        <v>45974.951388888891</v>
      </c>
      <c r="J46" s="17"/>
    </row>
    <row r="47" spans="1:10" x14ac:dyDescent="0.25">
      <c r="A47">
        <v>46</v>
      </c>
      <c r="B47" t="s">
        <v>6</v>
      </c>
      <c r="C47">
        <v>127</v>
      </c>
      <c r="D47" s="17">
        <v>45839</v>
      </c>
      <c r="E47" s="17">
        <v>45866</v>
      </c>
      <c r="F47" t="s">
        <v>19</v>
      </c>
      <c r="G47">
        <f>VLOOKUP(RIGHT(B47,1), {"A",43;"B",42;"C",50;"D",45}, 2, FALSE) * C47 + 50</f>
        <v>6400</v>
      </c>
      <c r="H47">
        <f t="shared" si="1"/>
        <v>147450</v>
      </c>
      <c r="I47" s="17">
        <f t="shared" si="2"/>
        <v>45981.395833333336</v>
      </c>
      <c r="J47" s="17"/>
    </row>
    <row r="48" spans="1:10" x14ac:dyDescent="0.25">
      <c r="A48">
        <v>47</v>
      </c>
      <c r="B48" t="s">
        <v>6</v>
      </c>
      <c r="C48">
        <v>138</v>
      </c>
      <c r="D48" s="17">
        <v>45839</v>
      </c>
      <c r="E48" s="17">
        <v>45865</v>
      </c>
      <c r="F48" t="s">
        <v>22</v>
      </c>
      <c r="G48">
        <f>VLOOKUP(RIGHT(B48,1), {"A",43;"B",42;"C",50;"D",45}, 2, FALSE) * C48 + 50</f>
        <v>6950</v>
      </c>
      <c r="H48">
        <f t="shared" si="1"/>
        <v>154400</v>
      </c>
      <c r="I48" s="17">
        <f t="shared" si="2"/>
        <v>45988.222222222219</v>
      </c>
      <c r="J48" s="17"/>
    </row>
    <row r="49" spans="1:10" x14ac:dyDescent="0.25">
      <c r="A49">
        <v>48</v>
      </c>
      <c r="B49" t="s">
        <v>6</v>
      </c>
      <c r="C49">
        <v>140</v>
      </c>
      <c r="D49" s="17">
        <v>45839</v>
      </c>
      <c r="E49" s="17">
        <v>45866</v>
      </c>
      <c r="F49" t="s">
        <v>21</v>
      </c>
      <c r="G49">
        <f>VLOOKUP(RIGHT(B49,1), {"A",43;"B",42;"C",50;"D",45}, 2, FALSE) * C49 + 50</f>
        <v>7050</v>
      </c>
      <c r="H49">
        <f t="shared" si="1"/>
        <v>161450</v>
      </c>
      <c r="I49" s="17">
        <f t="shared" si="2"/>
        <v>45995.118055555555</v>
      </c>
      <c r="J49" s="17"/>
    </row>
    <row r="50" spans="1:10" x14ac:dyDescent="0.25">
      <c r="A50">
        <v>49</v>
      </c>
      <c r="B50" t="s">
        <v>7</v>
      </c>
      <c r="C50">
        <v>143</v>
      </c>
      <c r="D50" s="17">
        <v>45839</v>
      </c>
      <c r="E50" s="17">
        <v>45851</v>
      </c>
      <c r="F50" t="s">
        <v>22</v>
      </c>
      <c r="G50">
        <f>VLOOKUP(RIGHT(B50,1), {"A",43;"B",42;"C",50;"D",45}, 2, FALSE) * C50 + 50</f>
        <v>6485</v>
      </c>
      <c r="H50">
        <f t="shared" si="1"/>
        <v>167935</v>
      </c>
      <c r="I50" s="17">
        <f t="shared" si="2"/>
        <v>46001.621527777781</v>
      </c>
      <c r="J50" s="17"/>
    </row>
    <row r="51" spans="1:10" x14ac:dyDescent="0.25">
      <c r="A51">
        <v>50</v>
      </c>
      <c r="B51" t="s">
        <v>7</v>
      </c>
      <c r="C51">
        <v>148</v>
      </c>
      <c r="D51" s="17">
        <v>45839</v>
      </c>
      <c r="E51" s="17">
        <v>45851</v>
      </c>
      <c r="F51" t="s">
        <v>20</v>
      </c>
      <c r="G51">
        <f>VLOOKUP(RIGHT(B51,1), {"A",43;"B",42;"C",50;"D",45}, 2, FALSE) * C51 + 50</f>
        <v>6710</v>
      </c>
      <c r="H51">
        <f t="shared" si="1"/>
        <v>174645</v>
      </c>
      <c r="I51" s="17">
        <f t="shared" si="2"/>
        <v>46008.28125</v>
      </c>
      <c r="J51" s="17"/>
    </row>
    <row r="52" spans="1:10" x14ac:dyDescent="0.25">
      <c r="A52">
        <v>51</v>
      </c>
      <c r="B52" t="s">
        <v>6</v>
      </c>
      <c r="C52">
        <v>149</v>
      </c>
      <c r="D52" s="17">
        <v>45839</v>
      </c>
      <c r="E52" s="17">
        <v>45854</v>
      </c>
      <c r="F52" t="s">
        <v>21</v>
      </c>
      <c r="G52">
        <f>VLOOKUP(RIGHT(B52,1), {"A",43;"B",42;"C",50;"D",45}, 2, FALSE) * C52 + 50</f>
        <v>7500</v>
      </c>
      <c r="H52">
        <f t="shared" si="1"/>
        <v>182145</v>
      </c>
      <c r="I52" s="17">
        <f t="shared" si="2"/>
        <v>46015.489583333336</v>
      </c>
      <c r="J52" s="17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18FF-6F7D-4F95-A54A-93C013A0C465}">
  <dimension ref="A1:U52"/>
  <sheetViews>
    <sheetView rightToLeft="1" zoomScale="115" zoomScaleNormal="115" workbookViewId="0">
      <selection activeCell="G3" sqref="G3"/>
    </sheetView>
  </sheetViews>
  <sheetFormatPr defaultRowHeight="13.8" x14ac:dyDescent="0.25"/>
  <cols>
    <col min="1" max="1" width="10.69921875" bestFit="1" customWidth="1"/>
    <col min="2" max="2" width="8.5" bestFit="1" customWidth="1"/>
    <col min="3" max="3" width="8.59765625" bestFit="1" customWidth="1"/>
    <col min="4" max="4" width="15.69921875" bestFit="1" customWidth="1"/>
    <col min="5" max="5" width="17.69921875" customWidth="1"/>
    <col min="6" max="6" width="8" bestFit="1" customWidth="1"/>
    <col min="7" max="7" width="10.8984375" bestFit="1" customWidth="1"/>
    <col min="8" max="8" width="12.69921875" bestFit="1" customWidth="1"/>
    <col min="9" max="9" width="14.3984375" bestFit="1" customWidth="1"/>
    <col min="10" max="10" width="15.59765625" bestFit="1" customWidth="1"/>
    <col min="11" max="11" width="15.69921875" bestFit="1" customWidth="1"/>
    <col min="12" max="12" width="15" bestFit="1" customWidth="1"/>
    <col min="13" max="13" width="16.3984375" bestFit="1" customWidth="1"/>
    <col min="14" max="14" width="17" bestFit="1" customWidth="1"/>
    <col min="15" max="15" width="14.69921875" bestFit="1" customWidth="1"/>
    <col min="16" max="16" width="14.59765625" customWidth="1"/>
  </cols>
  <sheetData>
    <row r="1" spans="1:20" ht="14.4" thickBot="1" x14ac:dyDescent="0.3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5" t="s">
        <v>29</v>
      </c>
      <c r="H1" s="25" t="s">
        <v>36</v>
      </c>
      <c r="I1" s="25" t="s">
        <v>31</v>
      </c>
      <c r="J1" s="22"/>
      <c r="K1" s="23" t="s">
        <v>0</v>
      </c>
      <c r="L1" s="5" t="s">
        <v>13</v>
      </c>
      <c r="M1" s="5" t="s">
        <v>12</v>
      </c>
      <c r="N1" s="5" t="s">
        <v>14</v>
      </c>
      <c r="O1" s="5" t="s">
        <v>15</v>
      </c>
      <c r="P1" s="5" t="s">
        <v>16</v>
      </c>
      <c r="Q1" t="s">
        <v>30</v>
      </c>
      <c r="T1" t="s">
        <v>38</v>
      </c>
    </row>
    <row r="2" spans="1:20" ht="14.4" thickBot="1" x14ac:dyDescent="0.3">
      <c r="A2">
        <v>2</v>
      </c>
      <c r="B2" t="s">
        <v>6</v>
      </c>
      <c r="C2">
        <v>21</v>
      </c>
      <c r="D2" s="17">
        <v>45839</v>
      </c>
      <c r="E2" s="17">
        <v>45874</v>
      </c>
      <c r="F2" t="s">
        <v>20</v>
      </c>
      <c r="G2">
        <f>VLOOKUP(RIGHT(B2,1), {"A",43;"B",42;"C",50;"D",45}, 2, FALSE) * C2 + 50*T2</f>
        <v>1100</v>
      </c>
      <c r="H2">
        <f>G2</f>
        <v>1100</v>
      </c>
      <c r="I2" s="17">
        <f>WORKDAY.INTL(D2,INT(H2/1440),7) + MOD(H2/1440,1)</f>
        <v>45839.763888888891</v>
      </c>
      <c r="J2" s="17"/>
      <c r="K2" s="24" t="s">
        <v>4</v>
      </c>
      <c r="L2" s="10">
        <v>5</v>
      </c>
      <c r="M2" s="3">
        <v>8</v>
      </c>
      <c r="N2" s="3">
        <v>14</v>
      </c>
      <c r="O2" s="3">
        <v>6</v>
      </c>
      <c r="P2" s="9">
        <v>10</v>
      </c>
      <c r="Q2">
        <f>SUM(L2:P2)</f>
        <v>43</v>
      </c>
      <c r="T2">
        <f>IF(ROW()=2,1,IF(B2&lt;&gt;B1,1,0))</f>
        <v>1</v>
      </c>
    </row>
    <row r="3" spans="1:20" ht="14.4" thickBot="1" x14ac:dyDescent="0.3">
      <c r="A3">
        <v>5</v>
      </c>
      <c r="B3" t="s">
        <v>7</v>
      </c>
      <c r="C3">
        <v>23</v>
      </c>
      <c r="D3" s="17">
        <v>45839</v>
      </c>
      <c r="E3" s="17">
        <v>45859</v>
      </c>
      <c r="F3" t="s">
        <v>19</v>
      </c>
      <c r="G3">
        <f>VLOOKUP(RIGHT(B3,1), {"A",43;"B",42;"C",50;"D",45}, 2, FALSE) * C3 + 50*T3</f>
        <v>1085</v>
      </c>
      <c r="H3">
        <f>H2 + G3</f>
        <v>2185</v>
      </c>
      <c r="I3" s="17">
        <f>WORKDAY.INTL(D3,INT(H3/1440),7) + MOD(H3/1440,1)</f>
        <v>45840.517361111109</v>
      </c>
      <c r="J3" s="17"/>
      <c r="K3" s="24" t="s">
        <v>5</v>
      </c>
      <c r="L3" s="11">
        <v>7</v>
      </c>
      <c r="M3" s="4">
        <v>6</v>
      </c>
      <c r="N3" s="4">
        <v>11</v>
      </c>
      <c r="O3" s="4">
        <v>6</v>
      </c>
      <c r="P3" s="6">
        <v>12</v>
      </c>
      <c r="Q3">
        <f>SUM(L3:P3)</f>
        <v>42</v>
      </c>
      <c r="T3">
        <f t="shared" ref="T3:T51" si="0">IF(ROW()=2,1,IF(B3&lt;&gt;B2,1,0))</f>
        <v>1</v>
      </c>
    </row>
    <row r="4" spans="1:20" ht="14.4" thickBot="1" x14ac:dyDescent="0.3">
      <c r="A4">
        <v>1</v>
      </c>
      <c r="B4" t="s">
        <v>5</v>
      </c>
      <c r="C4">
        <v>23</v>
      </c>
      <c r="D4" s="17">
        <v>45839</v>
      </c>
      <c r="E4" s="17">
        <v>45879</v>
      </c>
      <c r="F4" t="s">
        <v>21</v>
      </c>
      <c r="G4">
        <f>VLOOKUP(RIGHT(B4,1), {"A",43;"B",42;"C",50;"D",45}, 2, FALSE) * C4 + 50*T4</f>
        <v>1016</v>
      </c>
      <c r="H4">
        <f>H3 + G4</f>
        <v>3201</v>
      </c>
      <c r="I4" s="17">
        <f>WORKDAY.INTL(D4,INT(H4/1440),7) + MOD(H4/1440,1)</f>
        <v>45841.222916666666</v>
      </c>
      <c r="J4" s="17"/>
      <c r="K4" s="24" t="s">
        <v>6</v>
      </c>
      <c r="L4" s="11">
        <v>10</v>
      </c>
      <c r="M4" s="4">
        <v>10</v>
      </c>
      <c r="N4" s="4">
        <v>10</v>
      </c>
      <c r="O4" s="4">
        <v>6</v>
      </c>
      <c r="P4" s="6">
        <v>14</v>
      </c>
      <c r="Q4">
        <f>SUM(L4:P4)</f>
        <v>50</v>
      </c>
      <c r="T4">
        <f t="shared" si="0"/>
        <v>1</v>
      </c>
    </row>
    <row r="5" spans="1:20" ht="14.4" thickBot="1" x14ac:dyDescent="0.3">
      <c r="A5">
        <v>3</v>
      </c>
      <c r="B5" t="s">
        <v>5</v>
      </c>
      <c r="C5">
        <v>26</v>
      </c>
      <c r="D5" s="17">
        <v>45839</v>
      </c>
      <c r="E5" s="17">
        <v>45859</v>
      </c>
      <c r="F5" t="s">
        <v>22</v>
      </c>
      <c r="G5">
        <f>VLOOKUP(RIGHT(B5,1), {"A",43;"B",42;"C",50;"D",45}, 2, FALSE) * C5 + 50*T5</f>
        <v>1092</v>
      </c>
      <c r="H5">
        <f>H4 + G5</f>
        <v>4293</v>
      </c>
      <c r="I5" s="17">
        <f>WORKDAY.INTL(D5,INT(H5/1440),7) + MOD(H5/1440,1)</f>
        <v>45841.981249999997</v>
      </c>
      <c r="J5" s="17"/>
      <c r="K5" s="24" t="s">
        <v>7</v>
      </c>
      <c r="L5" s="12">
        <v>6</v>
      </c>
      <c r="M5" s="7">
        <v>7</v>
      </c>
      <c r="N5" s="7">
        <v>12</v>
      </c>
      <c r="O5" s="7">
        <v>6</v>
      </c>
      <c r="P5" s="8">
        <v>14</v>
      </c>
      <c r="Q5">
        <f>SUM(L5:P5)</f>
        <v>45</v>
      </c>
      <c r="T5">
        <f t="shared" si="0"/>
        <v>0</v>
      </c>
    </row>
    <row r="6" spans="1:20" x14ac:dyDescent="0.25">
      <c r="A6">
        <v>6</v>
      </c>
      <c r="B6" t="s">
        <v>7</v>
      </c>
      <c r="C6">
        <v>29</v>
      </c>
      <c r="D6" s="17">
        <v>45839</v>
      </c>
      <c r="E6" s="17">
        <v>45859</v>
      </c>
      <c r="F6" t="s">
        <v>21</v>
      </c>
      <c r="G6">
        <f>VLOOKUP(RIGHT(B6,1), {"A",43;"B",42;"C",50;"D",45}, 2, FALSE) * C6 + 50*T6</f>
        <v>1355</v>
      </c>
      <c r="H6">
        <f>H5 + G6</f>
        <v>5648</v>
      </c>
      <c r="I6" s="17">
        <f>WORKDAY.INTL(D6,INT(H6/1440),7) + MOD(H6/1440,1)</f>
        <v>45844.922222222223</v>
      </c>
      <c r="J6" s="17"/>
      <c r="K6" s="27"/>
      <c r="L6" s="18"/>
      <c r="M6" s="28"/>
      <c r="N6" s="28"/>
      <c r="O6" s="28"/>
      <c r="P6" s="29"/>
      <c r="T6">
        <f t="shared" si="0"/>
        <v>1</v>
      </c>
    </row>
    <row r="7" spans="1:20" x14ac:dyDescent="0.25">
      <c r="A7">
        <v>8</v>
      </c>
      <c r="B7" t="s">
        <v>6</v>
      </c>
      <c r="C7">
        <v>30</v>
      </c>
      <c r="D7" s="17">
        <v>45839</v>
      </c>
      <c r="E7" s="17">
        <v>45851</v>
      </c>
      <c r="F7" t="s">
        <v>21</v>
      </c>
      <c r="G7">
        <f>VLOOKUP(RIGHT(B7,1), {"A",43;"B",42;"C",50;"D",45}, 2, FALSE) * C7 + 50*T7</f>
        <v>1550</v>
      </c>
      <c r="H7">
        <f>H6 + G7</f>
        <v>7198</v>
      </c>
      <c r="I7" s="17">
        <f>WORKDAY.INTL(D7,INT(H7/1440),7) + MOD(H7/1440,1)</f>
        <v>45845.998611111114</v>
      </c>
      <c r="J7" s="17"/>
      <c r="K7" s="33" t="s">
        <v>33</v>
      </c>
      <c r="L7" s="33" cm="1">
        <f t="array" ref="L7">SUMPRODUCT($C$2:$C$52,
            INDEX($L$2:$P$5, MATCH($B$2:$B$52, $K$2:$K$5, 0), 1)
) + 10*SUM($T$2:$T$52)</f>
        <v>28608</v>
      </c>
      <c r="M7" s="33" cm="1">
        <f t="array" ref="M7">SUMPRODUCT($C$2:$C$52,
            INDEX($L$2:$P$5, MATCH($B$2:$B$52, $K$2:$K$5, 0), 2)
) + 10*SUM($T$2:$T$52)</f>
        <v>31621</v>
      </c>
      <c r="N7" s="33" cm="1">
        <f t="array" ref="N7">SUMPRODUCT($C$2:$C$52,
            INDEX($L$2:$P$5, MATCH($B$2:$B$52, $K$2:$K$5, 0), 3)
) + 10*SUM($T$2:$T$52)</f>
        <v>46808</v>
      </c>
      <c r="O7" s="33" cm="1">
        <f t="array" ref="O7">SUMPRODUCT($C$2:$C$52,
            INDEX($L$2:$P$5, MATCH($B$2:$B$52, $K$2:$K$5, 0), 4)
) + 10*SUM($T$2:$T$52)</f>
        <v>24142</v>
      </c>
      <c r="P7" s="33" cm="1">
        <f t="array" ref="P7">SUMPRODUCT($C$2:$C$52,
            INDEX($L$2:$P$5, MATCH($B$2:$B$52, $K$2:$K$5, 0), 5)
) + 10*SUM($T$2:$T$52)</f>
        <v>49966</v>
      </c>
      <c r="T7">
        <f t="shared" si="0"/>
        <v>1</v>
      </c>
    </row>
    <row r="8" spans="1:20" x14ac:dyDescent="0.25">
      <c r="A8">
        <v>10</v>
      </c>
      <c r="B8" t="s">
        <v>6</v>
      </c>
      <c r="C8">
        <v>31</v>
      </c>
      <c r="D8" s="17">
        <v>45839</v>
      </c>
      <c r="E8" s="17">
        <v>45851</v>
      </c>
      <c r="F8" t="s">
        <v>19</v>
      </c>
      <c r="G8">
        <f>VLOOKUP(RIGHT(B8,1), {"A",43;"B",42;"C",50;"D",45}, 2, FALSE) * C8 + 50*T8</f>
        <v>1550</v>
      </c>
      <c r="H8">
        <f>H7 + G8</f>
        <v>8748</v>
      </c>
      <c r="I8" s="17">
        <f>WORKDAY.INTL(D8,INT(H8/1440),7) + MOD(H8/1440,1)</f>
        <v>45847.074999999997</v>
      </c>
      <c r="J8" s="17"/>
      <c r="K8" s="33"/>
      <c r="L8" s="33" cm="1">
        <f t="array" ref="L8">SUMPRODUCT($C$2:$C$52,
            INDEX($L$2:$P$5, MATCH($B$2:$B$52, $K$2:$K$5, 0), 1)
) + 10*COUNTA(A2:A52)</f>
        <v>28808</v>
      </c>
      <c r="M8" s="33" cm="1">
        <f t="array" ref="M8">SUMPRODUCT($C$2:$C$52,
            INDEX($L$2:$P$5, MATCH($B$2:$B$52, $K$2:$K$5, 0), 2)
) + 10*COUNTA(A2:A52)</f>
        <v>31821</v>
      </c>
      <c r="N8" s="33" cm="1">
        <f t="array" ref="N8">SUMPRODUCT($C$2:$C$52,
            INDEX($L$2:$P$5, MATCH($B$2:$B$52, $K$2:$K$5, 0), 3)
) + 10*COUNTA(A2:A52)</f>
        <v>47008</v>
      </c>
      <c r="O8" s="33" cm="1">
        <f t="array" ref="O8">SUMPRODUCT($C$2:$C$52,
            INDEX($L$2:$P$5, MATCH($B$2:$B$52, $K$2:$K$5, 0), 4)
) + 10*COUNTA(A2:A52)</f>
        <v>24342</v>
      </c>
      <c r="P8" s="33" cm="1">
        <f t="array" ref="P8">SUMPRODUCT($C$2:$C$52,
            INDEX($L$2:$P$5, MATCH($B$2:$B$52, $K$2:$K$5, 0), 5)
) + 10*COUNTA(A2:A52)</f>
        <v>50166</v>
      </c>
      <c r="T8">
        <f t="shared" si="0"/>
        <v>0</v>
      </c>
    </row>
    <row r="9" spans="1:20" x14ac:dyDescent="0.25">
      <c r="A9">
        <v>4</v>
      </c>
      <c r="B9" t="s">
        <v>4</v>
      </c>
      <c r="C9">
        <v>32</v>
      </c>
      <c r="D9" s="17">
        <v>45839</v>
      </c>
      <c r="E9" s="17">
        <v>45876</v>
      </c>
      <c r="F9" t="s">
        <v>22</v>
      </c>
      <c r="G9">
        <f>VLOOKUP(RIGHT(B9,1), {"A",43;"B",42;"C",50;"D",45}, 2, FALSE) * C9 + 50*T9</f>
        <v>1426</v>
      </c>
      <c r="H9">
        <f>H8 + G9</f>
        <v>10174</v>
      </c>
      <c r="I9" s="17">
        <f>WORKDAY.INTL(D9,INT(H9/1440),7) + MOD(H9/1440,1)</f>
        <v>45848.06527777778</v>
      </c>
      <c r="J9" s="17"/>
      <c r="T9">
        <f t="shared" si="0"/>
        <v>1</v>
      </c>
    </row>
    <row r="10" spans="1:20" x14ac:dyDescent="0.25">
      <c r="A10">
        <v>13</v>
      </c>
      <c r="B10" t="s">
        <v>6</v>
      </c>
      <c r="C10">
        <v>33</v>
      </c>
      <c r="D10" s="17">
        <v>45839</v>
      </c>
      <c r="E10" s="17">
        <v>45868</v>
      </c>
      <c r="F10" t="s">
        <v>20</v>
      </c>
      <c r="G10">
        <f>VLOOKUP(RIGHT(B10,1), {"A",43;"B",42;"C",50;"D",45}, 2, FALSE) * C10 + 50*T10</f>
        <v>1700</v>
      </c>
      <c r="H10">
        <f>H9 + G10</f>
        <v>11874</v>
      </c>
      <c r="I10" s="17">
        <f>WORKDAY.INTL(D10,INT(H10/1440),7) + MOD(H10/1440,1)</f>
        <v>45851.245833333334</v>
      </c>
      <c r="J10" s="17"/>
      <c r="T10">
        <f t="shared" si="0"/>
        <v>1</v>
      </c>
    </row>
    <row r="11" spans="1:20" x14ac:dyDescent="0.25">
      <c r="A11">
        <v>7</v>
      </c>
      <c r="B11" t="s">
        <v>5</v>
      </c>
      <c r="C11">
        <v>34</v>
      </c>
      <c r="D11" s="17">
        <v>45839</v>
      </c>
      <c r="E11" s="17">
        <v>45861</v>
      </c>
      <c r="F11" t="s">
        <v>21</v>
      </c>
      <c r="G11">
        <f>VLOOKUP(RIGHT(B11,1), {"A",43;"B",42;"C",50;"D",45}, 2, FALSE) * C11 + 50*T11</f>
        <v>1478</v>
      </c>
      <c r="H11">
        <f>H10 + G11</f>
        <v>13352</v>
      </c>
      <c r="I11" s="17">
        <f>WORKDAY.INTL(D11,INT(H11/1440),7) + MOD(H11/1440,1)</f>
        <v>45852.272222222222</v>
      </c>
      <c r="J11" s="17"/>
      <c r="T11">
        <f t="shared" si="0"/>
        <v>1</v>
      </c>
    </row>
    <row r="12" spans="1:20" x14ac:dyDescent="0.25">
      <c r="A12">
        <v>14</v>
      </c>
      <c r="B12" t="s">
        <v>7</v>
      </c>
      <c r="C12">
        <v>35</v>
      </c>
      <c r="D12" s="17">
        <v>45839</v>
      </c>
      <c r="E12" s="17">
        <v>45851</v>
      </c>
      <c r="F12" t="s">
        <v>21</v>
      </c>
      <c r="G12">
        <f>VLOOKUP(RIGHT(B12,1), {"A",43;"B",42;"C",50;"D",45}, 2, FALSE) * C12 + 50*T12</f>
        <v>1625</v>
      </c>
      <c r="H12">
        <f>H11 + G12</f>
        <v>14977</v>
      </c>
      <c r="I12" s="17">
        <f>WORKDAY.INTL(D12,INT(H12/1440),7) + MOD(H12/1440,1)</f>
        <v>45853.400694444441</v>
      </c>
      <c r="J12" s="17"/>
      <c r="L12" s="32"/>
      <c r="M12" s="32"/>
      <c r="N12" s="32"/>
      <c r="O12" s="32"/>
      <c r="P12" s="32"/>
      <c r="T12">
        <f t="shared" si="0"/>
        <v>1</v>
      </c>
    </row>
    <row r="13" spans="1:20" x14ac:dyDescent="0.25">
      <c r="A13">
        <v>16</v>
      </c>
      <c r="B13" t="s">
        <v>7</v>
      </c>
      <c r="C13">
        <v>39</v>
      </c>
      <c r="D13" s="17">
        <v>45839</v>
      </c>
      <c r="E13" s="17">
        <v>45851</v>
      </c>
      <c r="F13" t="s">
        <v>20</v>
      </c>
      <c r="G13">
        <f>VLOOKUP(RIGHT(B13,1), {"A",43;"B",42;"C",50;"D",45}, 2, FALSE) * C13 + 50*T13</f>
        <v>1755</v>
      </c>
      <c r="H13">
        <f>H12 + G13</f>
        <v>16732</v>
      </c>
      <c r="I13" s="17">
        <f>WORKDAY.INTL(D13,INT(H13/1440),7) + MOD(H13/1440,1)</f>
        <v>45854.619444444441</v>
      </c>
      <c r="J13" s="17"/>
      <c r="T13">
        <f t="shared" si="0"/>
        <v>0</v>
      </c>
    </row>
    <row r="14" spans="1:20" x14ac:dyDescent="0.25">
      <c r="A14">
        <v>17</v>
      </c>
      <c r="B14" t="s">
        <v>7</v>
      </c>
      <c r="C14">
        <v>39</v>
      </c>
      <c r="D14" s="17">
        <v>45839</v>
      </c>
      <c r="E14" s="17">
        <v>45851</v>
      </c>
      <c r="F14" t="s">
        <v>20</v>
      </c>
      <c r="G14">
        <f>VLOOKUP(RIGHT(B14,1), {"A",43;"B",42;"C",50;"D",45}, 2, FALSE) * C14 + 50*T14</f>
        <v>1755</v>
      </c>
      <c r="H14">
        <f>H13 + G14</f>
        <v>18487</v>
      </c>
      <c r="I14" s="17">
        <f>WORKDAY.INTL(D14,INT(H14/1440),7) + MOD(H14/1440,1)</f>
        <v>45855.838194444441</v>
      </c>
      <c r="J14" s="17"/>
      <c r="K14" s="21" t="s">
        <v>34</v>
      </c>
      <c r="L14" s="21" t="s">
        <v>35</v>
      </c>
      <c r="T14">
        <f t="shared" si="0"/>
        <v>0</v>
      </c>
    </row>
    <row r="15" spans="1:20" x14ac:dyDescent="0.25">
      <c r="A15">
        <v>9</v>
      </c>
      <c r="B15" t="s">
        <v>4</v>
      </c>
      <c r="C15">
        <v>43</v>
      </c>
      <c r="D15" s="17">
        <v>45839</v>
      </c>
      <c r="E15" s="17">
        <v>45861</v>
      </c>
      <c r="F15" t="s">
        <v>21</v>
      </c>
      <c r="G15">
        <f>VLOOKUP(RIGHT(B15,1), {"A",43;"B",42;"C",50;"D",45}, 2, FALSE) * C15 + 50*T15</f>
        <v>1899</v>
      </c>
      <c r="H15">
        <f>H14 + G15</f>
        <v>20386</v>
      </c>
      <c r="I15" s="17">
        <f>WORKDAY.INTL(D15,INT(H15/1440),7) + MOD(H15/1440,1)</f>
        <v>45859.156944444447</v>
      </c>
      <c r="J15" s="17"/>
      <c r="K15" s="30">
        <f>MAX(L7:P7)</f>
        <v>49966</v>
      </c>
      <c r="L15" s="21">
        <v>5</v>
      </c>
      <c r="T15">
        <f t="shared" si="0"/>
        <v>1</v>
      </c>
    </row>
    <row r="16" spans="1:20" x14ac:dyDescent="0.25">
      <c r="A16">
        <v>11</v>
      </c>
      <c r="B16" t="s">
        <v>4</v>
      </c>
      <c r="C16">
        <v>44</v>
      </c>
      <c r="D16" s="17">
        <v>45839</v>
      </c>
      <c r="E16" s="17">
        <v>45867</v>
      </c>
      <c r="F16" t="s">
        <v>22</v>
      </c>
      <c r="G16">
        <f>VLOOKUP(RIGHT(B16,1), {"A",43;"B",42;"C",50;"D",45}, 2, FALSE) * C16 + 50*T16</f>
        <v>1892</v>
      </c>
      <c r="H16">
        <f>H15 + G16</f>
        <v>22278</v>
      </c>
      <c r="I16" s="17">
        <f>WORKDAY.INTL(D16,INT(H16/1440),7) + MOD(H16/1440,1)</f>
        <v>45860.470833333333</v>
      </c>
      <c r="J16" s="17"/>
      <c r="T16">
        <f t="shared" si="0"/>
        <v>0</v>
      </c>
    </row>
    <row r="17" spans="1:21" x14ac:dyDescent="0.25">
      <c r="A17">
        <v>12</v>
      </c>
      <c r="B17" t="s">
        <v>4</v>
      </c>
      <c r="C17">
        <v>46</v>
      </c>
      <c r="D17" s="17">
        <v>45839</v>
      </c>
      <c r="E17" s="17">
        <v>45853</v>
      </c>
      <c r="F17" t="s">
        <v>22</v>
      </c>
      <c r="G17">
        <f>VLOOKUP(RIGHT(B17,1), {"A",43;"B",42;"C",50;"D",45}, 2, FALSE) * C17 + 50*T17</f>
        <v>1978</v>
      </c>
      <c r="H17">
        <f>H16 + G17</f>
        <v>24256</v>
      </c>
      <c r="I17" s="17">
        <f>WORKDAY.INTL(D17,INT(H17/1440),7) + MOD(H17/1440,1)</f>
        <v>45861.844444444447</v>
      </c>
      <c r="J17" s="17"/>
      <c r="K17" s="21" t="s">
        <v>27</v>
      </c>
      <c r="T17">
        <f t="shared" si="0"/>
        <v>0</v>
      </c>
    </row>
    <row r="18" spans="1:21" x14ac:dyDescent="0.25">
      <c r="A18">
        <v>18</v>
      </c>
      <c r="B18" t="s">
        <v>5</v>
      </c>
      <c r="C18">
        <v>46</v>
      </c>
      <c r="D18" s="17">
        <v>45839</v>
      </c>
      <c r="E18" s="17">
        <v>45872</v>
      </c>
      <c r="F18" t="s">
        <v>20</v>
      </c>
      <c r="G18">
        <f>VLOOKUP(RIGHT(B18,1), {"A",43;"B",42;"C",50;"D",45}, 2, FALSE) * C18 + 50*T18</f>
        <v>1982</v>
      </c>
      <c r="H18">
        <f>H17 + G18</f>
        <v>26238</v>
      </c>
      <c r="I18" s="17">
        <f>WORKDAY.INTL(D18,INT(H18/1440),7) + MOD(H18/1440,1)</f>
        <v>45865.220833333333</v>
      </c>
      <c r="J18" s="17"/>
      <c r="K18" s="31" cm="1">
        <f t="array" ref="K18">SUMPRODUCT((I2:I52&lt;=E2:E52)*1) / COUNTA(I2:I52)</f>
        <v>0.31372549019607843</v>
      </c>
      <c r="T18">
        <f t="shared" si="0"/>
        <v>1</v>
      </c>
    </row>
    <row r="19" spans="1:21" x14ac:dyDescent="0.25">
      <c r="A19">
        <v>22</v>
      </c>
      <c r="B19" t="s">
        <v>6</v>
      </c>
      <c r="C19">
        <v>48</v>
      </c>
      <c r="D19" s="17">
        <v>45839</v>
      </c>
      <c r="E19" s="17">
        <v>45880</v>
      </c>
      <c r="F19" t="s">
        <v>22</v>
      </c>
      <c r="G19">
        <f>VLOOKUP(RIGHT(B19,1), {"A",43;"B",42;"C",50;"D",45}, 2, FALSE) * C19 + 50*T19</f>
        <v>2450</v>
      </c>
      <c r="H19">
        <f>H18 + G19</f>
        <v>28688</v>
      </c>
      <c r="I19" s="17">
        <f>WORKDAY.INTL(D19,INT(H19/1440),7) + MOD(H19/1440,1)</f>
        <v>45866.922222222223</v>
      </c>
      <c r="J19" s="17"/>
      <c r="K19" s="21"/>
      <c r="L19" s="26"/>
      <c r="T19">
        <f t="shared" si="0"/>
        <v>1</v>
      </c>
    </row>
    <row r="20" spans="1:21" x14ac:dyDescent="0.25">
      <c r="A20">
        <v>19</v>
      </c>
      <c r="B20" t="s">
        <v>5</v>
      </c>
      <c r="C20">
        <v>50</v>
      </c>
      <c r="D20" s="17">
        <v>45839</v>
      </c>
      <c r="E20" s="17">
        <v>45851</v>
      </c>
      <c r="F20" t="s">
        <v>20</v>
      </c>
      <c r="G20">
        <f>VLOOKUP(RIGHT(B20,1), {"A",43;"B",42;"C",50;"D",45}, 2, FALSE) * C20 + 50*T20</f>
        <v>2150</v>
      </c>
      <c r="H20">
        <f>H19 + G20</f>
        <v>30838</v>
      </c>
      <c r="I20" s="17">
        <f>WORKDAY.INTL(D20,INT(H20/1440),7) + MOD(H20/1440,1)</f>
        <v>45868.415277777778</v>
      </c>
      <c r="J20" s="17"/>
      <c r="L20" s="20"/>
      <c r="M20" s="20"/>
      <c r="N20" s="20"/>
      <c r="T20">
        <f t="shared" si="0"/>
        <v>1</v>
      </c>
    </row>
    <row r="21" spans="1:21" x14ac:dyDescent="0.25">
      <c r="A21">
        <v>15</v>
      </c>
      <c r="B21" t="s">
        <v>4</v>
      </c>
      <c r="C21">
        <v>54</v>
      </c>
      <c r="D21" s="17">
        <v>45839</v>
      </c>
      <c r="E21" s="17">
        <v>45875</v>
      </c>
      <c r="F21" t="s">
        <v>20</v>
      </c>
      <c r="G21">
        <f>VLOOKUP(RIGHT(B21,1), {"A",43;"B",42;"C",50;"D",45}, 2, FALSE) * C21 + 50*T21</f>
        <v>2372</v>
      </c>
      <c r="H21">
        <f>H20 + G21</f>
        <v>33210</v>
      </c>
      <c r="I21" s="17">
        <f>WORKDAY.INTL(D21,INT(H21/1440),7) + MOD(H21/1440,1)</f>
        <v>45872.0625</v>
      </c>
      <c r="J21" s="17"/>
      <c r="T21">
        <f t="shared" si="0"/>
        <v>1</v>
      </c>
    </row>
    <row r="22" spans="1:21" x14ac:dyDescent="0.25">
      <c r="A22">
        <v>23</v>
      </c>
      <c r="B22" t="s">
        <v>7</v>
      </c>
      <c r="C22">
        <v>55</v>
      </c>
      <c r="D22" s="17">
        <v>45839</v>
      </c>
      <c r="E22" s="17">
        <v>45875</v>
      </c>
      <c r="F22" t="s">
        <v>20</v>
      </c>
      <c r="G22">
        <f>VLOOKUP(RIGHT(B22,1), {"A",43;"B",42;"C",50;"D",45}, 2, FALSE) * C22 + 50*T22</f>
        <v>2525</v>
      </c>
      <c r="H22">
        <f>H21 + G22</f>
        <v>35735</v>
      </c>
      <c r="I22" s="17">
        <f>WORKDAY.INTL(D22,INT(H22/1440),7) + MOD(H22/1440,1)</f>
        <v>45873.815972222219</v>
      </c>
      <c r="J22" s="17"/>
      <c r="T22">
        <f t="shared" si="0"/>
        <v>1</v>
      </c>
    </row>
    <row r="23" spans="1:21" x14ac:dyDescent="0.25">
      <c r="A23">
        <v>20</v>
      </c>
      <c r="B23" t="s">
        <v>4</v>
      </c>
      <c r="C23">
        <v>60</v>
      </c>
      <c r="D23" s="17">
        <v>45839</v>
      </c>
      <c r="E23" s="17">
        <v>45860</v>
      </c>
      <c r="F23" t="s">
        <v>19</v>
      </c>
      <c r="G23">
        <f>VLOOKUP(RIGHT(B23,1), {"A",43;"B",42;"C",50;"D",45}, 2, FALSE) * C23 + 50*T23</f>
        <v>2630</v>
      </c>
      <c r="H23">
        <f>H22 + G23</f>
        <v>38365</v>
      </c>
      <c r="I23" s="17">
        <f>WORKDAY.INTL(D23,INT(H23/1440),7) + MOD(H23/1440,1)</f>
        <v>45875.642361111109</v>
      </c>
      <c r="J23" s="17"/>
      <c r="T23">
        <f t="shared" si="0"/>
        <v>1</v>
      </c>
    </row>
    <row r="24" spans="1:21" x14ac:dyDescent="0.25">
      <c r="A24">
        <v>21</v>
      </c>
      <c r="B24" t="s">
        <v>4</v>
      </c>
      <c r="C24">
        <v>61</v>
      </c>
      <c r="D24" s="17">
        <v>45839</v>
      </c>
      <c r="E24" s="17">
        <v>45872</v>
      </c>
      <c r="F24" t="s">
        <v>21</v>
      </c>
      <c r="G24">
        <f>VLOOKUP(RIGHT(B24,1), {"A",43;"B",42;"C",50;"D",45}, 2, FALSE) * C24 + 50*T24</f>
        <v>2623</v>
      </c>
      <c r="H24">
        <f>H23 + G24</f>
        <v>40988</v>
      </c>
      <c r="I24" s="17">
        <f>WORKDAY.INTL(D24,INT(H24/1440),7) + MOD(H24/1440,1)</f>
        <v>45879.463888888888</v>
      </c>
      <c r="J24" s="17"/>
      <c r="T24">
        <f t="shared" si="0"/>
        <v>0</v>
      </c>
    </row>
    <row r="25" spans="1:21" ht="14.4" thickBot="1" x14ac:dyDescent="0.3">
      <c r="A25">
        <v>24</v>
      </c>
      <c r="B25" t="s">
        <v>5</v>
      </c>
      <c r="C25">
        <v>66</v>
      </c>
      <c r="D25" s="17">
        <v>45839</v>
      </c>
      <c r="E25" s="17">
        <v>45876</v>
      </c>
      <c r="F25" t="s">
        <v>19</v>
      </c>
      <c r="G25">
        <f>VLOOKUP(RIGHT(B25,1), {"A",43;"B",42;"C",50;"D",45}, 2, FALSE) * C25 + 50*T25</f>
        <v>2822</v>
      </c>
      <c r="H25">
        <f>H24 + G25</f>
        <v>43810</v>
      </c>
      <c r="I25" s="17">
        <f>WORKDAY.INTL(D25,INT(H25/1440),7) + MOD(H25/1440,1)</f>
        <v>45881.423611111109</v>
      </c>
      <c r="J25" s="17"/>
      <c r="T25">
        <f t="shared" si="0"/>
        <v>1</v>
      </c>
    </row>
    <row r="26" spans="1:21" x14ac:dyDescent="0.25">
      <c r="A26">
        <v>25</v>
      </c>
      <c r="B26" t="s">
        <v>5</v>
      </c>
      <c r="C26">
        <v>75</v>
      </c>
      <c r="D26" s="17">
        <v>45839</v>
      </c>
      <c r="E26" s="17">
        <v>45852</v>
      </c>
      <c r="F26" t="s">
        <v>21</v>
      </c>
      <c r="G26">
        <f>VLOOKUP(RIGHT(B26,1), {"A",43;"B",42;"C",50;"D",45}, 2, FALSE) * C26 + 50*T26</f>
        <v>3150</v>
      </c>
      <c r="H26">
        <f>H25 + G26</f>
        <v>46960</v>
      </c>
      <c r="I26" s="17">
        <f>WORKDAY.INTL(D26,INT(H26/1440),7) + MOD(H26/1440,1)</f>
        <v>45883.611111111109</v>
      </c>
      <c r="J26" s="17"/>
      <c r="T26">
        <f t="shared" si="0"/>
        <v>0</v>
      </c>
      <c r="U26" s="14"/>
    </row>
    <row r="27" spans="1:21" x14ac:dyDescent="0.25">
      <c r="A27">
        <v>27</v>
      </c>
      <c r="B27" t="s">
        <v>5</v>
      </c>
      <c r="C27">
        <v>84</v>
      </c>
      <c r="D27" s="17">
        <v>45839</v>
      </c>
      <c r="E27" s="17">
        <v>45883</v>
      </c>
      <c r="F27" t="s">
        <v>21</v>
      </c>
      <c r="G27">
        <f>VLOOKUP(RIGHT(B27,1), {"A",43;"B",42;"C",50;"D",45}, 2, FALSE) * C27 + 50*T27</f>
        <v>3528</v>
      </c>
      <c r="H27">
        <f>H26 + G27</f>
        <v>50488</v>
      </c>
      <c r="I27" s="17">
        <f>WORKDAY.INTL(D27,INT(H27/1440),7) + MOD(H27/1440,1)</f>
        <v>45888.061111111114</v>
      </c>
      <c r="J27" s="17"/>
      <c r="T27">
        <f t="shared" si="0"/>
        <v>0</v>
      </c>
      <c r="U27" s="6"/>
    </row>
    <row r="28" spans="1:21" x14ac:dyDescent="0.25">
      <c r="A28">
        <v>28</v>
      </c>
      <c r="B28" t="s">
        <v>5</v>
      </c>
      <c r="C28">
        <v>87</v>
      </c>
      <c r="D28" s="17">
        <v>45839</v>
      </c>
      <c r="E28" s="17">
        <v>45851</v>
      </c>
      <c r="F28" t="s">
        <v>20</v>
      </c>
      <c r="G28">
        <f>VLOOKUP(RIGHT(B28,1), {"A",43;"B",42;"C",50;"D",45}, 2, FALSE) * C28 + 50*T28</f>
        <v>3654</v>
      </c>
      <c r="H28">
        <f>H27 + G28</f>
        <v>54142</v>
      </c>
      <c r="I28" s="17">
        <f>WORKDAY.INTL(D28,INT(H28/1440),7) + MOD(H28/1440,1)</f>
        <v>45890.598611111112</v>
      </c>
      <c r="J28" s="17"/>
      <c r="T28">
        <f t="shared" si="0"/>
        <v>0</v>
      </c>
      <c r="U28" s="6"/>
    </row>
    <row r="29" spans="1:21" ht="14.4" thickBot="1" x14ac:dyDescent="0.3">
      <c r="A29">
        <v>36</v>
      </c>
      <c r="B29" t="s">
        <v>7</v>
      </c>
      <c r="C29">
        <v>88</v>
      </c>
      <c r="D29" s="17">
        <v>45839</v>
      </c>
      <c r="E29" s="17">
        <v>45858</v>
      </c>
      <c r="F29" t="s">
        <v>19</v>
      </c>
      <c r="G29">
        <f>VLOOKUP(RIGHT(B29,1), {"A",43;"B",42;"C",50;"D",45}, 2, FALSE) * C29 + 50*T29</f>
        <v>4010</v>
      </c>
      <c r="H29">
        <f>H28 + G29</f>
        <v>58152</v>
      </c>
      <c r="I29" s="17">
        <f>WORKDAY.INTL(D29,INT(H29/1440),7) + MOD(H29/1440,1)</f>
        <v>45895.383333333331</v>
      </c>
      <c r="J29" s="17"/>
      <c r="T29">
        <f t="shared" si="0"/>
        <v>1</v>
      </c>
      <c r="U29" s="8"/>
    </row>
    <row r="30" spans="1:21" x14ac:dyDescent="0.25">
      <c r="A30">
        <v>38</v>
      </c>
      <c r="B30" t="s">
        <v>7</v>
      </c>
      <c r="C30">
        <v>90</v>
      </c>
      <c r="D30" s="17">
        <v>45839</v>
      </c>
      <c r="E30" s="17">
        <v>45851</v>
      </c>
      <c r="F30" t="s">
        <v>19</v>
      </c>
      <c r="G30">
        <f>VLOOKUP(RIGHT(B30,1), {"A",43;"B",42;"C",50;"D",45}, 2, FALSE) * C30 + 50*T30</f>
        <v>4050</v>
      </c>
      <c r="H30">
        <f>H29 + G30</f>
        <v>62202</v>
      </c>
      <c r="I30" s="17">
        <f>WORKDAY.INTL(D30,INT(H30/1440),7) + MOD(H30/1440,1)</f>
        <v>45900.195833333331</v>
      </c>
      <c r="J30" s="17"/>
      <c r="T30">
        <f t="shared" si="0"/>
        <v>0</v>
      </c>
    </row>
    <row r="31" spans="1:21" x14ac:dyDescent="0.25">
      <c r="A31">
        <v>37</v>
      </c>
      <c r="B31" t="s">
        <v>7</v>
      </c>
      <c r="C31">
        <v>90</v>
      </c>
      <c r="D31" s="17">
        <v>45839</v>
      </c>
      <c r="E31" s="17">
        <v>45867</v>
      </c>
      <c r="F31" t="s">
        <v>20</v>
      </c>
      <c r="G31">
        <f>VLOOKUP(RIGHT(B31,1), {"A",43;"B",42;"C",50;"D",45}, 2, FALSE) * C31 + 50*T31</f>
        <v>4050</v>
      </c>
      <c r="H31">
        <f>H30 + G31</f>
        <v>66252</v>
      </c>
      <c r="I31" s="17">
        <f>WORKDAY.INTL(D31,INT(H31/1440),7) + MOD(H31/1440,1)</f>
        <v>45903.008333333331</v>
      </c>
      <c r="J31" s="17"/>
      <c r="T31">
        <f t="shared" si="0"/>
        <v>0</v>
      </c>
    </row>
    <row r="32" spans="1:21" x14ac:dyDescent="0.25">
      <c r="A32">
        <v>26</v>
      </c>
      <c r="B32" t="s">
        <v>4</v>
      </c>
      <c r="C32">
        <v>95</v>
      </c>
      <c r="D32" s="17">
        <v>45839</v>
      </c>
      <c r="E32" s="17">
        <v>45881</v>
      </c>
      <c r="F32" t="s">
        <v>20</v>
      </c>
      <c r="G32">
        <f>VLOOKUP(RIGHT(B32,1), {"A",43;"B",42;"C",50;"D",45}, 2, FALSE) * C32 + 50*T32</f>
        <v>4135</v>
      </c>
      <c r="H32">
        <f>H31 + G32</f>
        <v>70387</v>
      </c>
      <c r="I32" s="17">
        <f>WORKDAY.INTL(D32,INT(H32/1440),7) + MOD(H32/1440,1)</f>
        <v>45907.879861111112</v>
      </c>
      <c r="J32" s="17"/>
      <c r="T32">
        <f t="shared" si="0"/>
        <v>1</v>
      </c>
    </row>
    <row r="33" spans="1:20" x14ac:dyDescent="0.25">
      <c r="A33">
        <v>30</v>
      </c>
      <c r="B33" t="s">
        <v>5</v>
      </c>
      <c r="C33">
        <v>96</v>
      </c>
      <c r="D33" s="17">
        <v>45839</v>
      </c>
      <c r="E33" s="17">
        <v>45865</v>
      </c>
      <c r="F33" t="s">
        <v>20</v>
      </c>
      <c r="G33">
        <f>VLOOKUP(RIGHT(B33,1), {"A",43;"B",42;"C",50;"D",45}, 2, FALSE) * C33 + 50*T33</f>
        <v>4082</v>
      </c>
      <c r="H33">
        <f>H32 + G33</f>
        <v>74469</v>
      </c>
      <c r="I33" s="17">
        <f>WORKDAY.INTL(D33,INT(H33/1440),7) + MOD(H33/1440,1)</f>
        <v>45910.714583333334</v>
      </c>
      <c r="J33" s="17"/>
      <c r="T33">
        <f t="shared" si="0"/>
        <v>1</v>
      </c>
    </row>
    <row r="34" spans="1:20" x14ac:dyDescent="0.25">
      <c r="A34">
        <v>34</v>
      </c>
      <c r="B34" t="s">
        <v>5</v>
      </c>
      <c r="C34">
        <v>99</v>
      </c>
      <c r="D34" s="17">
        <v>45839</v>
      </c>
      <c r="E34" s="17">
        <v>45866</v>
      </c>
      <c r="F34" t="s">
        <v>21</v>
      </c>
      <c r="G34">
        <f>VLOOKUP(RIGHT(B34,1), {"A",43;"B",42;"C",50;"D",45}, 2, FALSE) * C34 + 50*T34</f>
        <v>4158</v>
      </c>
      <c r="H34">
        <f>H33 + G34</f>
        <v>78627</v>
      </c>
      <c r="I34" s="17">
        <f>WORKDAY.INTL(D34,INT(H34/1440),7) + MOD(H34/1440,1)</f>
        <v>45915.602083333331</v>
      </c>
      <c r="J34" s="17"/>
      <c r="T34">
        <f t="shared" si="0"/>
        <v>0</v>
      </c>
    </row>
    <row r="35" spans="1:20" x14ac:dyDescent="0.25">
      <c r="A35">
        <v>39</v>
      </c>
      <c r="B35" t="s">
        <v>7</v>
      </c>
      <c r="C35">
        <v>100</v>
      </c>
      <c r="D35" s="17">
        <v>45839</v>
      </c>
      <c r="E35" s="17">
        <v>45868</v>
      </c>
      <c r="F35" t="s">
        <v>22</v>
      </c>
      <c r="G35">
        <f>VLOOKUP(RIGHT(B35,1), {"A",43;"B",42;"C",50;"D",45}, 2, FALSE) * C35 + 50*T35</f>
        <v>4550</v>
      </c>
      <c r="H35">
        <f>H34 + G35</f>
        <v>83177</v>
      </c>
      <c r="I35" s="17">
        <f>WORKDAY.INTL(D35,INT(H35/1440),7) + MOD(H35/1440,1)</f>
        <v>45918.761805555558</v>
      </c>
      <c r="J35" s="17"/>
      <c r="T35">
        <f t="shared" si="0"/>
        <v>1</v>
      </c>
    </row>
    <row r="36" spans="1:20" x14ac:dyDescent="0.25">
      <c r="A36">
        <v>41</v>
      </c>
      <c r="B36" t="s">
        <v>6</v>
      </c>
      <c r="C36">
        <v>102</v>
      </c>
      <c r="D36" s="17">
        <v>45839</v>
      </c>
      <c r="E36" s="17">
        <v>45851</v>
      </c>
      <c r="F36" t="s">
        <v>21</v>
      </c>
      <c r="G36">
        <f>VLOOKUP(RIGHT(B36,1), {"A",43;"B",42;"C",50;"D",45}, 2, FALSE) * C36 + 50*T36</f>
        <v>5150</v>
      </c>
      <c r="H36">
        <f>H35 + G36</f>
        <v>88327</v>
      </c>
      <c r="I36" s="17">
        <f>WORKDAY.INTL(D36,INT(H36/1440),7) + MOD(H36/1440,1)</f>
        <v>45924.338194444441</v>
      </c>
      <c r="J36" s="17"/>
      <c r="T36">
        <f t="shared" si="0"/>
        <v>1</v>
      </c>
    </row>
    <row r="37" spans="1:20" x14ac:dyDescent="0.25">
      <c r="A37">
        <v>40</v>
      </c>
      <c r="B37" t="s">
        <v>6</v>
      </c>
      <c r="C37">
        <v>102</v>
      </c>
      <c r="D37" s="17">
        <v>45839</v>
      </c>
      <c r="E37" s="17">
        <v>45859</v>
      </c>
      <c r="F37" t="s">
        <v>20</v>
      </c>
      <c r="G37">
        <f>VLOOKUP(RIGHT(B37,1), {"A",43;"B",42;"C",50;"D",45}, 2, FALSE) * C37 + 50*T37</f>
        <v>5100</v>
      </c>
      <c r="H37">
        <f>H36 + G37</f>
        <v>93427</v>
      </c>
      <c r="I37" s="17">
        <f>WORKDAY.INTL(D37,INT(H37/1440),7) + MOD(H37/1440,1)</f>
        <v>45929.879861111112</v>
      </c>
      <c r="J37" s="17"/>
      <c r="T37">
        <f t="shared" si="0"/>
        <v>0</v>
      </c>
    </row>
    <row r="38" spans="1:20" x14ac:dyDescent="0.25">
      <c r="A38">
        <v>43</v>
      </c>
      <c r="B38" t="s">
        <v>6</v>
      </c>
      <c r="C38">
        <v>104</v>
      </c>
      <c r="D38" s="17">
        <v>45839</v>
      </c>
      <c r="E38" s="17">
        <v>45851</v>
      </c>
      <c r="F38" t="s">
        <v>20</v>
      </c>
      <c r="G38">
        <f>VLOOKUP(RIGHT(B38,1), {"A",43;"B",42;"C",50;"D",45}, 2, FALSE) * C38 + 50*T38</f>
        <v>5200</v>
      </c>
      <c r="H38">
        <f>H37 + G38</f>
        <v>98627</v>
      </c>
      <c r="I38" s="17">
        <f>WORKDAY.INTL(D38,INT(H38/1440),7) + MOD(H38/1440,1)</f>
        <v>45935.490972222222</v>
      </c>
      <c r="J38" s="17"/>
      <c r="T38">
        <f t="shared" si="0"/>
        <v>0</v>
      </c>
    </row>
    <row r="39" spans="1:20" x14ac:dyDescent="0.25">
      <c r="A39">
        <v>29</v>
      </c>
      <c r="B39" t="s">
        <v>4</v>
      </c>
      <c r="C39">
        <v>113</v>
      </c>
      <c r="D39" s="17">
        <v>45839</v>
      </c>
      <c r="E39" s="17">
        <v>45853</v>
      </c>
      <c r="F39" t="s">
        <v>20</v>
      </c>
      <c r="G39">
        <f>VLOOKUP(RIGHT(B39,1), {"A",43;"B",42;"C",50;"D",45}, 2, FALSE) * C39 + 50*T39</f>
        <v>4909</v>
      </c>
      <c r="H39">
        <f>H38 + G39</f>
        <v>103536</v>
      </c>
      <c r="I39" s="17">
        <f>WORKDAY.INTL(D39,INT(H39/1440),7) + MOD(H39/1440,1)</f>
        <v>45938.9</v>
      </c>
      <c r="J39" s="17"/>
      <c r="T39">
        <f t="shared" si="0"/>
        <v>1</v>
      </c>
    </row>
    <row r="40" spans="1:20" x14ac:dyDescent="0.25">
      <c r="A40">
        <v>45</v>
      </c>
      <c r="B40" t="s">
        <v>6</v>
      </c>
      <c r="C40">
        <v>114</v>
      </c>
      <c r="D40" s="17">
        <v>45839</v>
      </c>
      <c r="E40" s="17">
        <v>45859</v>
      </c>
      <c r="F40" t="s">
        <v>20</v>
      </c>
      <c r="G40">
        <f>VLOOKUP(RIGHT(B40,1), {"A",43;"B",42;"C",50;"D",45}, 2, FALSE) * C40 + 50*T40</f>
        <v>5750</v>
      </c>
      <c r="H40">
        <f>H39 + G40</f>
        <v>109286</v>
      </c>
      <c r="I40" s="17">
        <f>WORKDAY.INTL(D40,INT(H40/1440),7) + MOD(H40/1440,1)</f>
        <v>45944.893055555556</v>
      </c>
      <c r="J40" s="17"/>
      <c r="T40">
        <f t="shared" si="0"/>
        <v>1</v>
      </c>
    </row>
    <row r="41" spans="1:20" x14ac:dyDescent="0.25">
      <c r="A41">
        <v>31</v>
      </c>
      <c r="B41" t="s">
        <v>4</v>
      </c>
      <c r="C41">
        <v>117</v>
      </c>
      <c r="D41" s="17">
        <v>45839</v>
      </c>
      <c r="E41" s="17">
        <v>45879</v>
      </c>
      <c r="F41" t="s">
        <v>19</v>
      </c>
      <c r="G41">
        <f>VLOOKUP(RIGHT(B41,1), {"A",43;"B",42;"C",50;"D",45}, 2, FALSE) * C41 + 50*T41</f>
        <v>5081</v>
      </c>
      <c r="H41">
        <f>H40 + G41</f>
        <v>114367</v>
      </c>
      <c r="I41" s="17">
        <f>WORKDAY.INTL(D41,INT(H41/1440),7) + MOD(H41/1440,1)</f>
        <v>45950.421527777777</v>
      </c>
      <c r="J41" s="17"/>
      <c r="T41">
        <f t="shared" si="0"/>
        <v>1</v>
      </c>
    </row>
    <row r="42" spans="1:20" x14ac:dyDescent="0.25">
      <c r="A42">
        <v>33</v>
      </c>
      <c r="B42" t="s">
        <v>4</v>
      </c>
      <c r="C42">
        <v>118</v>
      </c>
      <c r="D42" s="17">
        <v>45839</v>
      </c>
      <c r="E42" s="17">
        <v>45851</v>
      </c>
      <c r="F42" t="s">
        <v>19</v>
      </c>
      <c r="G42">
        <f>VLOOKUP(RIGHT(B42,1), {"A",43;"B",42;"C",50;"D",45}, 2, FALSE) * C42 + 50*T42</f>
        <v>5074</v>
      </c>
      <c r="H42">
        <f>H41 + G42</f>
        <v>119441</v>
      </c>
      <c r="I42" s="17">
        <f>WORKDAY.INTL(D42,INT(H42/1440),7) + MOD(H42/1440,1)</f>
        <v>45953.945138888892</v>
      </c>
      <c r="J42" s="17"/>
      <c r="T42">
        <f t="shared" si="0"/>
        <v>0</v>
      </c>
    </row>
    <row r="43" spans="1:20" x14ac:dyDescent="0.25">
      <c r="A43">
        <v>32</v>
      </c>
      <c r="B43" t="s">
        <v>4</v>
      </c>
      <c r="C43">
        <v>118</v>
      </c>
      <c r="D43" s="17">
        <v>45839</v>
      </c>
      <c r="E43" s="17">
        <v>45859</v>
      </c>
      <c r="F43" t="s">
        <v>22</v>
      </c>
      <c r="G43">
        <f>VLOOKUP(RIGHT(B43,1), {"A",43;"B",42;"C",50;"D",45}, 2, FALSE) * C43 + 50*T43</f>
        <v>5074</v>
      </c>
      <c r="H43">
        <f>H42 + G43</f>
        <v>124515</v>
      </c>
      <c r="I43" s="17">
        <f>WORKDAY.INTL(D43,INT(H43/1440),7) + MOD(H43/1440,1)</f>
        <v>45959.46875</v>
      </c>
      <c r="J43" s="17"/>
      <c r="T43">
        <f t="shared" si="0"/>
        <v>0</v>
      </c>
    </row>
    <row r="44" spans="1:20" x14ac:dyDescent="0.25">
      <c r="A44">
        <v>42</v>
      </c>
      <c r="B44" t="s">
        <v>5</v>
      </c>
      <c r="C44">
        <v>120</v>
      </c>
      <c r="D44" s="17">
        <v>45839</v>
      </c>
      <c r="E44" s="17">
        <v>45851</v>
      </c>
      <c r="F44" t="s">
        <v>20</v>
      </c>
      <c r="G44">
        <f>VLOOKUP(RIGHT(B44,1), {"A",43;"B",42;"C",50;"D",45}, 2, FALSE) * C44 + 50*T44</f>
        <v>5090</v>
      </c>
      <c r="H44">
        <f>H43 + G44</f>
        <v>129605</v>
      </c>
      <c r="I44" s="17">
        <f>WORKDAY.INTL(D44,INT(H44/1440),7) + MOD(H44/1440,1)</f>
        <v>45965.003472222219</v>
      </c>
      <c r="J44" s="17"/>
      <c r="T44">
        <f t="shared" si="0"/>
        <v>1</v>
      </c>
    </row>
    <row r="45" spans="1:20" x14ac:dyDescent="0.25">
      <c r="A45">
        <v>35</v>
      </c>
      <c r="B45" t="s">
        <v>4</v>
      </c>
      <c r="C45">
        <v>121</v>
      </c>
      <c r="D45" s="17">
        <v>45839</v>
      </c>
      <c r="E45" s="17">
        <v>45866</v>
      </c>
      <c r="F45" t="s">
        <v>22</v>
      </c>
      <c r="G45">
        <f>VLOOKUP(RIGHT(B45,1), {"A",43;"B",42;"C",50;"D",45}, 2, FALSE) * C45 + 50*T45</f>
        <v>5253</v>
      </c>
      <c r="H45">
        <f>H44 + G45</f>
        <v>134858</v>
      </c>
      <c r="I45" s="17">
        <f>WORKDAY.INTL(D45,INT(H45/1440),7) + MOD(H45/1440,1)</f>
        <v>45970.651388888888</v>
      </c>
      <c r="J45" s="17"/>
      <c r="T45">
        <f t="shared" si="0"/>
        <v>1</v>
      </c>
    </row>
    <row r="46" spans="1:20" x14ac:dyDescent="0.25">
      <c r="A46">
        <v>44</v>
      </c>
      <c r="B46" t="s">
        <v>5</v>
      </c>
      <c r="C46">
        <v>126</v>
      </c>
      <c r="D46" s="17">
        <v>45839</v>
      </c>
      <c r="E46" s="17">
        <v>45861</v>
      </c>
      <c r="F46" t="s">
        <v>21</v>
      </c>
      <c r="G46">
        <f>VLOOKUP(RIGHT(B46,1), {"A",43;"B",42;"C",50;"D",45}, 2, FALSE) * C46 + 50*T46</f>
        <v>5342</v>
      </c>
      <c r="H46">
        <f>H45 + G46</f>
        <v>140200</v>
      </c>
      <c r="I46" s="17">
        <f>WORKDAY.INTL(D46,INT(H46/1440),7) + MOD(H46/1440,1)</f>
        <v>45974.361111111109</v>
      </c>
      <c r="J46" s="17"/>
      <c r="T46">
        <f t="shared" si="0"/>
        <v>1</v>
      </c>
    </row>
    <row r="47" spans="1:20" x14ac:dyDescent="0.25">
      <c r="A47">
        <v>46</v>
      </c>
      <c r="B47" t="s">
        <v>6</v>
      </c>
      <c r="C47">
        <v>127</v>
      </c>
      <c r="D47" s="17">
        <v>45839</v>
      </c>
      <c r="E47" s="17">
        <v>45866</v>
      </c>
      <c r="F47" t="s">
        <v>19</v>
      </c>
      <c r="G47">
        <f>VLOOKUP(RIGHT(B47,1), {"A",43;"B",42;"C",50;"D",45}, 2, FALSE) * C47 + 50*T47</f>
        <v>6400</v>
      </c>
      <c r="H47">
        <f>H46 + G47</f>
        <v>146600</v>
      </c>
      <c r="I47" s="17">
        <f>WORKDAY.INTL(D47,INT(H47/1440),7) + MOD(H47/1440,1)</f>
        <v>45980.805555555555</v>
      </c>
      <c r="J47" s="17"/>
      <c r="T47">
        <f t="shared" si="0"/>
        <v>1</v>
      </c>
    </row>
    <row r="48" spans="1:20" x14ac:dyDescent="0.25">
      <c r="A48">
        <v>47</v>
      </c>
      <c r="B48" t="s">
        <v>6</v>
      </c>
      <c r="C48">
        <v>138</v>
      </c>
      <c r="D48" s="17">
        <v>45839</v>
      </c>
      <c r="E48" s="17">
        <v>45865</v>
      </c>
      <c r="F48" t="s">
        <v>22</v>
      </c>
      <c r="G48">
        <f>VLOOKUP(RIGHT(B48,1), {"A",43;"B",42;"C",50;"D",45}, 2, FALSE) * C48 + 50*T48</f>
        <v>6900</v>
      </c>
      <c r="H48">
        <f>H47 + G48</f>
        <v>153500</v>
      </c>
      <c r="I48" s="17">
        <f>WORKDAY.INTL(D48,INT(H48/1440),7) + MOD(H48/1440,1)</f>
        <v>45987.597222222219</v>
      </c>
      <c r="J48" s="17"/>
      <c r="T48">
        <f t="shared" si="0"/>
        <v>0</v>
      </c>
    </row>
    <row r="49" spans="1:20" x14ac:dyDescent="0.25">
      <c r="A49">
        <v>48</v>
      </c>
      <c r="B49" t="s">
        <v>6</v>
      </c>
      <c r="C49">
        <v>140</v>
      </c>
      <c r="D49" s="17">
        <v>45839</v>
      </c>
      <c r="E49" s="17">
        <v>45866</v>
      </c>
      <c r="F49" t="s">
        <v>21</v>
      </c>
      <c r="G49">
        <f>VLOOKUP(RIGHT(B49,1), {"A",43;"B",42;"C",50;"D",45}, 2, FALSE) * C49 + 50*T49</f>
        <v>7000</v>
      </c>
      <c r="H49">
        <f>H48 + G49</f>
        <v>160500</v>
      </c>
      <c r="I49" s="17">
        <f>WORKDAY.INTL(D49,INT(H49/1440),7) + MOD(H49/1440,1)</f>
        <v>45994.458333333336</v>
      </c>
      <c r="J49" s="17"/>
      <c r="T49">
        <f t="shared" si="0"/>
        <v>0</v>
      </c>
    </row>
    <row r="50" spans="1:20" x14ac:dyDescent="0.25">
      <c r="A50">
        <v>49</v>
      </c>
      <c r="B50" t="s">
        <v>7</v>
      </c>
      <c r="C50">
        <v>143</v>
      </c>
      <c r="D50" s="17">
        <v>45839</v>
      </c>
      <c r="E50" s="17">
        <v>45851</v>
      </c>
      <c r="F50" t="s">
        <v>22</v>
      </c>
      <c r="G50">
        <f>VLOOKUP(RIGHT(B50,1), {"A",43;"B",42;"C",50;"D",45}, 2, FALSE) * C50 + 50*T50</f>
        <v>6485</v>
      </c>
      <c r="H50">
        <f>H49 + G50</f>
        <v>166985</v>
      </c>
      <c r="I50" s="17">
        <f>WORKDAY.INTL(D50,INT(H50/1440),7) + MOD(H50/1440,1)</f>
        <v>46000.961805555555</v>
      </c>
      <c r="J50" s="17"/>
      <c r="T50">
        <f t="shared" si="0"/>
        <v>1</v>
      </c>
    </row>
    <row r="51" spans="1:20" x14ac:dyDescent="0.25">
      <c r="A51">
        <v>50</v>
      </c>
      <c r="B51" t="s">
        <v>7</v>
      </c>
      <c r="C51">
        <v>148</v>
      </c>
      <c r="D51" s="17">
        <v>45839</v>
      </c>
      <c r="E51" s="17">
        <v>45851</v>
      </c>
      <c r="F51" t="s">
        <v>20</v>
      </c>
      <c r="G51">
        <f>VLOOKUP(RIGHT(B51,1), {"A",43;"B",42;"C",50;"D",45}, 2, FALSE) * C51 + 50*T51</f>
        <v>6660</v>
      </c>
      <c r="H51">
        <f>H50 + G51</f>
        <v>173645</v>
      </c>
      <c r="I51" s="17">
        <f>WORKDAY.INTL(D51,INT(H51/1440),7) + MOD(H51/1440,1)</f>
        <v>46007.586805555555</v>
      </c>
      <c r="J51" s="17"/>
      <c r="T51">
        <f t="shared" si="0"/>
        <v>0</v>
      </c>
    </row>
    <row r="52" spans="1:20" x14ac:dyDescent="0.25">
      <c r="A52">
        <v>51</v>
      </c>
      <c r="B52" t="s">
        <v>6</v>
      </c>
      <c r="C52">
        <v>149</v>
      </c>
      <c r="D52" s="17">
        <v>45839</v>
      </c>
      <c r="E52" s="17">
        <v>45854</v>
      </c>
      <c r="F52" t="s">
        <v>21</v>
      </c>
      <c r="G52">
        <f>VLOOKUP(RIGHT(B52,1), {"A",43;"B",42;"C",50;"D",45}, 2, FALSE) * C52 + 50*T52</f>
        <v>7500</v>
      </c>
      <c r="H52">
        <f>H51 + G52</f>
        <v>181145</v>
      </c>
      <c r="I52" s="17">
        <f>WORKDAY.INTL(D52,INT(H52/1440),7) + MOD(H52/1440,1)</f>
        <v>46014.795138888891</v>
      </c>
      <c r="J52" s="17"/>
      <c r="T52">
        <f>IF(ROW()=2,1,IF(B52&lt;&gt;B51,1,0))</f>
        <v>1</v>
      </c>
    </row>
  </sheetData>
  <autoFilter ref="T2:T52" xr:uid="{48FE18FF-6F7D-4F95-A54A-93C013A0C465}"/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BFC2-A21B-4B84-8AB4-B2BE6B2631F5}">
  <dimension ref="A1:Y52"/>
  <sheetViews>
    <sheetView rightToLeft="1" tabSelected="1" zoomScale="85" zoomScaleNormal="85" workbookViewId="0">
      <selection activeCell="W11" sqref="W11"/>
    </sheetView>
  </sheetViews>
  <sheetFormatPr defaultRowHeight="13.8" x14ac:dyDescent="0.25"/>
  <cols>
    <col min="1" max="1" width="10.69921875" bestFit="1" customWidth="1"/>
    <col min="2" max="2" width="8.5" bestFit="1" customWidth="1"/>
    <col min="3" max="3" width="8.59765625" bestFit="1" customWidth="1"/>
    <col min="4" max="4" width="15.69921875" bestFit="1" customWidth="1"/>
    <col min="5" max="5" width="17.69921875" customWidth="1"/>
    <col min="6" max="6" width="8" bestFit="1" customWidth="1"/>
    <col min="7" max="7" width="10.8984375" bestFit="1" customWidth="1"/>
    <col min="8" max="8" width="12.69921875" bestFit="1" customWidth="1"/>
    <col min="9" max="9" width="20.5" bestFit="1" customWidth="1"/>
    <col min="10" max="10" width="15.59765625" bestFit="1" customWidth="1"/>
    <col min="11" max="11" width="15.69921875" bestFit="1" customWidth="1"/>
    <col min="12" max="12" width="15" bestFit="1" customWidth="1"/>
    <col min="13" max="13" width="16.3984375" bestFit="1" customWidth="1"/>
    <col min="14" max="14" width="17" bestFit="1" customWidth="1"/>
    <col min="15" max="15" width="14.69921875" bestFit="1" customWidth="1"/>
    <col min="16" max="16" width="14.59765625" customWidth="1"/>
    <col min="21" max="21" width="13" customWidth="1"/>
    <col min="22" max="22" width="14.59765625" bestFit="1" customWidth="1"/>
    <col min="23" max="23" width="16.5" bestFit="1" customWidth="1"/>
  </cols>
  <sheetData>
    <row r="1" spans="1:25" ht="14.4" thickBot="1" x14ac:dyDescent="0.3">
      <c r="A1" t="s">
        <v>23</v>
      </c>
      <c r="B1" s="1" t="s">
        <v>0</v>
      </c>
      <c r="C1" s="2" t="s">
        <v>1</v>
      </c>
      <c r="D1" s="2" t="s">
        <v>28</v>
      </c>
      <c r="E1" s="2" t="s">
        <v>2</v>
      </c>
      <c r="F1" s="2" t="s">
        <v>3</v>
      </c>
      <c r="G1" s="25" t="s">
        <v>29</v>
      </c>
      <c r="H1" s="25" t="s">
        <v>36</v>
      </c>
      <c r="I1" s="25" t="s">
        <v>31</v>
      </c>
      <c r="J1" s="25" t="s">
        <v>37</v>
      </c>
      <c r="K1" s="22"/>
      <c r="L1" s="23" t="s">
        <v>0</v>
      </c>
      <c r="M1" s="5" t="s">
        <v>13</v>
      </c>
      <c r="N1" s="5" t="s">
        <v>12</v>
      </c>
      <c r="O1" s="5" t="s">
        <v>14</v>
      </c>
      <c r="P1" s="5" t="s">
        <v>15</v>
      </c>
      <c r="Q1" s="5" t="s">
        <v>16</v>
      </c>
      <c r="R1" t="s">
        <v>30</v>
      </c>
      <c r="U1" t="s">
        <v>40</v>
      </c>
      <c r="V1" t="s">
        <v>41</v>
      </c>
      <c r="W1" t="s">
        <v>42</v>
      </c>
    </row>
    <row r="2" spans="1:25" ht="14.4" thickBot="1" x14ac:dyDescent="0.3">
      <c r="A2">
        <v>50</v>
      </c>
      <c r="B2" t="s">
        <v>7</v>
      </c>
      <c r="C2">
        <v>148</v>
      </c>
      <c r="D2" s="17">
        <v>45839</v>
      </c>
      <c r="E2" s="17">
        <v>45851</v>
      </c>
      <c r="F2" t="s">
        <v>20</v>
      </c>
      <c r="G2">
        <f>VLOOKUP(RIGHT(B2,1), {"A",43;"B",42;"C",50;"D",45}, 2, FALSE) * C2 + 50*U2</f>
        <v>7160</v>
      </c>
      <c r="H2">
        <f>G2</f>
        <v>7160</v>
      </c>
      <c r="I2" s="17">
        <f>WORKDAY.INTL(D2,INT(H2/1440),7) + MOD(H2/1440,1)</f>
        <v>45845.972222222219</v>
      </c>
      <c r="J2" s="17">
        <f xml:space="preserve"> ( $E2 - $D$2 ) - ( ($V2 + $O$15) / 1440 )</f>
        <v>11.865277777777777</v>
      </c>
      <c r="K2" s="17"/>
      <c r="L2" s="24" t="s">
        <v>4</v>
      </c>
      <c r="M2" s="10">
        <v>5</v>
      </c>
      <c r="N2" s="3">
        <v>8</v>
      </c>
      <c r="O2" s="3">
        <v>14</v>
      </c>
      <c r="P2" s="3">
        <v>6</v>
      </c>
      <c r="Q2" s="9">
        <v>10</v>
      </c>
      <c r="R2">
        <f>SUM(M2:Q2)</f>
        <v>43</v>
      </c>
      <c r="T2">
        <f>IF(ROW()=2,1,--($F2&lt;&gt;$F1))</f>
        <v>1</v>
      </c>
      <c r="U2">
        <f>IF(ROW()=2,1,IF(B2&lt;&gt;B1,1,0))*10</f>
        <v>10</v>
      </c>
      <c r="V2">
        <f>INDEX($M$2:$Q$5, MATCH($B2,$L$2:$L$5,0), 5)</f>
        <v>14</v>
      </c>
      <c r="W2">
        <f>INDEX($M$2:$Q$5, MATCH($B2,$L$2:$L$5,0), 1)
 +INDEX($M$2:$Q$5, MATCH($B2,$L$2:$L$5,0), 2)
 +INDEX($M$2:$Q$5, MATCH($B2,$L$2:$L$5,0), 3)
 +INDEX($M$2:$Q$5, MATCH($B2,$L$2:$L$5,0), 4)</f>
        <v>31</v>
      </c>
      <c r="X2">
        <f>$C2*$V2</f>
        <v>2072</v>
      </c>
      <c r="Y2">
        <f>$C2*$W2</f>
        <v>4588</v>
      </c>
    </row>
    <row r="3" spans="1:25" ht="14.4" thickBot="1" x14ac:dyDescent="0.3">
      <c r="A3">
        <v>49</v>
      </c>
      <c r="B3" t="s">
        <v>7</v>
      </c>
      <c r="C3">
        <v>143</v>
      </c>
      <c r="D3" s="17">
        <v>45839</v>
      </c>
      <c r="E3" s="17">
        <v>45851</v>
      </c>
      <c r="F3" t="s">
        <v>22</v>
      </c>
      <c r="G3">
        <f>VLOOKUP(RIGHT(B3,1), {"A",43;"B",42;"C",50;"D",45}, 2, FALSE) * C3 + 50*U3</f>
        <v>6435</v>
      </c>
      <c r="H3">
        <f>H2 + G3</f>
        <v>13595</v>
      </c>
      <c r="I3" s="17">
        <f>WORKDAY.INTL(D3,INT(H3/1440),7) + MOD(H3/1440,1)</f>
        <v>45852.440972222219</v>
      </c>
      <c r="J3" s="17">
        <f xml:space="preserve"> ( $E3 - $D$2 ) - ( ($V3 + $O$15) / 1440 )</f>
        <v>11.865277777777777</v>
      </c>
      <c r="K3" s="17"/>
      <c r="L3" s="24" t="s">
        <v>5</v>
      </c>
      <c r="M3" s="11">
        <v>7</v>
      </c>
      <c r="N3" s="4">
        <v>6</v>
      </c>
      <c r="O3" s="4">
        <v>11</v>
      </c>
      <c r="P3" s="4">
        <v>6</v>
      </c>
      <c r="Q3" s="6">
        <v>12</v>
      </c>
      <c r="R3">
        <f>SUM(M3:Q3)</f>
        <v>42</v>
      </c>
      <c r="T3">
        <f t="shared" ref="T3:T52" si="0">IF(ROW()=2,1,--($F3&lt;&gt;$F2))</f>
        <v>1</v>
      </c>
      <c r="U3">
        <f t="shared" ref="U3:U52" si="1">IF(ROW()=2,1,IF(B3&lt;&gt;B2,1,0))*10</f>
        <v>0</v>
      </c>
      <c r="V3">
        <f t="shared" ref="V3:V52" si="2">INDEX($M$2:$Q$5, MATCH($B3,$L$2:$L$5,0), 5)</f>
        <v>14</v>
      </c>
      <c r="W3">
        <f t="shared" ref="W3:W52" si="3">INDEX($M$2:$Q$5, MATCH($B3,$L$2:$L$5,0), 1)
 +INDEX($M$2:$Q$5, MATCH($B3,$L$2:$L$5,0), 2)
 +INDEX($M$2:$Q$5, MATCH($B3,$L$2:$L$5,0), 3)
 +INDEX($M$2:$Q$5, MATCH($B3,$L$2:$L$5,0), 4)</f>
        <v>31</v>
      </c>
      <c r="X3">
        <f t="shared" ref="X3:X52" si="4">$C3*$V3</f>
        <v>2002</v>
      </c>
      <c r="Y3">
        <f t="shared" ref="Y3:Y52" si="5">$C3*$W3</f>
        <v>4433</v>
      </c>
    </row>
    <row r="4" spans="1:25" ht="14.4" thickBot="1" x14ac:dyDescent="0.3">
      <c r="A4">
        <v>43</v>
      </c>
      <c r="B4" t="s">
        <v>6</v>
      </c>
      <c r="C4">
        <v>104</v>
      </c>
      <c r="D4" s="17">
        <v>45839</v>
      </c>
      <c r="E4" s="17">
        <v>45851</v>
      </c>
      <c r="F4" t="s">
        <v>20</v>
      </c>
      <c r="G4">
        <f>VLOOKUP(RIGHT(B4,1), {"A",43;"B",42;"C",50;"D",45}, 2, FALSE) * C4 + 50*U4</f>
        <v>5700</v>
      </c>
      <c r="H4">
        <f t="shared" ref="H4:H52" si="6">H3 + G4</f>
        <v>19295</v>
      </c>
      <c r="I4" s="17">
        <f>WORKDAY.INTL(D4,INT(H4/1440),7) + MOD(H4/1440,1)</f>
        <v>45858.399305555555</v>
      </c>
      <c r="J4" s="17">
        <f xml:space="preserve"> ( $E4 - $D$2 ) - ( ($V4 + $O$15) / 1440 )</f>
        <v>11.865277777777777</v>
      </c>
      <c r="K4" s="17"/>
      <c r="L4" s="24" t="s">
        <v>6</v>
      </c>
      <c r="M4" s="11">
        <v>10</v>
      </c>
      <c r="N4" s="4">
        <v>10</v>
      </c>
      <c r="O4" s="4">
        <v>10</v>
      </c>
      <c r="P4" s="4">
        <v>6</v>
      </c>
      <c r="Q4" s="6">
        <v>14</v>
      </c>
      <c r="R4">
        <f>SUM(M4:Q4)</f>
        <v>50</v>
      </c>
      <c r="T4">
        <f t="shared" si="0"/>
        <v>1</v>
      </c>
      <c r="U4">
        <f t="shared" si="1"/>
        <v>10</v>
      </c>
      <c r="V4">
        <f t="shared" si="2"/>
        <v>14</v>
      </c>
      <c r="W4">
        <f t="shared" si="3"/>
        <v>36</v>
      </c>
      <c r="X4">
        <f t="shared" si="4"/>
        <v>1456</v>
      </c>
      <c r="Y4">
        <f t="shared" si="5"/>
        <v>3744</v>
      </c>
    </row>
    <row r="5" spans="1:25" ht="14.4" thickBot="1" x14ac:dyDescent="0.3">
      <c r="A5">
        <v>41</v>
      </c>
      <c r="B5" t="s">
        <v>6</v>
      </c>
      <c r="C5">
        <v>102</v>
      </c>
      <c r="D5" s="17">
        <v>45839</v>
      </c>
      <c r="E5" s="17">
        <v>45851</v>
      </c>
      <c r="F5" t="s">
        <v>21</v>
      </c>
      <c r="G5">
        <f>VLOOKUP(RIGHT(B5,1), {"A",43;"B",42;"C",50;"D",45}, 2, FALSE) * C5 + 50*U5</f>
        <v>5100</v>
      </c>
      <c r="H5">
        <f t="shared" si="6"/>
        <v>24395</v>
      </c>
      <c r="I5" s="17">
        <f>WORKDAY.INTL(D5,INT(H5/1440),7) + MOD(H5/1440,1)</f>
        <v>45861.940972222219</v>
      </c>
      <c r="J5" s="17">
        <f xml:space="preserve"> ( $E5 - $D$2 ) - ( ($V5 + $O$15) / 1440 )</f>
        <v>11.865277777777777</v>
      </c>
      <c r="K5" s="17"/>
      <c r="L5" s="24" t="s">
        <v>7</v>
      </c>
      <c r="M5" s="12">
        <v>6</v>
      </c>
      <c r="N5" s="7">
        <v>7</v>
      </c>
      <c r="O5" s="7">
        <v>12</v>
      </c>
      <c r="P5" s="7">
        <v>6</v>
      </c>
      <c r="Q5" s="8">
        <v>14</v>
      </c>
      <c r="R5">
        <f>SUM(M5:Q5)</f>
        <v>45</v>
      </c>
      <c r="T5">
        <f t="shared" si="0"/>
        <v>1</v>
      </c>
      <c r="U5">
        <f t="shared" si="1"/>
        <v>0</v>
      </c>
      <c r="V5">
        <f t="shared" si="2"/>
        <v>14</v>
      </c>
      <c r="W5">
        <f t="shared" si="3"/>
        <v>36</v>
      </c>
      <c r="X5">
        <f t="shared" si="4"/>
        <v>1428</v>
      </c>
      <c r="Y5">
        <f t="shared" si="5"/>
        <v>3672</v>
      </c>
    </row>
    <row r="6" spans="1:25" x14ac:dyDescent="0.25">
      <c r="A6">
        <v>33</v>
      </c>
      <c r="B6" t="s">
        <v>4</v>
      </c>
      <c r="C6">
        <v>118</v>
      </c>
      <c r="D6" s="17">
        <v>45839</v>
      </c>
      <c r="E6" s="17">
        <v>45851</v>
      </c>
      <c r="F6" t="s">
        <v>19</v>
      </c>
      <c r="G6">
        <f>VLOOKUP(RIGHT(B6,1), {"A",43;"B",42;"C",50;"D",45}, 2, FALSE) * C6 + 50*U6</f>
        <v>5574</v>
      </c>
      <c r="H6">
        <f t="shared" si="6"/>
        <v>29969</v>
      </c>
      <c r="I6" s="17">
        <f>WORKDAY.INTL(D6,INT(H6/1440),7) + MOD(H6/1440,1)</f>
        <v>45867.811805555553</v>
      </c>
      <c r="J6" s="17">
        <f xml:space="preserve"> ( $E6 - $D$2 ) - ( ($V6 + $O$15) / 1440 )</f>
        <v>11.868055555555555</v>
      </c>
      <c r="K6" s="17"/>
      <c r="L6" s="27"/>
      <c r="M6" s="18"/>
      <c r="N6" s="28"/>
      <c r="O6" s="28"/>
      <c r="P6" s="28"/>
      <c r="Q6" s="29"/>
      <c r="T6">
        <f t="shared" si="0"/>
        <v>1</v>
      </c>
      <c r="U6">
        <f t="shared" si="1"/>
        <v>10</v>
      </c>
      <c r="V6">
        <f t="shared" si="2"/>
        <v>10</v>
      </c>
      <c r="W6">
        <f t="shared" si="3"/>
        <v>33</v>
      </c>
      <c r="X6">
        <f t="shared" si="4"/>
        <v>1180</v>
      </c>
      <c r="Y6">
        <f t="shared" si="5"/>
        <v>3894</v>
      </c>
    </row>
    <row r="7" spans="1:25" x14ac:dyDescent="0.25">
      <c r="A7">
        <v>28</v>
      </c>
      <c r="B7" t="s">
        <v>5</v>
      </c>
      <c r="C7">
        <v>87</v>
      </c>
      <c r="D7" s="17">
        <v>45839</v>
      </c>
      <c r="E7" s="17">
        <v>45851</v>
      </c>
      <c r="F7" t="s">
        <v>20</v>
      </c>
      <c r="G7">
        <f>VLOOKUP(RIGHT(B7,1), {"A",43;"B",42;"C",50;"D",45}, 2, FALSE) * C7 + 50*U7</f>
        <v>4154</v>
      </c>
      <c r="H7">
        <f t="shared" si="6"/>
        <v>34123</v>
      </c>
      <c r="I7" s="17">
        <f>WORKDAY.INTL(D7,INT(H7/1440),7) + MOD(H7/1440,1)</f>
        <v>45872.696527777778</v>
      </c>
      <c r="J7" s="17">
        <f xml:space="preserve"> ( $E7 - $D$2 ) - ( ($V7 + $O$15) / 1440 )</f>
        <v>11.866666666666667</v>
      </c>
      <c r="K7" s="17"/>
      <c r="L7" s="33" t="s">
        <v>33</v>
      </c>
      <c r="M7" s="33" cm="1">
        <f t="array" ref="M7">SUMPRODUCT($C$2:$C$52,
            INDEX($M$2:$Q$5, MATCH($B$2:$B$52, $L$2:$L$5, 0), 1)
) + 10*SUM($U$2:$U$52)</f>
        <v>32198</v>
      </c>
      <c r="N7" s="33" cm="1">
        <f t="array" ref="N7">SUMPRODUCT($C$2:$C$52,
            INDEX($M$2:$Q$5, MATCH($B$2:$B$52, $L$2:$L$5, 0), 2)
) + 10*SUM($U$2:$U$52)</f>
        <v>35211</v>
      </c>
      <c r="O7" s="33" cm="1">
        <f t="array" ref="O7">SUMPRODUCT($C$2:$C$52,
            INDEX($M$2:$Q$5, MATCH($B$2:$B$52, $L$2:$L$5, 0), 3)
) + 10*SUM($U$2:$U$52)</f>
        <v>50398</v>
      </c>
      <c r="P7" s="33" cm="1">
        <f t="array" ref="P7">SUMPRODUCT($C$2:$C$52,
            INDEX($M$2:$Q$5, MATCH($B$2:$B$52, $L$2:$L$5, 0), 4)
) + 10*SUM($U$2:$U$52)</f>
        <v>27732</v>
      </c>
      <c r="Q7" s="33" cm="1">
        <f t="array" ref="Q7">SUMPRODUCT($C$2:$C$52,
            INDEX($M$2:$Q$5, MATCH($B$2:$B$52, $L$2:$L$5, 0), 5)
) + 10*SUM($U$2:$U$52)</f>
        <v>53556</v>
      </c>
      <c r="T7">
        <f t="shared" si="0"/>
        <v>1</v>
      </c>
      <c r="U7">
        <f t="shared" si="1"/>
        <v>10</v>
      </c>
      <c r="V7">
        <f t="shared" si="2"/>
        <v>12</v>
      </c>
      <c r="W7">
        <f t="shared" si="3"/>
        <v>30</v>
      </c>
      <c r="X7">
        <f t="shared" si="4"/>
        <v>1044</v>
      </c>
      <c r="Y7">
        <f t="shared" si="5"/>
        <v>2610</v>
      </c>
    </row>
    <row r="8" spans="1:25" x14ac:dyDescent="0.25">
      <c r="A8">
        <v>19</v>
      </c>
      <c r="B8" t="s">
        <v>5</v>
      </c>
      <c r="C8">
        <v>50</v>
      </c>
      <c r="D8" s="17">
        <v>45839</v>
      </c>
      <c r="E8" s="17">
        <v>45851</v>
      </c>
      <c r="F8" t="s">
        <v>20</v>
      </c>
      <c r="G8">
        <f>VLOOKUP(RIGHT(B8,1), {"A",43;"B",42;"C",50;"D",45}, 2, FALSE) * C8 + 50*U8</f>
        <v>2100</v>
      </c>
      <c r="H8">
        <f t="shared" si="6"/>
        <v>36223</v>
      </c>
      <c r="I8" s="17">
        <f>WORKDAY.INTL(D8,INT(H8/1440),7) + MOD(H8/1440,1)</f>
        <v>45874.154861111114</v>
      </c>
      <c r="J8" s="17">
        <f xml:space="preserve"> ( $E8 - $D$2 ) - ( ($V8 + $O$15) / 1440 )</f>
        <v>11.866666666666667</v>
      </c>
      <c r="K8" s="17"/>
      <c r="L8" s="33"/>
      <c r="M8" s="33" cm="1">
        <f t="array" ref="M8">SUMPRODUCT($C$2:$C$52,
            INDEX($M$2:$Q$5, MATCH($B$2:$B$52, $L$2:$L$5, 0), 1)
) + 10*COUNTA(A2:A52)</f>
        <v>28808</v>
      </c>
      <c r="N8" s="33" cm="1">
        <f t="array" ref="N8">SUMPRODUCT($C$2:$C$52,
            INDEX($M$2:$Q$5, MATCH($B$2:$B$52, $L$2:$L$5, 0), 2)
) + 10*COUNTA(A2:A52)</f>
        <v>31821</v>
      </c>
      <c r="O8" s="33" cm="1">
        <f t="array" ref="O8">SUMPRODUCT($C$2:$C$52,
            INDEX($M$2:$Q$5, MATCH($B$2:$B$52, $L$2:$L$5, 0), 3)
) + 10*COUNTA(A2:A52)</f>
        <v>47008</v>
      </c>
      <c r="P8" s="33" cm="1">
        <f t="array" ref="P8">SUMPRODUCT($C$2:$C$52,
            INDEX($M$2:$Q$5, MATCH($B$2:$B$52, $L$2:$L$5, 0), 4)
) + 10*COUNTA(A2:A52)</f>
        <v>24342</v>
      </c>
      <c r="Q8" s="33" cm="1">
        <f t="array" ref="Q8">SUMPRODUCT($C$2:$C$52,
            INDEX($M$2:$Q$5, MATCH($B$2:$B$52, $L$2:$L$5, 0), 5)
) + 10*COUNTA(A2:A52)</f>
        <v>50166</v>
      </c>
      <c r="T8">
        <f t="shared" si="0"/>
        <v>0</v>
      </c>
      <c r="U8">
        <f t="shared" si="1"/>
        <v>0</v>
      </c>
      <c r="V8">
        <f t="shared" si="2"/>
        <v>12</v>
      </c>
      <c r="W8">
        <f t="shared" si="3"/>
        <v>30</v>
      </c>
      <c r="X8">
        <f t="shared" si="4"/>
        <v>600</v>
      </c>
      <c r="Y8">
        <f t="shared" si="5"/>
        <v>1500</v>
      </c>
    </row>
    <row r="9" spans="1:25" x14ac:dyDescent="0.25">
      <c r="A9">
        <v>16</v>
      </c>
      <c r="B9" t="s">
        <v>7</v>
      </c>
      <c r="C9">
        <v>39</v>
      </c>
      <c r="D9" s="17">
        <v>45839</v>
      </c>
      <c r="E9" s="17">
        <v>45851</v>
      </c>
      <c r="F9" t="s">
        <v>20</v>
      </c>
      <c r="G9">
        <f>VLOOKUP(RIGHT(B9,1), {"A",43;"B",42;"C",50;"D",45}, 2, FALSE) * C9 + 50*U9</f>
        <v>2255</v>
      </c>
      <c r="H9">
        <f t="shared" si="6"/>
        <v>38478</v>
      </c>
      <c r="I9" s="17">
        <f>WORKDAY.INTL(D9,INT(H9/1440),7) + MOD(H9/1440,1)</f>
        <v>45875.720833333333</v>
      </c>
      <c r="J9" s="17">
        <f xml:space="preserve"> ( $E9 - $D$2 ) - ( ($V9 + $O$15) / 1440 )</f>
        <v>11.865277777777777</v>
      </c>
      <c r="K9" s="17"/>
      <c r="T9">
        <f t="shared" si="0"/>
        <v>0</v>
      </c>
      <c r="U9">
        <f t="shared" si="1"/>
        <v>10</v>
      </c>
      <c r="V9">
        <f t="shared" si="2"/>
        <v>14</v>
      </c>
      <c r="W9">
        <f t="shared" si="3"/>
        <v>31</v>
      </c>
      <c r="X9">
        <f t="shared" si="4"/>
        <v>546</v>
      </c>
      <c r="Y9">
        <f t="shared" si="5"/>
        <v>1209</v>
      </c>
    </row>
    <row r="10" spans="1:25" x14ac:dyDescent="0.25">
      <c r="A10">
        <v>14</v>
      </c>
      <c r="B10" t="s">
        <v>7</v>
      </c>
      <c r="C10">
        <v>35</v>
      </c>
      <c r="D10" s="17">
        <v>45839</v>
      </c>
      <c r="E10" s="17">
        <v>45851</v>
      </c>
      <c r="F10" t="s">
        <v>21</v>
      </c>
      <c r="G10">
        <f>VLOOKUP(RIGHT(B10,1), {"A",43;"B",42;"C",50;"D",45}, 2, FALSE) * C10 + 50*U10</f>
        <v>1575</v>
      </c>
      <c r="H10">
        <f t="shared" si="6"/>
        <v>40053</v>
      </c>
      <c r="I10" s="17">
        <f>WORKDAY.INTL(D10,INT(H10/1440),7) + MOD(H10/1440,1)</f>
        <v>45876.814583333333</v>
      </c>
      <c r="J10" s="17">
        <f xml:space="preserve"> ( $E10 - $D$2 ) - ( ($V10 + $O$15) / 1440 )</f>
        <v>11.865277777777777</v>
      </c>
      <c r="K10" s="17"/>
      <c r="T10">
        <f t="shared" si="0"/>
        <v>1</v>
      </c>
      <c r="U10">
        <f t="shared" si="1"/>
        <v>0</v>
      </c>
      <c r="V10">
        <f t="shared" si="2"/>
        <v>14</v>
      </c>
      <c r="W10">
        <f t="shared" si="3"/>
        <v>31</v>
      </c>
      <c r="X10">
        <f t="shared" si="4"/>
        <v>490</v>
      </c>
      <c r="Y10">
        <f t="shared" si="5"/>
        <v>1085</v>
      </c>
    </row>
    <row r="11" spans="1:25" x14ac:dyDescent="0.25">
      <c r="A11">
        <v>10</v>
      </c>
      <c r="B11" t="s">
        <v>6</v>
      </c>
      <c r="C11">
        <v>31</v>
      </c>
      <c r="D11" s="17">
        <v>45839</v>
      </c>
      <c r="E11" s="17">
        <v>45851</v>
      </c>
      <c r="F11" t="s">
        <v>19</v>
      </c>
      <c r="G11">
        <f>VLOOKUP(RIGHT(B11,1), {"A",43;"B",42;"C",50;"D",45}, 2, FALSE) * C11 + 50*U11</f>
        <v>2050</v>
      </c>
      <c r="H11">
        <f t="shared" si="6"/>
        <v>42103</v>
      </c>
      <c r="I11" s="17">
        <f>WORKDAY.INTL(D11,INT(H11/1440),7) + MOD(H11/1440,1)</f>
        <v>45880.238194444442</v>
      </c>
      <c r="J11" s="17">
        <f xml:space="preserve"> ( $E11 - $D$2 ) - ( ($V11 + $O$15) / 1440 )</f>
        <v>11.865277777777777</v>
      </c>
      <c r="K11" s="17"/>
      <c r="T11">
        <f t="shared" si="0"/>
        <v>1</v>
      </c>
      <c r="U11">
        <f t="shared" si="1"/>
        <v>10</v>
      </c>
      <c r="V11">
        <f t="shared" si="2"/>
        <v>14</v>
      </c>
      <c r="W11">
        <f t="shared" si="3"/>
        <v>36</v>
      </c>
      <c r="X11">
        <f t="shared" si="4"/>
        <v>434</v>
      </c>
      <c r="Y11">
        <f t="shared" si="5"/>
        <v>1116</v>
      </c>
    </row>
    <row r="12" spans="1:25" x14ac:dyDescent="0.25">
      <c r="A12">
        <v>25</v>
      </c>
      <c r="B12" t="s">
        <v>5</v>
      </c>
      <c r="C12">
        <v>75</v>
      </c>
      <c r="D12" s="17">
        <v>45839</v>
      </c>
      <c r="E12" s="17">
        <v>45852</v>
      </c>
      <c r="F12" t="s">
        <v>21</v>
      </c>
      <c r="G12">
        <f>VLOOKUP(RIGHT(B12,1), {"A",43;"B",42;"C",50;"D",45}, 2, FALSE) * C12 + 50*U12</f>
        <v>3650</v>
      </c>
      <c r="H12">
        <f t="shared" si="6"/>
        <v>45753</v>
      </c>
      <c r="I12" s="17">
        <f>WORKDAY.INTL(D12,INT(H12/1440),7) + MOD(H12/1440,1)</f>
        <v>45882.772916666669</v>
      </c>
      <c r="J12" s="17">
        <f xml:space="preserve"> ( $E12 - $D$2 ) - ( ($V12 + $O$15) / 1440 )</f>
        <v>12.866666666666667</v>
      </c>
      <c r="K12" s="17"/>
      <c r="M12" s="32"/>
      <c r="N12" s="32"/>
      <c r="O12" s="32"/>
      <c r="P12" s="32"/>
      <c r="Q12" s="32"/>
      <c r="T12">
        <f t="shared" si="0"/>
        <v>1</v>
      </c>
      <c r="U12">
        <f t="shared" si="1"/>
        <v>10</v>
      </c>
      <c r="V12">
        <f t="shared" si="2"/>
        <v>12</v>
      </c>
      <c r="W12">
        <f t="shared" si="3"/>
        <v>30</v>
      </c>
      <c r="X12">
        <f t="shared" si="4"/>
        <v>900</v>
      </c>
      <c r="Y12">
        <f t="shared" si="5"/>
        <v>2250</v>
      </c>
    </row>
    <row r="13" spans="1:25" x14ac:dyDescent="0.25">
      <c r="A13">
        <v>29</v>
      </c>
      <c r="B13" t="s">
        <v>4</v>
      </c>
      <c r="C13">
        <v>113</v>
      </c>
      <c r="D13" s="17">
        <v>45839</v>
      </c>
      <c r="E13" s="17">
        <v>45853</v>
      </c>
      <c r="F13" t="s">
        <v>20</v>
      </c>
      <c r="G13">
        <f>VLOOKUP(RIGHT(B13,1), {"A",43;"B",42;"C",50;"D",45}, 2, FALSE) * C13 + 50*U13</f>
        <v>5359</v>
      </c>
      <c r="H13">
        <f t="shared" si="6"/>
        <v>51112</v>
      </c>
      <c r="I13" s="17">
        <f>WORKDAY.INTL(D13,INT(H13/1440),7) + MOD(H13/1440,1)</f>
        <v>45888.494444444441</v>
      </c>
      <c r="J13" s="17">
        <f xml:space="preserve"> ( $E13 - $D$2 ) - ( ($V13 + $O$15) / 1440 )</f>
        <v>13.868055555555555</v>
      </c>
      <c r="K13" s="17"/>
      <c r="T13">
        <f t="shared" si="0"/>
        <v>1</v>
      </c>
      <c r="U13">
        <f t="shared" si="1"/>
        <v>10</v>
      </c>
      <c r="V13">
        <f t="shared" si="2"/>
        <v>10</v>
      </c>
      <c r="W13">
        <f t="shared" si="3"/>
        <v>33</v>
      </c>
      <c r="X13">
        <f t="shared" si="4"/>
        <v>1130</v>
      </c>
      <c r="Y13">
        <f t="shared" si="5"/>
        <v>3729</v>
      </c>
    </row>
    <row r="14" spans="1:25" x14ac:dyDescent="0.25">
      <c r="A14">
        <v>51</v>
      </c>
      <c r="B14" t="s">
        <v>6</v>
      </c>
      <c r="C14">
        <v>149</v>
      </c>
      <c r="D14" s="17">
        <v>45839</v>
      </c>
      <c r="E14" s="17">
        <v>45854</v>
      </c>
      <c r="F14" t="s">
        <v>21</v>
      </c>
      <c r="G14">
        <f>VLOOKUP(RIGHT(B14,1), {"A",43;"B",42;"C",50;"D",45}, 2, FALSE) * C14 + 50*U14</f>
        <v>7950</v>
      </c>
      <c r="H14">
        <f t="shared" si="6"/>
        <v>59062</v>
      </c>
      <c r="I14" s="17">
        <f>WORKDAY.INTL(D14,INT(H14/1440),7) + MOD(H14/1440,1)</f>
        <v>45896.015277777777</v>
      </c>
      <c r="J14" s="17">
        <f xml:space="preserve"> ( $E14 - $D$2 ) - ( ($V14 + $O$15) / 1440 )</f>
        <v>14.865277777777777</v>
      </c>
      <c r="K14" s="17"/>
      <c r="L14" s="21" t="s">
        <v>34</v>
      </c>
      <c r="M14" s="21" t="s">
        <v>35</v>
      </c>
      <c r="O14" t="s">
        <v>39</v>
      </c>
      <c r="T14">
        <f t="shared" si="0"/>
        <v>1</v>
      </c>
      <c r="U14">
        <f t="shared" si="1"/>
        <v>10</v>
      </c>
      <c r="V14">
        <f t="shared" si="2"/>
        <v>14</v>
      </c>
      <c r="W14">
        <f t="shared" si="3"/>
        <v>36</v>
      </c>
      <c r="X14">
        <f t="shared" si="4"/>
        <v>2086</v>
      </c>
      <c r="Y14">
        <f t="shared" si="5"/>
        <v>5364</v>
      </c>
    </row>
    <row r="15" spans="1:25" x14ac:dyDescent="0.25">
      <c r="A15">
        <v>12</v>
      </c>
      <c r="B15" t="s">
        <v>4</v>
      </c>
      <c r="C15">
        <v>46</v>
      </c>
      <c r="D15" s="17">
        <v>45839</v>
      </c>
      <c r="E15" s="17">
        <v>45853</v>
      </c>
      <c r="F15" t="s">
        <v>22</v>
      </c>
      <c r="G15">
        <f>VLOOKUP(RIGHT(B15,1), {"A",43;"B",42;"C",50;"D",45}, 2, FALSE) * C15 + 50*U15</f>
        <v>2478</v>
      </c>
      <c r="H15">
        <f t="shared" si="6"/>
        <v>61540</v>
      </c>
      <c r="I15" s="17">
        <f>WORKDAY.INTL(D15,INT(H15/1440),7) + MOD(H15/1440,1)</f>
        <v>45897.736111111109</v>
      </c>
      <c r="J15" s="17">
        <f xml:space="preserve"> ( $E15 - $D$2 ) - ( ($V15 + $O$15) / 1440 )</f>
        <v>13.868055555555555</v>
      </c>
      <c r="K15" s="17"/>
      <c r="L15" s="30">
        <f>MAX(M7:Q7)</f>
        <v>53556</v>
      </c>
      <c r="M15" s="21">
        <v>5</v>
      </c>
      <c r="O15">
        <v>180</v>
      </c>
      <c r="T15">
        <f t="shared" si="0"/>
        <v>1</v>
      </c>
      <c r="U15">
        <f t="shared" si="1"/>
        <v>10</v>
      </c>
      <c r="V15">
        <f t="shared" si="2"/>
        <v>10</v>
      </c>
      <c r="W15">
        <f t="shared" si="3"/>
        <v>33</v>
      </c>
      <c r="X15">
        <f t="shared" si="4"/>
        <v>460</v>
      </c>
      <c r="Y15">
        <f t="shared" si="5"/>
        <v>1518</v>
      </c>
    </row>
    <row r="16" spans="1:25" x14ac:dyDescent="0.25">
      <c r="A16">
        <v>17</v>
      </c>
      <c r="B16" t="s">
        <v>7</v>
      </c>
      <c r="C16">
        <v>39</v>
      </c>
      <c r="D16" s="17">
        <v>45839</v>
      </c>
      <c r="E16" s="17">
        <v>45855</v>
      </c>
      <c r="F16" t="s">
        <v>20</v>
      </c>
      <c r="G16">
        <f>VLOOKUP(RIGHT(B16,1), {"A",43;"B",42;"C",50;"D",45}, 2, FALSE) * C16 + 50*U16</f>
        <v>2255</v>
      </c>
      <c r="H16">
        <f t="shared" si="6"/>
        <v>63795</v>
      </c>
      <c r="I16" s="17">
        <f>WORKDAY.INTL(D16,INT(H16/1440),7) + MOD(H16/1440,1)</f>
        <v>45901.302083333336</v>
      </c>
      <c r="J16" s="17">
        <f xml:space="preserve"> ( $E16 - $D$2 ) - ( ($V16 + $O$15) / 1440 )</f>
        <v>15.865277777777777</v>
      </c>
      <c r="K16" s="17"/>
      <c r="T16">
        <f t="shared" si="0"/>
        <v>1</v>
      </c>
      <c r="U16">
        <f t="shared" si="1"/>
        <v>10</v>
      </c>
      <c r="V16">
        <f t="shared" si="2"/>
        <v>14</v>
      </c>
      <c r="W16">
        <f t="shared" si="3"/>
        <v>31</v>
      </c>
      <c r="X16">
        <f t="shared" si="4"/>
        <v>546</v>
      </c>
      <c r="Y16">
        <f t="shared" si="5"/>
        <v>1209</v>
      </c>
    </row>
    <row r="17" spans="1:25" x14ac:dyDescent="0.25">
      <c r="A17">
        <v>38</v>
      </c>
      <c r="B17" t="s">
        <v>7</v>
      </c>
      <c r="C17">
        <v>90</v>
      </c>
      <c r="D17" s="17">
        <v>45839</v>
      </c>
      <c r="E17" s="17">
        <v>45857</v>
      </c>
      <c r="F17" t="s">
        <v>19</v>
      </c>
      <c r="G17">
        <f>VLOOKUP(RIGHT(B17,1), {"A",43;"B",42;"C",50;"D",45}, 2, FALSE) * C17 + 50*U17</f>
        <v>4050</v>
      </c>
      <c r="H17">
        <f t="shared" si="6"/>
        <v>67845</v>
      </c>
      <c r="I17" s="17">
        <f>WORKDAY.INTL(D17,INT(H17/1440),7) + MOD(H17/1440,1)</f>
        <v>45904.114583333336</v>
      </c>
      <c r="J17" s="17">
        <f xml:space="preserve"> ( $E17 - $D$2 ) - ( ($V17 + $O$15) / 1440 )</f>
        <v>17.865277777777777</v>
      </c>
      <c r="K17" s="17"/>
      <c r="L17" s="21" t="s">
        <v>27</v>
      </c>
      <c r="T17">
        <f t="shared" si="0"/>
        <v>1</v>
      </c>
      <c r="U17">
        <f t="shared" si="1"/>
        <v>0</v>
      </c>
      <c r="V17">
        <f t="shared" si="2"/>
        <v>14</v>
      </c>
      <c r="W17">
        <f t="shared" si="3"/>
        <v>31</v>
      </c>
      <c r="X17">
        <f t="shared" si="4"/>
        <v>1260</v>
      </c>
      <c r="Y17">
        <f t="shared" si="5"/>
        <v>2790</v>
      </c>
    </row>
    <row r="18" spans="1:25" x14ac:dyDescent="0.25">
      <c r="A18">
        <v>36</v>
      </c>
      <c r="B18" t="s">
        <v>7</v>
      </c>
      <c r="C18">
        <v>88</v>
      </c>
      <c r="D18" s="17">
        <v>45839</v>
      </c>
      <c r="E18" s="17">
        <v>45858</v>
      </c>
      <c r="F18" t="s">
        <v>19</v>
      </c>
      <c r="G18">
        <f>VLOOKUP(RIGHT(B18,1), {"A",43;"B",42;"C",50;"D",45}, 2, FALSE) * C18 + 50*U18</f>
        <v>3960</v>
      </c>
      <c r="H18">
        <f t="shared" si="6"/>
        <v>71805</v>
      </c>
      <c r="I18" s="17">
        <f>WORKDAY.INTL(D18,INT(H18/1440),7) + MOD(H18/1440,1)</f>
        <v>45908.864583333336</v>
      </c>
      <c r="J18" s="17">
        <f xml:space="preserve"> ( $E18 - $D$2 ) - ( ($V18 + $O$15) / 1440 )</f>
        <v>18.865277777777777</v>
      </c>
      <c r="K18" s="17"/>
      <c r="L18" s="31" cm="1">
        <f t="array" ref="L18">SUMPRODUCT((I2:I52&lt;=E2:E52)*1) / COUNTA(I2:I52)</f>
        <v>1.9607843137254902E-2</v>
      </c>
      <c r="T18">
        <f t="shared" si="0"/>
        <v>0</v>
      </c>
      <c r="U18">
        <f t="shared" si="1"/>
        <v>0</v>
      </c>
      <c r="V18">
        <f t="shared" si="2"/>
        <v>14</v>
      </c>
      <c r="W18">
        <f t="shared" si="3"/>
        <v>31</v>
      </c>
      <c r="X18">
        <f t="shared" si="4"/>
        <v>1232</v>
      </c>
      <c r="Y18">
        <f t="shared" si="5"/>
        <v>2728</v>
      </c>
    </row>
    <row r="19" spans="1:25" x14ac:dyDescent="0.25">
      <c r="A19">
        <v>8</v>
      </c>
      <c r="B19" t="s">
        <v>6</v>
      </c>
      <c r="C19">
        <v>30</v>
      </c>
      <c r="D19" s="17">
        <v>45839</v>
      </c>
      <c r="E19" s="17">
        <v>45858</v>
      </c>
      <c r="F19" t="s">
        <v>21</v>
      </c>
      <c r="G19">
        <f>VLOOKUP(RIGHT(B19,1), {"A",43;"B",42;"C",50;"D",45}, 2, FALSE) * C19 + 50*U19</f>
        <v>2000</v>
      </c>
      <c r="H19">
        <f t="shared" si="6"/>
        <v>73805</v>
      </c>
      <c r="I19" s="17">
        <f>WORKDAY.INTL(D19,INT(H19/1440),7) + MOD(H19/1440,1)</f>
        <v>45910.253472222219</v>
      </c>
      <c r="J19" s="17">
        <f xml:space="preserve"> ( $E19 - $D$2 ) - ( ($V19 + $O$15) / 1440 )</f>
        <v>18.865277777777777</v>
      </c>
      <c r="K19" s="17"/>
      <c r="L19" s="21"/>
      <c r="M19" s="26"/>
      <c r="T19">
        <f t="shared" si="0"/>
        <v>1</v>
      </c>
      <c r="U19">
        <f t="shared" si="1"/>
        <v>10</v>
      </c>
      <c r="V19">
        <f t="shared" si="2"/>
        <v>14</v>
      </c>
      <c r="W19">
        <f t="shared" si="3"/>
        <v>36</v>
      </c>
      <c r="X19">
        <f t="shared" si="4"/>
        <v>420</v>
      </c>
      <c r="Y19">
        <f t="shared" si="5"/>
        <v>1080</v>
      </c>
    </row>
    <row r="20" spans="1:25" x14ac:dyDescent="0.25">
      <c r="A20">
        <v>45</v>
      </c>
      <c r="B20" t="s">
        <v>6</v>
      </c>
      <c r="C20">
        <v>114</v>
      </c>
      <c r="D20" s="17">
        <v>45839</v>
      </c>
      <c r="E20" s="17">
        <v>45859</v>
      </c>
      <c r="F20" t="s">
        <v>20</v>
      </c>
      <c r="G20">
        <f>VLOOKUP(RIGHT(B20,1), {"A",43;"B",42;"C",50;"D",45}, 2, FALSE) * C20 + 50*U20</f>
        <v>5700</v>
      </c>
      <c r="H20">
        <f t="shared" si="6"/>
        <v>79505</v>
      </c>
      <c r="I20" s="17">
        <f>WORKDAY.INTL(D20,INT(H20/1440),7) + MOD(H20/1440,1)</f>
        <v>45916.211805555555</v>
      </c>
      <c r="J20" s="17">
        <f xml:space="preserve"> ( $E20 - $D$2 ) - ( ($V20 + $O$15) / 1440 )</f>
        <v>19.865277777777777</v>
      </c>
      <c r="K20" s="17"/>
      <c r="M20" s="20"/>
      <c r="N20" s="20"/>
      <c r="O20" s="20"/>
      <c r="T20">
        <f t="shared" si="0"/>
        <v>1</v>
      </c>
      <c r="U20">
        <f t="shared" si="1"/>
        <v>0</v>
      </c>
      <c r="V20">
        <f t="shared" si="2"/>
        <v>14</v>
      </c>
      <c r="W20">
        <f t="shared" si="3"/>
        <v>36</v>
      </c>
      <c r="X20">
        <f t="shared" si="4"/>
        <v>1596</v>
      </c>
      <c r="Y20">
        <f t="shared" si="5"/>
        <v>4104</v>
      </c>
    </row>
    <row r="21" spans="1:25" x14ac:dyDescent="0.25">
      <c r="A21">
        <v>40</v>
      </c>
      <c r="B21" t="s">
        <v>6</v>
      </c>
      <c r="C21">
        <v>102</v>
      </c>
      <c r="D21" s="17">
        <v>45839</v>
      </c>
      <c r="E21" s="17">
        <v>45859</v>
      </c>
      <c r="F21" t="s">
        <v>20</v>
      </c>
      <c r="G21">
        <f>VLOOKUP(RIGHT(B21,1), {"A",43;"B",42;"C",50;"D",45}, 2, FALSE) * C21 + 50*U21</f>
        <v>5100</v>
      </c>
      <c r="H21">
        <f t="shared" si="6"/>
        <v>84605</v>
      </c>
      <c r="I21" s="17">
        <f>WORKDAY.INTL(D21,INT(H21/1440),7) + MOD(H21/1440,1)</f>
        <v>45921.753472222219</v>
      </c>
      <c r="J21" s="17">
        <f xml:space="preserve"> ( $E21 - $D$2 ) - ( ($V21 + $O$15) / 1440 )</f>
        <v>19.865277777777777</v>
      </c>
      <c r="K21" s="17"/>
      <c r="T21">
        <f t="shared" si="0"/>
        <v>0</v>
      </c>
      <c r="U21">
        <f t="shared" si="1"/>
        <v>0</v>
      </c>
      <c r="V21">
        <f t="shared" si="2"/>
        <v>14</v>
      </c>
      <c r="W21">
        <f t="shared" si="3"/>
        <v>36</v>
      </c>
      <c r="X21">
        <f t="shared" si="4"/>
        <v>1428</v>
      </c>
      <c r="Y21">
        <f t="shared" si="5"/>
        <v>3672</v>
      </c>
    </row>
    <row r="22" spans="1:25" x14ac:dyDescent="0.25">
      <c r="A22">
        <v>32</v>
      </c>
      <c r="B22" t="s">
        <v>4</v>
      </c>
      <c r="C22">
        <v>118</v>
      </c>
      <c r="D22" s="17">
        <v>45839</v>
      </c>
      <c r="E22" s="17">
        <v>45859</v>
      </c>
      <c r="F22" t="s">
        <v>22</v>
      </c>
      <c r="G22">
        <f>VLOOKUP(RIGHT(B22,1), {"A",43;"B",42;"C",50;"D",45}, 2, FALSE) * C22 + 50*U22</f>
        <v>5574</v>
      </c>
      <c r="H22">
        <f t="shared" si="6"/>
        <v>90179</v>
      </c>
      <c r="I22" s="17">
        <f>WORKDAY.INTL(D22,INT(H22/1440),7) + MOD(H22/1440,1)</f>
        <v>45925.624305555553</v>
      </c>
      <c r="J22" s="17">
        <f xml:space="preserve"> ( $E22 - $D$2 ) - ( ($V22 + $O$15) / 1440 )</f>
        <v>19.868055555555557</v>
      </c>
      <c r="K22" s="17"/>
      <c r="T22">
        <f t="shared" si="0"/>
        <v>1</v>
      </c>
      <c r="U22">
        <f t="shared" si="1"/>
        <v>10</v>
      </c>
      <c r="V22">
        <f t="shared" si="2"/>
        <v>10</v>
      </c>
      <c r="W22">
        <f t="shared" si="3"/>
        <v>33</v>
      </c>
      <c r="X22">
        <f t="shared" si="4"/>
        <v>1180</v>
      </c>
      <c r="Y22">
        <f t="shared" si="5"/>
        <v>3894</v>
      </c>
    </row>
    <row r="23" spans="1:25" x14ac:dyDescent="0.25">
      <c r="A23">
        <v>6</v>
      </c>
      <c r="B23" t="s">
        <v>7</v>
      </c>
      <c r="C23">
        <v>29</v>
      </c>
      <c r="D23" s="17">
        <v>45839</v>
      </c>
      <c r="E23" s="17">
        <v>45859</v>
      </c>
      <c r="F23" t="s">
        <v>21</v>
      </c>
      <c r="G23">
        <f>VLOOKUP(RIGHT(B23,1), {"A",43;"B",42;"C",50;"D",45}, 2, FALSE) * C23 + 50*U23</f>
        <v>1805</v>
      </c>
      <c r="H23">
        <f t="shared" si="6"/>
        <v>91984</v>
      </c>
      <c r="I23" s="17">
        <f>WORKDAY.INTL(D23,INT(H23/1440),7) + MOD(H23/1440,1)</f>
        <v>45928.87777777778</v>
      </c>
      <c r="J23" s="17">
        <f xml:space="preserve"> ( $E23 - $D$2 ) - ( ($V23 + $O$15) / 1440 )</f>
        <v>19.865277777777777</v>
      </c>
      <c r="K23" s="17"/>
      <c r="T23">
        <f t="shared" si="0"/>
        <v>1</v>
      </c>
      <c r="U23">
        <f t="shared" si="1"/>
        <v>10</v>
      </c>
      <c r="V23">
        <f t="shared" si="2"/>
        <v>14</v>
      </c>
      <c r="W23">
        <f t="shared" si="3"/>
        <v>31</v>
      </c>
      <c r="X23">
        <f t="shared" si="4"/>
        <v>406</v>
      </c>
      <c r="Y23">
        <f t="shared" si="5"/>
        <v>899</v>
      </c>
    </row>
    <row r="24" spans="1:25" x14ac:dyDescent="0.25">
      <c r="A24">
        <v>5</v>
      </c>
      <c r="B24" t="s">
        <v>7</v>
      </c>
      <c r="C24">
        <v>23</v>
      </c>
      <c r="D24" s="17">
        <v>45839</v>
      </c>
      <c r="E24" s="17">
        <v>45859</v>
      </c>
      <c r="F24" t="s">
        <v>19</v>
      </c>
      <c r="G24">
        <f>VLOOKUP(RIGHT(B24,1), {"A",43;"B",42;"C",50;"D",45}, 2, FALSE) * C24 + 50*U24</f>
        <v>1035</v>
      </c>
      <c r="H24">
        <f t="shared" si="6"/>
        <v>93019</v>
      </c>
      <c r="I24" s="17">
        <f>WORKDAY.INTL(D24,INT(H24/1440),7) + MOD(H24/1440,1)</f>
        <v>45929.59652777778</v>
      </c>
      <c r="J24" s="17">
        <f xml:space="preserve"> ( $E24 - $D$2 ) - ( ($V24 + $O$15) / 1440 )</f>
        <v>19.865277777777777</v>
      </c>
      <c r="K24" s="17"/>
      <c r="T24">
        <f t="shared" si="0"/>
        <v>1</v>
      </c>
      <c r="U24">
        <f t="shared" si="1"/>
        <v>0</v>
      </c>
      <c r="V24">
        <f t="shared" si="2"/>
        <v>14</v>
      </c>
      <c r="W24">
        <f t="shared" si="3"/>
        <v>31</v>
      </c>
      <c r="X24">
        <f t="shared" si="4"/>
        <v>322</v>
      </c>
      <c r="Y24">
        <f t="shared" si="5"/>
        <v>713</v>
      </c>
    </row>
    <row r="25" spans="1:25" x14ac:dyDescent="0.25">
      <c r="A25">
        <v>3</v>
      </c>
      <c r="B25" t="s">
        <v>5</v>
      </c>
      <c r="C25">
        <v>26</v>
      </c>
      <c r="D25" s="17">
        <v>45839</v>
      </c>
      <c r="E25" s="17">
        <v>45859</v>
      </c>
      <c r="F25" t="s">
        <v>22</v>
      </c>
      <c r="G25">
        <f>VLOOKUP(RIGHT(B25,1), {"A",43;"B",42;"C",50;"D",45}, 2, FALSE) * C25 + 50*U25</f>
        <v>1592</v>
      </c>
      <c r="H25">
        <f t="shared" si="6"/>
        <v>94611</v>
      </c>
      <c r="I25" s="17">
        <f>WORKDAY.INTL(D25,INT(H25/1440),7) + MOD(H25/1440,1)</f>
        <v>45930.70208333333</v>
      </c>
      <c r="J25" s="17">
        <f xml:space="preserve"> ( $E25 - $D$2 ) - ( ($V25 + $O$15) / 1440 )</f>
        <v>19.866666666666667</v>
      </c>
      <c r="K25" s="17"/>
      <c r="T25">
        <f t="shared" si="0"/>
        <v>1</v>
      </c>
      <c r="U25">
        <f t="shared" si="1"/>
        <v>10</v>
      </c>
      <c r="V25">
        <f t="shared" si="2"/>
        <v>12</v>
      </c>
      <c r="W25">
        <f t="shared" si="3"/>
        <v>30</v>
      </c>
      <c r="X25">
        <f t="shared" si="4"/>
        <v>312</v>
      </c>
      <c r="Y25">
        <f t="shared" si="5"/>
        <v>780</v>
      </c>
    </row>
    <row r="26" spans="1:25" x14ac:dyDescent="0.25">
      <c r="A26">
        <v>20</v>
      </c>
      <c r="B26" t="s">
        <v>4</v>
      </c>
      <c r="C26">
        <v>60</v>
      </c>
      <c r="D26" s="17">
        <v>45839</v>
      </c>
      <c r="E26" s="17">
        <v>45860</v>
      </c>
      <c r="F26" t="s">
        <v>19</v>
      </c>
      <c r="G26">
        <f>VLOOKUP(RIGHT(B26,1), {"A",43;"B",42;"C",50;"D",45}, 2, FALSE) * C26 + 50*U26</f>
        <v>3080</v>
      </c>
      <c r="H26">
        <f t="shared" si="6"/>
        <v>97691</v>
      </c>
      <c r="I26" s="17">
        <f>WORKDAY.INTL(D26,INT(H26/1440),7) + MOD(H26/1440,1)</f>
        <v>45932.84097222222</v>
      </c>
      <c r="J26" s="17">
        <f xml:space="preserve"> ( $E26 - $D$2 ) - ( ($V26 + $O$15) / 1440 )</f>
        <v>20.868055555555557</v>
      </c>
      <c r="K26" s="17"/>
      <c r="T26">
        <f t="shared" si="0"/>
        <v>1</v>
      </c>
      <c r="U26">
        <f t="shared" si="1"/>
        <v>10</v>
      </c>
      <c r="V26">
        <f t="shared" si="2"/>
        <v>10</v>
      </c>
      <c r="W26">
        <f t="shared" si="3"/>
        <v>33</v>
      </c>
      <c r="X26">
        <f t="shared" si="4"/>
        <v>600</v>
      </c>
      <c r="Y26">
        <f t="shared" si="5"/>
        <v>1980</v>
      </c>
    </row>
    <row r="27" spans="1:25" x14ac:dyDescent="0.25">
      <c r="A27">
        <v>44</v>
      </c>
      <c r="B27" t="s">
        <v>5</v>
      </c>
      <c r="C27">
        <v>126</v>
      </c>
      <c r="D27" s="17">
        <v>45839</v>
      </c>
      <c r="E27" s="17">
        <v>45861</v>
      </c>
      <c r="F27" t="s">
        <v>21</v>
      </c>
      <c r="G27">
        <f>VLOOKUP(RIGHT(B27,1), {"A",43;"B",42;"C",50;"D",45}, 2, FALSE) * C27 + 50*U27</f>
        <v>5792</v>
      </c>
      <c r="H27">
        <f t="shared" si="6"/>
        <v>103483</v>
      </c>
      <c r="I27" s="17">
        <f>WORKDAY.INTL(D27,INT(H27/1440),7) + MOD(H27/1440,1)</f>
        <v>45938.863194444442</v>
      </c>
      <c r="J27" s="17">
        <f xml:space="preserve"> ( $E27 - $D$2 ) - ( ($V27 + $O$15) / 1440 )</f>
        <v>21.866666666666667</v>
      </c>
      <c r="K27" s="17"/>
      <c r="T27">
        <f t="shared" si="0"/>
        <v>1</v>
      </c>
      <c r="U27">
        <f t="shared" si="1"/>
        <v>10</v>
      </c>
      <c r="V27">
        <f t="shared" si="2"/>
        <v>12</v>
      </c>
      <c r="W27">
        <f t="shared" si="3"/>
        <v>30</v>
      </c>
      <c r="X27">
        <f t="shared" si="4"/>
        <v>1512</v>
      </c>
      <c r="Y27">
        <f t="shared" si="5"/>
        <v>3780</v>
      </c>
    </row>
    <row r="28" spans="1:25" x14ac:dyDescent="0.25">
      <c r="A28">
        <v>9</v>
      </c>
      <c r="B28" t="s">
        <v>4</v>
      </c>
      <c r="C28">
        <v>43</v>
      </c>
      <c r="D28" s="17">
        <v>45839</v>
      </c>
      <c r="E28" s="17">
        <v>45861</v>
      </c>
      <c r="F28" t="s">
        <v>21</v>
      </c>
      <c r="G28">
        <f>VLOOKUP(RIGHT(B28,1), {"A",43;"B",42;"C",50;"D",45}, 2, FALSE) * C28 + 50*U28</f>
        <v>2349</v>
      </c>
      <c r="H28">
        <f t="shared" si="6"/>
        <v>105832</v>
      </c>
      <c r="I28" s="17">
        <f>WORKDAY.INTL(D28,INT(H28/1440),7) + MOD(H28/1440,1)</f>
        <v>45942.494444444441</v>
      </c>
      <c r="J28" s="17">
        <f xml:space="preserve"> ( $E28 - $D$2 ) - ( ($V28 + $O$15) / 1440 )</f>
        <v>21.868055555555557</v>
      </c>
      <c r="K28" s="17"/>
      <c r="T28">
        <f t="shared" si="0"/>
        <v>0</v>
      </c>
      <c r="U28">
        <f t="shared" si="1"/>
        <v>10</v>
      </c>
      <c r="V28">
        <f t="shared" si="2"/>
        <v>10</v>
      </c>
      <c r="W28">
        <f t="shared" si="3"/>
        <v>33</v>
      </c>
      <c r="X28">
        <f t="shared" si="4"/>
        <v>430</v>
      </c>
      <c r="Y28">
        <f t="shared" si="5"/>
        <v>1419</v>
      </c>
    </row>
    <row r="29" spans="1:25" x14ac:dyDescent="0.25">
      <c r="A29">
        <v>7</v>
      </c>
      <c r="B29" t="s">
        <v>5</v>
      </c>
      <c r="C29">
        <v>34</v>
      </c>
      <c r="D29" s="17">
        <v>45839</v>
      </c>
      <c r="E29" s="17">
        <v>45861</v>
      </c>
      <c r="F29" t="s">
        <v>21</v>
      </c>
      <c r="G29">
        <f>VLOOKUP(RIGHT(B29,1), {"A",43;"B",42;"C",50;"D",45}, 2, FALSE) * C29 + 50*U29</f>
        <v>1928</v>
      </c>
      <c r="H29">
        <f t="shared" si="6"/>
        <v>107760</v>
      </c>
      <c r="I29" s="17">
        <f>WORKDAY.INTL(D29,INT(H29/1440),7) + MOD(H29/1440,1)</f>
        <v>45943.833333333336</v>
      </c>
      <c r="J29" s="17">
        <f xml:space="preserve"> ( $E29 - $D$2 ) - ( ($V29 + $O$15) / 1440 )</f>
        <v>21.866666666666667</v>
      </c>
      <c r="K29" s="17"/>
      <c r="T29">
        <f t="shared" si="0"/>
        <v>0</v>
      </c>
      <c r="U29">
        <f t="shared" si="1"/>
        <v>10</v>
      </c>
      <c r="V29">
        <f t="shared" si="2"/>
        <v>12</v>
      </c>
      <c r="W29">
        <f t="shared" si="3"/>
        <v>30</v>
      </c>
      <c r="X29">
        <f t="shared" si="4"/>
        <v>408</v>
      </c>
      <c r="Y29">
        <f t="shared" si="5"/>
        <v>1020</v>
      </c>
    </row>
    <row r="30" spans="1:25" x14ac:dyDescent="0.25">
      <c r="A30">
        <v>42</v>
      </c>
      <c r="B30" t="s">
        <v>5</v>
      </c>
      <c r="C30">
        <v>120</v>
      </c>
      <c r="D30" s="17">
        <v>45839</v>
      </c>
      <c r="E30" s="17">
        <v>45863</v>
      </c>
      <c r="F30" t="s">
        <v>20</v>
      </c>
      <c r="G30">
        <f>VLOOKUP(RIGHT(B30,1), {"A",43;"B",42;"C",50;"D",45}, 2, FALSE) * C30 + 50*U30</f>
        <v>5040</v>
      </c>
      <c r="H30">
        <f t="shared" si="6"/>
        <v>112800</v>
      </c>
      <c r="I30" s="17">
        <f>WORKDAY.INTL(D30,INT(H30/1440),7) + MOD(H30/1440,1)</f>
        <v>45949.333333333336</v>
      </c>
      <c r="J30" s="17">
        <f xml:space="preserve"> ( $E30 - $D$2 ) - ( ($V30 + $O$15) / 1440 )</f>
        <v>23.866666666666667</v>
      </c>
      <c r="K30" s="17"/>
      <c r="T30">
        <f t="shared" si="0"/>
        <v>1</v>
      </c>
      <c r="U30">
        <f t="shared" si="1"/>
        <v>0</v>
      </c>
      <c r="V30">
        <f t="shared" si="2"/>
        <v>12</v>
      </c>
      <c r="W30">
        <f t="shared" si="3"/>
        <v>30</v>
      </c>
      <c r="X30">
        <f t="shared" si="4"/>
        <v>1440</v>
      </c>
      <c r="Y30">
        <f t="shared" si="5"/>
        <v>3600</v>
      </c>
    </row>
    <row r="31" spans="1:25" x14ac:dyDescent="0.25">
      <c r="A31">
        <v>47</v>
      </c>
      <c r="B31" t="s">
        <v>6</v>
      </c>
      <c r="C31">
        <v>138</v>
      </c>
      <c r="D31" s="17">
        <v>45839</v>
      </c>
      <c r="E31" s="17">
        <v>45865</v>
      </c>
      <c r="F31" t="s">
        <v>22</v>
      </c>
      <c r="G31">
        <f>VLOOKUP(RIGHT(B31,1), {"A",43;"B",42;"C",50;"D",45}, 2, FALSE) * C31 + 50*U31</f>
        <v>7400</v>
      </c>
      <c r="H31">
        <f t="shared" si="6"/>
        <v>120200</v>
      </c>
      <c r="I31" s="17">
        <f>WORKDAY.INTL(D31,INT(H31/1440),7) + MOD(H31/1440,1)</f>
        <v>45956.472222222219</v>
      </c>
      <c r="J31" s="17">
        <f xml:space="preserve"> ( $E31 - $D$2 ) - ( ($V31 + $O$15) / 1440 )</f>
        <v>25.865277777777777</v>
      </c>
      <c r="K31" s="17"/>
      <c r="T31">
        <f t="shared" si="0"/>
        <v>1</v>
      </c>
      <c r="U31">
        <f t="shared" si="1"/>
        <v>10</v>
      </c>
      <c r="V31">
        <f t="shared" si="2"/>
        <v>14</v>
      </c>
      <c r="W31">
        <f t="shared" si="3"/>
        <v>36</v>
      </c>
      <c r="X31">
        <f t="shared" si="4"/>
        <v>1932</v>
      </c>
      <c r="Y31">
        <f t="shared" si="5"/>
        <v>4968</v>
      </c>
    </row>
    <row r="32" spans="1:25" x14ac:dyDescent="0.25">
      <c r="A32">
        <v>30</v>
      </c>
      <c r="B32" t="s">
        <v>5</v>
      </c>
      <c r="C32">
        <v>96</v>
      </c>
      <c r="D32" s="17">
        <v>45839</v>
      </c>
      <c r="E32" s="17">
        <v>45865</v>
      </c>
      <c r="F32" t="s">
        <v>20</v>
      </c>
      <c r="G32">
        <f>VLOOKUP(RIGHT(B32,1), {"A",43;"B",42;"C",50;"D",45}, 2, FALSE) * C32 + 50*U32</f>
        <v>4532</v>
      </c>
      <c r="H32">
        <f t="shared" si="6"/>
        <v>124732</v>
      </c>
      <c r="I32" s="17">
        <f>WORKDAY.INTL(D32,INT(H32/1440),7) + MOD(H32/1440,1)</f>
        <v>45959.619444444441</v>
      </c>
      <c r="J32" s="17">
        <f xml:space="preserve"> ( $E32 - $D$2 ) - ( ($V32 + $O$15) / 1440 )</f>
        <v>25.866666666666667</v>
      </c>
      <c r="K32" s="17"/>
      <c r="T32">
        <f t="shared" si="0"/>
        <v>1</v>
      </c>
      <c r="U32">
        <f t="shared" si="1"/>
        <v>10</v>
      </c>
      <c r="V32">
        <f t="shared" si="2"/>
        <v>12</v>
      </c>
      <c r="W32">
        <f t="shared" si="3"/>
        <v>30</v>
      </c>
      <c r="X32">
        <f t="shared" si="4"/>
        <v>1152</v>
      </c>
      <c r="Y32">
        <f t="shared" si="5"/>
        <v>2880</v>
      </c>
    </row>
    <row r="33" spans="1:25" x14ac:dyDescent="0.25">
      <c r="A33">
        <v>48</v>
      </c>
      <c r="B33" t="s">
        <v>6</v>
      </c>
      <c r="C33">
        <v>140</v>
      </c>
      <c r="D33" s="17">
        <v>45839</v>
      </c>
      <c r="E33" s="17">
        <v>45866</v>
      </c>
      <c r="F33" t="s">
        <v>21</v>
      </c>
      <c r="G33">
        <f>VLOOKUP(RIGHT(B33,1), {"A",43;"B",42;"C",50;"D",45}, 2, FALSE) * C33 + 50*U33</f>
        <v>7500</v>
      </c>
      <c r="H33">
        <f t="shared" si="6"/>
        <v>132232</v>
      </c>
      <c r="I33" s="17">
        <f>WORKDAY.INTL(D33,INT(H33/1440),7) + MOD(H33/1440,1)</f>
        <v>45966.827777777777</v>
      </c>
      <c r="J33" s="17">
        <f xml:space="preserve"> ( $E33 - $D$2 ) - ( ($V33 + $O$15) / 1440 )</f>
        <v>26.865277777777777</v>
      </c>
      <c r="K33" s="17"/>
      <c r="T33">
        <f t="shared" si="0"/>
        <v>1</v>
      </c>
      <c r="U33">
        <f t="shared" si="1"/>
        <v>10</v>
      </c>
      <c r="V33">
        <f t="shared" si="2"/>
        <v>14</v>
      </c>
      <c r="W33">
        <f t="shared" si="3"/>
        <v>36</v>
      </c>
      <c r="X33">
        <f t="shared" si="4"/>
        <v>1960</v>
      </c>
      <c r="Y33">
        <f t="shared" si="5"/>
        <v>5040</v>
      </c>
    </row>
    <row r="34" spans="1:25" x14ac:dyDescent="0.25">
      <c r="A34">
        <v>46</v>
      </c>
      <c r="B34" t="s">
        <v>6</v>
      </c>
      <c r="C34">
        <v>127</v>
      </c>
      <c r="D34" s="17">
        <v>45839</v>
      </c>
      <c r="E34" s="17">
        <v>45866</v>
      </c>
      <c r="F34" t="s">
        <v>19</v>
      </c>
      <c r="G34">
        <f>VLOOKUP(RIGHT(B34,1), {"A",43;"B",42;"C",50;"D",45}, 2, FALSE) * C34 + 50*U34</f>
        <v>6350</v>
      </c>
      <c r="H34">
        <f t="shared" si="6"/>
        <v>138582</v>
      </c>
      <c r="I34" s="17">
        <f>WORKDAY.INTL(D34,INT(H34/1440),7) + MOD(H34/1440,1)</f>
        <v>45973.237500000003</v>
      </c>
      <c r="J34" s="17">
        <f xml:space="preserve"> ( $E34 - $D$2 ) - ( ($V34 + $O$15) / 1440 )</f>
        <v>26.865277777777777</v>
      </c>
      <c r="K34" s="17"/>
      <c r="T34">
        <f t="shared" si="0"/>
        <v>1</v>
      </c>
      <c r="U34">
        <f t="shared" si="1"/>
        <v>0</v>
      </c>
      <c r="V34">
        <f t="shared" si="2"/>
        <v>14</v>
      </c>
      <c r="W34">
        <f t="shared" si="3"/>
        <v>36</v>
      </c>
      <c r="X34">
        <f t="shared" si="4"/>
        <v>1778</v>
      </c>
      <c r="Y34">
        <f t="shared" si="5"/>
        <v>4572</v>
      </c>
    </row>
    <row r="35" spans="1:25" x14ac:dyDescent="0.25">
      <c r="A35">
        <v>35</v>
      </c>
      <c r="B35" t="s">
        <v>4</v>
      </c>
      <c r="C35">
        <v>121</v>
      </c>
      <c r="D35" s="17">
        <v>45839</v>
      </c>
      <c r="E35" s="17">
        <v>45866</v>
      </c>
      <c r="F35" t="s">
        <v>22</v>
      </c>
      <c r="G35">
        <f>VLOOKUP(RIGHT(B35,1), {"A",43;"B",42;"C",50;"D",45}, 2, FALSE) * C35 + 50*U35</f>
        <v>5703</v>
      </c>
      <c r="H35">
        <f t="shared" si="6"/>
        <v>144285</v>
      </c>
      <c r="I35" s="17">
        <f>WORKDAY.INTL(D35,INT(H35/1440),7) + MOD(H35/1440,1)</f>
        <v>45979.197916666664</v>
      </c>
      <c r="J35" s="17">
        <f xml:space="preserve"> ( $E35 - $D$2 ) - ( ($V35 + $O$15) / 1440 )</f>
        <v>26.868055555555557</v>
      </c>
      <c r="K35" s="17"/>
      <c r="T35">
        <f t="shared" si="0"/>
        <v>1</v>
      </c>
      <c r="U35">
        <f t="shared" si="1"/>
        <v>10</v>
      </c>
      <c r="V35">
        <f t="shared" si="2"/>
        <v>10</v>
      </c>
      <c r="W35">
        <f t="shared" si="3"/>
        <v>33</v>
      </c>
      <c r="X35">
        <f t="shared" si="4"/>
        <v>1210</v>
      </c>
      <c r="Y35">
        <f t="shared" si="5"/>
        <v>3993</v>
      </c>
    </row>
    <row r="36" spans="1:25" x14ac:dyDescent="0.25">
      <c r="A36">
        <v>34</v>
      </c>
      <c r="B36" t="s">
        <v>5</v>
      </c>
      <c r="C36">
        <v>99</v>
      </c>
      <c r="D36" s="17">
        <v>45839</v>
      </c>
      <c r="E36" s="17">
        <v>45866</v>
      </c>
      <c r="F36" t="s">
        <v>21</v>
      </c>
      <c r="G36">
        <f>VLOOKUP(RIGHT(B36,1), {"A",43;"B",42;"C",50;"D",45}, 2, FALSE) * C36 + 50*U36</f>
        <v>4658</v>
      </c>
      <c r="H36">
        <f t="shared" si="6"/>
        <v>148943</v>
      </c>
      <c r="I36" s="17">
        <f>WORKDAY.INTL(D36,INT(H36/1440),7) + MOD(H36/1440,1)</f>
        <v>45984.432638888888</v>
      </c>
      <c r="J36" s="17">
        <f xml:space="preserve"> ( $E36 - $D$2 ) - ( ($V36 + $O$15) / 1440 )</f>
        <v>26.866666666666667</v>
      </c>
      <c r="K36" s="17"/>
      <c r="T36">
        <f t="shared" si="0"/>
        <v>1</v>
      </c>
      <c r="U36">
        <f t="shared" si="1"/>
        <v>10</v>
      </c>
      <c r="V36">
        <f t="shared" si="2"/>
        <v>12</v>
      </c>
      <c r="W36">
        <f t="shared" si="3"/>
        <v>30</v>
      </c>
      <c r="X36">
        <f t="shared" si="4"/>
        <v>1188</v>
      </c>
      <c r="Y36">
        <f t="shared" si="5"/>
        <v>2970</v>
      </c>
    </row>
    <row r="37" spans="1:25" x14ac:dyDescent="0.25">
      <c r="A37">
        <v>37</v>
      </c>
      <c r="B37" t="s">
        <v>7</v>
      </c>
      <c r="C37">
        <v>90</v>
      </c>
      <c r="D37" s="17">
        <v>45839</v>
      </c>
      <c r="E37" s="17">
        <v>45867</v>
      </c>
      <c r="F37" t="s">
        <v>20</v>
      </c>
      <c r="G37">
        <f>VLOOKUP(RIGHT(B37,1), {"A",43;"B",42;"C",50;"D",45}, 2, FALSE) * C37 + 50*U37</f>
        <v>4550</v>
      </c>
      <c r="H37">
        <f t="shared" si="6"/>
        <v>153493</v>
      </c>
      <c r="I37" s="17">
        <f>WORKDAY.INTL(D37,INT(H37/1440),7) + MOD(H37/1440,1)</f>
        <v>45987.592361111114</v>
      </c>
      <c r="J37" s="17">
        <f xml:space="preserve"> ( $E37 - $D$2 ) - ( ($V37 + $O$15) / 1440 )</f>
        <v>27.865277777777777</v>
      </c>
      <c r="K37" s="17"/>
      <c r="T37">
        <f t="shared" si="0"/>
        <v>1</v>
      </c>
      <c r="U37">
        <f t="shared" si="1"/>
        <v>10</v>
      </c>
      <c r="V37">
        <f t="shared" si="2"/>
        <v>14</v>
      </c>
      <c r="W37">
        <f t="shared" si="3"/>
        <v>31</v>
      </c>
      <c r="X37">
        <f t="shared" si="4"/>
        <v>1260</v>
      </c>
      <c r="Y37">
        <f t="shared" si="5"/>
        <v>2790</v>
      </c>
    </row>
    <row r="38" spans="1:25" x14ac:dyDescent="0.25">
      <c r="A38">
        <v>11</v>
      </c>
      <c r="B38" t="s">
        <v>4</v>
      </c>
      <c r="C38">
        <v>44</v>
      </c>
      <c r="D38" s="17">
        <v>45839</v>
      </c>
      <c r="E38" s="17">
        <v>45867</v>
      </c>
      <c r="F38" t="s">
        <v>22</v>
      </c>
      <c r="G38">
        <f>VLOOKUP(RIGHT(B38,1), {"A",43;"B",42;"C",50;"D",45}, 2, FALSE) * C38 + 50*U38</f>
        <v>2392</v>
      </c>
      <c r="H38">
        <f t="shared" si="6"/>
        <v>155885</v>
      </c>
      <c r="I38" s="17">
        <f>WORKDAY.INTL(D38,INT(H38/1440),7) + MOD(H38/1440,1)</f>
        <v>45991.253472222219</v>
      </c>
      <c r="J38" s="17">
        <f xml:space="preserve"> ( $E38 - $D$2 ) - ( ($V38 + $O$15) / 1440 )</f>
        <v>27.868055555555557</v>
      </c>
      <c r="K38" s="17"/>
      <c r="T38">
        <f t="shared" si="0"/>
        <v>1</v>
      </c>
      <c r="U38">
        <f t="shared" si="1"/>
        <v>10</v>
      </c>
      <c r="V38">
        <f t="shared" si="2"/>
        <v>10</v>
      </c>
      <c r="W38">
        <f t="shared" si="3"/>
        <v>33</v>
      </c>
      <c r="X38">
        <f t="shared" si="4"/>
        <v>440</v>
      </c>
      <c r="Y38">
        <f t="shared" si="5"/>
        <v>1452</v>
      </c>
    </row>
    <row r="39" spans="1:25" x14ac:dyDescent="0.25">
      <c r="A39">
        <v>39</v>
      </c>
      <c r="B39" t="s">
        <v>7</v>
      </c>
      <c r="C39">
        <v>100</v>
      </c>
      <c r="D39" s="17">
        <v>45839</v>
      </c>
      <c r="E39" s="17">
        <v>45868</v>
      </c>
      <c r="F39" t="s">
        <v>22</v>
      </c>
      <c r="G39">
        <f>VLOOKUP(RIGHT(B39,1), {"A",43;"B",42;"C",50;"D",45}, 2, FALSE) * C39 + 50*U39</f>
        <v>5000</v>
      </c>
      <c r="H39">
        <f t="shared" si="6"/>
        <v>160885</v>
      </c>
      <c r="I39" s="17">
        <f>WORKDAY.INTL(D39,INT(H39/1440),7) + MOD(H39/1440,1)</f>
        <v>45994.725694444445</v>
      </c>
      <c r="J39" s="17">
        <f xml:space="preserve"> ( $E39 - $D$2 ) - ( ($V39 + $O$15) / 1440 )</f>
        <v>28.865277777777777</v>
      </c>
      <c r="K39" s="17"/>
      <c r="T39">
        <f t="shared" si="0"/>
        <v>0</v>
      </c>
      <c r="U39">
        <f t="shared" si="1"/>
        <v>10</v>
      </c>
      <c r="V39">
        <f t="shared" si="2"/>
        <v>14</v>
      </c>
      <c r="W39">
        <f t="shared" si="3"/>
        <v>31</v>
      </c>
      <c r="X39">
        <f t="shared" si="4"/>
        <v>1400</v>
      </c>
      <c r="Y39">
        <f t="shared" si="5"/>
        <v>3100</v>
      </c>
    </row>
    <row r="40" spans="1:25" x14ac:dyDescent="0.25">
      <c r="A40">
        <v>13</v>
      </c>
      <c r="B40" t="s">
        <v>6</v>
      </c>
      <c r="C40">
        <v>33</v>
      </c>
      <c r="D40" s="17">
        <v>45839</v>
      </c>
      <c r="E40" s="17">
        <v>45868</v>
      </c>
      <c r="F40" t="s">
        <v>20</v>
      </c>
      <c r="G40">
        <f>VLOOKUP(RIGHT(B40,1), {"A",43;"B",42;"C",50;"D",45}, 2, FALSE) * C40 + 50*U40</f>
        <v>2150</v>
      </c>
      <c r="H40">
        <f t="shared" si="6"/>
        <v>163035</v>
      </c>
      <c r="I40" s="17">
        <f>WORKDAY.INTL(D40,INT(H40/1440),7) + MOD(H40/1440,1)</f>
        <v>45998.21875</v>
      </c>
      <c r="J40" s="17">
        <f xml:space="preserve"> ( $E40 - $D$2 ) - ( ($V40 + $O$15) / 1440 )</f>
        <v>28.865277777777777</v>
      </c>
      <c r="K40" s="17"/>
      <c r="T40">
        <f t="shared" si="0"/>
        <v>1</v>
      </c>
      <c r="U40">
        <f t="shared" si="1"/>
        <v>10</v>
      </c>
      <c r="V40">
        <f t="shared" si="2"/>
        <v>14</v>
      </c>
      <c r="W40">
        <f t="shared" si="3"/>
        <v>36</v>
      </c>
      <c r="X40">
        <f t="shared" si="4"/>
        <v>462</v>
      </c>
      <c r="Y40">
        <f t="shared" si="5"/>
        <v>1188</v>
      </c>
    </row>
    <row r="41" spans="1:25" x14ac:dyDescent="0.25">
      <c r="A41">
        <v>21</v>
      </c>
      <c r="B41" t="s">
        <v>4</v>
      </c>
      <c r="C41">
        <v>61</v>
      </c>
      <c r="D41" s="17">
        <v>45839</v>
      </c>
      <c r="E41" s="17">
        <v>45872</v>
      </c>
      <c r="F41" t="s">
        <v>21</v>
      </c>
      <c r="G41">
        <f>VLOOKUP(RIGHT(B41,1), {"A",43;"B",42;"C",50;"D",45}, 2, FALSE) * C41 + 50*U41</f>
        <v>3123</v>
      </c>
      <c r="H41">
        <f t="shared" si="6"/>
        <v>166158</v>
      </c>
      <c r="I41" s="17">
        <f>WORKDAY.INTL(D41,INT(H41/1440),7) + MOD(H41/1440,1)</f>
        <v>46000.387499999997</v>
      </c>
      <c r="J41" s="17">
        <f xml:space="preserve"> ( $E41 - $D$2 ) - ( ($V41 + $O$15) / 1440 )</f>
        <v>32.868055555555557</v>
      </c>
      <c r="K41" s="17"/>
      <c r="T41">
        <f t="shared" si="0"/>
        <v>1</v>
      </c>
      <c r="U41">
        <f t="shared" si="1"/>
        <v>10</v>
      </c>
      <c r="V41">
        <f t="shared" si="2"/>
        <v>10</v>
      </c>
      <c r="W41">
        <f t="shared" si="3"/>
        <v>33</v>
      </c>
      <c r="X41">
        <f t="shared" si="4"/>
        <v>610</v>
      </c>
      <c r="Y41">
        <f t="shared" si="5"/>
        <v>2013</v>
      </c>
    </row>
    <row r="42" spans="1:25" x14ac:dyDescent="0.25">
      <c r="A42">
        <v>18</v>
      </c>
      <c r="B42" t="s">
        <v>5</v>
      </c>
      <c r="C42">
        <v>46</v>
      </c>
      <c r="D42" s="17">
        <v>45839</v>
      </c>
      <c r="E42" s="17">
        <v>45872</v>
      </c>
      <c r="F42" t="s">
        <v>20</v>
      </c>
      <c r="G42">
        <f>VLOOKUP(RIGHT(B42,1), {"A",43;"B",42;"C",50;"D",45}, 2, FALSE) * C42 + 50*U42</f>
        <v>2432</v>
      </c>
      <c r="H42">
        <f t="shared" si="6"/>
        <v>168590</v>
      </c>
      <c r="I42" s="17">
        <f>WORKDAY.INTL(D42,INT(H42/1440),7) + MOD(H42/1440,1)</f>
        <v>46002.076388888891</v>
      </c>
      <c r="J42" s="17">
        <f xml:space="preserve"> ( $E42 - $D$2 ) - ( ($V42 + $O$15) / 1440 )</f>
        <v>32.866666666666667</v>
      </c>
      <c r="K42" s="17"/>
      <c r="T42">
        <f t="shared" si="0"/>
        <v>1</v>
      </c>
      <c r="U42">
        <f t="shared" si="1"/>
        <v>10</v>
      </c>
      <c r="V42">
        <f t="shared" si="2"/>
        <v>12</v>
      </c>
      <c r="W42">
        <f t="shared" si="3"/>
        <v>30</v>
      </c>
      <c r="X42">
        <f t="shared" si="4"/>
        <v>552</v>
      </c>
      <c r="Y42">
        <f t="shared" si="5"/>
        <v>1380</v>
      </c>
    </row>
    <row r="43" spans="1:25" x14ac:dyDescent="0.25">
      <c r="A43">
        <v>2</v>
      </c>
      <c r="B43" t="s">
        <v>6</v>
      </c>
      <c r="C43">
        <v>21</v>
      </c>
      <c r="D43" s="17">
        <v>45839</v>
      </c>
      <c r="E43" s="17">
        <v>45874</v>
      </c>
      <c r="F43" t="s">
        <v>20</v>
      </c>
      <c r="G43">
        <f>VLOOKUP(RIGHT(B43,1), {"A",43;"B",42;"C",50;"D",45}, 2, FALSE) * C43 + 50*U43</f>
        <v>1550</v>
      </c>
      <c r="H43">
        <f t="shared" si="6"/>
        <v>170140</v>
      </c>
      <c r="I43" s="17">
        <f>WORKDAY.INTL(D43,INT(H43/1440),7) + MOD(H43/1440,1)</f>
        <v>46005.152777777781</v>
      </c>
      <c r="J43" s="17">
        <f xml:space="preserve"> ( $E43 - $D$2 ) - ( ($V43 + $O$15) / 1440 )</f>
        <v>34.865277777777777</v>
      </c>
      <c r="K43" s="17"/>
      <c r="T43">
        <f t="shared" si="0"/>
        <v>0</v>
      </c>
      <c r="U43">
        <f t="shared" si="1"/>
        <v>10</v>
      </c>
      <c r="V43">
        <f t="shared" si="2"/>
        <v>14</v>
      </c>
      <c r="W43">
        <f t="shared" si="3"/>
        <v>36</v>
      </c>
      <c r="X43">
        <f t="shared" si="4"/>
        <v>294</v>
      </c>
      <c r="Y43">
        <f t="shared" si="5"/>
        <v>756</v>
      </c>
    </row>
    <row r="44" spans="1:25" x14ac:dyDescent="0.25">
      <c r="A44">
        <v>23</v>
      </c>
      <c r="B44" t="s">
        <v>7</v>
      </c>
      <c r="C44">
        <v>55</v>
      </c>
      <c r="D44" s="17">
        <v>45839</v>
      </c>
      <c r="E44" s="17">
        <v>45875</v>
      </c>
      <c r="F44" t="s">
        <v>20</v>
      </c>
      <c r="G44">
        <f>VLOOKUP(RIGHT(B44,1), {"A",43;"B",42;"C",50;"D",45}, 2, FALSE) * C44 + 50*U44</f>
        <v>2975</v>
      </c>
      <c r="H44">
        <f t="shared" si="6"/>
        <v>173115</v>
      </c>
      <c r="I44" s="17">
        <f>WORKDAY.INTL(D44,INT(H44/1440),7) + MOD(H44/1440,1)</f>
        <v>46007.21875</v>
      </c>
      <c r="J44" s="17">
        <f xml:space="preserve"> ( $E44 - $D$2 ) - ( ($V44 + $O$15) / 1440 )</f>
        <v>35.865277777777777</v>
      </c>
      <c r="K44" s="17"/>
      <c r="T44">
        <f t="shared" si="0"/>
        <v>0</v>
      </c>
      <c r="U44">
        <f t="shared" si="1"/>
        <v>10</v>
      </c>
      <c r="V44">
        <f t="shared" si="2"/>
        <v>14</v>
      </c>
      <c r="W44">
        <f t="shared" si="3"/>
        <v>31</v>
      </c>
      <c r="X44">
        <f t="shared" si="4"/>
        <v>770</v>
      </c>
      <c r="Y44">
        <f t="shared" si="5"/>
        <v>1705</v>
      </c>
    </row>
    <row r="45" spans="1:25" x14ac:dyDescent="0.25">
      <c r="A45">
        <v>15</v>
      </c>
      <c r="B45" t="s">
        <v>4</v>
      </c>
      <c r="C45">
        <v>54</v>
      </c>
      <c r="D45" s="17">
        <v>45839</v>
      </c>
      <c r="E45" s="17">
        <v>45875</v>
      </c>
      <c r="F45" t="s">
        <v>20</v>
      </c>
      <c r="G45">
        <f>VLOOKUP(RIGHT(B45,1), {"A",43;"B",42;"C",50;"D",45}, 2, FALSE) * C45 + 50*U45</f>
        <v>2822</v>
      </c>
      <c r="H45">
        <f t="shared" si="6"/>
        <v>175937</v>
      </c>
      <c r="I45" s="17">
        <f>WORKDAY.INTL(D45,INT(H45/1440),7) + MOD(H45/1440,1)</f>
        <v>46009.178472222222</v>
      </c>
      <c r="J45" s="17">
        <f xml:space="preserve"> ( $E45 - $D$2 ) - ( ($V45 + $O$15) / 1440 )</f>
        <v>35.868055555555557</v>
      </c>
      <c r="K45" s="17"/>
      <c r="T45">
        <f t="shared" si="0"/>
        <v>0</v>
      </c>
      <c r="U45">
        <f t="shared" si="1"/>
        <v>10</v>
      </c>
      <c r="V45">
        <f t="shared" si="2"/>
        <v>10</v>
      </c>
      <c r="W45">
        <f t="shared" si="3"/>
        <v>33</v>
      </c>
      <c r="X45">
        <f t="shared" si="4"/>
        <v>540</v>
      </c>
      <c r="Y45">
        <f t="shared" si="5"/>
        <v>1782</v>
      </c>
    </row>
    <row r="46" spans="1:25" x14ac:dyDescent="0.25">
      <c r="A46">
        <v>24</v>
      </c>
      <c r="B46" t="s">
        <v>5</v>
      </c>
      <c r="C46">
        <v>66</v>
      </c>
      <c r="D46" s="17">
        <v>45839</v>
      </c>
      <c r="E46" s="17">
        <v>45876</v>
      </c>
      <c r="F46" t="s">
        <v>19</v>
      </c>
      <c r="G46">
        <f>VLOOKUP(RIGHT(B46,1), {"A",43;"B",42;"C",50;"D",45}, 2, FALSE) * C46 + 50*U46</f>
        <v>3272</v>
      </c>
      <c r="H46">
        <f t="shared" si="6"/>
        <v>179209</v>
      </c>
      <c r="I46" s="17">
        <f>WORKDAY.INTL(D46,INT(H46/1440),7) + MOD(H46/1440,1)</f>
        <v>46013.450694444444</v>
      </c>
      <c r="J46" s="17">
        <f xml:space="preserve"> ( $E46 - $D$2 ) - ( ($V46 + $O$15) / 1440 )</f>
        <v>36.866666666666667</v>
      </c>
      <c r="K46" s="17"/>
      <c r="T46">
        <f t="shared" si="0"/>
        <v>1</v>
      </c>
      <c r="U46">
        <f t="shared" si="1"/>
        <v>10</v>
      </c>
      <c r="V46">
        <f t="shared" si="2"/>
        <v>12</v>
      </c>
      <c r="W46">
        <f t="shared" si="3"/>
        <v>30</v>
      </c>
      <c r="X46">
        <f t="shared" si="4"/>
        <v>792</v>
      </c>
      <c r="Y46">
        <f t="shared" si="5"/>
        <v>1980</v>
      </c>
    </row>
    <row r="47" spans="1:25" x14ac:dyDescent="0.25">
      <c r="A47">
        <v>4</v>
      </c>
      <c r="B47" t="s">
        <v>4</v>
      </c>
      <c r="C47">
        <v>32</v>
      </c>
      <c r="D47" s="17">
        <v>45839</v>
      </c>
      <c r="E47" s="17">
        <v>45876</v>
      </c>
      <c r="F47" t="s">
        <v>22</v>
      </c>
      <c r="G47">
        <f>VLOOKUP(RIGHT(B47,1), {"A",43;"B",42;"C",50;"D",45}, 2, FALSE) * C47 + 50*U47</f>
        <v>1876</v>
      </c>
      <c r="H47">
        <f t="shared" si="6"/>
        <v>181085</v>
      </c>
      <c r="I47" s="17">
        <f>WORKDAY.INTL(D47,INT(H47/1440),7) + MOD(H47/1440,1)</f>
        <v>46014.753472222219</v>
      </c>
      <c r="J47" s="17">
        <f xml:space="preserve"> ( $E47 - $D$2 ) - ( ($V47 + $O$15) / 1440 )</f>
        <v>36.868055555555557</v>
      </c>
      <c r="K47" s="17"/>
      <c r="T47">
        <f t="shared" si="0"/>
        <v>1</v>
      </c>
      <c r="U47">
        <f t="shared" si="1"/>
        <v>10</v>
      </c>
      <c r="V47">
        <f t="shared" si="2"/>
        <v>10</v>
      </c>
      <c r="W47">
        <f t="shared" si="3"/>
        <v>33</v>
      </c>
      <c r="X47">
        <f t="shared" si="4"/>
        <v>320</v>
      </c>
      <c r="Y47">
        <f t="shared" si="5"/>
        <v>1056</v>
      </c>
    </row>
    <row r="48" spans="1:25" x14ac:dyDescent="0.25">
      <c r="A48">
        <v>31</v>
      </c>
      <c r="B48" t="s">
        <v>4</v>
      </c>
      <c r="C48">
        <v>117</v>
      </c>
      <c r="D48" s="17">
        <v>45839</v>
      </c>
      <c r="E48" s="17">
        <v>45879</v>
      </c>
      <c r="F48" t="s">
        <v>19</v>
      </c>
      <c r="G48">
        <f>VLOOKUP(RIGHT(B48,1), {"A",43;"B",42;"C",50;"D",45}, 2, FALSE) * C48 + 50*U48</f>
        <v>5031</v>
      </c>
      <c r="H48">
        <f t="shared" si="6"/>
        <v>186116</v>
      </c>
      <c r="I48" s="17">
        <f>WORKDAY.INTL(D48,INT(H48/1440),7) + MOD(H48/1440,1)</f>
        <v>46020.24722222222</v>
      </c>
      <c r="J48" s="17">
        <f xml:space="preserve"> ( $E48 - $D$2 ) - ( ($V48 + $O$15) / 1440 )</f>
        <v>39.868055555555557</v>
      </c>
      <c r="K48" s="17"/>
      <c r="T48">
        <f t="shared" si="0"/>
        <v>1</v>
      </c>
      <c r="U48">
        <f t="shared" si="1"/>
        <v>0</v>
      </c>
      <c r="V48">
        <f t="shared" si="2"/>
        <v>10</v>
      </c>
      <c r="W48">
        <f t="shared" si="3"/>
        <v>33</v>
      </c>
      <c r="X48">
        <f t="shared" si="4"/>
        <v>1170</v>
      </c>
      <c r="Y48">
        <f t="shared" si="5"/>
        <v>3861</v>
      </c>
    </row>
    <row r="49" spans="1:25" x14ac:dyDescent="0.25">
      <c r="A49">
        <v>1</v>
      </c>
      <c r="B49" t="s">
        <v>5</v>
      </c>
      <c r="C49">
        <v>23</v>
      </c>
      <c r="D49" s="17">
        <v>45839</v>
      </c>
      <c r="E49" s="17">
        <v>45879</v>
      </c>
      <c r="F49" t="s">
        <v>21</v>
      </c>
      <c r="G49">
        <f>VLOOKUP(RIGHT(B49,1), {"A",43;"B",42;"C",50;"D",45}, 2, FALSE) * C49 + 50*U49</f>
        <v>1466</v>
      </c>
      <c r="H49">
        <f t="shared" si="6"/>
        <v>187582</v>
      </c>
      <c r="I49" s="17">
        <f>WORKDAY.INTL(D49,INT(H49/1440),7) + MOD(H49/1440,1)</f>
        <v>46021.265277777777</v>
      </c>
      <c r="J49" s="17">
        <f xml:space="preserve"> ( $E49 - $D$2 ) - ( ($V49 + $O$15) / 1440 )</f>
        <v>39.866666666666667</v>
      </c>
      <c r="K49" s="17"/>
      <c r="T49">
        <f t="shared" si="0"/>
        <v>1</v>
      </c>
      <c r="U49">
        <f t="shared" si="1"/>
        <v>10</v>
      </c>
      <c r="V49">
        <f t="shared" si="2"/>
        <v>12</v>
      </c>
      <c r="W49">
        <f t="shared" si="3"/>
        <v>30</v>
      </c>
      <c r="X49">
        <f t="shared" si="4"/>
        <v>276</v>
      </c>
      <c r="Y49">
        <f t="shared" si="5"/>
        <v>690</v>
      </c>
    </row>
    <row r="50" spans="1:25" x14ac:dyDescent="0.25">
      <c r="A50">
        <v>22</v>
      </c>
      <c r="B50" t="s">
        <v>6</v>
      </c>
      <c r="C50">
        <v>48</v>
      </c>
      <c r="D50" s="17">
        <v>45839</v>
      </c>
      <c r="E50" s="17">
        <v>45880</v>
      </c>
      <c r="F50" t="s">
        <v>22</v>
      </c>
      <c r="G50">
        <f>VLOOKUP(RIGHT(B50,1), {"A",43;"B",42;"C",50;"D",45}, 2, FALSE) * C50 + 50*U50</f>
        <v>2900</v>
      </c>
      <c r="H50">
        <f t="shared" si="6"/>
        <v>190482</v>
      </c>
      <c r="I50" s="17">
        <f>WORKDAY.INTL(D50,INT(H50/1440),7) + MOD(H50/1440,1)</f>
        <v>46023.279166666667</v>
      </c>
      <c r="J50" s="17">
        <f xml:space="preserve"> ( $E50 - $D$2 ) - ( ($V50 + $O$15) / 1440 )</f>
        <v>40.865277777777777</v>
      </c>
      <c r="K50" s="17"/>
      <c r="T50">
        <f t="shared" si="0"/>
        <v>1</v>
      </c>
      <c r="U50">
        <f t="shared" si="1"/>
        <v>10</v>
      </c>
      <c r="V50">
        <f t="shared" si="2"/>
        <v>14</v>
      </c>
      <c r="W50">
        <f t="shared" si="3"/>
        <v>36</v>
      </c>
      <c r="X50">
        <f t="shared" si="4"/>
        <v>672</v>
      </c>
      <c r="Y50">
        <f t="shared" si="5"/>
        <v>1728</v>
      </c>
    </row>
    <row r="51" spans="1:25" x14ac:dyDescent="0.25">
      <c r="A51">
        <v>26</v>
      </c>
      <c r="B51" t="s">
        <v>4</v>
      </c>
      <c r="C51">
        <v>95</v>
      </c>
      <c r="D51" s="17">
        <v>45839</v>
      </c>
      <c r="E51" s="17">
        <v>45881</v>
      </c>
      <c r="F51" t="s">
        <v>20</v>
      </c>
      <c r="G51">
        <f>VLOOKUP(RIGHT(B51,1), {"A",43;"B",42;"C",50;"D",45}, 2, FALSE) * C51 + 50*U51</f>
        <v>4585</v>
      </c>
      <c r="H51">
        <f t="shared" si="6"/>
        <v>195067</v>
      </c>
      <c r="I51" s="17">
        <f>WORKDAY.INTL(D51,INT(H51/1440),7) + MOD(H51/1440,1)</f>
        <v>46028.463194444441</v>
      </c>
      <c r="J51" s="17">
        <f xml:space="preserve"> ( $E51 - $D$2 ) - ( ($V51 + $O$15) / 1440 )</f>
        <v>41.868055555555557</v>
      </c>
      <c r="K51" s="17"/>
      <c r="T51">
        <f t="shared" si="0"/>
        <v>1</v>
      </c>
      <c r="U51">
        <f t="shared" si="1"/>
        <v>10</v>
      </c>
      <c r="V51">
        <f t="shared" si="2"/>
        <v>10</v>
      </c>
      <c r="W51">
        <f t="shared" si="3"/>
        <v>33</v>
      </c>
      <c r="X51">
        <f t="shared" si="4"/>
        <v>950</v>
      </c>
      <c r="Y51">
        <f t="shared" si="5"/>
        <v>3135</v>
      </c>
    </row>
    <row r="52" spans="1:25" x14ac:dyDescent="0.25">
      <c r="A52">
        <v>27</v>
      </c>
      <c r="B52" t="s">
        <v>5</v>
      </c>
      <c r="C52">
        <v>84</v>
      </c>
      <c r="D52" s="17">
        <v>45839</v>
      </c>
      <c r="E52" s="17">
        <v>45883</v>
      </c>
      <c r="F52" t="s">
        <v>21</v>
      </c>
      <c r="G52">
        <f>VLOOKUP(RIGHT(B52,1), {"A",43;"B",42;"C",50;"D",45}, 2, FALSE) * C52 + 50*U52</f>
        <v>4028</v>
      </c>
      <c r="H52">
        <f t="shared" si="6"/>
        <v>199095</v>
      </c>
      <c r="I52" s="17">
        <f>WORKDAY.INTL(D52,INT(H52/1440),7) + MOD(H52/1440,1)</f>
        <v>46033.260416666664</v>
      </c>
      <c r="J52" s="17">
        <f xml:space="preserve"> ( $E52 - $D$2 ) - ( ($V52 + $O$15) / 1440 )</f>
        <v>43.866666666666667</v>
      </c>
      <c r="K52" s="17"/>
      <c r="T52">
        <f t="shared" si="0"/>
        <v>1</v>
      </c>
      <c r="U52">
        <f t="shared" si="1"/>
        <v>10</v>
      </c>
      <c r="V52">
        <f t="shared" si="2"/>
        <v>12</v>
      </c>
      <c r="W52">
        <f t="shared" si="3"/>
        <v>30</v>
      </c>
      <c r="X52">
        <f t="shared" si="4"/>
        <v>1008</v>
      </c>
      <c r="Y52">
        <f t="shared" si="5"/>
        <v>2520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tiota</vt:lpstr>
      <vt:lpstr>שלב 1</vt:lpstr>
      <vt:lpstr>שלב 2</vt:lpstr>
      <vt:lpstr>שלב 3</vt:lpstr>
    </vt:vector>
  </TitlesOfParts>
  <Company>JCE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juliesarahkh</dc:creator>
  <cp:lastModifiedBy>Nathan Sebag</cp:lastModifiedBy>
  <dcterms:created xsi:type="dcterms:W3CDTF">2025-07-21T17:23:11Z</dcterms:created>
  <dcterms:modified xsi:type="dcterms:W3CDTF">2025-08-15T00:22:42Z</dcterms:modified>
</cp:coreProperties>
</file>