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ou\Documents\GitHub\Museum_of_Science\"/>
    </mc:Choice>
  </mc:AlternateContent>
  <xr:revisionPtr revIDLastSave="0" documentId="13_ncr:1_{94ED81FB-BD2C-431E-8FF8-E1712AC29859}" xr6:coauthVersionLast="47" xr6:coauthVersionMax="47" xr10:uidLastSave="{00000000-0000-0000-0000-000000000000}"/>
  <bookViews>
    <workbookView xWindow="-108" yWindow="-108" windowWidth="23256" windowHeight="12456" activeTab="2" xr2:uid="{7674F113-A605-430F-96C6-B052F47C0354}"/>
  </bookViews>
  <sheets>
    <sheet name="שלב 1" sheetId="4" r:id="rId1"/>
    <sheet name="שלב 2-3" sheetId="5" r:id="rId2"/>
    <sheet name="שאלה 3" sheetId="8" r:id="rId3"/>
  </sheets>
  <definedNames>
    <definedName name="_xlnm._FilterDatabase" localSheetId="1" hidden="1">'שלב 2-3'!$K$2:$K$52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" i="8" l="1"/>
  <c r="X52" i="8"/>
  <c r="X51" i="8"/>
  <c r="X50" i="8"/>
  <c r="X49" i="8"/>
  <c r="X48" i="8"/>
  <c r="X47" i="8"/>
  <c r="X46" i="8"/>
  <c r="X45" i="8"/>
  <c r="X44" i="8"/>
  <c r="X43" i="8"/>
  <c r="X42" i="8"/>
  <c r="X41" i="8"/>
  <c r="X40" i="8"/>
  <c r="X39" i="8"/>
  <c r="X38" i="8"/>
  <c r="X37" i="8"/>
  <c r="X36" i="8"/>
  <c r="X35" i="8"/>
  <c r="X34" i="8"/>
  <c r="X33" i="8"/>
  <c r="X32" i="8"/>
  <c r="X31" i="8"/>
  <c r="X30" i="8"/>
  <c r="X29" i="8"/>
  <c r="X28" i="8"/>
  <c r="X27" i="8"/>
  <c r="X26" i="8"/>
  <c r="X25" i="8"/>
  <c r="X24" i="8"/>
  <c r="X23" i="8"/>
  <c r="X22" i="8"/>
  <c r="X21" i="8"/>
  <c r="X20" i="8"/>
  <c r="X19" i="8"/>
  <c r="X18" i="8"/>
  <c r="X17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2" i="8" s="1"/>
  <c r="K52" i="8"/>
  <c r="J52" i="8"/>
  <c r="G52" i="8"/>
  <c r="K51" i="8"/>
  <c r="G51" i="8" s="1"/>
  <c r="J51" i="8"/>
  <c r="K50" i="8"/>
  <c r="G50" i="8" s="1"/>
  <c r="J50" i="8"/>
  <c r="K49" i="8"/>
  <c r="G49" i="8" s="1"/>
  <c r="J49" i="8"/>
  <c r="K48" i="8"/>
  <c r="G48" i="8" s="1"/>
  <c r="J48" i="8"/>
  <c r="K47" i="8"/>
  <c r="G47" i="8" s="1"/>
  <c r="J47" i="8"/>
  <c r="K46" i="8"/>
  <c r="G46" i="8" s="1"/>
  <c r="J46" i="8"/>
  <c r="K45" i="8"/>
  <c r="J45" i="8"/>
  <c r="G45" i="8"/>
  <c r="K44" i="8"/>
  <c r="G44" i="8" s="1"/>
  <c r="J44" i="8"/>
  <c r="K43" i="8"/>
  <c r="G43" i="8" s="1"/>
  <c r="J43" i="8"/>
  <c r="K42" i="8"/>
  <c r="J42" i="8"/>
  <c r="G42" i="8"/>
  <c r="K41" i="8"/>
  <c r="G41" i="8" s="1"/>
  <c r="J41" i="8"/>
  <c r="K40" i="8"/>
  <c r="G40" i="8" s="1"/>
  <c r="J40" i="8"/>
  <c r="K39" i="8"/>
  <c r="G39" i="8" s="1"/>
  <c r="J39" i="8"/>
  <c r="K38" i="8"/>
  <c r="G38" i="8" s="1"/>
  <c r="J38" i="8"/>
  <c r="K37" i="8"/>
  <c r="G37" i="8" s="1"/>
  <c r="J37" i="8"/>
  <c r="K36" i="8"/>
  <c r="G36" i="8" s="1"/>
  <c r="J36" i="8"/>
  <c r="K35" i="8"/>
  <c r="G35" i="8" s="1"/>
  <c r="J35" i="8"/>
  <c r="K34" i="8"/>
  <c r="G34" i="8" s="1"/>
  <c r="J34" i="8"/>
  <c r="K33" i="8"/>
  <c r="G33" i="8" s="1"/>
  <c r="J33" i="8"/>
  <c r="K32" i="8"/>
  <c r="G32" i="8" s="1"/>
  <c r="J32" i="8"/>
  <c r="K31" i="8"/>
  <c r="J31" i="8"/>
  <c r="G31" i="8"/>
  <c r="K30" i="8"/>
  <c r="G30" i="8" s="1"/>
  <c r="J30" i="8"/>
  <c r="K29" i="8"/>
  <c r="G29" i="8" s="1"/>
  <c r="J29" i="8"/>
  <c r="K28" i="8"/>
  <c r="J28" i="8"/>
  <c r="G28" i="8"/>
  <c r="K27" i="8"/>
  <c r="G27" i="8" s="1"/>
  <c r="J27" i="8"/>
  <c r="K26" i="8"/>
  <c r="G26" i="8" s="1"/>
  <c r="J26" i="8"/>
  <c r="K25" i="8"/>
  <c r="G25" i="8" s="1"/>
  <c r="J25" i="8"/>
  <c r="K24" i="8"/>
  <c r="G24" i="8" s="1"/>
  <c r="J24" i="8"/>
  <c r="K23" i="8"/>
  <c r="G23" i="8" s="1"/>
  <c r="J23" i="8"/>
  <c r="K22" i="8"/>
  <c r="G22" i="8" s="1"/>
  <c r="J22" i="8"/>
  <c r="K21" i="8"/>
  <c r="G21" i="8" s="1"/>
  <c r="J21" i="8"/>
  <c r="K20" i="8"/>
  <c r="J20" i="8"/>
  <c r="G20" i="8"/>
  <c r="K19" i="8"/>
  <c r="G19" i="8" s="1"/>
  <c r="J19" i="8"/>
  <c r="K18" i="8"/>
  <c r="G18" i="8" s="1"/>
  <c r="J18" i="8"/>
  <c r="K17" i="8"/>
  <c r="G17" i="8" s="1"/>
  <c r="J17" i="8"/>
  <c r="K16" i="8"/>
  <c r="G16" i="8" s="1"/>
  <c r="J16" i="8"/>
  <c r="K15" i="8"/>
  <c r="G15" i="8" s="1"/>
  <c r="J15" i="8"/>
  <c r="K14" i="8"/>
  <c r="G14" i="8" s="1"/>
  <c r="J14" i="8"/>
  <c r="K13" i="8"/>
  <c r="G13" i="8" s="1"/>
  <c r="J13" i="8"/>
  <c r="K12" i="8"/>
  <c r="G12" i="8" s="1"/>
  <c r="J12" i="8"/>
  <c r="K11" i="8"/>
  <c r="G11" i="8" s="1"/>
  <c r="J11" i="8"/>
  <c r="K10" i="8"/>
  <c r="G10" i="8" s="1"/>
  <c r="J10" i="8"/>
  <c r="K9" i="8"/>
  <c r="G9" i="8" s="1"/>
  <c r="J9" i="8"/>
  <c r="R8" i="8" a="1"/>
  <c r="R8" i="8" s="1"/>
  <c r="Q8" i="8" a="1"/>
  <c r="Q8" i="8" s="1"/>
  <c r="P8" i="8" a="1"/>
  <c r="P8" i="8" s="1"/>
  <c r="O8" i="8" a="1"/>
  <c r="O8" i="8" s="1"/>
  <c r="N8" i="8" a="1"/>
  <c r="N8" i="8" s="1"/>
  <c r="K8" i="8"/>
  <c r="G8" i="8" s="1"/>
  <c r="J8" i="8"/>
  <c r="K7" i="8"/>
  <c r="J7" i="8"/>
  <c r="G7" i="8"/>
  <c r="K6" i="8"/>
  <c r="G6" i="8" s="1"/>
  <c r="J6" i="8"/>
  <c r="K5" i="8"/>
  <c r="G5" i="8" s="1"/>
  <c r="J5" i="8"/>
  <c r="K4" i="8"/>
  <c r="J4" i="8"/>
  <c r="G4" i="8"/>
  <c r="K3" i="8"/>
  <c r="G3" i="8" s="1"/>
  <c r="J3" i="8"/>
  <c r="K2" i="8"/>
  <c r="R7" i="8" s="1" a="1"/>
  <c r="R7" i="8" s="1"/>
  <c r="J2" i="8"/>
  <c r="H4" i="5"/>
  <c r="H5" i="5"/>
  <c r="H6" i="5" s="1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2" i="5"/>
  <c r="J49" i="5"/>
  <c r="J26" i="5"/>
  <c r="J43" i="5"/>
  <c r="J22" i="5"/>
  <c r="J25" i="5"/>
  <c r="J7" i="5"/>
  <c r="J9" i="5"/>
  <c r="J46" i="5"/>
  <c r="J39" i="5"/>
  <c r="J29" i="5"/>
  <c r="J14" i="5"/>
  <c r="J10" i="5"/>
  <c r="J11" i="5"/>
  <c r="J28" i="5"/>
  <c r="J37" i="5"/>
  <c r="J18" i="5"/>
  <c r="J42" i="5"/>
  <c r="J50" i="5"/>
  <c r="J3" i="5"/>
  <c r="J44" i="5"/>
  <c r="J45" i="5"/>
  <c r="J27" i="5"/>
  <c r="J41" i="5"/>
  <c r="J47" i="5"/>
  <c r="J16" i="5"/>
  <c r="J52" i="5"/>
  <c r="J4" i="5"/>
  <c r="J20" i="5"/>
  <c r="J15" i="5"/>
  <c r="J38" i="5"/>
  <c r="J51" i="5"/>
  <c r="J31" i="5"/>
  <c r="J34" i="5"/>
  <c r="J40" i="5"/>
  <c r="J8" i="5"/>
  <c r="J23" i="5"/>
  <c r="J6" i="5"/>
  <c r="J17" i="5"/>
  <c r="J24" i="5"/>
  <c r="J48" i="5"/>
  <c r="J2" i="5"/>
  <c r="J21" i="5"/>
  <c r="J5" i="5"/>
  <c r="J33" i="5"/>
  <c r="J30" i="5"/>
  <c r="J36" i="5"/>
  <c r="J32" i="5"/>
  <c r="J35" i="5"/>
  <c r="J13" i="5"/>
  <c r="J12" i="5"/>
  <c r="J19" i="5"/>
  <c r="N8" i="5" a="1"/>
  <c r="N8" i="5" s="1"/>
  <c r="O8" i="5" a="1"/>
  <c r="O8" i="5" s="1"/>
  <c r="P8" i="5" a="1"/>
  <c r="P8" i="5" s="1"/>
  <c r="Q8" i="5" a="1"/>
  <c r="Q8" i="5" s="1"/>
  <c r="R8" i="5" a="1"/>
  <c r="R8" i="5" s="1"/>
  <c r="O7" i="8" l="1" a="1"/>
  <c r="O7" i="8" s="1"/>
  <c r="G2" i="8"/>
  <c r="H2" i="8" s="1"/>
  <c r="H3" i="8" s="1"/>
  <c r="P7" i="8" a="1"/>
  <c r="P7" i="8" s="1"/>
  <c r="Q7" i="8" a="1"/>
  <c r="Q7" i="8" s="1"/>
  <c r="N7" i="8" a="1"/>
  <c r="N7" i="8" s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K19" i="5"/>
  <c r="G19" i="5" s="1"/>
  <c r="K26" i="5"/>
  <c r="K49" i="5"/>
  <c r="K22" i="5"/>
  <c r="K25" i="5"/>
  <c r="K7" i="5"/>
  <c r="G7" i="5" s="1"/>
  <c r="K9" i="5"/>
  <c r="K46" i="5"/>
  <c r="K39" i="5"/>
  <c r="K29" i="5"/>
  <c r="K14" i="5"/>
  <c r="G14" i="5" s="1"/>
  <c r="K10" i="5"/>
  <c r="K11" i="5"/>
  <c r="G11" i="5" s="1"/>
  <c r="K28" i="5"/>
  <c r="K37" i="5"/>
  <c r="K18" i="5"/>
  <c r="K42" i="5"/>
  <c r="K50" i="5"/>
  <c r="K3" i="5"/>
  <c r="K44" i="5"/>
  <c r="G44" i="5" s="1"/>
  <c r="K45" i="5"/>
  <c r="G45" i="5" s="1"/>
  <c r="K27" i="5"/>
  <c r="K41" i="5"/>
  <c r="K47" i="5"/>
  <c r="K16" i="5"/>
  <c r="K52" i="5"/>
  <c r="K4" i="5"/>
  <c r="K20" i="5"/>
  <c r="G20" i="5" s="1"/>
  <c r="K15" i="5"/>
  <c r="K38" i="5"/>
  <c r="K51" i="5"/>
  <c r="K31" i="5"/>
  <c r="K34" i="5"/>
  <c r="G34" i="5" s="1"/>
  <c r="K40" i="5"/>
  <c r="K8" i="5"/>
  <c r="K23" i="5"/>
  <c r="K6" i="5"/>
  <c r="G6" i="5" s="1"/>
  <c r="K17" i="5"/>
  <c r="K24" i="5"/>
  <c r="K48" i="5"/>
  <c r="K2" i="5"/>
  <c r="G42" i="5" s="1"/>
  <c r="K21" i="5"/>
  <c r="K5" i="5"/>
  <c r="K33" i="5"/>
  <c r="K30" i="5"/>
  <c r="G30" i="5" s="1"/>
  <c r="K36" i="5"/>
  <c r="K32" i="5"/>
  <c r="K35" i="5"/>
  <c r="K13" i="5"/>
  <c r="K12" i="5"/>
  <c r="K43" i="5"/>
  <c r="P10" i="4" a="1"/>
  <c r="P10" i="4" s="1"/>
  <c r="P9" i="4" a="1"/>
  <c r="P9" i="4" s="1"/>
  <c r="P8" i="4" a="1"/>
  <c r="P8" i="4" s="1"/>
  <c r="P7" i="4" a="1"/>
  <c r="P7" i="4" s="1"/>
  <c r="O10" i="4" a="1"/>
  <c r="O10" i="4" s="1"/>
  <c r="O9" i="4" a="1"/>
  <c r="O9" i="4" s="1"/>
  <c r="O8" i="4" a="1"/>
  <c r="O8" i="4" s="1"/>
  <c r="O7" i="4" a="1"/>
  <c r="O7" i="4" s="1"/>
  <c r="N10" i="4" a="1"/>
  <c r="N10" i="4" s="1"/>
  <c r="N9" i="4" a="1"/>
  <c r="N9" i="4" s="1"/>
  <c r="N8" i="4" a="1"/>
  <c r="N8" i="4" s="1"/>
  <c r="N7" i="4" a="1"/>
  <c r="N7" i="4" s="1"/>
  <c r="M10" i="4" a="1"/>
  <c r="M10" i="4" s="1"/>
  <c r="M9" i="4" a="1"/>
  <c r="M9" i="4" s="1"/>
  <c r="M8" i="4" a="1"/>
  <c r="M8" i="4" s="1"/>
  <c r="M7" i="4" a="1"/>
  <c r="M7" i="4" s="1"/>
  <c r="L10" i="4" a="1"/>
  <c r="L10" i="4" s="1"/>
  <c r="L9" i="4" a="1"/>
  <c r="L9" i="4" s="1"/>
  <c r="L8" i="4" a="1"/>
  <c r="L8" i="4" s="1"/>
  <c r="L7" i="4" a="1"/>
  <c r="L7" i="4" s="1"/>
  <c r="S27" i="4"/>
  <c r="H2" i="4"/>
  <c r="I2" i="4" s="1"/>
  <c r="I2" i="8" l="1"/>
  <c r="M15" i="8"/>
  <c r="I3" i="8"/>
  <c r="H4" i="8"/>
  <c r="G25" i="5"/>
  <c r="G43" i="5"/>
  <c r="N7" i="5" a="1"/>
  <c r="N7" i="5" s="1"/>
  <c r="P7" i="5" a="1"/>
  <c r="P7" i="5" s="1"/>
  <c r="R7" i="5" a="1"/>
  <c r="R7" i="5" s="1"/>
  <c r="O7" i="5" a="1"/>
  <c r="O7" i="5" s="1"/>
  <c r="Q7" i="5" a="1"/>
  <c r="Q7" i="5" s="1"/>
  <c r="G9" i="5"/>
  <c r="G36" i="5"/>
  <c r="G37" i="5"/>
  <c r="G35" i="5"/>
  <c r="G27" i="5"/>
  <c r="G18" i="5"/>
  <c r="G41" i="5"/>
  <c r="G17" i="5"/>
  <c r="G22" i="5"/>
  <c r="G5" i="5"/>
  <c r="G28" i="5"/>
  <c r="G3" i="5"/>
  <c r="G15" i="5"/>
  <c r="G12" i="5"/>
  <c r="G21" i="5"/>
  <c r="G29" i="5"/>
  <c r="G48" i="5"/>
  <c r="G40" i="5"/>
  <c r="G32" i="5"/>
  <c r="G24" i="5"/>
  <c r="G16" i="5"/>
  <c r="G8" i="5"/>
  <c r="G23" i="5"/>
  <c r="G4" i="5"/>
  <c r="G50" i="5"/>
  <c r="G52" i="5"/>
  <c r="G2" i="5"/>
  <c r="G49" i="5"/>
  <c r="G33" i="5"/>
  <c r="G47" i="5"/>
  <c r="G39" i="5"/>
  <c r="G31" i="5"/>
  <c r="G51" i="5"/>
  <c r="G26" i="5"/>
  <c r="G10" i="5"/>
  <c r="G46" i="5"/>
  <c r="G38" i="5"/>
  <c r="G13" i="5"/>
  <c r="M12" i="4"/>
  <c r="N12" i="4"/>
  <c r="L12" i="4"/>
  <c r="P12" i="4"/>
  <c r="O12" i="4"/>
  <c r="H5" i="8" l="1"/>
  <c r="I4" i="8"/>
  <c r="M15" i="5"/>
  <c r="K15" i="4"/>
  <c r="H6" i="8" l="1"/>
  <c r="I5" i="8"/>
  <c r="H3" i="4"/>
  <c r="I6" i="8" l="1"/>
  <c r="H7" i="8"/>
  <c r="I3" i="4"/>
  <c r="H4" i="4"/>
  <c r="H8" i="8" l="1"/>
  <c r="I7" i="8"/>
  <c r="H5" i="4"/>
  <c r="I4" i="4"/>
  <c r="H9" i="8" l="1"/>
  <c r="I8" i="8"/>
  <c r="H6" i="4"/>
  <c r="I5" i="4"/>
  <c r="H10" i="8" l="1"/>
  <c r="I9" i="8"/>
  <c r="I6" i="4"/>
  <c r="H7" i="4"/>
  <c r="H11" i="8" l="1"/>
  <c r="I10" i="8"/>
  <c r="H8" i="4"/>
  <c r="I7" i="4"/>
  <c r="I11" i="8" l="1"/>
  <c r="H12" i="8"/>
  <c r="I8" i="4"/>
  <c r="H9" i="4"/>
  <c r="H13" i="8" l="1"/>
  <c r="I12" i="8"/>
  <c r="I9" i="4"/>
  <c r="H10" i="4"/>
  <c r="I13" i="8" l="1"/>
  <c r="H14" i="8"/>
  <c r="H11" i="4"/>
  <c r="I10" i="4"/>
  <c r="I14" i="8" l="1"/>
  <c r="H15" i="8"/>
  <c r="H12" i="4"/>
  <c r="I11" i="4"/>
  <c r="H16" i="8" l="1"/>
  <c r="I15" i="8"/>
  <c r="I12" i="4"/>
  <c r="H13" i="4"/>
  <c r="I16" i="8" l="1"/>
  <c r="H17" i="8"/>
  <c r="I13" i="4"/>
  <c r="H14" i="4"/>
  <c r="I17" i="8" l="1"/>
  <c r="H18" i="8"/>
  <c r="I14" i="4"/>
  <c r="H15" i="4"/>
  <c r="H19" i="8" l="1"/>
  <c r="I18" i="8"/>
  <c r="I15" i="4"/>
  <c r="H16" i="4"/>
  <c r="H20" i="8" l="1"/>
  <c r="I19" i="8"/>
  <c r="I16" i="4"/>
  <c r="H17" i="4"/>
  <c r="I20" i="8" l="1"/>
  <c r="H21" i="8"/>
  <c r="I17" i="4"/>
  <c r="H18" i="4"/>
  <c r="H22" i="8" l="1"/>
  <c r="I21" i="8"/>
  <c r="I18" i="4"/>
  <c r="H19" i="4"/>
  <c r="I22" i="8" l="1"/>
  <c r="H23" i="8"/>
  <c r="H20" i="4"/>
  <c r="I19" i="4"/>
  <c r="I23" i="8" l="1"/>
  <c r="H24" i="8"/>
  <c r="I20" i="4"/>
  <c r="H21" i="4"/>
  <c r="H25" i="8" l="1"/>
  <c r="I24" i="8"/>
  <c r="I21" i="4"/>
  <c r="H22" i="4"/>
  <c r="I25" i="8" l="1"/>
  <c r="H26" i="8"/>
  <c r="I22" i="4"/>
  <c r="H23" i="4"/>
  <c r="H27" i="8" l="1"/>
  <c r="I26" i="8"/>
  <c r="I23" i="4"/>
  <c r="H24" i="4"/>
  <c r="H28" i="8" l="1"/>
  <c r="I27" i="8"/>
  <c r="H25" i="4"/>
  <c r="I24" i="4"/>
  <c r="I28" i="8" l="1"/>
  <c r="H29" i="8"/>
  <c r="I25" i="4"/>
  <c r="H26" i="4"/>
  <c r="H30" i="8" l="1"/>
  <c r="I29" i="8"/>
  <c r="H27" i="4"/>
  <c r="I26" i="4"/>
  <c r="I30" i="8" l="1"/>
  <c r="H31" i="8"/>
  <c r="H28" i="4"/>
  <c r="I27" i="4"/>
  <c r="I31" i="8" l="1"/>
  <c r="H32" i="8"/>
  <c r="H29" i="4"/>
  <c r="I28" i="4"/>
  <c r="H33" i="8" l="1"/>
  <c r="I32" i="8"/>
  <c r="I29" i="4"/>
  <c r="H30" i="4"/>
  <c r="I33" i="8" l="1"/>
  <c r="H34" i="8"/>
  <c r="I30" i="4"/>
  <c r="H31" i="4"/>
  <c r="H35" i="8" l="1"/>
  <c r="I34" i="8"/>
  <c r="I31" i="4"/>
  <c r="H32" i="4"/>
  <c r="H36" i="8" l="1"/>
  <c r="I35" i="8"/>
  <c r="I32" i="4"/>
  <c r="H33" i="4"/>
  <c r="I36" i="8" l="1"/>
  <c r="H37" i="8"/>
  <c r="I33" i="4"/>
  <c r="H34" i="4"/>
  <c r="H38" i="8" l="1"/>
  <c r="I37" i="8"/>
  <c r="H35" i="4"/>
  <c r="I34" i="4"/>
  <c r="I38" i="8" l="1"/>
  <c r="H39" i="8"/>
  <c r="H36" i="4"/>
  <c r="I35" i="4"/>
  <c r="I39" i="8" l="1"/>
  <c r="H40" i="8"/>
  <c r="I36" i="4"/>
  <c r="H37" i="4"/>
  <c r="H41" i="8" l="1"/>
  <c r="I40" i="8"/>
  <c r="I37" i="4"/>
  <c r="H38" i="4"/>
  <c r="I41" i="8" l="1"/>
  <c r="H42" i="8"/>
  <c r="I38" i="4"/>
  <c r="H39" i="4"/>
  <c r="H43" i="8" l="1"/>
  <c r="I42" i="8"/>
  <c r="I39" i="4"/>
  <c r="H40" i="4"/>
  <c r="H44" i="8" l="1"/>
  <c r="I43" i="8"/>
  <c r="I40" i="4"/>
  <c r="H41" i="4"/>
  <c r="I44" i="8" l="1"/>
  <c r="H45" i="8"/>
  <c r="H42" i="4"/>
  <c r="I41" i="4"/>
  <c r="H46" i="8" l="1"/>
  <c r="I45" i="8"/>
  <c r="H43" i="4"/>
  <c r="I42" i="4"/>
  <c r="I46" i="8" l="1"/>
  <c r="H47" i="8"/>
  <c r="H44" i="4"/>
  <c r="I43" i="4"/>
  <c r="I47" i="8" l="1"/>
  <c r="H48" i="8"/>
  <c r="I44" i="4"/>
  <c r="H45" i="4"/>
  <c r="H49" i="8" l="1"/>
  <c r="I48" i="8"/>
  <c r="I45" i="4"/>
  <c r="H46" i="4"/>
  <c r="I49" i="8" l="1"/>
  <c r="H50" i="8"/>
  <c r="I46" i="4"/>
  <c r="H47" i="4"/>
  <c r="H51" i="8" l="1"/>
  <c r="I50" i="8"/>
  <c r="I47" i="4"/>
  <c r="H48" i="4"/>
  <c r="H52" i="8" l="1"/>
  <c r="I51" i="8"/>
  <c r="I48" i="4"/>
  <c r="H49" i="4"/>
  <c r="I52" i="8" l="1"/>
  <c r="P9" i="8" a="1"/>
  <c r="P9" i="8" s="1"/>
  <c r="H50" i="4"/>
  <c r="I49" i="4"/>
  <c r="V51" i="8" l="1"/>
  <c r="W51" i="8" s="1"/>
  <c r="Y51" i="8" s="1"/>
  <c r="V50" i="8"/>
  <c r="W50" i="8" s="1"/>
  <c r="Y50" i="8" s="1"/>
  <c r="V37" i="8"/>
  <c r="W37" i="8" s="1"/>
  <c r="Y37" i="8" s="1"/>
  <c r="V23" i="8"/>
  <c r="W23" i="8" s="1"/>
  <c r="Y23" i="8" s="1"/>
  <c r="V22" i="8"/>
  <c r="W22" i="8" s="1"/>
  <c r="Y22" i="8" s="1"/>
  <c r="V52" i="8"/>
  <c r="W52" i="8" s="1"/>
  <c r="Y52" i="8" s="1"/>
  <c r="V8" i="8"/>
  <c r="W8" i="8" s="1"/>
  <c r="Y8" i="8" s="1"/>
  <c r="V31" i="8"/>
  <c r="W31" i="8" s="1"/>
  <c r="Y31" i="8" s="1"/>
  <c r="V45" i="8"/>
  <c r="W45" i="8" s="1"/>
  <c r="Y45" i="8" s="1"/>
  <c r="V34" i="8"/>
  <c r="W34" i="8" s="1"/>
  <c r="Y34" i="8" s="1"/>
  <c r="V48" i="8"/>
  <c r="W48" i="8" s="1"/>
  <c r="Y48" i="8" s="1"/>
  <c r="V33" i="8"/>
  <c r="W33" i="8" s="1"/>
  <c r="Y33" i="8" s="1"/>
  <c r="V46" i="8"/>
  <c r="W46" i="8" s="1"/>
  <c r="Y46" i="8" s="1"/>
  <c r="V38" i="8"/>
  <c r="W38" i="8" s="1"/>
  <c r="Y38" i="8" s="1"/>
  <c r="V19" i="8"/>
  <c r="W19" i="8" s="1"/>
  <c r="Y19" i="8" s="1"/>
  <c r="V9" i="8"/>
  <c r="W9" i="8" s="1"/>
  <c r="Y9" i="8" s="1"/>
  <c r="V30" i="8"/>
  <c r="W30" i="8" s="1"/>
  <c r="Y30" i="8" s="1"/>
  <c r="V11" i="8"/>
  <c r="W11" i="8" s="1"/>
  <c r="Y11" i="8" s="1"/>
  <c r="V5" i="8"/>
  <c r="W5" i="8" s="1"/>
  <c r="Y5" i="8" s="1"/>
  <c r="V36" i="8"/>
  <c r="W36" i="8" s="1"/>
  <c r="Y36" i="8" s="1"/>
  <c r="V47" i="8"/>
  <c r="W47" i="8" s="1"/>
  <c r="Y47" i="8" s="1"/>
  <c r="V13" i="8"/>
  <c r="W13" i="8" s="1"/>
  <c r="Y13" i="8" s="1"/>
  <c r="V16" i="8"/>
  <c r="W16" i="8" s="1"/>
  <c r="Y16" i="8" s="1"/>
  <c r="V25" i="8"/>
  <c r="W25" i="8" s="1"/>
  <c r="Y25" i="8" s="1"/>
  <c r="V35" i="8"/>
  <c r="W35" i="8" s="1"/>
  <c r="Y35" i="8" s="1"/>
  <c r="V3" i="8"/>
  <c r="W3" i="8" s="1"/>
  <c r="Y3" i="8" s="1"/>
  <c r="V12" i="8"/>
  <c r="W12" i="8" s="1"/>
  <c r="Y12" i="8" s="1"/>
  <c r="V41" i="8"/>
  <c r="W41" i="8" s="1"/>
  <c r="Y41" i="8" s="1"/>
  <c r="V42" i="8"/>
  <c r="W42" i="8" s="1"/>
  <c r="Y42" i="8" s="1"/>
  <c r="V27" i="8"/>
  <c r="W27" i="8" s="1"/>
  <c r="Y27" i="8" s="1"/>
  <c r="V44" i="8"/>
  <c r="W44" i="8" s="1"/>
  <c r="Y44" i="8" s="1"/>
  <c r="V4" i="8"/>
  <c r="W4" i="8" s="1"/>
  <c r="Y4" i="8" s="1"/>
  <c r="V29" i="8"/>
  <c r="W29" i="8" s="1"/>
  <c r="Y29" i="8" s="1"/>
  <c r="V24" i="8"/>
  <c r="W24" i="8" s="1"/>
  <c r="Y24" i="8" s="1"/>
  <c r="V6" i="8"/>
  <c r="W6" i="8" s="1"/>
  <c r="Y6" i="8" s="1"/>
  <c r="V40" i="8"/>
  <c r="W40" i="8" s="1"/>
  <c r="Y40" i="8" s="1"/>
  <c r="V49" i="8"/>
  <c r="W49" i="8" s="1"/>
  <c r="Y49" i="8" s="1"/>
  <c r="V32" i="8"/>
  <c r="W32" i="8" s="1"/>
  <c r="Y32" i="8" s="1"/>
  <c r="V26" i="8"/>
  <c r="W26" i="8" s="1"/>
  <c r="Y26" i="8" s="1"/>
  <c r="V7" i="8"/>
  <c r="W7" i="8" s="1"/>
  <c r="Y7" i="8" s="1"/>
  <c r="V10" i="8"/>
  <c r="W10" i="8" s="1"/>
  <c r="Y10" i="8" s="1"/>
  <c r="V15" i="8"/>
  <c r="W15" i="8" s="1"/>
  <c r="Y15" i="8" s="1"/>
  <c r="V20" i="8"/>
  <c r="W20" i="8" s="1"/>
  <c r="Y20" i="8" s="1"/>
  <c r="V18" i="8"/>
  <c r="W18" i="8" s="1"/>
  <c r="Y18" i="8" s="1"/>
  <c r="V39" i="8"/>
  <c r="W39" i="8" s="1"/>
  <c r="Y39" i="8" s="1"/>
  <c r="V17" i="8"/>
  <c r="W17" i="8" s="1"/>
  <c r="Y17" i="8" s="1"/>
  <c r="V21" i="8"/>
  <c r="W21" i="8" s="1"/>
  <c r="Y21" i="8" s="1"/>
  <c r="V14" i="8"/>
  <c r="W14" i="8" s="1"/>
  <c r="Y14" i="8" s="1"/>
  <c r="V28" i="8"/>
  <c r="W28" i="8" s="1"/>
  <c r="Y28" i="8" s="1"/>
  <c r="V43" i="8"/>
  <c r="W43" i="8" s="1"/>
  <c r="Y43" i="8" s="1"/>
  <c r="M18" i="8" a="1"/>
  <c r="M18" i="8" s="1"/>
  <c r="V2" i="8"/>
  <c r="W2" i="8" s="1"/>
  <c r="AB2" i="8" s="1"/>
  <c r="AA3" i="8" s="1"/>
  <c r="H51" i="4"/>
  <c r="I50" i="4"/>
  <c r="AB3" i="8" l="1"/>
  <c r="AA4" i="8" s="1"/>
  <c r="AB4" i="8" s="1"/>
  <c r="AA5" i="8" s="1"/>
  <c r="AB5" i="8" s="1"/>
  <c r="AA6" i="8" s="1"/>
  <c r="AB6" i="8" s="1"/>
  <c r="AA7" i="8" s="1"/>
  <c r="AB7" i="8" s="1"/>
  <c r="AA8" i="8" s="1"/>
  <c r="AB8" i="8" s="1"/>
  <c r="AA9" i="8" s="1"/>
  <c r="AB9" i="8" s="1"/>
  <c r="AA10" i="8" s="1"/>
  <c r="AB10" i="8" s="1"/>
  <c r="AA11" i="8" s="1"/>
  <c r="AB11" i="8" s="1"/>
  <c r="AA12" i="8" s="1"/>
  <c r="AB12" i="8" s="1"/>
  <c r="AA13" i="8" s="1"/>
  <c r="AB13" i="8" s="1"/>
  <c r="AA14" i="8" s="1"/>
  <c r="AB14" i="8" s="1"/>
  <c r="AA15" i="8" s="1"/>
  <c r="AB15" i="8" s="1"/>
  <c r="AA16" i="8" s="1"/>
  <c r="AB16" i="8" s="1"/>
  <c r="AA17" i="8" s="1"/>
  <c r="AB17" i="8" s="1"/>
  <c r="AA18" i="8" s="1"/>
  <c r="AB18" i="8" s="1"/>
  <c r="AA19" i="8" s="1"/>
  <c r="AB19" i="8" s="1"/>
  <c r="AA20" i="8" s="1"/>
  <c r="AB20" i="8" s="1"/>
  <c r="AA21" i="8" s="1"/>
  <c r="AB21" i="8" s="1"/>
  <c r="AA22" i="8" s="1"/>
  <c r="AB22" i="8" s="1"/>
  <c r="AA23" i="8" s="1"/>
  <c r="AB23" i="8" s="1"/>
  <c r="AA24" i="8" s="1"/>
  <c r="AB24" i="8" s="1"/>
  <c r="AA25" i="8" s="1"/>
  <c r="AB25" i="8" s="1"/>
  <c r="AA26" i="8" s="1"/>
  <c r="AB26" i="8" s="1"/>
  <c r="AA27" i="8" s="1"/>
  <c r="H52" i="4"/>
  <c r="I52" i="4" s="1"/>
  <c r="K18" i="4" s="1" a="1"/>
  <c r="K18" i="4" s="1"/>
  <c r="I51" i="4"/>
  <c r="AB27" i="8" l="1"/>
  <c r="AA28" i="8" s="1"/>
  <c r="I7" i="5"/>
  <c r="I2" i="5"/>
  <c r="H3" i="5"/>
  <c r="I3" i="5"/>
  <c r="I4" i="5"/>
  <c r="I5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AB28" i="8" l="1"/>
  <c r="AA29" i="8" s="1"/>
  <c r="AB29" i="8" s="1"/>
  <c r="AA30" i="8" s="1"/>
  <c r="AB30" i="8" s="1"/>
  <c r="AA31" i="8" s="1"/>
  <c r="AB31" i="8" s="1"/>
  <c r="AA32" i="8" s="1"/>
  <c r="AB32" i="8" s="1"/>
  <c r="AA33" i="8" s="1"/>
  <c r="AB33" i="8" s="1"/>
  <c r="AA34" i="8" s="1"/>
  <c r="I6" i="5"/>
  <c r="M18" i="5" s="1" a="1"/>
  <c r="M18" i="5" s="1"/>
  <c r="P9" i="5" a="1"/>
  <c r="P9" i="5" s="1"/>
  <c r="AB34" i="8" l="1"/>
  <c r="AA35" i="8" s="1"/>
  <c r="AB35" i="8" s="1"/>
  <c r="AA36" i="8" s="1"/>
  <c r="AB36" i="8" s="1"/>
  <c r="AA37" i="8" s="1"/>
  <c r="AB37" i="8" s="1"/>
  <c r="AA38" i="8" s="1"/>
  <c r="AB38" i="8" s="1"/>
  <c r="AA39" i="8" s="1"/>
  <c r="AB39" i="8" s="1"/>
  <c r="AA40" i="8" s="1"/>
  <c r="AB40" i="8" s="1"/>
  <c r="AA41" i="8" s="1"/>
  <c r="AB41" i="8" s="1"/>
  <c r="AA42" i="8" s="1"/>
  <c r="AB42" i="8" s="1"/>
  <c r="AA43" i="8" s="1"/>
  <c r="AB43" i="8" s="1"/>
  <c r="AA44" i="8" s="1"/>
  <c r="AB44" i="8" s="1"/>
  <c r="AA45" i="8" s="1"/>
  <c r="AB45" i="8" s="1"/>
  <c r="AA46" i="8" s="1"/>
  <c r="AB46" i="8" s="1"/>
  <c r="AA47" i="8" s="1"/>
  <c r="AB47" i="8" s="1"/>
  <c r="AA48" i="8" s="1"/>
  <c r="AB48" i="8" s="1"/>
  <c r="AA49" i="8" s="1"/>
  <c r="AB49" i="8" s="1"/>
  <c r="AA50" i="8" s="1"/>
  <c r="AB50" i="8" s="1"/>
  <c r="AA51" i="8" s="1"/>
  <c r="AB51" i="8" s="1"/>
  <c r="AA52" i="8" s="1"/>
  <c r="AB5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<sst xmlns="http://schemas.openxmlformats.org/spreadsheetml/2006/main" count="397" uniqueCount="45">
  <si>
    <t>מוצר</t>
  </si>
  <si>
    <t>כמות</t>
  </si>
  <si>
    <t>תאריך יעד לאספקה</t>
  </si>
  <si>
    <t>צבע</t>
  </si>
  <si>
    <t>מוצר A</t>
  </si>
  <si>
    <t>מוצר B</t>
  </si>
  <si>
    <t>מוצר C</t>
  </si>
  <si>
    <t>מוצר D</t>
  </si>
  <si>
    <t>תחנה 2: כיפוף</t>
  </si>
  <si>
    <t>תחנה 1: ניקוב</t>
  </si>
  <si>
    <t>תחנה 3: ניקוי</t>
  </si>
  <si>
    <t>תחנה 4: צביעה</t>
  </si>
  <si>
    <t>תחנה 5: הרכבה</t>
  </si>
  <si>
    <t xml:space="preserve">Set-Up </t>
  </si>
  <si>
    <t>Hours</t>
  </si>
  <si>
    <t>שחור</t>
  </si>
  <si>
    <t>אדום</t>
  </si>
  <si>
    <t>צהוב</t>
  </si>
  <si>
    <t>לבן</t>
  </si>
  <si>
    <t>מס_סידורי</t>
  </si>
  <si>
    <t>MinutsInWeek</t>
  </si>
  <si>
    <t>OTD</t>
  </si>
  <si>
    <t>תאריך התחלה</t>
  </si>
  <si>
    <t>זמן ייצור</t>
  </si>
  <si>
    <t>תאריך אספקה בפועל</t>
  </si>
  <si>
    <t>סה"כ עומס לתחנה:</t>
  </si>
  <si>
    <t xml:space="preserve">צוואר הבקבוק </t>
  </si>
  <si>
    <t>תחנה מס'</t>
  </si>
  <si>
    <t>זמן מצטבר</t>
  </si>
  <si>
    <t>BATCH</t>
  </si>
  <si>
    <t>סה"כ עומס לתחנה לאחר הפחתה בכיוונון:</t>
  </si>
  <si>
    <t>סה"כ עומס לתחנה ללא הפחתה בכיוונון:</t>
  </si>
  <si>
    <t>זמן לתחנה לאחר הוספה של 180 דקות</t>
  </si>
  <si>
    <t>buffer</t>
  </si>
  <si>
    <t>BATCH2</t>
  </si>
  <si>
    <t>תאריך יעד חדש</t>
  </si>
  <si>
    <t>טריגר ימים</t>
  </si>
  <si>
    <t>ממוצע צריכה יומי</t>
  </si>
  <si>
    <t>כמות טריגר</t>
  </si>
  <si>
    <t>כמות ספייר</t>
  </si>
  <si>
    <t>כמות ספייר ליום</t>
  </si>
  <si>
    <t>מלאי נוכחי ופקודת הזמנה</t>
  </si>
  <si>
    <t>כמות הזמנה</t>
  </si>
  <si>
    <t>מלאי התחלתי</t>
  </si>
  <si>
    <t>כמות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</si>
</sst>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0" fillId="0" borderId="0" xfId="0" applyNumberFormat="1"/>
    <xf numFmtId="0" fontId="0" fillId="0" borderId="18" xfId="0" applyBorder="1" applyAlignment="1">
      <alignment horizontal="center" vertical="center"/>
    </xf>
    <xf numFmtId="0" fontId="0" fillId="3" borderId="22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4" borderId="22" xfId="0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0" fontId="0" fillId="2" borderId="0" xfId="0" applyFill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/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55">
    <dxf>
      <numFmt numFmtId="0" formatCode="General"/>
      <alignment horizont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rgb="FF000000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19" formatCode="dd/mm/yy"/>
      <alignment horizontal="center" vertical="center" textRotation="0" wrapText="0" indent="0" justifyLastLine="0" shrinkToFit="0" readingOrder="0"/>
    </dxf>
    <dxf>
      <numFmt numFmtId="19" formatCode="dd/mm/yy"/>
      <alignment horizontal="center" vertical="bottom" textRotation="0" wrapText="0" indent="0" justifyLastLine="0" shrinkToFit="0" readingOrder="0"/>
    </dxf>
    <dxf>
      <numFmt numFmtId="19" formatCode="dd/mm/yy"/>
      <alignment horizont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64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"/>
      <alignment horizontal="center" vertical="bottom" textRotation="0" wrapText="0" indent="0" justifyLastLine="0" shrinkToFit="0" readingOrder="0"/>
    </dxf>
    <dxf>
      <numFmt numFmtId="19" formatCode="dd/mm/yy"/>
      <alignment horizontal="center" textRotation="0" wrapText="0" indent="0" justifyLastLine="0" shrinkToFit="0" readingOrder="0"/>
    </dxf>
    <dxf>
      <numFmt numFmtId="19" formatCode="dd/mm/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rgb="FF000000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164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rgb="FF000000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19" formatCode="dd/mm/yy"/>
    </dxf>
    <dxf>
      <numFmt numFmtId="0" formatCode="General"/>
    </dxf>
    <dxf>
      <numFmt numFmtId="0" formatCode="General"/>
    </dxf>
    <dxf>
      <numFmt numFmtId="164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2C341A-DC3E-40F6-8EDC-7BF768FA64AB}" name="טבלה28" displayName="טבלה28" ref="A1:I52" totalsRowShown="0" headerRowDxfId="54">
  <autoFilter ref="A1:I52" xr:uid="{3D51996E-3107-463C-AA6C-98B4B9BFD89D}"/>
  <sortState xmlns:xlrd2="http://schemas.microsoft.com/office/spreadsheetml/2017/richdata2" ref="A2:I52">
    <sortCondition ref="A1:A52"/>
  </sortState>
  <tableColumns count="9">
    <tableColumn id="1" xr3:uid="{EF3DAC76-02AF-46FE-B005-ED74B8201FB8}" name="מס_סידורי"/>
    <tableColumn id="2" xr3:uid="{2EA5B12C-28E9-4262-909B-0BAC3A244200}" name="מוצר"/>
    <tableColumn id="3" xr3:uid="{0A23845F-BB61-46C2-8D56-E107F98E2756}" name="כמות"/>
    <tableColumn id="7" xr3:uid="{E3C028E2-626F-4138-8E1A-D215FE330036}" name="תאריך התחלה"/>
    <tableColumn id="4" xr3:uid="{6A278E15-3C22-4A97-960A-4FD36BC74C68}" name="תאריך יעד לאספקה" dataDxfId="53"/>
    <tableColumn id="5" xr3:uid="{2C2FBCBE-EB9F-4FC5-9D39-B4E89A9EB7A4}" name="צבע"/>
    <tableColumn id="8" xr3:uid="{25C234D2-E467-4A68-9C7B-82CB7F642464}" name="זמן ייצור" dataDxfId="52">
      <calculatedColumnFormula>VLOOKUP(RIGHT(B2,1), {"A",14;"B",12;"C",14;"D",14}, 2, FALSE) * C2 + 50</calculatedColumnFormula>
    </tableColumn>
    <tableColumn id="6" xr3:uid="{D51DD884-2D94-457E-AD32-3E0F348A3ABB}" name="זמן מצטבר" dataDxfId="51">
      <calculatedColumnFormula>G2</calculatedColumnFormula>
    </tableColumn>
    <tableColumn id="9" xr3:uid="{3A2AE8C4-1FA6-41EC-81ED-2B825A13C0F8}" name="תאריך אספקה בפועל" dataDxfId="50">
      <calculatedColumnFormula>WORKDAY.INTL(D2,INT(H2/1440),7) + MOD(H2/1440,1)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BE058B6-205E-4B76-82B1-444C21633A41}" name="טבלה610" displayName="טבלה610" ref="K1:P6" totalsRowShown="0" headerRowDxfId="49" dataDxfId="48" tableBorderDxfId="47">
  <autoFilter ref="K1:P6" xr:uid="{48CBB101-ED08-4117-9B7A-024153764FF9}"/>
  <tableColumns count="6">
    <tableColumn id="1" xr3:uid="{BD3B3130-5EBE-41BF-9E1A-75F35FBDC209}" name="מוצר" dataDxfId="46"/>
    <tableColumn id="2" xr3:uid="{8525C69C-DD51-4556-A30A-973893243090}" name="תחנה 1: ניקוב" dataDxfId="45"/>
    <tableColumn id="3" xr3:uid="{BA63C8FB-D994-43B5-81C4-ED8EE096C682}" name="תחנה 2: כיפוף" dataDxfId="44"/>
    <tableColumn id="4" xr3:uid="{FE95684A-D590-46E2-B1A5-E923A507E96C}" name="תחנה 3: ניקוי" dataDxfId="43"/>
    <tableColumn id="5" xr3:uid="{D8631E57-58E9-4EE1-ADC8-CAB6DF7D168D}" name="תחנה 4: צביעה" dataDxfId="42"/>
    <tableColumn id="6" xr3:uid="{198082BD-1543-4F82-8B12-66DF9EB71904}" name="תחנה 5: הרכבה" dataDxfId="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87365F-457A-4BFC-B9EE-1850C8813BED}" name="טבלה284" displayName="טבלה284" ref="A1:K52" totalsRowShown="0" headerRowDxfId="40">
  <sortState xmlns:xlrd2="http://schemas.microsoft.com/office/spreadsheetml/2017/richdata2" ref="A2:K52">
    <sortCondition ref="J2:J52"/>
    <sortCondition ref="B2:B52"/>
    <sortCondition ref="F2:F52"/>
    <sortCondition ref="C2:C52"/>
  </sortState>
  <tableColumns count="11">
    <tableColumn id="1" xr3:uid="{124602DE-F945-4F8E-9AC0-5116C2F3F89E}" name="מס_סידורי"/>
    <tableColumn id="2" xr3:uid="{7D6F321A-F045-48CA-9B49-F0B9EA9423A2}" name="מוצר"/>
    <tableColumn id="3" xr3:uid="{CF3B6259-A1E0-43D5-844D-CB8E53B6CD12}" name="כמות"/>
    <tableColumn id="7" xr3:uid="{B673C2A2-DB67-466D-A19F-22064EAFA6AE}" name="תאריך התחלה"/>
    <tableColumn id="4" xr3:uid="{8D5E0942-2A59-48DE-B08E-3D0C8C22EE92}" name="תאריך יעד לאספקה" dataDxfId="39"/>
    <tableColumn id="5" xr3:uid="{43CC2729-A482-4EA3-9CB4-B3488E59DB1A}" name="צבע"/>
    <tableColumn id="8" xr3:uid="{DE562550-66B2-4CFB-A617-FF1A5748189C}" name="זמן ייצור" dataDxfId="38">
      <calculatedColumnFormula>VLOOKUP(RIGHT(B2,1), {"A",10;"B",12;"C",14;"D",14}, 2, FALSE) * C2 + 50*K2</calculatedColumnFormula>
    </tableColumn>
    <tableColumn id="6" xr3:uid="{E2F9BD0D-403B-48D2-A5BC-671E3AC98550}" name="זמן מצטבר" dataDxfId="37">
      <calculatedColumnFormula>G2</calculatedColumnFormula>
    </tableColumn>
    <tableColumn id="9" xr3:uid="{96ADA964-BB01-45CA-BD4D-448F086443D6}" name="תאריך אספקה בפועל" dataDxfId="26">
      <calculatedColumnFormula>WORKDAY.INTL(D2,INT(H2/1440),7) + MOD(H2/1440,1)</calculatedColumnFormula>
    </tableColumn>
    <tableColumn id="11" xr3:uid="{261496A8-D032-42D8-A812-CBC96926BF46}" name="תאריך יעד חדש" dataDxfId="25">
      <calculatedColumnFormula>WORKDAY.INTL(E2, -QUOTIENT($O$15,1440), 7) - MOD($O$15,1440)/1440</calculatedColumnFormula>
    </tableColumn>
    <tableColumn id="10" xr3:uid="{3BA279EC-E33D-43F9-94A4-40AA6BE13FC6}" name="BATCH2" dataDxfId="27">
      <calculatedColumnFormula>IF(ROW()=2,1,IF(B2&lt;&gt;B1,1,0))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31B8852-9D84-4C50-9FBA-8B12BE99CB8E}" name="טבלה6109" displayName="טבלה6109" ref="M1:R6" totalsRowShown="0" headerRowDxfId="36" dataDxfId="35" tableBorderDxfId="34">
  <autoFilter ref="M1:R6" xr:uid="{031B8852-9D84-4C50-9FBA-8B12BE99CB8E}"/>
  <tableColumns count="6">
    <tableColumn id="1" xr3:uid="{75C83EB6-DF98-4DF5-8EE9-E4A249AD44D0}" name="מוצר" dataDxfId="33"/>
    <tableColumn id="2" xr3:uid="{ACA8710A-1ED1-4E7E-A7F7-87BFEF096BED}" name="תחנה 1: ניקוב" dataDxfId="32"/>
    <tableColumn id="3" xr3:uid="{689F5A0C-D2C6-462A-9B9A-3D54B6A150AA}" name="תחנה 2: כיפוף" dataDxfId="31"/>
    <tableColumn id="4" xr3:uid="{377FB9E9-DBC2-426A-ADF2-BDCAB05B75A7}" name="תחנה 3: ניקוי" dataDxfId="30"/>
    <tableColumn id="5" xr3:uid="{50645991-AFCB-49BB-920B-45EC1035E774}" name="תחנה 4: צביעה" dataDxfId="29"/>
    <tableColumn id="6" xr3:uid="{78D326D5-84AB-4EED-BCA8-A9BF32B91444}" name="תחנה 5: הרכבה" dataDxfId="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23330E-5F2F-43B4-8698-E292999203AE}" name="טבלה2842" displayName="טבלה2842" ref="A1:K52" totalsRowShown="0" headerRowDxfId="24">
  <sortState xmlns:xlrd2="http://schemas.microsoft.com/office/spreadsheetml/2017/richdata2" ref="A2:K52">
    <sortCondition ref="J2:J52"/>
    <sortCondition ref="B2:B52"/>
    <sortCondition ref="F2:F52"/>
    <sortCondition ref="C2:C52"/>
  </sortState>
  <tableColumns count="11">
    <tableColumn id="1" xr3:uid="{3D1F8782-3327-4A7D-87CD-27D59CA57BA9}" name="מס_סידורי"/>
    <tableColumn id="2" xr3:uid="{96767CDC-E211-4BB3-AA93-2B85B8CA71EE}" name="מוצר"/>
    <tableColumn id="3" xr3:uid="{832DBB99-2D89-4539-AF3B-1CBCF21EAFF9}" name="כמות"/>
    <tableColumn id="7" xr3:uid="{E2F69EA2-261E-4E2C-93D5-C71FDD9B9BA3}" name="תאריך התחלה"/>
    <tableColumn id="4" xr3:uid="{F4EE8363-633A-4C4E-8E2E-5493271FDE67}" name="תאריך יעד לאספקה" dataDxfId="23"/>
    <tableColumn id="5" xr3:uid="{CD61250A-2DC4-4B11-B231-A48218CE65C2}" name="צבע"/>
    <tableColumn id="8" xr3:uid="{3359656A-56CD-4E74-99B5-B8CBEB5D4BB3}" name="זמן ייצור" dataDxfId="22">
      <calculatedColumnFormula>VLOOKUP(RIGHT(B2,1), {"A",10;"B",12;"C",14;"D",14}, 2, FALSE) * C2 + 50*K2</calculatedColumnFormula>
    </tableColumn>
    <tableColumn id="6" xr3:uid="{FD370F9E-14FB-4EC3-A9D3-0DF0B99BCD7C}" name="זמן מצטבר" dataDxfId="21">
      <calculatedColumnFormula>G2</calculatedColumnFormula>
    </tableColumn>
    <tableColumn id="9" xr3:uid="{11391E24-0F71-4879-8C9F-A827D304CD67}" name="תאריך אספקה בפועל" dataDxfId="20">
      <calculatedColumnFormula>WORKDAY.INTL(D2,INT(H2/1440),7) + MOD(H2/1440,1)</calculatedColumnFormula>
    </tableColumn>
    <tableColumn id="11" xr3:uid="{86E88190-6C63-44E8-9890-55579FB65634}" name="תאריך יעד חדש" dataDxfId="19">
      <calculatedColumnFormula>WORKDAY.INTL(E2, -QUOTIENT($O$15,1440), 7) - MOD($O$15,1440)/1440</calculatedColumnFormula>
    </tableColumn>
    <tableColumn id="10" xr3:uid="{43F304D0-B39A-44D1-B140-629AE6A4AB6C}" name="BATCH" dataDxfId="18">
      <calculatedColumnFormula>IF(ROW()=2,1,IF(B2&lt;&gt;B1,1,0))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131430-3DC2-4EF3-874D-D606158857B3}" name="טבלה61093" displayName="טבלה61093" ref="M1:R6" totalsRowShown="0" headerRowDxfId="17" dataDxfId="16" tableBorderDxfId="15">
  <autoFilter ref="M1:R6" xr:uid="{2A131430-3DC2-4EF3-874D-D606158857B3}"/>
  <tableColumns count="6">
    <tableColumn id="1" xr3:uid="{2405E2CB-345F-4B83-BA56-A58AC7084BBE}" name="מוצר" dataDxfId="14"/>
    <tableColumn id="2" xr3:uid="{256F464F-293F-4FFB-8893-10C6514534EE}" name="תחנה 1: ניקוב" dataDxfId="13"/>
    <tableColumn id="3" xr3:uid="{210BFFD8-6754-4237-8B5E-37C6B07F3C90}" name="תחנה 2: כיפוף" dataDxfId="12"/>
    <tableColumn id="4" xr3:uid="{C23341B5-D90F-4961-BB38-2B8F1AB2FEDA}" name="תחנה 3: ניקוי" dataDxfId="11"/>
    <tableColumn id="5" xr3:uid="{CA0F4210-BC02-45A7-8F37-306FB89B9E36}" name="תחנה 4: צביעה" dataDxfId="10"/>
    <tableColumn id="6" xr3:uid="{FAA5C454-64F1-4FCD-928C-DB27AF13247A}" name="תחנה 5: הרכבה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3EECAB-935A-4106-95C8-DAC4ED3E8FDB}" name="Table4" displayName="Table4" ref="T1:AB52" totalsRowShown="0" headerRowDxfId="8">
  <autoFilter ref="T1:AB52" xr:uid="{313EECAB-935A-4106-95C8-DAC4ED3E8FDB}"/>
  <tableColumns count="9">
    <tableColumn id="1" xr3:uid="{5D2D15A5-368F-44F3-94B3-840C9BD0FCDE}" name="טריגר ימים" dataDxfId="7"/>
    <tableColumn id="2" xr3:uid="{7AEB111C-1965-455C-B3F6-0B49803165D3}" name="כמות ספייר ליום"/>
    <tableColumn id="3" xr3:uid="{1CC51135-D3BB-49DD-9869-EB148F4D2630}" name="ממוצע צריכה יומי" dataDxfId="4">
      <calculatedColumnFormula>SUM($C$2:$C$52) /
 NETWORKDAYS.INTL(INT(MIN($I$2:$I$52)), INT(MAX($I$2:$I$52)), 7)</calculatedColumnFormula>
    </tableColumn>
    <tableColumn id="4" xr3:uid="{E44B6DA2-9FDB-458E-B967-8059428087B1}" name="כמות טריגר" dataDxfId="2">
      <calculatedColumnFormula>V2 * $T$2</calculatedColumnFormula>
    </tableColumn>
    <tableColumn id="5" xr3:uid="{6604DEAB-54A9-4781-B47F-C7B770FC8552}" name="כמות ספייר" dataDxfId="3">
      <calculatedColumnFormula>U2 * $T$2</calculatedColumnFormula>
    </tableColumn>
    <tableColumn id="6" xr3:uid="{A32376D8-327D-48B4-B0EF-45E9CAE3ED0C}" name="כמות target" dataDxfId="5">
      <calculatedColumnFormula>$X$2+W2</calculatedColumnFormula>
    </tableColumn>
    <tableColumn id="10" xr3:uid="{BC65C3A7-A30F-47E4-9EF6-B8388D2BB48A}" name="מלאי התחלתי" dataDxfId="6"/>
    <tableColumn id="7" xr3:uid="{3AF9F7A4-134A-49FC-99A1-6400252B4540}" name="מלאי נוכחי ופקודת הזמנה" dataDxfId="1">
      <calculatedColumnFormula xml:space="preserve"> AA1 - $C2
  + IF( WORKDAY.INTL($I1, $T$2, 7) &lt;= $I2, $AB1, 0)</calculatedColumnFormula>
    </tableColumn>
    <tableColumn id="8" xr3:uid="{B458BB34-FA92-4140-8907-A44E296862BE}" name="כמות הזמנה" dataDxfId="0">
      <calculatedColumnFormula>IF(AA2 &lt;= $W$2, MAX(0, $Y$2 - AA2), 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0E1F-9EE1-407A-9180-47B67A472CF1}">
  <dimension ref="A1:T52"/>
  <sheetViews>
    <sheetView rightToLeft="1" zoomScale="115" zoomScaleNormal="115" workbookViewId="0">
      <selection activeCell="G2" sqref="G2"/>
    </sheetView>
  </sheetViews>
  <sheetFormatPr defaultRowHeight="13.8" x14ac:dyDescent="0.25"/>
  <cols>
    <col min="1" max="1" width="10.69921875" bestFit="1" customWidth="1"/>
    <col min="2" max="2" width="8.5" bestFit="1" customWidth="1"/>
    <col min="3" max="3" width="8.59765625" bestFit="1" customWidth="1"/>
    <col min="4" max="4" width="15.69921875" bestFit="1" customWidth="1"/>
    <col min="5" max="5" width="17.69921875" customWidth="1"/>
    <col min="6" max="6" width="8" bestFit="1" customWidth="1"/>
    <col min="7" max="7" width="10.8984375" bestFit="1" customWidth="1"/>
    <col min="8" max="8" width="12.69921875" bestFit="1" customWidth="1"/>
    <col min="9" max="9" width="14.3984375" bestFit="1" customWidth="1"/>
    <col min="10" max="10" width="15.59765625" bestFit="1" customWidth="1"/>
    <col min="11" max="11" width="15.69921875" bestFit="1" customWidth="1"/>
    <col min="12" max="12" width="15" bestFit="1" customWidth="1"/>
    <col min="13" max="13" width="16.3984375" bestFit="1" customWidth="1"/>
    <col min="14" max="14" width="17" bestFit="1" customWidth="1"/>
    <col min="15" max="15" width="14.69921875" bestFit="1" customWidth="1"/>
    <col min="16" max="16" width="14.59765625" customWidth="1"/>
  </cols>
  <sheetData>
    <row r="1" spans="1:16" ht="14.4" thickBot="1" x14ac:dyDescent="0.3">
      <c r="A1" t="s">
        <v>19</v>
      </c>
      <c r="B1" s="1" t="s">
        <v>0</v>
      </c>
      <c r="C1" s="2" t="s">
        <v>1</v>
      </c>
      <c r="D1" s="2" t="s">
        <v>22</v>
      </c>
      <c r="E1" s="2" t="s">
        <v>2</v>
      </c>
      <c r="F1" s="2" t="s">
        <v>3</v>
      </c>
      <c r="G1" s="25" t="s">
        <v>23</v>
      </c>
      <c r="H1" s="25" t="s">
        <v>28</v>
      </c>
      <c r="I1" s="25" t="s">
        <v>24</v>
      </c>
      <c r="J1" s="22"/>
      <c r="K1" s="23" t="s">
        <v>0</v>
      </c>
      <c r="L1" s="5" t="s">
        <v>9</v>
      </c>
      <c r="M1" s="5" t="s">
        <v>8</v>
      </c>
      <c r="N1" s="5" t="s">
        <v>10</v>
      </c>
      <c r="O1" s="5" t="s">
        <v>11</v>
      </c>
      <c r="P1" s="5" t="s">
        <v>12</v>
      </c>
    </row>
    <row r="2" spans="1:16" ht="14.4" thickBot="1" x14ac:dyDescent="0.3">
      <c r="A2">
        <v>1</v>
      </c>
      <c r="B2" t="s">
        <v>5</v>
      </c>
      <c r="C2">
        <v>23</v>
      </c>
      <c r="D2" s="17">
        <v>45823</v>
      </c>
      <c r="E2" s="17">
        <v>45879</v>
      </c>
      <c r="F2" t="s">
        <v>17</v>
      </c>
      <c r="G2">
        <f>VLOOKUP(RIGHT(B2,1), {"A",14;"B",12;"C",14;"D",14}, 2, FALSE) * C2 + 50</f>
        <v>326</v>
      </c>
      <c r="H2">
        <f>G2</f>
        <v>326</v>
      </c>
      <c r="I2" s="17">
        <f t="shared" ref="I2:I33" si="0">WORKDAY.INTL(D2,INT(H2/1440),7) + MOD(H2/1440,1)</f>
        <v>45823.226388888892</v>
      </c>
      <c r="J2" s="17"/>
      <c r="K2" s="24" t="s">
        <v>4</v>
      </c>
      <c r="L2" s="10">
        <v>5</v>
      </c>
      <c r="M2" s="3">
        <v>8</v>
      </c>
      <c r="N2" s="3">
        <v>14</v>
      </c>
      <c r="O2" s="3">
        <v>6</v>
      </c>
      <c r="P2" s="9">
        <v>10</v>
      </c>
    </row>
    <row r="3" spans="1:16" ht="14.4" thickBot="1" x14ac:dyDescent="0.3">
      <c r="A3">
        <v>2</v>
      </c>
      <c r="B3" t="s">
        <v>6</v>
      </c>
      <c r="C3">
        <v>21</v>
      </c>
      <c r="D3" s="17">
        <v>45823</v>
      </c>
      <c r="E3" s="17">
        <v>45874</v>
      </c>
      <c r="F3" t="s">
        <v>16</v>
      </c>
      <c r="G3">
        <f>VLOOKUP(RIGHT(B3,1), {"A",14;"B",12;"C",14;"D",14}, 2, FALSE) * C3 + 50</f>
        <v>344</v>
      </c>
      <c r="H3">
        <f>H2 + G3</f>
        <v>670</v>
      </c>
      <c r="I3" s="17">
        <f t="shared" si="0"/>
        <v>45823.465277777781</v>
      </c>
      <c r="J3" s="17"/>
      <c r="K3" s="24" t="s">
        <v>5</v>
      </c>
      <c r="L3" s="11">
        <v>7</v>
      </c>
      <c r="M3" s="4">
        <v>6</v>
      </c>
      <c r="N3" s="4">
        <v>11</v>
      </c>
      <c r="O3" s="4">
        <v>6</v>
      </c>
      <c r="P3" s="6">
        <v>12</v>
      </c>
    </row>
    <row r="4" spans="1:16" ht="14.4" thickBot="1" x14ac:dyDescent="0.3">
      <c r="A4">
        <v>3</v>
      </c>
      <c r="B4" t="s">
        <v>5</v>
      </c>
      <c r="C4">
        <v>26</v>
      </c>
      <c r="D4" s="17">
        <v>45823</v>
      </c>
      <c r="E4" s="17">
        <v>45859</v>
      </c>
      <c r="F4" t="s">
        <v>18</v>
      </c>
      <c r="G4">
        <f>VLOOKUP(RIGHT(B4,1), {"A",14;"B",12;"C",14;"D",14}, 2, FALSE) * C4 + 50</f>
        <v>362</v>
      </c>
      <c r="H4">
        <f t="shared" ref="H4:H52" si="1">H3 + G4</f>
        <v>1032</v>
      </c>
      <c r="I4" s="17">
        <f t="shared" si="0"/>
        <v>45823.716666666667</v>
      </c>
      <c r="J4" s="17"/>
      <c r="K4" s="24" t="s">
        <v>6</v>
      </c>
      <c r="L4" s="11">
        <v>10</v>
      </c>
      <c r="M4" s="4">
        <v>10</v>
      </c>
      <c r="N4" s="4">
        <v>10</v>
      </c>
      <c r="O4" s="4">
        <v>6</v>
      </c>
      <c r="P4" s="6">
        <v>14</v>
      </c>
    </row>
    <row r="5" spans="1:16" ht="14.4" thickBot="1" x14ac:dyDescent="0.3">
      <c r="A5">
        <v>4</v>
      </c>
      <c r="B5" t="s">
        <v>4</v>
      </c>
      <c r="C5">
        <v>32</v>
      </c>
      <c r="D5" s="17">
        <v>45823</v>
      </c>
      <c r="E5" s="17">
        <v>45876</v>
      </c>
      <c r="F5" t="s">
        <v>18</v>
      </c>
      <c r="G5">
        <f>VLOOKUP(RIGHT(B5,1), {"A",14;"B",12;"C",14;"D",14}, 2, FALSE) * C5 + 50</f>
        <v>498</v>
      </c>
      <c r="H5">
        <f t="shared" si="1"/>
        <v>1530</v>
      </c>
      <c r="I5" s="17">
        <f t="shared" si="0"/>
        <v>45824.0625</v>
      </c>
      <c r="J5" s="17"/>
      <c r="K5" s="24" t="s">
        <v>7</v>
      </c>
      <c r="L5" s="12">
        <v>6</v>
      </c>
      <c r="M5" s="7">
        <v>7</v>
      </c>
      <c r="N5" s="7">
        <v>12</v>
      </c>
      <c r="O5" s="7">
        <v>6</v>
      </c>
      <c r="P5" s="8">
        <v>14</v>
      </c>
    </row>
    <row r="6" spans="1:16" x14ac:dyDescent="0.25">
      <c r="A6">
        <v>5</v>
      </c>
      <c r="B6" t="s">
        <v>7</v>
      </c>
      <c r="C6">
        <v>23</v>
      </c>
      <c r="D6" s="17">
        <v>45823</v>
      </c>
      <c r="E6" s="17">
        <v>45859</v>
      </c>
      <c r="F6" t="s">
        <v>15</v>
      </c>
      <c r="G6">
        <f>VLOOKUP(RIGHT(B6,1), {"A",14;"B",12;"C",14;"D",14}, 2, FALSE) * C6 + 50</f>
        <v>372</v>
      </c>
      <c r="H6">
        <f t="shared" si="1"/>
        <v>1902</v>
      </c>
      <c r="I6" s="17">
        <f t="shared" si="0"/>
        <v>45824.320833333331</v>
      </c>
      <c r="J6" s="17"/>
      <c r="K6" s="27"/>
      <c r="L6" s="18"/>
      <c r="M6" s="28"/>
      <c r="N6" s="28"/>
      <c r="O6" s="28"/>
      <c r="P6" s="29"/>
    </row>
    <row r="7" spans="1:16" x14ac:dyDescent="0.25">
      <c r="A7">
        <v>6</v>
      </c>
      <c r="B7" t="s">
        <v>7</v>
      </c>
      <c r="C7">
        <v>29</v>
      </c>
      <c r="D7" s="17">
        <v>45823</v>
      </c>
      <c r="E7" s="17">
        <v>45859</v>
      </c>
      <c r="F7" t="s">
        <v>17</v>
      </c>
      <c r="G7">
        <f>VLOOKUP(RIGHT(B7,1), {"A",14;"B",12;"C",14;"D",14}, 2, FALSE) * C7 + 50</f>
        <v>456</v>
      </c>
      <c r="H7">
        <f t="shared" si="1"/>
        <v>2358</v>
      </c>
      <c r="I7" s="17">
        <f t="shared" si="0"/>
        <v>45824.637499999997</v>
      </c>
      <c r="J7" s="17"/>
      <c r="K7" t="s">
        <v>25</v>
      </c>
      <c r="L7" cm="1">
        <f t="array" ref="L7">SUMPRODUCT((RIGHT($B$2:$B$53,1)="A")*($L$2*$C$2:$C$53+10))</f>
        <v>5240</v>
      </c>
      <c r="M7" cm="1">
        <f t="array" ref="M7">SUMPRODUCT((RIGHT($B$2:$B$53,1)="A")*($M$2*$C$2:$C$53+10))</f>
        <v>8306</v>
      </c>
      <c r="N7" cm="1">
        <f t="array" ref="N7">SUMPRODUCT((RIGHT($B$2:$B$53,1)="A")*($N$2*$C$2:$C$53+10))</f>
        <v>14438</v>
      </c>
      <c r="O7" cm="1">
        <f t="array" ref="O7">SUMPRODUCT((RIGHT($B$2:$B$53,1)="A")*($O$2*$C$2:$C$53+10))</f>
        <v>6262</v>
      </c>
      <c r="P7" cm="1">
        <f t="array" ref="P7">SUMPRODUCT((RIGHT($B$2:$B$53,1)="A")*($P$2*$C$2:$C$53+10))</f>
        <v>10350</v>
      </c>
    </row>
    <row r="8" spans="1:16" x14ac:dyDescent="0.25">
      <c r="A8">
        <v>7</v>
      </c>
      <c r="B8" t="s">
        <v>5</v>
      </c>
      <c r="C8">
        <v>34</v>
      </c>
      <c r="D8" s="17">
        <v>45823</v>
      </c>
      <c r="E8" s="17">
        <v>45861</v>
      </c>
      <c r="F8" t="s">
        <v>17</v>
      </c>
      <c r="G8">
        <f>VLOOKUP(RIGHT(B8,1), {"A",14;"B",12;"C",14;"D",14}, 2, FALSE) * C8 + 50</f>
        <v>458</v>
      </c>
      <c r="H8">
        <f t="shared" si="1"/>
        <v>2816</v>
      </c>
      <c r="I8" s="17">
        <f t="shared" si="0"/>
        <v>45824.955555555556</v>
      </c>
      <c r="J8" s="17"/>
      <c r="L8" cm="1">
        <f t="array" ref="L8">SUMPRODUCT((RIGHT($B$2:$B$53,1)="B")*($L$3*$C$2:$C$53+10))</f>
        <v>6654</v>
      </c>
      <c r="M8" cm="1">
        <f t="array" ref="M8">SUMPRODUCT((RIGHT($B$2:$B$53,1)="B")*($M$3*$C$2:$C$53+10))</f>
        <v>5722</v>
      </c>
      <c r="N8" cm="1">
        <f t="array" ref="N8">SUMPRODUCT((RIGHT($B$2:$B$53,1)="B")*($N$3*$C$2:$C$53+10))</f>
        <v>10382</v>
      </c>
      <c r="O8" cm="1">
        <f t="array" ref="O8">SUMPRODUCT((RIGHT($B$2:$B$53,1)="B")*($O$3*$C$2:$C$53+10))</f>
        <v>5722</v>
      </c>
      <c r="P8" cm="1">
        <f t="array" ref="P8">SUMPRODUCT((RIGHT($B$2:$B$53,1)="B")*($P$3*$C$2:$C$53+10))</f>
        <v>11314</v>
      </c>
    </row>
    <row r="9" spans="1:16" x14ac:dyDescent="0.25">
      <c r="A9">
        <v>8</v>
      </c>
      <c r="B9" t="s">
        <v>6</v>
      </c>
      <c r="C9">
        <v>30</v>
      </c>
      <c r="D9" s="17">
        <v>45823</v>
      </c>
      <c r="E9" s="17">
        <v>45851</v>
      </c>
      <c r="F9" t="s">
        <v>17</v>
      </c>
      <c r="G9">
        <f>VLOOKUP(RIGHT(B9,1), {"A",14;"B",12;"C",14;"D",14}, 2, FALSE) * C9 + 50</f>
        <v>470</v>
      </c>
      <c r="H9">
        <f t="shared" si="1"/>
        <v>3286</v>
      </c>
      <c r="I9" s="17">
        <f t="shared" si="0"/>
        <v>45825.281944444447</v>
      </c>
      <c r="J9" s="17"/>
      <c r="L9" cm="1">
        <f t="array" ref="L9">SUMPRODUCT((RIGHT($B$2:$B$53,1)="C")*($L$4*$C$2:$C$53+10))</f>
        <v>11520</v>
      </c>
      <c r="M9" cm="1">
        <f t="array" ref="M9">SUMPRODUCT((RIGHT($B$2:$B$53,1)="C")*($M$4*$C$2:$C$53+10))</f>
        <v>11520</v>
      </c>
      <c r="N9" cm="1">
        <f t="array" ref="N9">SUMPRODUCT((RIGHT($B$2:$B$53,1)="C")*($N$4*$C$2:$C$53+10))</f>
        <v>11520</v>
      </c>
      <c r="O9" cm="1">
        <f t="array" ref="O9">SUMPRODUCT((RIGHT($B$2:$B$53,1)="C")*($O$4*$C$2:$C$53+10))</f>
        <v>6964</v>
      </c>
      <c r="P9" cm="1">
        <f t="array" ref="P9">SUMPRODUCT((RIGHT($B$2:$B$53,1)="C")*($P$4*$C$2:$C$53+10))</f>
        <v>16076</v>
      </c>
    </row>
    <row r="10" spans="1:16" x14ac:dyDescent="0.25">
      <c r="A10">
        <v>9</v>
      </c>
      <c r="B10" t="s">
        <v>4</v>
      </c>
      <c r="C10">
        <v>43</v>
      </c>
      <c r="D10" s="17">
        <v>45823</v>
      </c>
      <c r="E10" s="17">
        <v>45861</v>
      </c>
      <c r="F10" t="s">
        <v>17</v>
      </c>
      <c r="G10">
        <f>VLOOKUP(RIGHT(B10,1), {"A",14;"B",12;"C",14;"D",14}, 2, FALSE) * C10 + 50</f>
        <v>652</v>
      </c>
      <c r="H10">
        <f t="shared" si="1"/>
        <v>3938</v>
      </c>
      <c r="I10" s="17">
        <f t="shared" si="0"/>
        <v>45825.734722222223</v>
      </c>
      <c r="J10" s="17"/>
      <c r="L10" cm="1">
        <f t="array" ref="L10">SUMPRODUCT((RIGHT($B$2:$B$53,1)="D")*($L$5*$C$2:$C$53+10))</f>
        <v>5394</v>
      </c>
      <c r="M10" cm="1">
        <f t="array" ref="M10">SUMPRODUCT((RIGHT($B$2:$B$53,1)="D")*($M$5*$C$2:$C$53+10))</f>
        <v>6273</v>
      </c>
      <c r="N10" cm="1">
        <f t="array" ref="N10">SUMPRODUCT((RIGHT($B$2:$B$53,1)="D")*($N$5*$C$2:$C$53+10))</f>
        <v>10668</v>
      </c>
      <c r="O10" cm="1">
        <f t="array" ref="O10">SUMPRODUCT((RIGHT($B$2:$B$53,1)="D")*($O$5*$C$2:$C$53+10))</f>
        <v>5394</v>
      </c>
      <c r="P10" cm="1">
        <f t="array" ref="P10">SUMPRODUCT((RIGHT($B$2:$B$53,1)="D")*($P$5*$C$2:$C$53+10))</f>
        <v>12426</v>
      </c>
    </row>
    <row r="11" spans="1:16" x14ac:dyDescent="0.25">
      <c r="A11">
        <v>10</v>
      </c>
      <c r="B11" t="s">
        <v>6</v>
      </c>
      <c r="C11">
        <v>31</v>
      </c>
      <c r="D11" s="17">
        <v>45823</v>
      </c>
      <c r="E11" s="17">
        <v>45851</v>
      </c>
      <c r="F11" t="s">
        <v>15</v>
      </c>
      <c r="G11">
        <f>VLOOKUP(RIGHT(B11,1), {"A",14;"B",12;"C",14;"D",14}, 2, FALSE) * C11 + 50</f>
        <v>484</v>
      </c>
      <c r="H11">
        <f t="shared" si="1"/>
        <v>4422</v>
      </c>
      <c r="I11" s="17">
        <f t="shared" si="0"/>
        <v>45826.070833333331</v>
      </c>
      <c r="J11" s="17"/>
    </row>
    <row r="12" spans="1:16" x14ac:dyDescent="0.25">
      <c r="A12">
        <v>11</v>
      </c>
      <c r="B12" t="s">
        <v>4</v>
      </c>
      <c r="C12">
        <v>44</v>
      </c>
      <c r="D12" s="17">
        <v>45823</v>
      </c>
      <c r="E12" s="17">
        <v>45867</v>
      </c>
      <c r="F12" t="s">
        <v>18</v>
      </c>
      <c r="G12">
        <f>VLOOKUP(RIGHT(B12,1), {"A",14;"B",12;"C",14;"D",14}, 2, FALSE) * C12 + 50</f>
        <v>666</v>
      </c>
      <c r="H12">
        <f t="shared" si="1"/>
        <v>5088</v>
      </c>
      <c r="I12" s="17">
        <f t="shared" si="0"/>
        <v>45826.533333333333</v>
      </c>
      <c r="J12" s="17"/>
      <c r="L12" s="19">
        <f>SUM(L7:L10)</f>
        <v>28808</v>
      </c>
      <c r="M12" s="19">
        <f>SUM(M7:M10)</f>
        <v>31821</v>
      </c>
      <c r="N12" s="19">
        <f>SUM(N7:N10)</f>
        <v>47008</v>
      </c>
      <c r="O12" s="19">
        <f>SUM(O7:O10)</f>
        <v>24342</v>
      </c>
      <c r="P12" s="19">
        <f>SUM(P7:P10)</f>
        <v>50166</v>
      </c>
    </row>
    <row r="13" spans="1:16" x14ac:dyDescent="0.25">
      <c r="A13">
        <v>12</v>
      </c>
      <c r="B13" t="s">
        <v>4</v>
      </c>
      <c r="C13">
        <v>46</v>
      </c>
      <c r="D13" s="17">
        <v>45823</v>
      </c>
      <c r="E13" s="17">
        <v>45853</v>
      </c>
      <c r="F13" t="s">
        <v>18</v>
      </c>
      <c r="G13">
        <f>VLOOKUP(RIGHT(B13,1), {"A",14;"B",12;"C",14;"D",14}, 2, FALSE) * C13 + 50</f>
        <v>694</v>
      </c>
      <c r="H13">
        <f t="shared" si="1"/>
        <v>5782</v>
      </c>
      <c r="I13" s="17">
        <f t="shared" si="0"/>
        <v>45827.015277777777</v>
      </c>
      <c r="J13" s="17"/>
    </row>
    <row r="14" spans="1:16" x14ac:dyDescent="0.25">
      <c r="A14">
        <v>13</v>
      </c>
      <c r="B14" t="s">
        <v>6</v>
      </c>
      <c r="C14">
        <v>33</v>
      </c>
      <c r="D14" s="17">
        <v>45823</v>
      </c>
      <c r="E14" s="17">
        <v>45868</v>
      </c>
      <c r="F14" t="s">
        <v>16</v>
      </c>
      <c r="G14">
        <f>VLOOKUP(RIGHT(B14,1), {"A",14;"B",12;"C",14;"D",14}, 2, FALSE) * C14 + 50</f>
        <v>512</v>
      </c>
      <c r="H14">
        <f t="shared" si="1"/>
        <v>6294</v>
      </c>
      <c r="I14" s="17">
        <f t="shared" si="0"/>
        <v>45827.370833333334</v>
      </c>
      <c r="J14" s="17"/>
      <c r="K14" s="21" t="s">
        <v>26</v>
      </c>
      <c r="L14" s="21" t="s">
        <v>27</v>
      </c>
    </row>
    <row r="15" spans="1:16" x14ac:dyDescent="0.25">
      <c r="A15">
        <v>14</v>
      </c>
      <c r="B15" t="s">
        <v>7</v>
      </c>
      <c r="C15">
        <v>35</v>
      </c>
      <c r="D15" s="17">
        <v>45823</v>
      </c>
      <c r="E15" s="17">
        <v>45851</v>
      </c>
      <c r="F15" t="s">
        <v>17</v>
      </c>
      <c r="G15">
        <f>VLOOKUP(RIGHT(B15,1), {"A",14;"B",12;"C",14;"D",14}, 2, FALSE) * C15 + 50</f>
        <v>540</v>
      </c>
      <c r="H15">
        <f t="shared" si="1"/>
        <v>6834</v>
      </c>
      <c r="I15" s="17">
        <f t="shared" si="0"/>
        <v>45827.745833333334</v>
      </c>
      <c r="J15" s="17"/>
      <c r="K15" s="30">
        <f>MAX(L12:P12)</f>
        <v>50166</v>
      </c>
      <c r="L15" s="21">
        <v>5</v>
      </c>
    </row>
    <row r="16" spans="1:16" x14ac:dyDescent="0.25">
      <c r="A16">
        <v>15</v>
      </c>
      <c r="B16" t="s">
        <v>4</v>
      </c>
      <c r="C16">
        <v>54</v>
      </c>
      <c r="D16" s="17">
        <v>45823</v>
      </c>
      <c r="E16" s="17">
        <v>45875</v>
      </c>
      <c r="F16" t="s">
        <v>16</v>
      </c>
      <c r="G16">
        <f>VLOOKUP(RIGHT(B16,1), {"A",14;"B",12;"C",14;"D",14}, 2, FALSE) * C16 + 50</f>
        <v>806</v>
      </c>
      <c r="H16">
        <f t="shared" si="1"/>
        <v>7640</v>
      </c>
      <c r="I16" s="17">
        <f t="shared" si="0"/>
        <v>45830.305555555555</v>
      </c>
      <c r="J16" s="17"/>
    </row>
    <row r="17" spans="1:20" x14ac:dyDescent="0.25">
      <c r="A17">
        <v>16</v>
      </c>
      <c r="B17" t="s">
        <v>7</v>
      </c>
      <c r="C17">
        <v>39</v>
      </c>
      <c r="D17" s="17">
        <v>45823</v>
      </c>
      <c r="E17" s="17">
        <v>45851</v>
      </c>
      <c r="F17" t="s">
        <v>16</v>
      </c>
      <c r="G17">
        <f>VLOOKUP(RIGHT(B17,1), {"A",14;"B",12;"C",14;"D",14}, 2, FALSE) * C17 + 50</f>
        <v>596</v>
      </c>
      <c r="H17">
        <f t="shared" si="1"/>
        <v>8236</v>
      </c>
      <c r="I17" s="17">
        <f t="shared" si="0"/>
        <v>45830.719444444447</v>
      </c>
      <c r="J17" s="17"/>
      <c r="K17" s="21" t="s">
        <v>21</v>
      </c>
    </row>
    <row r="18" spans="1:20" x14ac:dyDescent="0.25">
      <c r="A18">
        <v>17</v>
      </c>
      <c r="B18" t="s">
        <v>7</v>
      </c>
      <c r="C18">
        <v>39</v>
      </c>
      <c r="D18" s="17">
        <v>45823</v>
      </c>
      <c r="E18" s="17">
        <v>45851</v>
      </c>
      <c r="F18" t="s">
        <v>16</v>
      </c>
      <c r="G18">
        <f>VLOOKUP(RIGHT(B18,1), {"A",14;"B",12;"C",14;"D",14}, 2, FALSE) * C18 + 50</f>
        <v>596</v>
      </c>
      <c r="H18">
        <f t="shared" si="1"/>
        <v>8832</v>
      </c>
      <c r="I18" s="17">
        <f t="shared" si="0"/>
        <v>45831.133333333331</v>
      </c>
      <c r="J18" s="17"/>
      <c r="K18" s="31" cm="1">
        <f t="array" ref="K18">SUMPRODUCT((I2:I52&lt;=E2:E52)*1) / COUNTA(I2:I52)</f>
        <v>0.76470588235294112</v>
      </c>
    </row>
    <row r="19" spans="1:20" x14ac:dyDescent="0.25">
      <c r="A19">
        <v>18</v>
      </c>
      <c r="B19" t="s">
        <v>5</v>
      </c>
      <c r="C19">
        <v>46</v>
      </c>
      <c r="D19" s="17">
        <v>45823</v>
      </c>
      <c r="E19" s="17">
        <v>45872</v>
      </c>
      <c r="F19" t="s">
        <v>16</v>
      </c>
      <c r="G19">
        <f>VLOOKUP(RIGHT(B19,1), {"A",14;"B",12;"C",14;"D",14}, 2, FALSE) * C19 + 50</f>
        <v>602</v>
      </c>
      <c r="H19">
        <f t="shared" si="1"/>
        <v>9434</v>
      </c>
      <c r="I19" s="17">
        <f t="shared" si="0"/>
        <v>45831.551388888889</v>
      </c>
      <c r="J19" s="17"/>
      <c r="K19" s="21"/>
      <c r="L19" s="26"/>
    </row>
    <row r="20" spans="1:20" x14ac:dyDescent="0.25">
      <c r="A20">
        <v>19</v>
      </c>
      <c r="B20" t="s">
        <v>5</v>
      </c>
      <c r="C20">
        <v>50</v>
      </c>
      <c r="D20" s="17">
        <v>45823</v>
      </c>
      <c r="E20" s="17">
        <v>45851</v>
      </c>
      <c r="F20" t="s">
        <v>16</v>
      </c>
      <c r="G20">
        <f>VLOOKUP(RIGHT(B20,1), {"A",14;"B",12;"C",14;"D",14}, 2, FALSE) * C20 + 50</f>
        <v>650</v>
      </c>
      <c r="H20">
        <f t="shared" si="1"/>
        <v>10084</v>
      </c>
      <c r="I20" s="17">
        <f t="shared" si="0"/>
        <v>45832.00277777778</v>
      </c>
      <c r="J20" s="17"/>
      <c r="L20" s="20"/>
      <c r="M20" s="20"/>
      <c r="N20" s="20"/>
    </row>
    <row r="21" spans="1:20" x14ac:dyDescent="0.25">
      <c r="A21">
        <v>20</v>
      </c>
      <c r="B21" t="s">
        <v>4</v>
      </c>
      <c r="C21">
        <v>60</v>
      </c>
      <c r="D21" s="17">
        <v>45823</v>
      </c>
      <c r="E21" s="17">
        <v>45860</v>
      </c>
      <c r="F21" t="s">
        <v>15</v>
      </c>
      <c r="G21">
        <f>VLOOKUP(RIGHT(B21,1), {"A",14;"B",12;"C",14;"D",14}, 2, FALSE) * C21 + 50</f>
        <v>890</v>
      </c>
      <c r="H21">
        <f t="shared" si="1"/>
        <v>10974</v>
      </c>
      <c r="I21" s="17">
        <f t="shared" si="0"/>
        <v>45832.620833333334</v>
      </c>
      <c r="J21" s="17"/>
    </row>
    <row r="22" spans="1:20" x14ac:dyDescent="0.25">
      <c r="A22">
        <v>21</v>
      </c>
      <c r="B22" t="s">
        <v>4</v>
      </c>
      <c r="C22">
        <v>61</v>
      </c>
      <c r="D22" s="17">
        <v>45823</v>
      </c>
      <c r="E22" s="17">
        <v>45872</v>
      </c>
      <c r="F22" t="s">
        <v>17</v>
      </c>
      <c r="G22">
        <f>VLOOKUP(RIGHT(B22,1), {"A",14;"B",12;"C",14;"D",14}, 2, FALSE) * C22 + 50</f>
        <v>904</v>
      </c>
      <c r="H22">
        <f t="shared" si="1"/>
        <v>11878</v>
      </c>
      <c r="I22" s="17">
        <f t="shared" si="0"/>
        <v>45833.248611111114</v>
      </c>
      <c r="J22" s="17"/>
    </row>
    <row r="23" spans="1:20" x14ac:dyDescent="0.25">
      <c r="A23">
        <v>22</v>
      </c>
      <c r="B23" t="s">
        <v>6</v>
      </c>
      <c r="C23">
        <v>48</v>
      </c>
      <c r="D23" s="17">
        <v>45823</v>
      </c>
      <c r="E23" s="17">
        <v>45880</v>
      </c>
      <c r="F23" t="s">
        <v>18</v>
      </c>
      <c r="G23">
        <f>VLOOKUP(RIGHT(B23,1), {"A",14;"B",12;"C",14;"D",14}, 2, FALSE) * C23 + 50</f>
        <v>722</v>
      </c>
      <c r="H23">
        <f t="shared" si="1"/>
        <v>12600</v>
      </c>
      <c r="I23" s="17">
        <f t="shared" si="0"/>
        <v>45833.75</v>
      </c>
      <c r="J23" s="17"/>
    </row>
    <row r="24" spans="1:20" x14ac:dyDescent="0.25">
      <c r="A24">
        <v>23</v>
      </c>
      <c r="B24" t="s">
        <v>7</v>
      </c>
      <c r="C24">
        <v>55</v>
      </c>
      <c r="D24" s="17">
        <v>45823</v>
      </c>
      <c r="E24" s="17">
        <v>45875</v>
      </c>
      <c r="F24" t="s">
        <v>16</v>
      </c>
      <c r="G24">
        <f>VLOOKUP(RIGHT(B24,1), {"A",14;"B",12;"C",14;"D",14}, 2, FALSE) * C24 + 50</f>
        <v>820</v>
      </c>
      <c r="H24">
        <f t="shared" si="1"/>
        <v>13420</v>
      </c>
      <c r="I24" s="17">
        <f t="shared" si="0"/>
        <v>45834.319444444445</v>
      </c>
      <c r="J24" s="17"/>
    </row>
    <row r="25" spans="1:20" ht="14.4" thickBot="1" x14ac:dyDescent="0.3">
      <c r="A25">
        <v>24</v>
      </c>
      <c r="B25" t="s">
        <v>5</v>
      </c>
      <c r="C25">
        <v>66</v>
      </c>
      <c r="D25" s="17">
        <v>45823</v>
      </c>
      <c r="E25" s="17">
        <v>45876</v>
      </c>
      <c r="F25" t="s">
        <v>15</v>
      </c>
      <c r="G25">
        <f>VLOOKUP(RIGHT(B25,1), {"A",14;"B",12;"C",14;"D",14}, 2, FALSE) * C25 + 50</f>
        <v>842</v>
      </c>
      <c r="H25">
        <f t="shared" si="1"/>
        <v>14262</v>
      </c>
      <c r="I25" s="17">
        <f t="shared" si="0"/>
        <v>45834.904166666667</v>
      </c>
      <c r="J25" s="17"/>
    </row>
    <row r="26" spans="1:20" x14ac:dyDescent="0.25">
      <c r="A26">
        <v>25</v>
      </c>
      <c r="B26" t="s">
        <v>5</v>
      </c>
      <c r="C26">
        <v>75</v>
      </c>
      <c r="D26" s="17">
        <v>45823</v>
      </c>
      <c r="E26" s="17">
        <v>45852</v>
      </c>
      <c r="F26" t="s">
        <v>17</v>
      </c>
      <c r="G26">
        <f>VLOOKUP(RIGHT(B26,1), {"A",14;"B",12;"C",14;"D",14}, 2, FALSE) * C26 + 50</f>
        <v>950</v>
      </c>
      <c r="H26">
        <f t="shared" si="1"/>
        <v>15212</v>
      </c>
      <c r="I26" s="17">
        <f t="shared" si="0"/>
        <v>45837.563888888886</v>
      </c>
      <c r="J26" s="17"/>
      <c r="S26" s="13">
        <v>10</v>
      </c>
      <c r="T26" s="14" t="s">
        <v>13</v>
      </c>
    </row>
    <row r="27" spans="1:20" x14ac:dyDescent="0.25">
      <c r="A27">
        <v>26</v>
      </c>
      <c r="B27" t="s">
        <v>4</v>
      </c>
      <c r="C27">
        <v>95</v>
      </c>
      <c r="D27" s="17">
        <v>45823</v>
      </c>
      <c r="E27" s="17">
        <v>45881</v>
      </c>
      <c r="F27" t="s">
        <v>16</v>
      </c>
      <c r="G27">
        <f>VLOOKUP(RIGHT(B27,1), {"A",14;"B",12;"C",14;"D",14}, 2, FALSE) * C27 + 50</f>
        <v>1380</v>
      </c>
      <c r="H27">
        <f t="shared" si="1"/>
        <v>16592</v>
      </c>
      <c r="I27" s="17">
        <f t="shared" si="0"/>
        <v>45838.522222222222</v>
      </c>
      <c r="J27" s="17"/>
      <c r="S27" s="15">
        <f>5*24</f>
        <v>120</v>
      </c>
      <c r="T27" s="6" t="s">
        <v>14</v>
      </c>
    </row>
    <row r="28" spans="1:20" x14ac:dyDescent="0.25">
      <c r="A28">
        <v>27</v>
      </c>
      <c r="B28" t="s">
        <v>5</v>
      </c>
      <c r="C28">
        <v>84</v>
      </c>
      <c r="D28" s="17">
        <v>45823</v>
      </c>
      <c r="E28" s="17">
        <v>45883</v>
      </c>
      <c r="F28" t="s">
        <v>17</v>
      </c>
      <c r="G28">
        <f>VLOOKUP(RIGHT(B28,1), {"A",14;"B",12;"C",14;"D",14}, 2, FALSE) * C28 + 50</f>
        <v>1058</v>
      </c>
      <c r="H28">
        <f t="shared" si="1"/>
        <v>17650</v>
      </c>
      <c r="I28" s="17">
        <f t="shared" si="0"/>
        <v>45839.256944444445</v>
      </c>
      <c r="J28" s="17"/>
      <c r="S28" s="15">
        <v>7200</v>
      </c>
      <c r="T28" s="6" t="s">
        <v>20</v>
      </c>
    </row>
    <row r="29" spans="1:20" ht="14.4" thickBot="1" x14ac:dyDescent="0.3">
      <c r="A29">
        <v>28</v>
      </c>
      <c r="B29" t="s">
        <v>5</v>
      </c>
      <c r="C29">
        <v>87</v>
      </c>
      <c r="D29" s="17">
        <v>45823</v>
      </c>
      <c r="E29" s="17">
        <v>45851</v>
      </c>
      <c r="F29" t="s">
        <v>16</v>
      </c>
      <c r="G29">
        <f>VLOOKUP(RIGHT(B29,1), {"A",14;"B",12;"C",14;"D",14}, 2, FALSE) * C29 + 50</f>
        <v>1094</v>
      </c>
      <c r="H29">
        <f t="shared" si="1"/>
        <v>18744</v>
      </c>
      <c r="I29" s="17">
        <f t="shared" si="0"/>
        <v>45840.01666666667</v>
      </c>
      <c r="J29" s="17"/>
      <c r="S29" s="16"/>
      <c r="T29" s="8"/>
    </row>
    <row r="30" spans="1:20" x14ac:dyDescent="0.25">
      <c r="A30">
        <v>29</v>
      </c>
      <c r="B30" t="s">
        <v>4</v>
      </c>
      <c r="C30">
        <v>113</v>
      </c>
      <c r="D30" s="17">
        <v>45823</v>
      </c>
      <c r="E30" s="17">
        <v>45853</v>
      </c>
      <c r="F30" t="s">
        <v>16</v>
      </c>
      <c r="G30">
        <f>VLOOKUP(RIGHT(B30,1), {"A",14;"B",12;"C",14;"D",14}, 2, FALSE) * C30 + 50</f>
        <v>1632</v>
      </c>
      <c r="H30">
        <f t="shared" si="1"/>
        <v>20376</v>
      </c>
      <c r="I30" s="17">
        <f t="shared" si="0"/>
        <v>45841.15</v>
      </c>
      <c r="J30" s="17"/>
    </row>
    <row r="31" spans="1:20" x14ac:dyDescent="0.25">
      <c r="A31">
        <v>30</v>
      </c>
      <c r="B31" t="s">
        <v>5</v>
      </c>
      <c r="C31">
        <v>96</v>
      </c>
      <c r="D31" s="17">
        <v>45823</v>
      </c>
      <c r="E31" s="17">
        <v>45865</v>
      </c>
      <c r="F31" t="s">
        <v>16</v>
      </c>
      <c r="G31">
        <f>VLOOKUP(RIGHT(B31,1), {"A",14;"B",12;"C",14;"D",14}, 2, FALSE) * C31 + 50</f>
        <v>1202</v>
      </c>
      <c r="H31">
        <f t="shared" si="1"/>
        <v>21578</v>
      </c>
      <c r="I31" s="17">
        <f t="shared" si="0"/>
        <v>45841.984722222223</v>
      </c>
      <c r="J31" s="17"/>
    </row>
    <row r="32" spans="1:20" x14ac:dyDescent="0.25">
      <c r="A32">
        <v>31</v>
      </c>
      <c r="B32" t="s">
        <v>4</v>
      </c>
      <c r="C32">
        <v>117</v>
      </c>
      <c r="D32" s="17">
        <v>45823</v>
      </c>
      <c r="E32" s="17">
        <v>45879</v>
      </c>
      <c r="F32" t="s">
        <v>15</v>
      </c>
      <c r="G32">
        <f>VLOOKUP(RIGHT(B32,1), {"A",14;"B",12;"C",14;"D",14}, 2, FALSE) * C32 + 50</f>
        <v>1688</v>
      </c>
      <c r="H32">
        <f t="shared" si="1"/>
        <v>23266</v>
      </c>
      <c r="I32" s="17">
        <f t="shared" si="0"/>
        <v>45845.156944444447</v>
      </c>
      <c r="J32" s="17"/>
    </row>
    <row r="33" spans="1:10" x14ac:dyDescent="0.25">
      <c r="A33">
        <v>32</v>
      </c>
      <c r="B33" t="s">
        <v>4</v>
      </c>
      <c r="C33">
        <v>118</v>
      </c>
      <c r="D33" s="17">
        <v>45823</v>
      </c>
      <c r="E33" s="17">
        <v>45859</v>
      </c>
      <c r="F33" t="s">
        <v>18</v>
      </c>
      <c r="G33">
        <f>VLOOKUP(RIGHT(B33,1), {"A",14;"B",12;"C",14;"D",14}, 2, FALSE) * C33 + 50</f>
        <v>1702</v>
      </c>
      <c r="H33">
        <f t="shared" si="1"/>
        <v>24968</v>
      </c>
      <c r="I33" s="17">
        <f t="shared" si="0"/>
        <v>45846.338888888888</v>
      </c>
      <c r="J33" s="17"/>
    </row>
    <row r="34" spans="1:10" x14ac:dyDescent="0.25">
      <c r="A34">
        <v>33</v>
      </c>
      <c r="B34" t="s">
        <v>4</v>
      </c>
      <c r="C34">
        <v>118</v>
      </c>
      <c r="D34" s="17">
        <v>45823</v>
      </c>
      <c r="E34" s="17">
        <v>45851</v>
      </c>
      <c r="F34" t="s">
        <v>15</v>
      </c>
      <c r="G34">
        <f>VLOOKUP(RIGHT(B34,1), {"A",14;"B",12;"C",14;"D",14}, 2, FALSE) * C34 + 50</f>
        <v>1702</v>
      </c>
      <c r="H34">
        <f t="shared" si="1"/>
        <v>26670</v>
      </c>
      <c r="I34" s="17">
        <f t="shared" ref="I34:I52" si="2">WORKDAY.INTL(D34,INT(H34/1440),7) + MOD(H34/1440,1)</f>
        <v>45847.520833333336</v>
      </c>
      <c r="J34" s="17"/>
    </row>
    <row r="35" spans="1:10" x14ac:dyDescent="0.25">
      <c r="A35">
        <v>34</v>
      </c>
      <c r="B35" t="s">
        <v>5</v>
      </c>
      <c r="C35">
        <v>99</v>
      </c>
      <c r="D35" s="17">
        <v>45823</v>
      </c>
      <c r="E35" s="17">
        <v>45866</v>
      </c>
      <c r="F35" t="s">
        <v>17</v>
      </c>
      <c r="G35">
        <f>VLOOKUP(RIGHT(B35,1), {"A",14;"B",12;"C",14;"D",14}, 2, FALSE) * C35 + 50</f>
        <v>1238</v>
      </c>
      <c r="H35">
        <f t="shared" si="1"/>
        <v>27908</v>
      </c>
      <c r="I35" s="17">
        <f t="shared" si="2"/>
        <v>45848.380555555559</v>
      </c>
      <c r="J35" s="17"/>
    </row>
    <row r="36" spans="1:10" x14ac:dyDescent="0.25">
      <c r="A36">
        <v>35</v>
      </c>
      <c r="B36" t="s">
        <v>4</v>
      </c>
      <c r="C36">
        <v>121</v>
      </c>
      <c r="D36" s="17">
        <v>45823</v>
      </c>
      <c r="E36" s="17">
        <v>45866</v>
      </c>
      <c r="F36" t="s">
        <v>18</v>
      </c>
      <c r="G36">
        <f>VLOOKUP(RIGHT(B36,1), {"A",14;"B",12;"C",14;"D",14}, 2, FALSE) * C36 + 50</f>
        <v>1744</v>
      </c>
      <c r="H36">
        <f t="shared" si="1"/>
        <v>29652</v>
      </c>
      <c r="I36" s="17">
        <f t="shared" si="2"/>
        <v>45851.591666666667</v>
      </c>
      <c r="J36" s="17"/>
    </row>
    <row r="37" spans="1:10" x14ac:dyDescent="0.25">
      <c r="A37">
        <v>36</v>
      </c>
      <c r="B37" t="s">
        <v>7</v>
      </c>
      <c r="C37">
        <v>88</v>
      </c>
      <c r="D37" s="17">
        <v>45823</v>
      </c>
      <c r="E37" s="17">
        <v>45858</v>
      </c>
      <c r="F37" t="s">
        <v>15</v>
      </c>
      <c r="G37">
        <f>VLOOKUP(RIGHT(B37,1), {"A",14;"B",12;"C",14;"D",14}, 2, FALSE) * C37 + 50</f>
        <v>1282</v>
      </c>
      <c r="H37">
        <f t="shared" si="1"/>
        <v>30934</v>
      </c>
      <c r="I37" s="17">
        <f t="shared" si="2"/>
        <v>45852.481944444444</v>
      </c>
      <c r="J37" s="17"/>
    </row>
    <row r="38" spans="1:10" x14ac:dyDescent="0.25">
      <c r="A38">
        <v>37</v>
      </c>
      <c r="B38" t="s">
        <v>7</v>
      </c>
      <c r="C38">
        <v>90</v>
      </c>
      <c r="D38" s="17">
        <v>45823</v>
      </c>
      <c r="E38" s="17">
        <v>45867</v>
      </c>
      <c r="F38" t="s">
        <v>16</v>
      </c>
      <c r="G38">
        <f>VLOOKUP(RIGHT(B38,1), {"A",14;"B",12;"C",14;"D",14}, 2, FALSE) * C38 + 50</f>
        <v>1310</v>
      </c>
      <c r="H38">
        <f t="shared" si="1"/>
        <v>32244</v>
      </c>
      <c r="I38" s="17">
        <f t="shared" si="2"/>
        <v>45853.39166666667</v>
      </c>
      <c r="J38" s="17"/>
    </row>
    <row r="39" spans="1:10" x14ac:dyDescent="0.25">
      <c r="A39">
        <v>38</v>
      </c>
      <c r="B39" t="s">
        <v>7</v>
      </c>
      <c r="C39">
        <v>90</v>
      </c>
      <c r="D39" s="17">
        <v>45823</v>
      </c>
      <c r="E39" s="17">
        <v>45851</v>
      </c>
      <c r="F39" t="s">
        <v>15</v>
      </c>
      <c r="G39">
        <f>VLOOKUP(RIGHT(B39,1), {"A",14;"B",12;"C",14;"D",14}, 2, FALSE) * C39 + 50</f>
        <v>1310</v>
      </c>
      <c r="H39">
        <f t="shared" si="1"/>
        <v>33554</v>
      </c>
      <c r="I39" s="17">
        <f t="shared" si="2"/>
        <v>45854.301388888889</v>
      </c>
      <c r="J39" s="17"/>
    </row>
    <row r="40" spans="1:10" x14ac:dyDescent="0.25">
      <c r="A40">
        <v>39</v>
      </c>
      <c r="B40" t="s">
        <v>7</v>
      </c>
      <c r="C40">
        <v>100</v>
      </c>
      <c r="D40" s="17">
        <v>45823</v>
      </c>
      <c r="E40" s="17">
        <v>45868</v>
      </c>
      <c r="F40" t="s">
        <v>18</v>
      </c>
      <c r="G40">
        <f>VLOOKUP(RIGHT(B40,1), {"A",14;"B",12;"C",14;"D",14}, 2, FALSE) * C40 + 50</f>
        <v>1450</v>
      </c>
      <c r="H40">
        <f t="shared" si="1"/>
        <v>35004</v>
      </c>
      <c r="I40" s="17">
        <f t="shared" si="2"/>
        <v>45855.308333333334</v>
      </c>
      <c r="J40" s="17"/>
    </row>
    <row r="41" spans="1:10" x14ac:dyDescent="0.25">
      <c r="A41">
        <v>40</v>
      </c>
      <c r="B41" t="s">
        <v>6</v>
      </c>
      <c r="C41">
        <v>102</v>
      </c>
      <c r="D41" s="17">
        <v>45823</v>
      </c>
      <c r="E41" s="17">
        <v>45859</v>
      </c>
      <c r="F41" t="s">
        <v>16</v>
      </c>
      <c r="G41">
        <f>VLOOKUP(RIGHT(B41,1), {"A",14;"B",12;"C",14;"D",14}, 2, FALSE) * C41 + 50</f>
        <v>1478</v>
      </c>
      <c r="H41">
        <f t="shared" si="1"/>
        <v>36482</v>
      </c>
      <c r="I41" s="17">
        <f t="shared" si="2"/>
        <v>45858.334722222222</v>
      </c>
      <c r="J41" s="17"/>
    </row>
    <row r="42" spans="1:10" x14ac:dyDescent="0.25">
      <c r="A42">
        <v>41</v>
      </c>
      <c r="B42" t="s">
        <v>6</v>
      </c>
      <c r="C42">
        <v>102</v>
      </c>
      <c r="D42" s="17">
        <v>45823</v>
      </c>
      <c r="E42" s="17">
        <v>45851</v>
      </c>
      <c r="F42" t="s">
        <v>17</v>
      </c>
      <c r="G42">
        <f>VLOOKUP(RIGHT(B42,1), {"A",14;"B",12;"C",14;"D",14}, 2, FALSE) * C42 + 50</f>
        <v>1478</v>
      </c>
      <c r="H42">
        <f t="shared" si="1"/>
        <v>37960</v>
      </c>
      <c r="I42" s="17">
        <f t="shared" si="2"/>
        <v>45859.361111111109</v>
      </c>
      <c r="J42" s="17"/>
    </row>
    <row r="43" spans="1:10" x14ac:dyDescent="0.25">
      <c r="A43">
        <v>42</v>
      </c>
      <c r="B43" t="s">
        <v>5</v>
      </c>
      <c r="C43">
        <v>120</v>
      </c>
      <c r="D43" s="17">
        <v>45823</v>
      </c>
      <c r="E43" s="17">
        <v>45851</v>
      </c>
      <c r="F43" t="s">
        <v>16</v>
      </c>
      <c r="G43">
        <f>VLOOKUP(RIGHT(B43,1), {"A",14;"B",12;"C",14;"D",14}, 2, FALSE) * C43 + 50</f>
        <v>1490</v>
      </c>
      <c r="H43">
        <f t="shared" si="1"/>
        <v>39450</v>
      </c>
      <c r="I43" s="17">
        <f t="shared" si="2"/>
        <v>45860.395833333336</v>
      </c>
      <c r="J43" s="17"/>
    </row>
    <row r="44" spans="1:10" x14ac:dyDescent="0.25">
      <c r="A44">
        <v>43</v>
      </c>
      <c r="B44" t="s">
        <v>6</v>
      </c>
      <c r="C44">
        <v>104</v>
      </c>
      <c r="D44" s="17">
        <v>45823</v>
      </c>
      <c r="E44" s="17">
        <v>45851</v>
      </c>
      <c r="F44" t="s">
        <v>16</v>
      </c>
      <c r="G44">
        <f>VLOOKUP(RIGHT(B44,1), {"A",14;"B",12;"C",14;"D",14}, 2, FALSE) * C44 + 50</f>
        <v>1506</v>
      </c>
      <c r="H44">
        <f t="shared" si="1"/>
        <v>40956</v>
      </c>
      <c r="I44" s="17">
        <f t="shared" si="2"/>
        <v>45861.441666666666</v>
      </c>
      <c r="J44" s="17"/>
    </row>
    <row r="45" spans="1:10" x14ac:dyDescent="0.25">
      <c r="A45">
        <v>44</v>
      </c>
      <c r="B45" t="s">
        <v>5</v>
      </c>
      <c r="C45">
        <v>126</v>
      </c>
      <c r="D45" s="17">
        <v>45823</v>
      </c>
      <c r="E45" s="17">
        <v>45861</v>
      </c>
      <c r="F45" t="s">
        <v>17</v>
      </c>
      <c r="G45">
        <f>VLOOKUP(RIGHT(B45,1), {"A",14;"B",12;"C",14;"D",14}, 2, FALSE) * C45 + 50</f>
        <v>1562</v>
      </c>
      <c r="H45">
        <f t="shared" si="1"/>
        <v>42518</v>
      </c>
      <c r="I45" s="17">
        <f t="shared" si="2"/>
        <v>45862.526388888888</v>
      </c>
      <c r="J45" s="17"/>
    </row>
    <row r="46" spans="1:10" x14ac:dyDescent="0.25">
      <c r="A46">
        <v>45</v>
      </c>
      <c r="B46" t="s">
        <v>6</v>
      </c>
      <c r="C46">
        <v>114</v>
      </c>
      <c r="D46" s="17">
        <v>45823</v>
      </c>
      <c r="E46" s="17">
        <v>45859</v>
      </c>
      <c r="F46" t="s">
        <v>16</v>
      </c>
      <c r="G46">
        <f>VLOOKUP(RIGHT(B46,1), {"A",14;"B",12;"C",14;"D",14}, 2, FALSE) * C46 + 50</f>
        <v>1646</v>
      </c>
      <c r="H46">
        <f t="shared" si="1"/>
        <v>44164</v>
      </c>
      <c r="I46" s="17">
        <f t="shared" si="2"/>
        <v>45865.669444444444</v>
      </c>
      <c r="J46" s="17"/>
    </row>
    <row r="47" spans="1:10" x14ac:dyDescent="0.25">
      <c r="A47">
        <v>46</v>
      </c>
      <c r="B47" t="s">
        <v>6</v>
      </c>
      <c r="C47">
        <v>127</v>
      </c>
      <c r="D47" s="17">
        <v>45823</v>
      </c>
      <c r="E47" s="17">
        <v>45866</v>
      </c>
      <c r="F47" t="s">
        <v>15</v>
      </c>
      <c r="G47">
        <f>VLOOKUP(RIGHT(B47,1), {"A",14;"B",12;"C",14;"D",14}, 2, FALSE) * C47 + 50</f>
        <v>1828</v>
      </c>
      <c r="H47">
        <f t="shared" si="1"/>
        <v>45992</v>
      </c>
      <c r="I47" s="17">
        <f t="shared" si="2"/>
        <v>45866.938888888886</v>
      </c>
      <c r="J47" s="17"/>
    </row>
    <row r="48" spans="1:10" x14ac:dyDescent="0.25">
      <c r="A48">
        <v>47</v>
      </c>
      <c r="B48" t="s">
        <v>6</v>
      </c>
      <c r="C48">
        <v>138</v>
      </c>
      <c r="D48" s="17">
        <v>45823</v>
      </c>
      <c r="E48" s="17">
        <v>45865</v>
      </c>
      <c r="F48" t="s">
        <v>18</v>
      </c>
      <c r="G48">
        <f>VLOOKUP(RIGHT(B48,1), {"A",14;"B",12;"C",14;"D",14}, 2, FALSE) * C48 + 50</f>
        <v>1982</v>
      </c>
      <c r="H48">
        <f t="shared" si="1"/>
        <v>47974</v>
      </c>
      <c r="I48" s="17">
        <f t="shared" si="2"/>
        <v>45868.31527777778</v>
      </c>
      <c r="J48" s="17"/>
    </row>
    <row r="49" spans="1:10" x14ac:dyDescent="0.25">
      <c r="A49">
        <v>48</v>
      </c>
      <c r="B49" t="s">
        <v>6</v>
      </c>
      <c r="C49">
        <v>140</v>
      </c>
      <c r="D49" s="17">
        <v>45823</v>
      </c>
      <c r="E49" s="17">
        <v>45866</v>
      </c>
      <c r="F49" t="s">
        <v>17</v>
      </c>
      <c r="G49">
        <f>VLOOKUP(RIGHT(B49,1), {"A",14;"B",12;"C",14;"D",14}, 2, FALSE) * C49 + 50</f>
        <v>2010</v>
      </c>
      <c r="H49">
        <f t="shared" si="1"/>
        <v>49984</v>
      </c>
      <c r="I49" s="17">
        <f t="shared" si="2"/>
        <v>45869.711111111108</v>
      </c>
      <c r="J49" s="17"/>
    </row>
    <row r="50" spans="1:10" x14ac:dyDescent="0.25">
      <c r="A50">
        <v>49</v>
      </c>
      <c r="B50" t="s">
        <v>7</v>
      </c>
      <c r="C50">
        <v>143</v>
      </c>
      <c r="D50" s="17">
        <v>45823</v>
      </c>
      <c r="E50" s="17">
        <v>45851</v>
      </c>
      <c r="F50" t="s">
        <v>18</v>
      </c>
      <c r="G50">
        <f>VLOOKUP(RIGHT(B50,1), {"A",14;"B",12;"C",14;"D",14}, 2, FALSE) * C50 + 50</f>
        <v>2052</v>
      </c>
      <c r="H50">
        <f t="shared" si="1"/>
        <v>52036</v>
      </c>
      <c r="I50" s="17">
        <f t="shared" si="2"/>
        <v>45873.136111111111</v>
      </c>
      <c r="J50" s="17"/>
    </row>
    <row r="51" spans="1:10" x14ac:dyDescent="0.25">
      <c r="A51">
        <v>50</v>
      </c>
      <c r="B51" t="s">
        <v>7</v>
      </c>
      <c r="C51">
        <v>148</v>
      </c>
      <c r="D51" s="17">
        <v>45823</v>
      </c>
      <c r="E51" s="17">
        <v>45851</v>
      </c>
      <c r="F51" t="s">
        <v>16</v>
      </c>
      <c r="G51">
        <f>VLOOKUP(RIGHT(B51,1), {"A",14;"B",12;"C",14;"D",14}, 2, FALSE) * C51 + 50</f>
        <v>2122</v>
      </c>
      <c r="H51">
        <f t="shared" si="1"/>
        <v>54158</v>
      </c>
      <c r="I51" s="17">
        <f t="shared" si="2"/>
        <v>45874.609722222223</v>
      </c>
      <c r="J51" s="17"/>
    </row>
    <row r="52" spans="1:10" x14ac:dyDescent="0.25">
      <c r="A52">
        <v>51</v>
      </c>
      <c r="B52" t="s">
        <v>6</v>
      </c>
      <c r="C52">
        <v>149</v>
      </c>
      <c r="D52" s="17">
        <v>45823</v>
      </c>
      <c r="E52" s="17">
        <v>45854</v>
      </c>
      <c r="F52" t="s">
        <v>17</v>
      </c>
      <c r="G52">
        <f>VLOOKUP(RIGHT(B52,1), {"A",14;"B",12;"C",14;"D",14}, 2, FALSE) * C52 + 50</f>
        <v>2136</v>
      </c>
      <c r="H52">
        <f t="shared" si="1"/>
        <v>56294</v>
      </c>
      <c r="I52" s="17">
        <f t="shared" si="2"/>
        <v>45876.093055555553</v>
      </c>
      <c r="J52" s="17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18FF-6F7D-4F95-A54A-93C013A0C465}">
  <dimension ref="A1:V52"/>
  <sheetViews>
    <sheetView rightToLeft="1" topLeftCell="B1" zoomScaleNormal="100" workbookViewId="0">
      <selection activeCell="L12" sqref="A1:XFD1048576"/>
    </sheetView>
  </sheetViews>
  <sheetFormatPr defaultRowHeight="13.8" x14ac:dyDescent="0.25"/>
  <cols>
    <col min="1" max="1" width="10.69921875" bestFit="1" customWidth="1"/>
    <col min="2" max="2" width="8.5" bestFit="1" customWidth="1"/>
    <col min="3" max="3" width="8.59765625" bestFit="1" customWidth="1"/>
    <col min="4" max="4" width="15.69921875" bestFit="1" customWidth="1"/>
    <col min="5" max="5" width="17.69921875" customWidth="1"/>
    <col min="6" max="6" width="8" bestFit="1" customWidth="1"/>
    <col min="7" max="7" width="10.8984375" bestFit="1" customWidth="1"/>
    <col min="8" max="8" width="8.8984375" bestFit="1" customWidth="1"/>
    <col min="9" max="9" width="16.5" style="20" bestFit="1" customWidth="1"/>
    <col min="10" max="10" width="12.3984375" bestFit="1" customWidth="1"/>
    <col min="11" max="11" width="18.19921875" customWidth="1"/>
    <col min="12" max="12" width="11" bestFit="1" customWidth="1"/>
    <col min="13" max="13" width="15.3984375" bestFit="1" customWidth="1"/>
    <col min="14" max="14" width="15.796875" bestFit="1" customWidth="1"/>
    <col min="15" max="15" width="14.8984375" bestFit="1" customWidth="1"/>
    <col min="16" max="16" width="16.19921875" bestFit="1" customWidth="1"/>
    <col min="17" max="17" width="16.69921875" bestFit="1" customWidth="1"/>
  </cols>
  <sheetData>
    <row r="1" spans="1:18" ht="14.4" thickBot="1" x14ac:dyDescent="0.3">
      <c r="A1" t="s">
        <v>19</v>
      </c>
      <c r="B1" s="1" t="s">
        <v>0</v>
      </c>
      <c r="C1" s="2" t="s">
        <v>1</v>
      </c>
      <c r="D1" s="2" t="s">
        <v>22</v>
      </c>
      <c r="E1" s="2" t="s">
        <v>2</v>
      </c>
      <c r="F1" s="2" t="s">
        <v>3</v>
      </c>
      <c r="G1" s="25" t="s">
        <v>23</v>
      </c>
      <c r="H1" s="25" t="s">
        <v>28</v>
      </c>
      <c r="I1" s="25" t="s">
        <v>24</v>
      </c>
      <c r="J1" s="38" t="s">
        <v>35</v>
      </c>
      <c r="K1" s="21" t="s">
        <v>34</v>
      </c>
      <c r="L1" s="22"/>
      <c r="M1" s="23" t="s">
        <v>0</v>
      </c>
      <c r="N1" s="5" t="s">
        <v>9</v>
      </c>
      <c r="O1" s="5" t="s">
        <v>8</v>
      </c>
      <c r="P1" s="5" t="s">
        <v>10</v>
      </c>
      <c r="Q1" s="5" t="s">
        <v>11</v>
      </c>
      <c r="R1" s="5" t="s">
        <v>12</v>
      </c>
    </row>
    <row r="2" spans="1:18" ht="14.4" thickBot="1" x14ac:dyDescent="0.3">
      <c r="A2">
        <v>33</v>
      </c>
      <c r="B2" t="s">
        <v>4</v>
      </c>
      <c r="C2">
        <v>118</v>
      </c>
      <c r="D2" s="17">
        <v>45830</v>
      </c>
      <c r="E2" s="17">
        <v>45851</v>
      </c>
      <c r="F2" t="s">
        <v>15</v>
      </c>
      <c r="G2">
        <f>VLOOKUP(RIGHT(B2,1), {"A",10;"B",12;"C",14;"D",14}, 2, FALSE) * C2 + 50*K2</f>
        <v>1230</v>
      </c>
      <c r="H2">
        <f>$G2</f>
        <v>1230</v>
      </c>
      <c r="I2" s="39">
        <f>WORKDAY.INTL(D2,INT(H2/1440),7) + MOD(H2/1440,1)</f>
        <v>45830.854166666664</v>
      </c>
      <c r="J2" s="39">
        <f>WORKDAY.INTL(E2, -QUOTIENT($O$15,1440), 7) - MOD($O$15,1440)/1440</f>
        <v>45850.875</v>
      </c>
      <c r="K2" s="21">
        <f>IF(ROW()=2,1,IF(B2&lt;&gt;B1,1,0))</f>
        <v>1</v>
      </c>
      <c r="L2" s="17"/>
      <c r="M2" s="24" t="s">
        <v>4</v>
      </c>
      <c r="N2" s="10">
        <v>5</v>
      </c>
      <c r="O2" s="3">
        <v>8</v>
      </c>
      <c r="P2" s="3">
        <v>14</v>
      </c>
      <c r="Q2" s="3">
        <v>6</v>
      </c>
      <c r="R2" s="9">
        <v>10</v>
      </c>
    </row>
    <row r="3" spans="1:18" ht="14.4" thickBot="1" x14ac:dyDescent="0.3">
      <c r="A3">
        <v>19</v>
      </c>
      <c r="B3" t="s">
        <v>5</v>
      </c>
      <c r="C3">
        <v>50</v>
      </c>
      <c r="D3" s="17">
        <v>45830</v>
      </c>
      <c r="E3" s="17">
        <v>45851</v>
      </c>
      <c r="F3" t="s">
        <v>16</v>
      </c>
      <c r="G3">
        <f>VLOOKUP(RIGHT(B3,1), {"A",10;"B",12;"C",14;"D",14}, 2, FALSE) * C3 + 50*K3</f>
        <v>650</v>
      </c>
      <c r="H3">
        <f>H2 + G3</f>
        <v>1880</v>
      </c>
      <c r="I3" s="39">
        <f>WORKDAY.INTL(D3,INT(H3/1440),7) + MOD(H3/1440,1)</f>
        <v>45831.305555555555</v>
      </c>
      <c r="J3" s="39">
        <f>WORKDAY.INTL(E3, -QUOTIENT($O$15,1440), 7) - MOD($O$15,1440)/1440</f>
        <v>45850.875</v>
      </c>
      <c r="K3" s="21">
        <f>IF(ROW()=2,1,IF(B3&lt;&gt;B2,1,0))</f>
        <v>1</v>
      </c>
      <c r="L3" s="17"/>
      <c r="M3" s="24" t="s">
        <v>5</v>
      </c>
      <c r="N3" s="11">
        <v>7</v>
      </c>
      <c r="O3" s="4">
        <v>6</v>
      </c>
      <c r="P3" s="4">
        <v>11</v>
      </c>
      <c r="Q3" s="4">
        <v>6</v>
      </c>
      <c r="R3" s="6">
        <v>12</v>
      </c>
    </row>
    <row r="4" spans="1:18" ht="14.4" thickBot="1" x14ac:dyDescent="0.3">
      <c r="A4">
        <v>28</v>
      </c>
      <c r="B4" t="s">
        <v>5</v>
      </c>
      <c r="C4">
        <v>87</v>
      </c>
      <c r="D4" s="17">
        <v>45830</v>
      </c>
      <c r="E4" s="17">
        <v>45851</v>
      </c>
      <c r="F4" t="s">
        <v>16</v>
      </c>
      <c r="G4">
        <f>VLOOKUP(RIGHT(B4,1), {"A",10;"B",12;"C",14;"D",14}, 2, FALSE) * C4 + 50*K4</f>
        <v>1044</v>
      </c>
      <c r="H4">
        <f t="shared" ref="H4:H52" si="0">H3 + G4</f>
        <v>2924</v>
      </c>
      <c r="I4" s="39">
        <f>WORKDAY.INTL(D4,INT(H4/1440),7) + MOD(H4/1440,1)</f>
        <v>45832.030555555553</v>
      </c>
      <c r="J4" s="39">
        <f>WORKDAY.INTL(E4, -QUOTIENT($O$15,1440), 7) - MOD($O$15,1440)/1440</f>
        <v>45850.875</v>
      </c>
      <c r="K4" s="21">
        <f>IF(ROW()=2,1,IF(B4&lt;&gt;B3,1,0))</f>
        <v>0</v>
      </c>
      <c r="L4" s="17"/>
      <c r="M4" s="24" t="s">
        <v>6</v>
      </c>
      <c r="N4" s="11">
        <v>10</v>
      </c>
      <c r="O4" s="4">
        <v>10</v>
      </c>
      <c r="P4" s="4">
        <v>10</v>
      </c>
      <c r="Q4" s="4">
        <v>6</v>
      </c>
      <c r="R4" s="6">
        <v>14</v>
      </c>
    </row>
    <row r="5" spans="1:18" ht="14.4" thickBot="1" x14ac:dyDescent="0.3">
      <c r="A5">
        <v>42</v>
      </c>
      <c r="B5" t="s">
        <v>5</v>
      </c>
      <c r="C5">
        <v>120</v>
      </c>
      <c r="D5" s="17">
        <v>45830</v>
      </c>
      <c r="E5" s="17">
        <v>45851</v>
      </c>
      <c r="F5" t="s">
        <v>16</v>
      </c>
      <c r="G5">
        <f>VLOOKUP(RIGHT(B5,1), {"A",10;"B",12;"C",14;"D",14}, 2, FALSE) * C5 + 50*K5</f>
        <v>1440</v>
      </c>
      <c r="H5">
        <f t="shared" si="0"/>
        <v>4364</v>
      </c>
      <c r="I5" s="39">
        <f>WORKDAY.INTL(D5,INT(H5/1440),7) + MOD(H5/1440,1)</f>
        <v>45833.030555555553</v>
      </c>
      <c r="J5" s="39">
        <f>WORKDAY.INTL(E5, -QUOTIENT($O$15,1440), 7) - MOD($O$15,1440)/1440</f>
        <v>45850.875</v>
      </c>
      <c r="K5" s="21">
        <f>IF(ROW()=2,1,IF(B5&lt;&gt;B4,1,0))</f>
        <v>0</v>
      </c>
      <c r="L5" s="17"/>
      <c r="M5" s="24" t="s">
        <v>7</v>
      </c>
      <c r="N5" s="12">
        <v>6</v>
      </c>
      <c r="O5" s="7">
        <v>7</v>
      </c>
      <c r="P5" s="7">
        <v>12</v>
      </c>
      <c r="Q5" s="7">
        <v>6</v>
      </c>
      <c r="R5" s="8">
        <v>14</v>
      </c>
    </row>
    <row r="6" spans="1:18" x14ac:dyDescent="0.25">
      <c r="A6">
        <v>43</v>
      </c>
      <c r="B6" t="s">
        <v>6</v>
      </c>
      <c r="C6">
        <v>104</v>
      </c>
      <c r="D6" s="17">
        <v>45830</v>
      </c>
      <c r="E6" s="17">
        <v>45851</v>
      </c>
      <c r="F6" t="s">
        <v>16</v>
      </c>
      <c r="G6">
        <f>VLOOKUP(RIGHT(B6,1), {"A",10;"B",12;"C",14;"D",14}, 2, FALSE) * C6 + 50*K6</f>
        <v>1506</v>
      </c>
      <c r="H6">
        <f t="shared" si="0"/>
        <v>5870</v>
      </c>
      <c r="I6" s="39">
        <f>WORKDAY.INTL(D6,INT(H6/1440),7) + MOD(H6/1440,1)</f>
        <v>45834.076388888891</v>
      </c>
      <c r="J6" s="39">
        <f>WORKDAY.INTL(E6, -QUOTIENT($O$15,1440), 7) - MOD($O$15,1440)/1440</f>
        <v>45850.875</v>
      </c>
      <c r="K6" s="21">
        <f>IF(ROW()=2,1,IF(B6&lt;&gt;B5,1,0))</f>
        <v>1</v>
      </c>
      <c r="L6" s="17"/>
      <c r="M6" s="27"/>
      <c r="N6" s="18"/>
      <c r="O6" s="28"/>
      <c r="P6" s="28"/>
      <c r="Q6" s="28"/>
      <c r="R6" s="29"/>
    </row>
    <row r="7" spans="1:18" x14ac:dyDescent="0.25">
      <c r="A7">
        <v>8</v>
      </c>
      <c r="B7" t="s">
        <v>6</v>
      </c>
      <c r="C7">
        <v>30</v>
      </c>
      <c r="D7" s="17">
        <v>45830</v>
      </c>
      <c r="E7" s="17">
        <v>45851</v>
      </c>
      <c r="F7" t="s">
        <v>17</v>
      </c>
      <c r="G7">
        <f>VLOOKUP(RIGHT(B7,1), {"A",10;"B",12;"C",14;"D",14}, 2, FALSE) * C7 + 50*K7</f>
        <v>420</v>
      </c>
      <c r="H7">
        <f t="shared" si="0"/>
        <v>6290</v>
      </c>
      <c r="I7" s="39">
        <f>WORKDAY.INTL(D7,INT(H7/1440),7) + MOD(H7/1440,1)</f>
        <v>45834.368055555555</v>
      </c>
      <c r="J7" s="39">
        <f>WORKDAY.INTL(E7, -QUOTIENT($O$15,1440), 7) - MOD($O$15,1440)/1440</f>
        <v>45850.875</v>
      </c>
      <c r="K7" s="21">
        <f>IF(ROW()=2,1,IF(B7&lt;&gt;B6,1,0))</f>
        <v>0</v>
      </c>
      <c r="L7" s="34" t="s">
        <v>30</v>
      </c>
      <c r="M7" s="34"/>
      <c r="N7" s="33" cm="1">
        <f t="array" ref="N7">SUMPRODUCT($C$2:$C$52,
            INDEX($N$2:$R$5, MATCH($B$2:$B$52, $M$2:$M$5, 0), 1)
) + 10*SUM($K$2:$K$52)</f>
        <v>28638</v>
      </c>
      <c r="O7" s="33" cm="1">
        <f t="array" ref="O7">SUMPRODUCT($C$2:$C$52,
            INDEX($N$2:$R$5, MATCH($B$2:$B$52, $M$2:$M$5, 0), 2)
) + 10*SUM($K$2:$K$52)</f>
        <v>31651</v>
      </c>
      <c r="P7" s="33" cm="1">
        <f t="array" ref="P7">SUMPRODUCT($C$2:$C$52,
            INDEX($N$2:$R$5, MATCH($B$2:$B$52, $M$2:$M$5, 0), 3)
) + 10*SUM($K$2:$K$52)</f>
        <v>46838</v>
      </c>
      <c r="Q7" s="33" cm="1">
        <f t="array" ref="Q7">SUMPRODUCT($C$2:$C$52,
            INDEX($N$2:$R$5, MATCH($B$2:$B$52, $M$2:$M$5, 0), 4)
) + 10*SUM($K$2:$K$52)</f>
        <v>24172</v>
      </c>
      <c r="R7" s="33" cm="1">
        <f t="array" ref="R7">SUMPRODUCT($C$2:$C$52,
            INDEX($N$2:$R$5, MATCH($B$2:$B$52, $M$2:$M$5, 0), 5)
) + 10*SUM($K$2:$K$52)</f>
        <v>49996</v>
      </c>
    </row>
    <row r="8" spans="1:18" x14ac:dyDescent="0.25">
      <c r="A8">
        <v>41</v>
      </c>
      <c r="B8" t="s">
        <v>6</v>
      </c>
      <c r="C8">
        <v>102</v>
      </c>
      <c r="D8" s="17">
        <v>45830</v>
      </c>
      <c r="E8" s="17">
        <v>45851</v>
      </c>
      <c r="F8" t="s">
        <v>17</v>
      </c>
      <c r="G8">
        <f>VLOOKUP(RIGHT(B8,1), {"A",10;"B",12;"C",14;"D",14}, 2, FALSE) * C8 + 50*K8</f>
        <v>1428</v>
      </c>
      <c r="H8">
        <f t="shared" si="0"/>
        <v>7718</v>
      </c>
      <c r="I8" s="39">
        <f>WORKDAY.INTL(D8,INT(H8/1440),7) + MOD(H8/1440,1)</f>
        <v>45837.359722222223</v>
      </c>
      <c r="J8" s="39">
        <f>WORKDAY.INTL(E8, -QUOTIENT($O$15,1440), 7) - MOD($O$15,1440)/1440</f>
        <v>45850.875</v>
      </c>
      <c r="K8" s="21">
        <f>IF(ROW()=2,1,IF(B8&lt;&gt;B7,1,0))</f>
        <v>0</v>
      </c>
      <c r="L8" s="34" t="s">
        <v>31</v>
      </c>
      <c r="M8" s="34"/>
      <c r="N8" s="33" cm="1">
        <f t="array" ref="N8">SUMPRODUCT($C$2:$C$52,
            INDEX($N$2:$R$5, MATCH($B$2:$B$52, $M$2:$M$5, 0), 1)
) + 10*COUNTA(A2:A52)</f>
        <v>28808</v>
      </c>
      <c r="O8" s="33" cm="1">
        <f t="array" ref="O8">SUMPRODUCT($C$2:$C$52,
            INDEX($N$2:$R$5, MATCH($B$2:$B$52, $M$2:$M$5, 0), 2)
) + 10*COUNTA(A2:A52)</f>
        <v>31821</v>
      </c>
      <c r="P8" s="33" cm="1">
        <f t="array" ref="P8">SUMPRODUCT($C$2:$C$52,
            INDEX($N$2:$R$5, MATCH($B$2:$B$52, $M$2:$M$5, 0), 3)
) + 10*COUNTA(A2:A52)</f>
        <v>47008</v>
      </c>
      <c r="Q8" s="33" cm="1">
        <f t="array" ref="Q8">SUMPRODUCT($C$2:$C$52,
            INDEX($N$2:$R$5, MATCH($B$2:$B$52, $M$2:$M$5, 0), 4)
) + 10*COUNTA(A2:A52)</f>
        <v>24342</v>
      </c>
      <c r="R8" s="33" cm="1">
        <f t="array" ref="R8">SUMPRODUCT($C$2:$C$52,
            INDEX($N$2:$R$5, MATCH($B$2:$B$52, $M$2:$M$5, 0), 5)
) + 10*COUNTA(A2:A52)</f>
        <v>50166</v>
      </c>
    </row>
    <row r="9" spans="1:18" x14ac:dyDescent="0.25">
      <c r="A9">
        <v>10</v>
      </c>
      <c r="B9" t="s">
        <v>6</v>
      </c>
      <c r="C9">
        <v>31</v>
      </c>
      <c r="D9" s="17">
        <v>45830</v>
      </c>
      <c r="E9" s="17">
        <v>45851</v>
      </c>
      <c r="F9" t="s">
        <v>15</v>
      </c>
      <c r="G9">
        <f>VLOOKUP(RIGHT(B9,1), {"A",10;"B",12;"C",14;"D",14}, 2, FALSE) * C9 + 50*K9</f>
        <v>434</v>
      </c>
      <c r="H9">
        <f t="shared" si="0"/>
        <v>8152</v>
      </c>
      <c r="I9" s="39">
        <f>WORKDAY.INTL(D9,INT(H9/1440),7) + MOD(H9/1440,1)</f>
        <v>45837.661111111112</v>
      </c>
      <c r="J9" s="39">
        <f>WORKDAY.INTL(E9, -QUOTIENT($O$15,1440), 7) - MOD($O$15,1440)/1440</f>
        <v>45850.875</v>
      </c>
      <c r="K9" s="21">
        <f>IF(ROW()=2,1,IF(B9&lt;&gt;B8,1,0))</f>
        <v>0</v>
      </c>
      <c r="L9" s="40" t="s">
        <v>32</v>
      </c>
      <c r="M9" s="40"/>
      <c r="N9" s="35"/>
      <c r="O9" s="35"/>
      <c r="P9" s="35" cm="1">
        <f t="array" ref="P9">SUMPRODUCT($C$2:$C$52,
            INDEX($N$2:$R$5, MATCH($B$2:$B$52, $M$2:$M$5, 0), 3)
) + 10*SUM($K$2:$K$52)
  + 180 * INT(MAX($H$2:$H$52)/(3*1440))</f>
        <v>48818</v>
      </c>
    </row>
    <row r="10" spans="1:18" x14ac:dyDescent="0.25">
      <c r="A10">
        <v>16</v>
      </c>
      <c r="B10" t="s">
        <v>7</v>
      </c>
      <c r="C10">
        <v>39</v>
      </c>
      <c r="D10" s="17">
        <v>45830</v>
      </c>
      <c r="E10" s="17">
        <v>45851</v>
      </c>
      <c r="F10" t="s">
        <v>16</v>
      </c>
      <c r="G10">
        <f>VLOOKUP(RIGHT(B10,1), {"A",10;"B",12;"C",14;"D",14}, 2, FALSE) * C10 + 50*K10</f>
        <v>596</v>
      </c>
      <c r="H10">
        <f t="shared" si="0"/>
        <v>8748</v>
      </c>
      <c r="I10" s="39">
        <f>WORKDAY.INTL(D10,INT(H10/1440),7) + MOD(H10/1440,1)</f>
        <v>45838.074999999997</v>
      </c>
      <c r="J10" s="39">
        <f>WORKDAY.INTL(E10, -QUOTIENT($O$15,1440), 7) - MOD($O$15,1440)/1440</f>
        <v>45850.875</v>
      </c>
      <c r="K10" s="21">
        <f>IF(ROW()=2,1,IF(B10&lt;&gt;B9,1,0))</f>
        <v>1</v>
      </c>
      <c r="L10" s="17"/>
    </row>
    <row r="11" spans="1:18" x14ac:dyDescent="0.25">
      <c r="A11">
        <v>17</v>
      </c>
      <c r="B11" t="s">
        <v>7</v>
      </c>
      <c r="C11">
        <v>39</v>
      </c>
      <c r="D11" s="17">
        <v>45830</v>
      </c>
      <c r="E11" s="17">
        <v>45851</v>
      </c>
      <c r="F11" t="s">
        <v>16</v>
      </c>
      <c r="G11">
        <f>VLOOKUP(RIGHT(B11,1), {"A",10;"B",12;"C",14;"D",14}, 2, FALSE) * C11 + 50*K11</f>
        <v>546</v>
      </c>
      <c r="H11">
        <f t="shared" si="0"/>
        <v>9294</v>
      </c>
      <c r="I11" s="39">
        <f>WORKDAY.INTL(D11,INT(H11/1440),7) + MOD(H11/1440,1)</f>
        <v>45838.45416666667</v>
      </c>
      <c r="J11" s="39">
        <f>WORKDAY.INTL(E11, -QUOTIENT($O$15,1440), 7) - MOD($O$15,1440)/1440</f>
        <v>45850.875</v>
      </c>
      <c r="K11" s="21">
        <f>IF(ROW()=2,1,IF(B11&lt;&gt;B10,1,0))</f>
        <v>0</v>
      </c>
      <c r="L11" s="17"/>
    </row>
    <row r="12" spans="1:18" x14ac:dyDescent="0.25">
      <c r="A12">
        <v>50</v>
      </c>
      <c r="B12" t="s">
        <v>7</v>
      </c>
      <c r="C12">
        <v>148</v>
      </c>
      <c r="D12" s="17">
        <v>45830</v>
      </c>
      <c r="E12" s="17">
        <v>45851</v>
      </c>
      <c r="F12" t="s">
        <v>16</v>
      </c>
      <c r="G12">
        <f>VLOOKUP(RIGHT(B12,1), {"A",10;"B",12;"C",14;"D",14}, 2, FALSE) * C12 + 50*K12</f>
        <v>2072</v>
      </c>
      <c r="H12">
        <f t="shared" si="0"/>
        <v>11366</v>
      </c>
      <c r="I12" s="39">
        <f>WORKDAY.INTL(D12,INT(H12/1440),7) + MOD(H12/1440,1)</f>
        <v>45839.893055555556</v>
      </c>
      <c r="J12" s="39">
        <f>WORKDAY.INTL(E12, -QUOTIENT($O$15,1440), 7) - MOD($O$15,1440)/1440</f>
        <v>45850.875</v>
      </c>
      <c r="K12" s="21">
        <f>IF(ROW()=2,1,IF(B12&lt;&gt;B11,1,0))</f>
        <v>0</v>
      </c>
      <c r="L12" s="17"/>
      <c r="N12" s="32"/>
      <c r="O12" s="32"/>
      <c r="P12" s="32"/>
      <c r="Q12" s="32"/>
      <c r="R12" s="32"/>
    </row>
    <row r="13" spans="1:18" x14ac:dyDescent="0.25">
      <c r="A13">
        <v>49</v>
      </c>
      <c r="B13" t="s">
        <v>7</v>
      </c>
      <c r="C13">
        <v>143</v>
      </c>
      <c r="D13" s="17">
        <v>45830</v>
      </c>
      <c r="E13" s="17">
        <v>45851</v>
      </c>
      <c r="F13" t="s">
        <v>18</v>
      </c>
      <c r="G13">
        <f>VLOOKUP(RIGHT(B13,1), {"A",10;"B",12;"C",14;"D",14}, 2, FALSE) * C13 + 50*K13</f>
        <v>2002</v>
      </c>
      <c r="H13">
        <f t="shared" si="0"/>
        <v>13368</v>
      </c>
      <c r="I13" s="39">
        <f>WORKDAY.INTL(D13,INT(H13/1440),7) + MOD(H13/1440,1)</f>
        <v>45841.283333333333</v>
      </c>
      <c r="J13" s="39">
        <f>WORKDAY.INTL(E13, -QUOTIENT($O$15,1440), 7) - MOD($O$15,1440)/1440</f>
        <v>45850.875</v>
      </c>
      <c r="K13" s="21">
        <f>IF(ROW()=2,1,IF(B13&lt;&gt;B12,1,0))</f>
        <v>0</v>
      </c>
      <c r="L13" s="17"/>
    </row>
    <row r="14" spans="1:18" x14ac:dyDescent="0.25">
      <c r="A14">
        <v>14</v>
      </c>
      <c r="B14" t="s">
        <v>7</v>
      </c>
      <c r="C14">
        <v>35</v>
      </c>
      <c r="D14" s="17">
        <v>45830</v>
      </c>
      <c r="E14" s="17">
        <v>45851</v>
      </c>
      <c r="F14" t="s">
        <v>17</v>
      </c>
      <c r="G14">
        <f>VLOOKUP(RIGHT(B14,1), {"A",10;"B",12;"C",14;"D",14}, 2, FALSE) * C14 + 50*K14</f>
        <v>490</v>
      </c>
      <c r="H14">
        <f t="shared" si="0"/>
        <v>13858</v>
      </c>
      <c r="I14" s="39">
        <f>WORKDAY.INTL(D14,INT(H14/1440),7) + MOD(H14/1440,1)</f>
        <v>45841.623611111114</v>
      </c>
      <c r="J14" s="39">
        <f>WORKDAY.INTL(E14, -QUOTIENT($O$15,1440), 7) - MOD($O$15,1440)/1440</f>
        <v>45850.875</v>
      </c>
      <c r="K14" s="21">
        <f>IF(ROW()=2,1,IF(B14&lt;&gt;B13,1,0))</f>
        <v>0</v>
      </c>
      <c r="L14" s="17"/>
      <c r="M14" s="21" t="s">
        <v>26</v>
      </c>
      <c r="N14" s="21" t="s">
        <v>27</v>
      </c>
      <c r="O14" t="s">
        <v>33</v>
      </c>
    </row>
    <row r="15" spans="1:18" x14ac:dyDescent="0.25">
      <c r="A15">
        <v>38</v>
      </c>
      <c r="B15" t="s">
        <v>7</v>
      </c>
      <c r="C15">
        <v>90</v>
      </c>
      <c r="D15" s="17">
        <v>45830</v>
      </c>
      <c r="E15" s="17">
        <v>45851</v>
      </c>
      <c r="F15" t="s">
        <v>15</v>
      </c>
      <c r="G15">
        <f>VLOOKUP(RIGHT(B15,1), {"A",10;"B",12;"C",14;"D",14}, 2, FALSE) * C15 + 50*K15</f>
        <v>1260</v>
      </c>
      <c r="H15">
        <f t="shared" si="0"/>
        <v>15118</v>
      </c>
      <c r="I15" s="39">
        <f>WORKDAY.INTL(D15,INT(H15/1440),7) + MOD(H15/1440,1)</f>
        <v>45844.498611111114</v>
      </c>
      <c r="J15" s="39">
        <f>WORKDAY.INTL(E15, -QUOTIENT($O$15,1440), 7) - MOD($O$15,1440)/1440</f>
        <v>45850.875</v>
      </c>
      <c r="K15" s="21">
        <f>IF(ROW()=2,1,IF(B15&lt;&gt;B14,1,0))</f>
        <v>0</v>
      </c>
      <c r="L15" s="17"/>
      <c r="M15" s="30">
        <f>MAX(N7:R7)</f>
        <v>49996</v>
      </c>
      <c r="N15" s="21">
        <v>5</v>
      </c>
      <c r="O15">
        <v>180</v>
      </c>
    </row>
    <row r="16" spans="1:18" x14ac:dyDescent="0.25">
      <c r="A16">
        <v>25</v>
      </c>
      <c r="B16" t="s">
        <v>5</v>
      </c>
      <c r="C16">
        <v>75</v>
      </c>
      <c r="D16" s="17">
        <v>45830</v>
      </c>
      <c r="E16" s="17">
        <v>45852</v>
      </c>
      <c r="F16" t="s">
        <v>17</v>
      </c>
      <c r="G16">
        <f>VLOOKUP(RIGHT(B16,1), {"A",10;"B",12;"C",14;"D",14}, 2, FALSE) * C16 + 50*K16</f>
        <v>950</v>
      </c>
      <c r="H16">
        <f t="shared" si="0"/>
        <v>16068</v>
      </c>
      <c r="I16" s="39">
        <f>WORKDAY.INTL(D16,INT(H16/1440),7) + MOD(H16/1440,1)</f>
        <v>45845.158333333333</v>
      </c>
      <c r="J16" s="39">
        <f>WORKDAY.INTL(E16, -QUOTIENT($O$15,1440), 7) - MOD($O$15,1440)/1440</f>
        <v>45851.875</v>
      </c>
      <c r="K16" s="21">
        <f>IF(ROW()=2,1,IF(B16&lt;&gt;B15,1,0))</f>
        <v>1</v>
      </c>
      <c r="L16" s="17"/>
    </row>
    <row r="17" spans="1:22" x14ac:dyDescent="0.25">
      <c r="A17">
        <v>29</v>
      </c>
      <c r="B17" t="s">
        <v>4</v>
      </c>
      <c r="C17">
        <v>113</v>
      </c>
      <c r="D17" s="17">
        <v>45830</v>
      </c>
      <c r="E17" s="17">
        <v>45853</v>
      </c>
      <c r="F17" t="s">
        <v>16</v>
      </c>
      <c r="G17">
        <f>VLOOKUP(RIGHT(B17,1), {"A",10;"B",12;"C",14;"D",14}, 2, FALSE) * C17 + 50*K17</f>
        <v>1180</v>
      </c>
      <c r="H17">
        <f t="shared" si="0"/>
        <v>17248</v>
      </c>
      <c r="I17" s="39">
        <f>WORKDAY.INTL(D17,INT(H17/1440),7) + MOD(H17/1440,1)</f>
        <v>45845.977777777778</v>
      </c>
      <c r="J17" s="39">
        <f>WORKDAY.INTL(E17, -QUOTIENT($O$15,1440), 7) - MOD($O$15,1440)/1440</f>
        <v>45852.875</v>
      </c>
      <c r="K17" s="21">
        <f>IF(ROW()=2,1,IF(B17&lt;&gt;B16,1,0))</f>
        <v>1</v>
      </c>
      <c r="L17" s="17"/>
      <c r="M17" s="21" t="s">
        <v>21</v>
      </c>
    </row>
    <row r="18" spans="1:22" x14ac:dyDescent="0.25">
      <c r="A18">
        <v>12</v>
      </c>
      <c r="B18" t="s">
        <v>4</v>
      </c>
      <c r="C18">
        <v>46</v>
      </c>
      <c r="D18" s="17">
        <v>45830</v>
      </c>
      <c r="E18" s="17">
        <v>45853</v>
      </c>
      <c r="F18" t="s">
        <v>18</v>
      </c>
      <c r="G18">
        <f>VLOOKUP(RIGHT(B18,1), {"A",10;"B",12;"C",14;"D",14}, 2, FALSE) * C18 + 50*K18</f>
        <v>460</v>
      </c>
      <c r="H18">
        <f t="shared" si="0"/>
        <v>17708</v>
      </c>
      <c r="I18" s="39">
        <f>WORKDAY.INTL(D18,INT(H18/1440),7) + MOD(H18/1440,1)</f>
        <v>45846.297222222223</v>
      </c>
      <c r="J18" s="39">
        <f>WORKDAY.INTL(E18, -QUOTIENT($O$15,1440), 7) - MOD($O$15,1440)/1440</f>
        <v>45852.875</v>
      </c>
      <c r="K18" s="21">
        <f>IF(ROW()=2,1,IF(B18&lt;&gt;B17,1,0))</f>
        <v>0</v>
      </c>
      <c r="L18" s="17"/>
      <c r="M18" s="31" cm="1">
        <f t="array" ref="M18">SUMPRODUCT((I2:I52&lt;=E2:E52)*1) / COUNTA(I2:I52)</f>
        <v>0.86274509803921573</v>
      </c>
    </row>
    <row r="19" spans="1:22" x14ac:dyDescent="0.25">
      <c r="A19">
        <v>51</v>
      </c>
      <c r="B19" t="s">
        <v>6</v>
      </c>
      <c r="C19">
        <v>149</v>
      </c>
      <c r="D19" s="17">
        <v>45830</v>
      </c>
      <c r="E19" s="17">
        <v>45854</v>
      </c>
      <c r="F19" t="s">
        <v>17</v>
      </c>
      <c r="G19">
        <f>VLOOKUP(RIGHT(B19,1), {"A",10;"B",12;"C",14;"D",14}, 2, FALSE) * C19 + 50*K19</f>
        <v>2136</v>
      </c>
      <c r="H19">
        <f t="shared" si="0"/>
        <v>19844</v>
      </c>
      <c r="I19" s="39">
        <f>WORKDAY.INTL(D19,INT(H19/1440),7) + MOD(H19/1440,1)</f>
        <v>45847.780555555553</v>
      </c>
      <c r="J19" s="39">
        <f>WORKDAY.INTL(E19, -QUOTIENT($O$15,1440), 7) - MOD($O$15,1440)/1440</f>
        <v>45853.875</v>
      </c>
      <c r="K19" s="21">
        <f>IF(ROW()=2,1,IF(B19&lt;&gt;B18,1,0))</f>
        <v>1</v>
      </c>
      <c r="L19" s="17"/>
      <c r="M19" s="21"/>
      <c r="N19" s="26"/>
    </row>
    <row r="20" spans="1:22" x14ac:dyDescent="0.25">
      <c r="A20">
        <v>36</v>
      </c>
      <c r="B20" t="s">
        <v>7</v>
      </c>
      <c r="C20">
        <v>88</v>
      </c>
      <c r="D20" s="17">
        <v>45830</v>
      </c>
      <c r="E20" s="17">
        <v>45858</v>
      </c>
      <c r="F20" t="s">
        <v>15</v>
      </c>
      <c r="G20">
        <f>VLOOKUP(RIGHT(B20,1), {"A",10;"B",12;"C",14;"D",14}, 2, FALSE) * C20 + 50*K20</f>
        <v>1282</v>
      </c>
      <c r="H20">
        <f t="shared" si="0"/>
        <v>21126</v>
      </c>
      <c r="I20" s="39">
        <f>WORKDAY.INTL(D20,INT(H20/1440),7) + MOD(H20/1440,1)</f>
        <v>45848.67083333333</v>
      </c>
      <c r="J20" s="39">
        <f>WORKDAY.INTL(E20, -QUOTIENT($O$15,1440), 7) - MOD($O$15,1440)/1440</f>
        <v>45857.875</v>
      </c>
      <c r="K20" s="21">
        <f>IF(ROW()=2,1,IF(B20&lt;&gt;B19,1,0))</f>
        <v>1</v>
      </c>
      <c r="L20" s="17"/>
      <c r="N20" s="20"/>
      <c r="O20" s="20"/>
      <c r="P20" s="20"/>
    </row>
    <row r="21" spans="1:22" x14ac:dyDescent="0.25">
      <c r="A21">
        <v>32</v>
      </c>
      <c r="B21" t="s">
        <v>4</v>
      </c>
      <c r="C21">
        <v>118</v>
      </c>
      <c r="D21" s="17">
        <v>45830</v>
      </c>
      <c r="E21" s="17">
        <v>45859</v>
      </c>
      <c r="F21" t="s">
        <v>18</v>
      </c>
      <c r="G21">
        <f>VLOOKUP(RIGHT(B21,1), {"A",10;"B",12;"C",14;"D",14}, 2, FALSE) * C21 + 50*K21</f>
        <v>1230</v>
      </c>
      <c r="H21">
        <f t="shared" si="0"/>
        <v>22356</v>
      </c>
      <c r="I21" s="39">
        <f>WORKDAY.INTL(D21,INT(H21/1440),7) + MOD(H21/1440,1)</f>
        <v>45851.525000000001</v>
      </c>
      <c r="J21" s="39">
        <f>WORKDAY.INTL(E21, -QUOTIENT($O$15,1440), 7) - MOD($O$15,1440)/1440</f>
        <v>45858.875</v>
      </c>
      <c r="K21" s="21">
        <f>IF(ROW()=2,1,IF(B21&lt;&gt;B20,1,0))</f>
        <v>1</v>
      </c>
      <c r="L21" s="17"/>
    </row>
    <row r="22" spans="1:22" x14ac:dyDescent="0.25">
      <c r="A22">
        <v>3</v>
      </c>
      <c r="B22" t="s">
        <v>5</v>
      </c>
      <c r="C22">
        <v>26</v>
      </c>
      <c r="D22" s="17">
        <v>45830</v>
      </c>
      <c r="E22" s="17">
        <v>45859</v>
      </c>
      <c r="F22" t="s">
        <v>18</v>
      </c>
      <c r="G22">
        <f>VLOOKUP(RIGHT(B22,1), {"A",10;"B",12;"C",14;"D",14}, 2, FALSE) * C22 + 50*K22</f>
        <v>362</v>
      </c>
      <c r="H22">
        <f t="shared" si="0"/>
        <v>22718</v>
      </c>
      <c r="I22" s="39">
        <f>WORKDAY.INTL(D22,INT(H22/1440),7) + MOD(H22/1440,1)</f>
        <v>45851.776388888888</v>
      </c>
      <c r="J22" s="39">
        <f>WORKDAY.INTL(E22, -QUOTIENT($O$15,1440), 7) - MOD($O$15,1440)/1440</f>
        <v>45858.875</v>
      </c>
      <c r="K22" s="21">
        <f>IF(ROW()=2,1,IF(B22&lt;&gt;B21,1,0))</f>
        <v>1</v>
      </c>
      <c r="L22" s="17"/>
    </row>
    <row r="23" spans="1:22" x14ac:dyDescent="0.25">
      <c r="A23">
        <v>40</v>
      </c>
      <c r="B23" t="s">
        <v>6</v>
      </c>
      <c r="C23">
        <v>102</v>
      </c>
      <c r="D23" s="17">
        <v>45830</v>
      </c>
      <c r="E23" s="17">
        <v>45859</v>
      </c>
      <c r="F23" t="s">
        <v>16</v>
      </c>
      <c r="G23">
        <f>VLOOKUP(RIGHT(B23,1), {"A",10;"B",12;"C",14;"D",14}, 2, FALSE) * C23 + 50*K23</f>
        <v>1478</v>
      </c>
      <c r="H23">
        <f t="shared" si="0"/>
        <v>24196</v>
      </c>
      <c r="I23" s="39">
        <f>WORKDAY.INTL(D23,INT(H23/1440),7) + MOD(H23/1440,1)</f>
        <v>45852.802777777775</v>
      </c>
      <c r="J23" s="39">
        <f>WORKDAY.INTL(E23, -QUOTIENT($O$15,1440), 7) - MOD($O$15,1440)/1440</f>
        <v>45858.875</v>
      </c>
      <c r="K23" s="21">
        <f>IF(ROW()=2,1,IF(B23&lt;&gt;B22,1,0))</f>
        <v>1</v>
      </c>
      <c r="L23" s="17"/>
    </row>
    <row r="24" spans="1:22" x14ac:dyDescent="0.25">
      <c r="A24">
        <v>45</v>
      </c>
      <c r="B24" t="s">
        <v>6</v>
      </c>
      <c r="C24">
        <v>114</v>
      </c>
      <c r="D24" s="17">
        <v>45830</v>
      </c>
      <c r="E24" s="17">
        <v>45859</v>
      </c>
      <c r="F24" t="s">
        <v>16</v>
      </c>
      <c r="G24">
        <f>VLOOKUP(RIGHT(B24,1), {"A",10;"B",12;"C",14;"D",14}, 2, FALSE) * C24 + 50*K24</f>
        <v>1596</v>
      </c>
      <c r="H24">
        <f t="shared" si="0"/>
        <v>25792</v>
      </c>
      <c r="I24" s="39">
        <f>WORKDAY.INTL(D24,INT(H24/1440),7) + MOD(H24/1440,1)</f>
        <v>45853.911111111112</v>
      </c>
      <c r="J24" s="39">
        <f>WORKDAY.INTL(E24, -QUOTIENT($O$15,1440), 7) - MOD($O$15,1440)/1440</f>
        <v>45858.875</v>
      </c>
      <c r="K24" s="21">
        <f>IF(ROW()=2,1,IF(B24&lt;&gt;B23,1,0))</f>
        <v>0</v>
      </c>
      <c r="L24" s="17"/>
    </row>
    <row r="25" spans="1:22" x14ac:dyDescent="0.25">
      <c r="A25">
        <v>6</v>
      </c>
      <c r="B25" t="s">
        <v>7</v>
      </c>
      <c r="C25">
        <v>29</v>
      </c>
      <c r="D25" s="17">
        <v>45830</v>
      </c>
      <c r="E25" s="17">
        <v>45859</v>
      </c>
      <c r="F25" t="s">
        <v>17</v>
      </c>
      <c r="G25">
        <f>VLOOKUP(RIGHT(B25,1), {"A",10;"B",12;"C",14;"D",14}, 2, FALSE) * C25 + 50*K25</f>
        <v>456</v>
      </c>
      <c r="H25">
        <f t="shared" si="0"/>
        <v>26248</v>
      </c>
      <c r="I25" s="39">
        <f>WORKDAY.INTL(D25,INT(H25/1440),7) + MOD(H25/1440,1)</f>
        <v>45854.227777777778</v>
      </c>
      <c r="J25" s="39">
        <f>WORKDAY.INTL(E25, -QUOTIENT($O$15,1440), 7) - MOD($O$15,1440)/1440</f>
        <v>45858.875</v>
      </c>
      <c r="K25" s="21">
        <f>IF(ROW()=2,1,IF(B25&lt;&gt;B24,1,0))</f>
        <v>1</v>
      </c>
      <c r="L25" s="17"/>
    </row>
    <row r="26" spans="1:22" x14ac:dyDescent="0.25">
      <c r="A26">
        <v>5</v>
      </c>
      <c r="B26" t="s">
        <v>7</v>
      </c>
      <c r="C26">
        <v>23</v>
      </c>
      <c r="D26" s="17">
        <v>45830</v>
      </c>
      <c r="E26" s="17">
        <v>45859</v>
      </c>
      <c r="F26" t="s">
        <v>15</v>
      </c>
      <c r="G26">
        <f>VLOOKUP(RIGHT(B26,1), {"A",10;"B",12;"C",14;"D",14}, 2, FALSE) * C26 + 50*K26</f>
        <v>322</v>
      </c>
      <c r="H26">
        <f t="shared" si="0"/>
        <v>26570</v>
      </c>
      <c r="I26" s="39">
        <f>WORKDAY.INTL(D26,INT(H26/1440),7) + MOD(H26/1440,1)</f>
        <v>45854.451388888891</v>
      </c>
      <c r="J26" s="39">
        <f>WORKDAY.INTL(E26, -QUOTIENT($O$15,1440), 7) - MOD($O$15,1440)/1440</f>
        <v>45858.875</v>
      </c>
      <c r="K26" s="21">
        <f>IF(ROW()=2,1,IF(B26&lt;&gt;B25,1,0))</f>
        <v>0</v>
      </c>
      <c r="L26" s="17"/>
      <c r="V26" s="36"/>
    </row>
    <row r="27" spans="1:22" x14ac:dyDescent="0.25">
      <c r="A27">
        <v>20</v>
      </c>
      <c r="B27" t="s">
        <v>4</v>
      </c>
      <c r="C27">
        <v>60</v>
      </c>
      <c r="D27" s="17">
        <v>45830</v>
      </c>
      <c r="E27" s="17">
        <v>45860</v>
      </c>
      <c r="F27" t="s">
        <v>15</v>
      </c>
      <c r="G27">
        <f>VLOOKUP(RIGHT(B27,1), {"A",10;"B",12;"C",14;"D",14}, 2, FALSE) * C27 + 50*K27</f>
        <v>650</v>
      </c>
      <c r="H27">
        <f t="shared" si="0"/>
        <v>27220</v>
      </c>
      <c r="I27" s="39">
        <f>WORKDAY.INTL(D27,INT(H27/1440),7) + MOD(H27/1440,1)</f>
        <v>45854.902777777781</v>
      </c>
      <c r="J27" s="39">
        <f>WORKDAY.INTL(E27, -QUOTIENT($O$15,1440), 7) - MOD($O$15,1440)/1440</f>
        <v>45859.875</v>
      </c>
      <c r="K27" s="21">
        <f>IF(ROW()=2,1,IF(B27&lt;&gt;B26,1,0))</f>
        <v>1</v>
      </c>
      <c r="L27" s="17"/>
      <c r="V27" s="36"/>
    </row>
    <row r="28" spans="1:22" x14ac:dyDescent="0.25">
      <c r="A28">
        <v>9</v>
      </c>
      <c r="B28" t="s">
        <v>4</v>
      </c>
      <c r="C28">
        <v>43</v>
      </c>
      <c r="D28" s="17">
        <v>45830</v>
      </c>
      <c r="E28" s="17">
        <v>45861</v>
      </c>
      <c r="F28" t="s">
        <v>17</v>
      </c>
      <c r="G28">
        <f>VLOOKUP(RIGHT(B28,1), {"A",10;"B",12;"C",14;"D",14}, 2, FALSE) * C28 + 50*K28</f>
        <v>430</v>
      </c>
      <c r="H28">
        <f t="shared" si="0"/>
        <v>27650</v>
      </c>
      <c r="I28" s="39">
        <f>WORKDAY.INTL(D28,INT(H28/1440),7) + MOD(H28/1440,1)</f>
        <v>45855.201388888891</v>
      </c>
      <c r="J28" s="39">
        <f>WORKDAY.INTL(E28, -QUOTIENT($O$15,1440), 7) - MOD($O$15,1440)/1440</f>
        <v>45860.875</v>
      </c>
      <c r="K28" s="21">
        <f>IF(ROW()=2,1,IF(B28&lt;&gt;B27,1,0))</f>
        <v>0</v>
      </c>
      <c r="L28" s="17"/>
      <c r="V28" s="36"/>
    </row>
    <row r="29" spans="1:22" x14ac:dyDescent="0.25">
      <c r="A29">
        <v>7</v>
      </c>
      <c r="B29" t="s">
        <v>5</v>
      </c>
      <c r="C29">
        <v>34</v>
      </c>
      <c r="D29" s="17">
        <v>45830</v>
      </c>
      <c r="E29" s="17">
        <v>45861</v>
      </c>
      <c r="F29" t="s">
        <v>17</v>
      </c>
      <c r="G29">
        <f>VLOOKUP(RIGHT(B29,1), {"A",10;"B",12;"C",14;"D",14}, 2, FALSE) * C29 + 50*K29</f>
        <v>458</v>
      </c>
      <c r="H29">
        <f t="shared" si="0"/>
        <v>28108</v>
      </c>
      <c r="I29" s="39">
        <f>WORKDAY.INTL(D29,INT(H29/1440),7) + MOD(H29/1440,1)</f>
        <v>45855.519444444442</v>
      </c>
      <c r="J29" s="39">
        <f>WORKDAY.INTL(E29, -QUOTIENT($O$15,1440), 7) - MOD($O$15,1440)/1440</f>
        <v>45860.875</v>
      </c>
      <c r="K29" s="21">
        <f>IF(ROW()=2,1,IF(B29&lt;&gt;B28,1,0))</f>
        <v>1</v>
      </c>
      <c r="L29" s="17"/>
      <c r="V29" s="36"/>
    </row>
    <row r="30" spans="1:22" x14ac:dyDescent="0.25">
      <c r="A30">
        <v>44</v>
      </c>
      <c r="B30" t="s">
        <v>5</v>
      </c>
      <c r="C30">
        <v>126</v>
      </c>
      <c r="D30" s="17">
        <v>45830</v>
      </c>
      <c r="E30" s="17">
        <v>45861</v>
      </c>
      <c r="F30" t="s">
        <v>17</v>
      </c>
      <c r="G30">
        <f>VLOOKUP(RIGHT(B30,1), {"A",10;"B",12;"C",14;"D",14}, 2, FALSE) * C30 + 50*K30</f>
        <v>1512</v>
      </c>
      <c r="H30">
        <f t="shared" si="0"/>
        <v>29620</v>
      </c>
      <c r="I30" s="39">
        <f>WORKDAY.INTL(D30,INT(H30/1440),7) + MOD(H30/1440,1)</f>
        <v>45858.569444444445</v>
      </c>
      <c r="J30" s="39">
        <f>WORKDAY.INTL(E30, -QUOTIENT($O$15,1440), 7) - MOD($O$15,1440)/1440</f>
        <v>45860.875</v>
      </c>
      <c r="K30" s="21">
        <f>IF(ROW()=2,1,IF(B30&lt;&gt;B29,1,0))</f>
        <v>0</v>
      </c>
      <c r="L30" s="17"/>
      <c r="V30" s="37"/>
    </row>
    <row r="31" spans="1:22" x14ac:dyDescent="0.25">
      <c r="A31">
        <v>30</v>
      </c>
      <c r="B31" t="s">
        <v>5</v>
      </c>
      <c r="C31">
        <v>96</v>
      </c>
      <c r="D31" s="17">
        <v>45830</v>
      </c>
      <c r="E31" s="17">
        <v>45865</v>
      </c>
      <c r="F31" t="s">
        <v>16</v>
      </c>
      <c r="G31">
        <f>VLOOKUP(RIGHT(B31,1), {"A",10;"B",12;"C",14;"D",14}, 2, FALSE) * C31 + 50*K31</f>
        <v>1152</v>
      </c>
      <c r="H31">
        <f t="shared" si="0"/>
        <v>30772</v>
      </c>
      <c r="I31" s="39">
        <f>WORKDAY.INTL(D31,INT(H31/1440),7) + MOD(H31/1440,1)</f>
        <v>45859.369444444441</v>
      </c>
      <c r="J31" s="39">
        <f>WORKDAY.INTL(E31, -QUOTIENT($O$15,1440), 7) - MOD($O$15,1440)/1440</f>
        <v>45864.875</v>
      </c>
      <c r="K31" s="21">
        <f>IF(ROW()=2,1,IF(B31&lt;&gt;B30,1,0))</f>
        <v>0</v>
      </c>
      <c r="L31" s="17"/>
    </row>
    <row r="32" spans="1:22" x14ac:dyDescent="0.25">
      <c r="A32">
        <v>47</v>
      </c>
      <c r="B32" t="s">
        <v>6</v>
      </c>
      <c r="C32">
        <v>138</v>
      </c>
      <c r="D32" s="17">
        <v>45830</v>
      </c>
      <c r="E32" s="17">
        <v>45865</v>
      </c>
      <c r="F32" t="s">
        <v>18</v>
      </c>
      <c r="G32">
        <f>VLOOKUP(RIGHT(B32,1), {"A",10;"B",12;"C",14;"D",14}, 2, FALSE) * C32 + 50*K32</f>
        <v>1982</v>
      </c>
      <c r="H32">
        <f t="shared" si="0"/>
        <v>32754</v>
      </c>
      <c r="I32" s="39">
        <f>WORKDAY.INTL(D32,INT(H32/1440),7) + MOD(H32/1440,1)</f>
        <v>45860.745833333334</v>
      </c>
      <c r="J32" s="39">
        <f>WORKDAY.INTL(E32, -QUOTIENT($O$15,1440), 7) - MOD($O$15,1440)/1440</f>
        <v>45864.875</v>
      </c>
      <c r="K32" s="21">
        <f>IF(ROW()=2,1,IF(B32&lt;&gt;B31,1,0))</f>
        <v>1</v>
      </c>
      <c r="L32" s="17"/>
    </row>
    <row r="33" spans="1:12" x14ac:dyDescent="0.25">
      <c r="A33">
        <v>35</v>
      </c>
      <c r="B33" t="s">
        <v>4</v>
      </c>
      <c r="C33">
        <v>121</v>
      </c>
      <c r="D33" s="17">
        <v>45830</v>
      </c>
      <c r="E33" s="17">
        <v>45866</v>
      </c>
      <c r="F33" t="s">
        <v>18</v>
      </c>
      <c r="G33">
        <f>VLOOKUP(RIGHT(B33,1), {"A",10;"B",12;"C",14;"D",14}, 2, FALSE) * C33 + 50*K33</f>
        <v>1260</v>
      </c>
      <c r="H33">
        <f t="shared" si="0"/>
        <v>34014</v>
      </c>
      <c r="I33" s="39">
        <f>WORKDAY.INTL(D33,INT(H33/1440),7) + MOD(H33/1440,1)</f>
        <v>45861.620833333334</v>
      </c>
      <c r="J33" s="39">
        <f>WORKDAY.INTL(E33, -QUOTIENT($O$15,1440), 7) - MOD($O$15,1440)/1440</f>
        <v>45865.875</v>
      </c>
      <c r="K33" s="21">
        <f>IF(ROW()=2,1,IF(B33&lt;&gt;B32,1,0))</f>
        <v>1</v>
      </c>
      <c r="L33" s="17"/>
    </row>
    <row r="34" spans="1:12" x14ac:dyDescent="0.25">
      <c r="A34">
        <v>34</v>
      </c>
      <c r="B34" t="s">
        <v>5</v>
      </c>
      <c r="C34">
        <v>99</v>
      </c>
      <c r="D34" s="17">
        <v>45830</v>
      </c>
      <c r="E34" s="17">
        <v>45866</v>
      </c>
      <c r="F34" t="s">
        <v>17</v>
      </c>
      <c r="G34">
        <f>VLOOKUP(RIGHT(B34,1), {"A",10;"B",12;"C",14;"D",14}, 2, FALSE) * C34 + 50*K34</f>
        <v>1238</v>
      </c>
      <c r="H34">
        <f t="shared" si="0"/>
        <v>35252</v>
      </c>
      <c r="I34" s="39">
        <f>WORKDAY.INTL(D34,INT(H34/1440),7) + MOD(H34/1440,1)</f>
        <v>45862.480555555558</v>
      </c>
      <c r="J34" s="39">
        <f>WORKDAY.INTL(E34, -QUOTIENT($O$15,1440), 7) - MOD($O$15,1440)/1440</f>
        <v>45865.875</v>
      </c>
      <c r="K34" s="21">
        <f>IF(ROW()=2,1,IF(B34&lt;&gt;B33,1,0))</f>
        <v>1</v>
      </c>
      <c r="L34" s="17"/>
    </row>
    <row r="35" spans="1:12" x14ac:dyDescent="0.25">
      <c r="A35">
        <v>48</v>
      </c>
      <c r="B35" t="s">
        <v>6</v>
      </c>
      <c r="C35">
        <v>140</v>
      </c>
      <c r="D35" s="17">
        <v>45830</v>
      </c>
      <c r="E35" s="17">
        <v>45866</v>
      </c>
      <c r="F35" t="s">
        <v>17</v>
      </c>
      <c r="G35">
        <f>VLOOKUP(RIGHT(B35,1), {"A",10;"B",12;"C",14;"D",14}, 2, FALSE) * C35 + 50*K35</f>
        <v>2010</v>
      </c>
      <c r="H35">
        <f t="shared" si="0"/>
        <v>37262</v>
      </c>
      <c r="I35" s="39">
        <f>WORKDAY.INTL(D35,INT(H35/1440),7) + MOD(H35/1440,1)</f>
        <v>45865.876388888886</v>
      </c>
      <c r="J35" s="39">
        <f>WORKDAY.INTL(E35, -QUOTIENT($O$15,1440), 7) - MOD($O$15,1440)/1440</f>
        <v>45865.875</v>
      </c>
      <c r="K35" s="21">
        <f>IF(ROW()=2,1,IF(B35&lt;&gt;B34,1,0))</f>
        <v>1</v>
      </c>
      <c r="L35" s="17"/>
    </row>
    <row r="36" spans="1:12" x14ac:dyDescent="0.25">
      <c r="A36">
        <v>46</v>
      </c>
      <c r="B36" t="s">
        <v>6</v>
      </c>
      <c r="C36">
        <v>127</v>
      </c>
      <c r="D36" s="17">
        <v>45830</v>
      </c>
      <c r="E36" s="17">
        <v>45866</v>
      </c>
      <c r="F36" t="s">
        <v>15</v>
      </c>
      <c r="G36">
        <f>VLOOKUP(RIGHT(B36,1), {"A",10;"B",12;"C",14;"D",14}, 2, FALSE) * C36 + 50*K36</f>
        <v>1778</v>
      </c>
      <c r="H36">
        <f t="shared" si="0"/>
        <v>39040</v>
      </c>
      <c r="I36" s="39">
        <f>WORKDAY.INTL(D36,INT(H36/1440),7) + MOD(H36/1440,1)</f>
        <v>45867.111111111109</v>
      </c>
      <c r="J36" s="39">
        <f>WORKDAY.INTL(E36, -QUOTIENT($O$15,1440), 7) - MOD($O$15,1440)/1440</f>
        <v>45865.875</v>
      </c>
      <c r="K36" s="21">
        <f>IF(ROW()=2,1,IF(B36&lt;&gt;B35,1,0))</f>
        <v>0</v>
      </c>
      <c r="L36" s="17"/>
    </row>
    <row r="37" spans="1:12" x14ac:dyDescent="0.25">
      <c r="A37">
        <v>11</v>
      </c>
      <c r="B37" t="s">
        <v>4</v>
      </c>
      <c r="C37">
        <v>44</v>
      </c>
      <c r="D37" s="17">
        <v>45830</v>
      </c>
      <c r="E37" s="17">
        <v>45867</v>
      </c>
      <c r="F37" t="s">
        <v>18</v>
      </c>
      <c r="G37">
        <f>VLOOKUP(RIGHT(B37,1), {"A",10;"B",12;"C",14;"D",14}, 2, FALSE) * C37 + 50*K37</f>
        <v>490</v>
      </c>
      <c r="H37">
        <f t="shared" si="0"/>
        <v>39530</v>
      </c>
      <c r="I37" s="39">
        <f>WORKDAY.INTL(D37,INT(H37/1440),7) + MOD(H37/1440,1)</f>
        <v>45867.451388888891</v>
      </c>
      <c r="J37" s="39">
        <f>WORKDAY.INTL(E37, -QUOTIENT($O$15,1440), 7) - MOD($O$15,1440)/1440</f>
        <v>45866.875</v>
      </c>
      <c r="K37" s="21">
        <f>IF(ROW()=2,1,IF(B37&lt;&gt;B36,1,0))</f>
        <v>1</v>
      </c>
      <c r="L37" s="17"/>
    </row>
    <row r="38" spans="1:12" x14ac:dyDescent="0.25">
      <c r="A38">
        <v>37</v>
      </c>
      <c r="B38" t="s">
        <v>7</v>
      </c>
      <c r="C38">
        <v>90</v>
      </c>
      <c r="D38" s="17">
        <v>45830</v>
      </c>
      <c r="E38" s="17">
        <v>45867</v>
      </c>
      <c r="F38" t="s">
        <v>16</v>
      </c>
      <c r="G38">
        <f>VLOOKUP(RIGHT(B38,1), {"A",10;"B",12;"C",14;"D",14}, 2, FALSE) * C38 + 50*K38</f>
        <v>1310</v>
      </c>
      <c r="H38">
        <f t="shared" si="0"/>
        <v>40840</v>
      </c>
      <c r="I38" s="39">
        <f>WORKDAY.INTL(D38,INT(H38/1440),7) + MOD(H38/1440,1)</f>
        <v>45868.361111111109</v>
      </c>
      <c r="J38" s="39">
        <f>WORKDAY.INTL(E38, -QUOTIENT($O$15,1440), 7) - MOD($O$15,1440)/1440</f>
        <v>45866.875</v>
      </c>
      <c r="K38" s="21">
        <f>IF(ROW()=2,1,IF(B38&lt;&gt;B37,1,0))</f>
        <v>1</v>
      </c>
      <c r="L38" s="17"/>
    </row>
    <row r="39" spans="1:12" x14ac:dyDescent="0.25">
      <c r="A39">
        <v>13</v>
      </c>
      <c r="B39" t="s">
        <v>6</v>
      </c>
      <c r="C39">
        <v>33</v>
      </c>
      <c r="D39" s="17">
        <v>45830</v>
      </c>
      <c r="E39" s="17">
        <v>45868</v>
      </c>
      <c r="F39" t="s">
        <v>16</v>
      </c>
      <c r="G39">
        <f>VLOOKUP(RIGHT(B39,1), {"A",10;"B",12;"C",14;"D",14}, 2, FALSE) * C39 + 50*K39</f>
        <v>512</v>
      </c>
      <c r="H39">
        <f t="shared" si="0"/>
        <v>41352</v>
      </c>
      <c r="I39" s="39">
        <f>WORKDAY.INTL(D39,INT(H39/1440),7) + MOD(H39/1440,1)</f>
        <v>45868.716666666667</v>
      </c>
      <c r="J39" s="39">
        <f>WORKDAY.INTL(E39, -QUOTIENT($O$15,1440), 7) - MOD($O$15,1440)/1440</f>
        <v>45867.875</v>
      </c>
      <c r="K39" s="21">
        <f>IF(ROW()=2,1,IF(B39&lt;&gt;B38,1,0))</f>
        <v>1</v>
      </c>
      <c r="L39" s="17"/>
    </row>
    <row r="40" spans="1:12" x14ac:dyDescent="0.25">
      <c r="A40">
        <v>39</v>
      </c>
      <c r="B40" t="s">
        <v>7</v>
      </c>
      <c r="C40">
        <v>100</v>
      </c>
      <c r="D40" s="17">
        <v>45830</v>
      </c>
      <c r="E40" s="17">
        <v>45868</v>
      </c>
      <c r="F40" t="s">
        <v>18</v>
      </c>
      <c r="G40">
        <f>VLOOKUP(RIGHT(B40,1), {"A",10;"B",12;"C",14;"D",14}, 2, FALSE) * C40 + 50*K40</f>
        <v>1450</v>
      </c>
      <c r="H40">
        <f t="shared" si="0"/>
        <v>42802</v>
      </c>
      <c r="I40" s="39">
        <f>WORKDAY.INTL(D40,INT(H40/1440),7) + MOD(H40/1440,1)</f>
        <v>45869.723611111112</v>
      </c>
      <c r="J40" s="39">
        <f>WORKDAY.INTL(E40, -QUOTIENT($O$15,1440), 7) - MOD($O$15,1440)/1440</f>
        <v>45867.875</v>
      </c>
      <c r="K40" s="21">
        <f>IF(ROW()=2,1,IF(B40&lt;&gt;B39,1,0))</f>
        <v>1</v>
      </c>
      <c r="L40" s="17"/>
    </row>
    <row r="41" spans="1:12" x14ac:dyDescent="0.25">
      <c r="A41">
        <v>21</v>
      </c>
      <c r="B41" t="s">
        <v>4</v>
      </c>
      <c r="C41">
        <v>61</v>
      </c>
      <c r="D41" s="17">
        <v>45830</v>
      </c>
      <c r="E41" s="17">
        <v>45872</v>
      </c>
      <c r="F41" t="s">
        <v>17</v>
      </c>
      <c r="G41">
        <f>VLOOKUP(RIGHT(B41,1), {"A",10;"B",12;"C",14;"D",14}, 2, FALSE) * C41 + 50*K41</f>
        <v>660</v>
      </c>
      <c r="H41">
        <f t="shared" si="0"/>
        <v>43462</v>
      </c>
      <c r="I41" s="39">
        <f>WORKDAY.INTL(D41,INT(H41/1440),7) + MOD(H41/1440,1)</f>
        <v>45872.181944444441</v>
      </c>
      <c r="J41" s="39">
        <f>WORKDAY.INTL(E41, -QUOTIENT($O$15,1440), 7) - MOD($O$15,1440)/1440</f>
        <v>45871.875</v>
      </c>
      <c r="K41" s="21">
        <f>IF(ROW()=2,1,IF(B41&lt;&gt;B40,1,0))</f>
        <v>1</v>
      </c>
      <c r="L41" s="17"/>
    </row>
    <row r="42" spans="1:12" x14ac:dyDescent="0.25">
      <c r="A42">
        <v>18</v>
      </c>
      <c r="B42" t="s">
        <v>5</v>
      </c>
      <c r="C42">
        <v>46</v>
      </c>
      <c r="D42" s="17">
        <v>45830</v>
      </c>
      <c r="E42" s="17">
        <v>45872</v>
      </c>
      <c r="F42" t="s">
        <v>16</v>
      </c>
      <c r="G42">
        <f>VLOOKUP(RIGHT(B42,1), {"A",10;"B",12;"C",14;"D",14}, 2, FALSE) * C42 + 50*K42</f>
        <v>602</v>
      </c>
      <c r="H42">
        <f t="shared" si="0"/>
        <v>44064</v>
      </c>
      <c r="I42" s="39">
        <f>WORKDAY.INTL(D42,INT(H42/1440),7) + MOD(H42/1440,1)</f>
        <v>45872.6</v>
      </c>
      <c r="J42" s="39">
        <f>WORKDAY.INTL(E42, -QUOTIENT($O$15,1440), 7) - MOD($O$15,1440)/1440</f>
        <v>45871.875</v>
      </c>
      <c r="K42" s="21">
        <f>IF(ROW()=2,1,IF(B42&lt;&gt;B41,1,0))</f>
        <v>1</v>
      </c>
      <c r="L42" s="17"/>
    </row>
    <row r="43" spans="1:12" x14ac:dyDescent="0.25">
      <c r="A43">
        <v>2</v>
      </c>
      <c r="B43" t="s">
        <v>6</v>
      </c>
      <c r="C43">
        <v>21</v>
      </c>
      <c r="D43" s="17">
        <v>45830</v>
      </c>
      <c r="E43" s="17">
        <v>45874</v>
      </c>
      <c r="F43" t="s">
        <v>16</v>
      </c>
      <c r="G43">
        <f>VLOOKUP(RIGHT(B43,1), {"A",10;"B",12;"C",14;"D",14}, 2, FALSE) * C43 + 50*K43</f>
        <v>344</v>
      </c>
      <c r="H43">
        <f t="shared" si="0"/>
        <v>44408</v>
      </c>
      <c r="I43" s="39">
        <f>WORKDAY.INTL(D43,INT(H43/1440),7) + MOD(H43/1440,1)</f>
        <v>45872.838888888888</v>
      </c>
      <c r="J43" s="39">
        <f>WORKDAY.INTL(E43, -QUOTIENT($O$15,1440), 7) - MOD($O$15,1440)/1440</f>
        <v>45873.875</v>
      </c>
      <c r="K43" s="21">
        <f>IF(ROW()=2,1,IF(B43&lt;&gt;B42,1,0))</f>
        <v>1</v>
      </c>
      <c r="L43" s="17"/>
    </row>
    <row r="44" spans="1:12" x14ac:dyDescent="0.25">
      <c r="A44">
        <v>15</v>
      </c>
      <c r="B44" t="s">
        <v>4</v>
      </c>
      <c r="C44">
        <v>54</v>
      </c>
      <c r="D44" s="17">
        <v>45830</v>
      </c>
      <c r="E44" s="17">
        <v>45875</v>
      </c>
      <c r="F44" t="s">
        <v>16</v>
      </c>
      <c r="G44">
        <f>VLOOKUP(RIGHT(B44,1), {"A",10;"B",12;"C",14;"D",14}, 2, FALSE) * C44 + 50*K44</f>
        <v>590</v>
      </c>
      <c r="H44">
        <f t="shared" si="0"/>
        <v>44998</v>
      </c>
      <c r="I44" s="39">
        <f>WORKDAY.INTL(D44,INT(H44/1440),7) + MOD(H44/1440,1)</f>
        <v>45873.248611111114</v>
      </c>
      <c r="J44" s="39">
        <f>WORKDAY.INTL(E44, -QUOTIENT($O$15,1440), 7) - MOD($O$15,1440)/1440</f>
        <v>45874.875</v>
      </c>
      <c r="K44" s="21">
        <f>IF(ROW()=2,1,IF(B44&lt;&gt;B43,1,0))</f>
        <v>1</v>
      </c>
      <c r="L44" s="17"/>
    </row>
    <row r="45" spans="1:12" x14ac:dyDescent="0.25">
      <c r="A45">
        <v>23</v>
      </c>
      <c r="B45" t="s">
        <v>7</v>
      </c>
      <c r="C45">
        <v>55</v>
      </c>
      <c r="D45" s="17">
        <v>45830</v>
      </c>
      <c r="E45" s="17">
        <v>45875</v>
      </c>
      <c r="F45" t="s">
        <v>16</v>
      </c>
      <c r="G45">
        <f>VLOOKUP(RIGHT(B45,1), {"A",10;"B",12;"C",14;"D",14}, 2, FALSE) * C45 + 50*K45</f>
        <v>820</v>
      </c>
      <c r="H45">
        <f t="shared" si="0"/>
        <v>45818</v>
      </c>
      <c r="I45" s="39">
        <f>WORKDAY.INTL(D45,INT(H45/1440),7) + MOD(H45/1440,1)</f>
        <v>45873.818055555559</v>
      </c>
      <c r="J45" s="39">
        <f>WORKDAY.INTL(E45, -QUOTIENT($O$15,1440), 7) - MOD($O$15,1440)/1440</f>
        <v>45874.875</v>
      </c>
      <c r="K45" s="21">
        <f>IF(ROW()=2,1,IF(B45&lt;&gt;B44,1,0))</f>
        <v>1</v>
      </c>
      <c r="L45" s="17"/>
    </row>
    <row r="46" spans="1:12" x14ac:dyDescent="0.25">
      <c r="A46">
        <v>4</v>
      </c>
      <c r="B46" t="s">
        <v>4</v>
      </c>
      <c r="C46">
        <v>32</v>
      </c>
      <c r="D46" s="17">
        <v>45830</v>
      </c>
      <c r="E46" s="17">
        <v>45876</v>
      </c>
      <c r="F46" t="s">
        <v>18</v>
      </c>
      <c r="G46">
        <f>VLOOKUP(RIGHT(B46,1), {"A",10;"B",12;"C",14;"D",14}, 2, FALSE) * C46 + 50*K46</f>
        <v>370</v>
      </c>
      <c r="H46">
        <f t="shared" si="0"/>
        <v>46188</v>
      </c>
      <c r="I46" s="39">
        <f>WORKDAY.INTL(D46,INT(H46/1440),7) + MOD(H46/1440,1)</f>
        <v>45874.074999999997</v>
      </c>
      <c r="J46" s="39">
        <f>WORKDAY.INTL(E46, -QUOTIENT($O$15,1440), 7) - MOD($O$15,1440)/1440</f>
        <v>45875.875</v>
      </c>
      <c r="K46" s="21">
        <f>IF(ROW()=2,1,IF(B46&lt;&gt;B45,1,0))</f>
        <v>1</v>
      </c>
      <c r="L46" s="17"/>
    </row>
    <row r="47" spans="1:12" x14ac:dyDescent="0.25">
      <c r="A47">
        <v>24</v>
      </c>
      <c r="B47" t="s">
        <v>5</v>
      </c>
      <c r="C47">
        <v>66</v>
      </c>
      <c r="D47" s="17">
        <v>45830</v>
      </c>
      <c r="E47" s="17">
        <v>45876</v>
      </c>
      <c r="F47" t="s">
        <v>15</v>
      </c>
      <c r="G47">
        <f>VLOOKUP(RIGHT(B47,1), {"A",10;"B",12;"C",14;"D",14}, 2, FALSE) * C47 + 50*K47</f>
        <v>842</v>
      </c>
      <c r="H47">
        <f t="shared" si="0"/>
        <v>47030</v>
      </c>
      <c r="I47" s="39">
        <f>WORKDAY.INTL(D47,INT(H47/1440),7) + MOD(H47/1440,1)</f>
        <v>45874.659722222219</v>
      </c>
      <c r="J47" s="39">
        <f>WORKDAY.INTL(E47, -QUOTIENT($O$15,1440), 7) - MOD($O$15,1440)/1440</f>
        <v>45875.875</v>
      </c>
      <c r="K47" s="21">
        <f>IF(ROW()=2,1,IF(B47&lt;&gt;B46,1,0))</f>
        <v>1</v>
      </c>
      <c r="L47" s="17"/>
    </row>
    <row r="48" spans="1:12" x14ac:dyDescent="0.25">
      <c r="A48">
        <v>31</v>
      </c>
      <c r="B48" t="s">
        <v>4</v>
      </c>
      <c r="C48">
        <v>117</v>
      </c>
      <c r="D48" s="17">
        <v>45830</v>
      </c>
      <c r="E48" s="17">
        <v>45879</v>
      </c>
      <c r="F48" t="s">
        <v>15</v>
      </c>
      <c r="G48">
        <f>VLOOKUP(RIGHT(B48,1), {"A",10;"B",12;"C",14;"D",14}, 2, FALSE) * C48 + 50*K48</f>
        <v>1220</v>
      </c>
      <c r="H48">
        <f t="shared" si="0"/>
        <v>48250</v>
      </c>
      <c r="I48" s="39">
        <f>WORKDAY.INTL(D48,INT(H48/1440),7) + MOD(H48/1440,1)</f>
        <v>45875.506944444445</v>
      </c>
      <c r="J48" s="39">
        <f>WORKDAY.INTL(E48, -QUOTIENT($O$15,1440), 7) - MOD($O$15,1440)/1440</f>
        <v>45878.875</v>
      </c>
      <c r="K48" s="21">
        <f>IF(ROW()=2,1,IF(B48&lt;&gt;B47,1,0))</f>
        <v>1</v>
      </c>
      <c r="L48" s="17"/>
    </row>
    <row r="49" spans="1:12" x14ac:dyDescent="0.25">
      <c r="A49">
        <v>1</v>
      </c>
      <c r="B49" t="s">
        <v>5</v>
      </c>
      <c r="C49">
        <v>23</v>
      </c>
      <c r="D49" s="17">
        <v>45830</v>
      </c>
      <c r="E49" s="17">
        <v>45879</v>
      </c>
      <c r="F49" t="s">
        <v>17</v>
      </c>
      <c r="G49">
        <f>VLOOKUP(RIGHT(B49,1), {"A",10;"B",12;"C",14;"D",14}, 2, FALSE) * C49 + 50*K49</f>
        <v>326</v>
      </c>
      <c r="H49">
        <f t="shared" si="0"/>
        <v>48576</v>
      </c>
      <c r="I49" s="39">
        <f>WORKDAY.INTL(D49,INT(H49/1440),7) + MOD(H49/1440,1)</f>
        <v>45875.73333333333</v>
      </c>
      <c r="J49" s="39">
        <f>WORKDAY.INTL(E49, -QUOTIENT($O$15,1440), 7) - MOD($O$15,1440)/1440</f>
        <v>45878.875</v>
      </c>
      <c r="K49" s="21">
        <f>IF(ROW()=2,1,IF(B49&lt;&gt;B48,1,0))</f>
        <v>1</v>
      </c>
      <c r="L49" s="17"/>
    </row>
    <row r="50" spans="1:12" x14ac:dyDescent="0.25">
      <c r="A50">
        <v>22</v>
      </c>
      <c r="B50" t="s">
        <v>6</v>
      </c>
      <c r="C50">
        <v>48</v>
      </c>
      <c r="D50" s="17">
        <v>45830</v>
      </c>
      <c r="E50" s="17">
        <v>45880</v>
      </c>
      <c r="F50" t="s">
        <v>18</v>
      </c>
      <c r="G50">
        <f>VLOOKUP(RIGHT(B50,1), {"A",10;"B",12;"C",14;"D",14}, 2, FALSE) * C50 + 50*K50</f>
        <v>722</v>
      </c>
      <c r="H50">
        <f t="shared" si="0"/>
        <v>49298</v>
      </c>
      <c r="I50" s="39">
        <f>WORKDAY.INTL(D50,INT(H50/1440),7) + MOD(H50/1440,1)</f>
        <v>45876.234722222223</v>
      </c>
      <c r="J50" s="39">
        <f>WORKDAY.INTL(E50, -QUOTIENT($O$15,1440), 7) - MOD($O$15,1440)/1440</f>
        <v>45879.875</v>
      </c>
      <c r="K50" s="21">
        <f>IF(ROW()=2,1,IF(B50&lt;&gt;B49,1,0))</f>
        <v>1</v>
      </c>
      <c r="L50" s="17"/>
    </row>
    <row r="51" spans="1:12" x14ac:dyDescent="0.25">
      <c r="A51">
        <v>26</v>
      </c>
      <c r="B51" t="s">
        <v>4</v>
      </c>
      <c r="C51">
        <v>95</v>
      </c>
      <c r="D51" s="17">
        <v>45830</v>
      </c>
      <c r="E51" s="17">
        <v>45881</v>
      </c>
      <c r="F51" t="s">
        <v>16</v>
      </c>
      <c r="G51">
        <f>VLOOKUP(RIGHT(B51,1), {"A",10;"B",12;"C",14;"D",14}, 2, FALSE) * C51 + 50*K51</f>
        <v>1000</v>
      </c>
      <c r="H51">
        <f t="shared" si="0"/>
        <v>50298</v>
      </c>
      <c r="I51" s="39">
        <f>WORKDAY.INTL(D51,INT(H51/1440),7) + MOD(H51/1440,1)</f>
        <v>45876.929166666669</v>
      </c>
      <c r="J51" s="39">
        <f>WORKDAY.INTL(E51, -QUOTIENT($O$15,1440), 7) - MOD($O$15,1440)/1440</f>
        <v>45880.875</v>
      </c>
      <c r="K51" s="21">
        <f>IF(ROW()=2,1,IF(B51&lt;&gt;B50,1,0))</f>
        <v>1</v>
      </c>
      <c r="L51" s="17"/>
    </row>
    <row r="52" spans="1:12" x14ac:dyDescent="0.25">
      <c r="A52">
        <v>27</v>
      </c>
      <c r="B52" t="s">
        <v>5</v>
      </c>
      <c r="C52">
        <v>84</v>
      </c>
      <c r="D52" s="17">
        <v>45830</v>
      </c>
      <c r="E52" s="17">
        <v>45883</v>
      </c>
      <c r="F52" t="s">
        <v>17</v>
      </c>
      <c r="G52">
        <f>VLOOKUP(RIGHT(B52,1), {"A",10;"B",12;"C",14;"D",14}, 2, FALSE) * C52 + 50*K52</f>
        <v>1058</v>
      </c>
      <c r="H52">
        <f t="shared" si="0"/>
        <v>51356</v>
      </c>
      <c r="I52" s="39">
        <f>WORKDAY.INTL(D52,INT(H52/1440),7) + MOD(H52/1440,1)</f>
        <v>45879.663888888892</v>
      </c>
      <c r="J52" s="39">
        <f>WORKDAY.INTL(E52, -QUOTIENT($O$15,1440), 7) - MOD($O$15,1440)/1440</f>
        <v>45882.875</v>
      </c>
      <c r="K52" s="21">
        <f>IF(ROW()=2,1,IF(B52&lt;&gt;B51,1,0))</f>
        <v>1</v>
      </c>
      <c r="L52" s="17"/>
    </row>
  </sheetData>
  <mergeCells count="3">
    <mergeCell ref="L7:M7"/>
    <mergeCell ref="L8:M8"/>
    <mergeCell ref="L9:M9"/>
  </mergeCells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1D49-34B8-4493-B909-04EFBABC4637}">
  <dimension ref="A1:AB52"/>
  <sheetViews>
    <sheetView rightToLeft="1" tabSelected="1" zoomScale="85" zoomScaleNormal="85" workbookViewId="0">
      <selection activeCell="U2" sqref="U2"/>
    </sheetView>
  </sheetViews>
  <sheetFormatPr defaultRowHeight="13.8" x14ac:dyDescent="0.25"/>
  <cols>
    <col min="1" max="1" width="10.69921875" bestFit="1" customWidth="1"/>
    <col min="2" max="2" width="8.5" bestFit="1" customWidth="1"/>
    <col min="3" max="3" width="8.59765625" bestFit="1" customWidth="1"/>
    <col min="4" max="4" width="15.69921875" bestFit="1" customWidth="1"/>
    <col min="5" max="5" width="17.69921875" customWidth="1"/>
    <col min="6" max="6" width="8" bestFit="1" customWidth="1"/>
    <col min="7" max="7" width="10.8984375" bestFit="1" customWidth="1"/>
    <col min="8" max="8" width="8.8984375" bestFit="1" customWidth="1"/>
    <col min="9" max="9" width="16.5" style="20" bestFit="1" customWidth="1"/>
    <col min="10" max="10" width="12.3984375" bestFit="1" customWidth="1"/>
    <col min="11" max="11" width="18.19921875" customWidth="1"/>
    <col min="12" max="12" width="11" bestFit="1" customWidth="1"/>
    <col min="13" max="13" width="15.3984375" bestFit="1" customWidth="1"/>
    <col min="14" max="14" width="15.796875" bestFit="1" customWidth="1"/>
    <col min="15" max="15" width="14.8984375" bestFit="1" customWidth="1"/>
    <col min="16" max="16" width="16.19921875" bestFit="1" customWidth="1"/>
    <col min="17" max="17" width="16.69921875" bestFit="1" customWidth="1"/>
    <col min="20" max="20" width="12.796875" bestFit="1" customWidth="1"/>
    <col min="21" max="21" width="14.69921875" bestFit="1" customWidth="1"/>
    <col min="22" max="22" width="18.69921875" bestFit="1" customWidth="1"/>
    <col min="23" max="23" width="13.296875" style="20" bestFit="1" customWidth="1"/>
    <col min="24" max="24" width="13.19921875" style="20" bestFit="1" customWidth="1"/>
    <col min="25" max="25" width="15.296875" bestFit="1" customWidth="1"/>
    <col min="26" max="26" width="12.69921875" bestFit="1" customWidth="1"/>
    <col min="27" max="27" width="23.8984375" bestFit="1" customWidth="1"/>
    <col min="28" max="28" width="15.19921875" style="20" bestFit="1" customWidth="1"/>
  </cols>
  <sheetData>
    <row r="1" spans="1:28" ht="14.4" thickBot="1" x14ac:dyDescent="0.3">
      <c r="A1" t="s">
        <v>19</v>
      </c>
      <c r="B1" s="1" t="s">
        <v>0</v>
      </c>
      <c r="C1" s="2" t="s">
        <v>1</v>
      </c>
      <c r="D1" s="2" t="s">
        <v>22</v>
      </c>
      <c r="E1" s="2" t="s">
        <v>2</v>
      </c>
      <c r="F1" s="2" t="s">
        <v>3</v>
      </c>
      <c r="G1" s="25" t="s">
        <v>23</v>
      </c>
      <c r="H1" s="25" t="s">
        <v>28</v>
      </c>
      <c r="I1" s="25" t="s">
        <v>24</v>
      </c>
      <c r="J1" s="38" t="s">
        <v>35</v>
      </c>
      <c r="K1" s="21" t="s">
        <v>29</v>
      </c>
      <c r="L1" s="22"/>
      <c r="M1" s="23" t="s">
        <v>0</v>
      </c>
      <c r="N1" s="5" t="s">
        <v>9</v>
      </c>
      <c r="O1" s="5" t="s">
        <v>8</v>
      </c>
      <c r="P1" s="5" t="s">
        <v>10</v>
      </c>
      <c r="Q1" s="5" t="s">
        <v>11</v>
      </c>
      <c r="R1" s="5" t="s">
        <v>12</v>
      </c>
      <c r="T1" s="21" t="s">
        <v>36</v>
      </c>
      <c r="U1" t="s">
        <v>40</v>
      </c>
      <c r="V1" s="21" t="s">
        <v>37</v>
      </c>
      <c r="W1" s="21" t="s">
        <v>38</v>
      </c>
      <c r="X1" s="46" t="s">
        <v>39</v>
      </c>
      <c r="Y1" s="41" t="s">
        <v>44</v>
      </c>
      <c r="Z1" s="41" t="s">
        <v>43</v>
      </c>
      <c r="AA1" s="41" t="s">
        <v>41</v>
      </c>
      <c r="AB1" s="41" t="s">
        <v>42</v>
      </c>
    </row>
    <row r="2" spans="1:28" ht="14.4" thickBot="1" x14ac:dyDescent="0.3">
      <c r="A2">
        <v>33</v>
      </c>
      <c r="B2" t="s">
        <v>4</v>
      </c>
      <c r="C2">
        <v>118</v>
      </c>
      <c r="D2" s="17">
        <v>45830</v>
      </c>
      <c r="E2" s="17">
        <v>45851</v>
      </c>
      <c r="F2" t="s">
        <v>15</v>
      </c>
      <c r="G2">
        <f>VLOOKUP(RIGHT(B2,1), {"A",10;"B",12;"C",14;"D",14}, 2, FALSE) * C2 + 50*K2</f>
        <v>1230</v>
      </c>
      <c r="H2">
        <f>$G2</f>
        <v>1230</v>
      </c>
      <c r="I2" s="39">
        <f>WORKDAY.INTL(D2,INT(H2/1440),7) + MOD(H2/1440,1)</f>
        <v>45830.854166666664</v>
      </c>
      <c r="J2" s="39">
        <f>WORKDAY.INTL(E2, -QUOTIENT($O$15,1440), 7) - MOD($O$15,1440)/1440</f>
        <v>45850.875</v>
      </c>
      <c r="K2" s="21">
        <f>IF(ROW()=2,1,IF(B2&lt;&gt;B1,1,0))</f>
        <v>1</v>
      </c>
      <c r="L2" s="17"/>
      <c r="M2" s="24" t="s">
        <v>4</v>
      </c>
      <c r="N2" s="10">
        <v>5</v>
      </c>
      <c r="O2" s="3">
        <v>8</v>
      </c>
      <c r="P2" s="3">
        <v>14</v>
      </c>
      <c r="Q2" s="3">
        <v>6</v>
      </c>
      <c r="R2" s="9">
        <v>10</v>
      </c>
      <c r="T2" s="20">
        <v>14</v>
      </c>
      <c r="U2" s="20">
        <v>50</v>
      </c>
      <c r="V2" s="43">
        <f>SUM($C$2:$C$52) /
 NETWORKDAYS.INTL(INT(MIN($I$2:$I$52)), INT(MAX($I$2:$I$52)), 7)</f>
        <v>110.33333333333333</v>
      </c>
      <c r="W2" s="45">
        <f>V2 * $T$2</f>
        <v>1544.6666666666665</v>
      </c>
      <c r="X2" s="20">
        <f>U2 * $T$2</f>
        <v>700</v>
      </c>
      <c r="Y2" s="43">
        <f t="shared" ref="Y2:Y33" si="0">$X$2+W2</f>
        <v>2244.6666666666665</v>
      </c>
      <c r="Z2" s="43">
        <v>1500</v>
      </c>
      <c r="AA2" s="43">
        <f xml:space="preserve"> $Z$2 - $C2 + IF( WORKDAY.INTL($I2, $T$2, 7) &lt;= $I2, $AB2, 0)</f>
        <v>1382</v>
      </c>
      <c r="AB2" s="20">
        <f>IF(AA2 &lt;= $W$2, MAX(0, $Y$2 - AA2), 0)</f>
        <v>862.66666666666652</v>
      </c>
    </row>
    <row r="3" spans="1:28" ht="14.4" thickBot="1" x14ac:dyDescent="0.3">
      <c r="A3">
        <v>19</v>
      </c>
      <c r="B3" t="s">
        <v>5</v>
      </c>
      <c r="C3">
        <v>50</v>
      </c>
      <c r="D3" s="17">
        <v>45830</v>
      </c>
      <c r="E3" s="17">
        <v>45851</v>
      </c>
      <c r="F3" t="s">
        <v>16</v>
      </c>
      <c r="G3">
        <f>VLOOKUP(RIGHT(B3,1), {"A",10;"B",12;"C",14;"D",14}, 2, FALSE) * C3 + 50*K3</f>
        <v>650</v>
      </c>
      <c r="H3">
        <f>H2 + G3</f>
        <v>1880</v>
      </c>
      <c r="I3" s="39">
        <f>WORKDAY.INTL(D3,INT(H3/1440),7) + MOD(H3/1440,1)</f>
        <v>45831.305555555555</v>
      </c>
      <c r="J3" s="39">
        <f>WORKDAY.INTL(E3, -QUOTIENT($O$15,1440), 7) - MOD($O$15,1440)/1440</f>
        <v>45850.875</v>
      </c>
      <c r="K3" s="21">
        <f>IF(ROW()=2,1,IF(B3&lt;&gt;B2,1,0))</f>
        <v>1</v>
      </c>
      <c r="L3" s="17"/>
      <c r="M3" s="24" t="s">
        <v>5</v>
      </c>
      <c r="N3" s="11">
        <v>7</v>
      </c>
      <c r="O3" s="4">
        <v>6</v>
      </c>
      <c r="P3" s="4">
        <v>11</v>
      </c>
      <c r="Q3" s="4">
        <v>6</v>
      </c>
      <c r="R3" s="6">
        <v>12</v>
      </c>
      <c r="T3" s="20"/>
      <c r="V3" s="43">
        <f t="shared" ref="V3:V34" si="1">SUM($C$2:$C$52) /
 NETWORKDAYS.INTL(INT(MIN($I$2:$I$52)), INT(MAX($I$2:$I$52)), 7)</f>
        <v>110.33333333333333</v>
      </c>
      <c r="W3" s="45">
        <f t="shared" ref="W3:W34" si="2">V3 * $T$2</f>
        <v>1544.6666666666665</v>
      </c>
      <c r="X3" s="20">
        <f t="shared" ref="X3:X52" si="3">U3 * $T$2</f>
        <v>0</v>
      </c>
      <c r="Y3" s="43">
        <f t="shared" si="0"/>
        <v>2244.6666666666665</v>
      </c>
      <c r="Z3" s="43"/>
      <c r="AA3" s="43">
        <f xml:space="preserve"> AA2 - $C3 + $AB2</f>
        <v>2194.6666666666665</v>
      </c>
      <c r="AB3" s="20">
        <f t="shared" ref="AB3:AB52" si="4">IF(AA3 &lt;= $W$2, MAX(0, $Y$2 - AA3), 0)</f>
        <v>0</v>
      </c>
    </row>
    <row r="4" spans="1:28" ht="14.4" thickBot="1" x14ac:dyDescent="0.3">
      <c r="A4">
        <v>28</v>
      </c>
      <c r="B4" t="s">
        <v>5</v>
      </c>
      <c r="C4">
        <v>87</v>
      </c>
      <c r="D4" s="17">
        <v>45830</v>
      </c>
      <c r="E4" s="17">
        <v>45851</v>
      </c>
      <c r="F4" t="s">
        <v>16</v>
      </c>
      <c r="G4">
        <f>VLOOKUP(RIGHT(B4,1), {"A",10;"B",12;"C",14;"D",14}, 2, FALSE) * C4 + 50*K4</f>
        <v>1044</v>
      </c>
      <c r="H4">
        <f t="shared" ref="H4:H52" si="5">H3 + G4</f>
        <v>2924</v>
      </c>
      <c r="I4" s="39">
        <f>WORKDAY.INTL(D4,INT(H4/1440),7) + MOD(H4/1440,1)</f>
        <v>45832.030555555553</v>
      </c>
      <c r="J4" s="39">
        <f>WORKDAY.INTL(E4, -QUOTIENT($O$15,1440), 7) - MOD($O$15,1440)/1440</f>
        <v>45850.875</v>
      </c>
      <c r="K4" s="21">
        <f>IF(ROW()=2,1,IF(B4&lt;&gt;B3,1,0))</f>
        <v>0</v>
      </c>
      <c r="L4" s="17"/>
      <c r="M4" s="24" t="s">
        <v>6</v>
      </c>
      <c r="N4" s="11">
        <v>10</v>
      </c>
      <c r="O4" s="4">
        <v>10</v>
      </c>
      <c r="P4" s="4">
        <v>10</v>
      </c>
      <c r="Q4" s="4">
        <v>6</v>
      </c>
      <c r="R4" s="6">
        <v>14</v>
      </c>
      <c r="T4" s="20"/>
      <c r="V4" s="43">
        <f t="shared" si="1"/>
        <v>110.33333333333333</v>
      </c>
      <c r="W4" s="45">
        <f t="shared" si="2"/>
        <v>1544.6666666666665</v>
      </c>
      <c r="X4" s="20">
        <f t="shared" si="3"/>
        <v>0</v>
      </c>
      <c r="Y4" s="43">
        <f t="shared" si="0"/>
        <v>2244.6666666666665</v>
      </c>
      <c r="Z4" s="43"/>
      <c r="AA4" s="43">
        <f t="shared" ref="AA4:AA52" si="6" xml:space="preserve"> AA3 - $C4 + $AB3</f>
        <v>2107.6666666666665</v>
      </c>
      <c r="AB4" s="20">
        <f t="shared" si="4"/>
        <v>0</v>
      </c>
    </row>
    <row r="5" spans="1:28" ht="14.4" thickBot="1" x14ac:dyDescent="0.3">
      <c r="A5">
        <v>42</v>
      </c>
      <c r="B5" t="s">
        <v>5</v>
      </c>
      <c r="C5">
        <v>120</v>
      </c>
      <c r="D5" s="17">
        <v>45830</v>
      </c>
      <c r="E5" s="17">
        <v>45851</v>
      </c>
      <c r="F5" t="s">
        <v>16</v>
      </c>
      <c r="G5">
        <f>VLOOKUP(RIGHT(B5,1), {"A",10;"B",12;"C",14;"D",14}, 2, FALSE) * C5 + 50*K5</f>
        <v>1440</v>
      </c>
      <c r="H5">
        <f t="shared" si="5"/>
        <v>4364</v>
      </c>
      <c r="I5" s="39">
        <f>WORKDAY.INTL(D5,INT(H5/1440),7) + MOD(H5/1440,1)</f>
        <v>45833.030555555553</v>
      </c>
      <c r="J5" s="39">
        <f>WORKDAY.INTL(E5, -QUOTIENT($O$15,1440), 7) - MOD($O$15,1440)/1440</f>
        <v>45850.875</v>
      </c>
      <c r="K5" s="21">
        <f>IF(ROW()=2,1,IF(B5&lt;&gt;B4,1,0))</f>
        <v>0</v>
      </c>
      <c r="L5" s="17"/>
      <c r="M5" s="24" t="s">
        <v>7</v>
      </c>
      <c r="N5" s="12">
        <v>6</v>
      </c>
      <c r="O5" s="7">
        <v>7</v>
      </c>
      <c r="P5" s="7">
        <v>12</v>
      </c>
      <c r="Q5" s="7">
        <v>6</v>
      </c>
      <c r="R5" s="8">
        <v>14</v>
      </c>
      <c r="T5" s="20"/>
      <c r="V5" s="43">
        <f t="shared" si="1"/>
        <v>110.33333333333333</v>
      </c>
      <c r="W5" s="45">
        <f t="shared" si="2"/>
        <v>1544.6666666666665</v>
      </c>
      <c r="X5" s="20">
        <f t="shared" si="3"/>
        <v>0</v>
      </c>
      <c r="Y5" s="43">
        <f t="shared" si="0"/>
        <v>2244.6666666666665</v>
      </c>
      <c r="Z5" s="43"/>
      <c r="AA5" s="43">
        <f t="shared" si="6"/>
        <v>1987.6666666666665</v>
      </c>
      <c r="AB5" s="20">
        <f t="shared" si="4"/>
        <v>0</v>
      </c>
    </row>
    <row r="6" spans="1:28" x14ac:dyDescent="0.25">
      <c r="A6">
        <v>43</v>
      </c>
      <c r="B6" t="s">
        <v>6</v>
      </c>
      <c r="C6">
        <v>104</v>
      </c>
      <c r="D6" s="17">
        <v>45830</v>
      </c>
      <c r="E6" s="17">
        <v>45851</v>
      </c>
      <c r="F6" t="s">
        <v>16</v>
      </c>
      <c r="G6">
        <f>VLOOKUP(RIGHT(B6,1), {"A",10;"B",12;"C",14;"D",14}, 2, FALSE) * C6 + 50*K6</f>
        <v>1506</v>
      </c>
      <c r="H6">
        <f t="shared" si="5"/>
        <v>5870</v>
      </c>
      <c r="I6" s="39">
        <f>WORKDAY.INTL(D6,INT(H6/1440),7) + MOD(H6/1440,1)</f>
        <v>45834.076388888891</v>
      </c>
      <c r="J6" s="39">
        <f>WORKDAY.INTL(E6, -QUOTIENT($O$15,1440), 7) - MOD($O$15,1440)/1440</f>
        <v>45850.875</v>
      </c>
      <c r="K6" s="21">
        <f>IF(ROW()=2,1,IF(B6&lt;&gt;B5,1,0))</f>
        <v>1</v>
      </c>
      <c r="L6" s="17"/>
      <c r="M6" s="27"/>
      <c r="N6" s="18"/>
      <c r="O6" s="28"/>
      <c r="P6" s="28"/>
      <c r="Q6" s="28"/>
      <c r="R6" s="29"/>
      <c r="T6" s="20"/>
      <c r="V6" s="43">
        <f t="shared" si="1"/>
        <v>110.33333333333333</v>
      </c>
      <c r="W6" s="45">
        <f t="shared" si="2"/>
        <v>1544.6666666666665</v>
      </c>
      <c r="X6" s="20">
        <f t="shared" si="3"/>
        <v>0</v>
      </c>
      <c r="Y6" s="43">
        <f t="shared" si="0"/>
        <v>2244.6666666666665</v>
      </c>
      <c r="Z6" s="43"/>
      <c r="AA6" s="43">
        <f t="shared" si="6"/>
        <v>1883.6666666666665</v>
      </c>
      <c r="AB6" s="20">
        <f t="shared" si="4"/>
        <v>0</v>
      </c>
    </row>
    <row r="7" spans="1:28" x14ac:dyDescent="0.25">
      <c r="A7">
        <v>8</v>
      </c>
      <c r="B7" t="s">
        <v>6</v>
      </c>
      <c r="C7">
        <v>30</v>
      </c>
      <c r="D7" s="17">
        <v>45830</v>
      </c>
      <c r="E7" s="17">
        <v>45851</v>
      </c>
      <c r="F7" t="s">
        <v>17</v>
      </c>
      <c r="G7">
        <f>VLOOKUP(RIGHT(B7,1), {"A",10;"B",12;"C",14;"D",14}, 2, FALSE) * C7 + 50*K7</f>
        <v>420</v>
      </c>
      <c r="H7">
        <f t="shared" si="5"/>
        <v>6290</v>
      </c>
      <c r="I7" s="39">
        <f>WORKDAY.INTL(D7,INT(H7/1440),7) + MOD(H7/1440,1)</f>
        <v>45834.368055555555</v>
      </c>
      <c r="J7" s="39">
        <f>WORKDAY.INTL(E7, -QUOTIENT($O$15,1440), 7) - MOD($O$15,1440)/1440</f>
        <v>45850.875</v>
      </c>
      <c r="K7" s="21">
        <f>IF(ROW()=2,1,IF(B7&lt;&gt;B6,1,0))</f>
        <v>0</v>
      </c>
      <c r="L7" s="34" t="s">
        <v>30</v>
      </c>
      <c r="M7" s="34"/>
      <c r="N7" s="33" cm="1">
        <f t="array" ref="N7">SUMPRODUCT($C$2:$C$52,
            INDEX($N$2:$R$5, MATCH($B$2:$B$52, $M$2:$M$5, 0), 1)
) + 10*SUM($K$2:$K$52)</f>
        <v>28638</v>
      </c>
      <c r="O7" s="33" cm="1">
        <f t="array" ref="O7">SUMPRODUCT($C$2:$C$52,
            INDEX($N$2:$R$5, MATCH($B$2:$B$52, $M$2:$M$5, 0), 2)
) + 10*SUM($K$2:$K$52)</f>
        <v>31651</v>
      </c>
      <c r="P7" s="33" cm="1">
        <f t="array" ref="P7">SUMPRODUCT($C$2:$C$52,
            INDEX($N$2:$R$5, MATCH($B$2:$B$52, $M$2:$M$5, 0), 3)
) + 10*SUM($K$2:$K$52)</f>
        <v>46838</v>
      </c>
      <c r="Q7" s="33" cm="1">
        <f t="array" ref="Q7">SUMPRODUCT($C$2:$C$52,
            INDEX($N$2:$R$5, MATCH($B$2:$B$52, $M$2:$M$5, 0), 4)
) + 10*SUM($K$2:$K$52)</f>
        <v>24172</v>
      </c>
      <c r="R7" s="33" cm="1">
        <f t="array" ref="R7">SUMPRODUCT($C$2:$C$52,
            INDEX($N$2:$R$5, MATCH($B$2:$B$52, $M$2:$M$5, 0), 5)
) + 10*SUM($K$2:$K$52)</f>
        <v>49996</v>
      </c>
      <c r="T7" s="20"/>
      <c r="V7" s="43">
        <f t="shared" si="1"/>
        <v>110.33333333333333</v>
      </c>
      <c r="W7" s="45">
        <f t="shared" si="2"/>
        <v>1544.6666666666665</v>
      </c>
      <c r="X7" s="20">
        <f t="shared" si="3"/>
        <v>0</v>
      </c>
      <c r="Y7" s="43">
        <f t="shared" si="0"/>
        <v>2244.6666666666665</v>
      </c>
      <c r="Z7" s="43"/>
      <c r="AA7" s="43">
        <f t="shared" si="6"/>
        <v>1853.6666666666665</v>
      </c>
      <c r="AB7" s="20">
        <f t="shared" si="4"/>
        <v>0</v>
      </c>
    </row>
    <row r="8" spans="1:28" x14ac:dyDescent="0.25">
      <c r="A8">
        <v>41</v>
      </c>
      <c r="B8" t="s">
        <v>6</v>
      </c>
      <c r="C8">
        <v>102</v>
      </c>
      <c r="D8" s="17">
        <v>45830</v>
      </c>
      <c r="E8" s="17">
        <v>45851</v>
      </c>
      <c r="F8" t="s">
        <v>17</v>
      </c>
      <c r="G8">
        <f>VLOOKUP(RIGHT(B8,1), {"A",10;"B",12;"C",14;"D",14}, 2, FALSE) * C8 + 50*K8</f>
        <v>1428</v>
      </c>
      <c r="H8">
        <f t="shared" si="5"/>
        <v>7718</v>
      </c>
      <c r="I8" s="39">
        <f>WORKDAY.INTL(D8,INT(H8/1440),7) + MOD(H8/1440,1)</f>
        <v>45837.359722222223</v>
      </c>
      <c r="J8" s="39">
        <f>WORKDAY.INTL(E8, -QUOTIENT($O$15,1440), 7) - MOD($O$15,1440)/1440</f>
        <v>45850.875</v>
      </c>
      <c r="K8" s="21">
        <f>IF(ROW()=2,1,IF(B8&lt;&gt;B7,1,0))</f>
        <v>0</v>
      </c>
      <c r="L8" s="34" t="s">
        <v>31</v>
      </c>
      <c r="M8" s="34"/>
      <c r="N8" s="33" cm="1">
        <f t="array" ref="N8">SUMPRODUCT($C$2:$C$52,
            INDEX($N$2:$R$5, MATCH($B$2:$B$52, $M$2:$M$5, 0), 1)
) + 10*COUNTA(A2:A52)</f>
        <v>28808</v>
      </c>
      <c r="O8" s="33" cm="1">
        <f t="array" ref="O8">SUMPRODUCT($C$2:$C$52,
            INDEX($N$2:$R$5, MATCH($B$2:$B$52, $M$2:$M$5, 0), 2)
) + 10*COUNTA(A2:A52)</f>
        <v>31821</v>
      </c>
      <c r="P8" s="33" cm="1">
        <f t="array" ref="P8">SUMPRODUCT($C$2:$C$52,
            INDEX($N$2:$R$5, MATCH($B$2:$B$52, $M$2:$M$5, 0), 3)
) + 10*COUNTA(A2:A52)</f>
        <v>47008</v>
      </c>
      <c r="Q8" s="33" cm="1">
        <f t="array" ref="Q8">SUMPRODUCT($C$2:$C$52,
            INDEX($N$2:$R$5, MATCH($B$2:$B$52, $M$2:$M$5, 0), 4)
) + 10*COUNTA(A2:A52)</f>
        <v>24342</v>
      </c>
      <c r="R8" s="33" cm="1">
        <f t="array" ref="R8">SUMPRODUCT($C$2:$C$52,
            INDEX($N$2:$R$5, MATCH($B$2:$B$52, $M$2:$M$5, 0), 5)
) + 10*COUNTA(A2:A52)</f>
        <v>50166</v>
      </c>
      <c r="T8" s="20"/>
      <c r="V8" s="43">
        <f t="shared" si="1"/>
        <v>110.33333333333333</v>
      </c>
      <c r="W8" s="45">
        <f t="shared" si="2"/>
        <v>1544.6666666666665</v>
      </c>
      <c r="X8" s="20">
        <f t="shared" si="3"/>
        <v>0</v>
      </c>
      <c r="Y8" s="43">
        <f t="shared" si="0"/>
        <v>2244.6666666666665</v>
      </c>
      <c r="Z8" s="43"/>
      <c r="AA8" s="43">
        <f t="shared" si="6"/>
        <v>1751.6666666666665</v>
      </c>
      <c r="AB8" s="20">
        <f t="shared" si="4"/>
        <v>0</v>
      </c>
    </row>
    <row r="9" spans="1:28" x14ac:dyDescent="0.25">
      <c r="A9">
        <v>10</v>
      </c>
      <c r="B9" t="s">
        <v>6</v>
      </c>
      <c r="C9">
        <v>31</v>
      </c>
      <c r="D9" s="17">
        <v>45830</v>
      </c>
      <c r="E9" s="17">
        <v>45851</v>
      </c>
      <c r="F9" t="s">
        <v>15</v>
      </c>
      <c r="G9">
        <f>VLOOKUP(RIGHT(B9,1), {"A",10;"B",12;"C",14;"D",14}, 2, FALSE) * C9 + 50*K9</f>
        <v>434</v>
      </c>
      <c r="H9">
        <f t="shared" si="5"/>
        <v>8152</v>
      </c>
      <c r="I9" s="39">
        <f>WORKDAY.INTL(D9,INT(H9/1440),7) + MOD(H9/1440,1)</f>
        <v>45837.661111111112</v>
      </c>
      <c r="J9" s="39">
        <f>WORKDAY.INTL(E9, -QUOTIENT($O$15,1440), 7) - MOD($O$15,1440)/1440</f>
        <v>45850.875</v>
      </c>
      <c r="K9" s="21">
        <f>IF(ROW()=2,1,IF(B9&lt;&gt;B8,1,0))</f>
        <v>0</v>
      </c>
      <c r="L9" s="40" t="s">
        <v>32</v>
      </c>
      <c r="M9" s="40"/>
      <c r="N9" s="35"/>
      <c r="O9" s="35"/>
      <c r="P9" s="35" cm="1">
        <f t="array" ref="P9">SUMPRODUCT($C$2:$C$52,
            INDEX($N$2:$R$5, MATCH($B$2:$B$52, $M$2:$M$5, 0), 3)
) + 10*SUM($K$2:$K$52)
  + 180 * INT(MAX($H$2:$H$52)/(3*1440))</f>
        <v>48818</v>
      </c>
      <c r="T9" s="20"/>
      <c r="V9" s="43">
        <f t="shared" si="1"/>
        <v>110.33333333333333</v>
      </c>
      <c r="W9" s="45">
        <f t="shared" si="2"/>
        <v>1544.6666666666665</v>
      </c>
      <c r="X9" s="20">
        <f t="shared" si="3"/>
        <v>0</v>
      </c>
      <c r="Y9" s="43">
        <f t="shared" si="0"/>
        <v>2244.6666666666665</v>
      </c>
      <c r="Z9" s="43"/>
      <c r="AA9" s="43">
        <f t="shared" si="6"/>
        <v>1720.6666666666665</v>
      </c>
      <c r="AB9" s="20">
        <f t="shared" si="4"/>
        <v>0</v>
      </c>
    </row>
    <row r="10" spans="1:28" x14ac:dyDescent="0.25">
      <c r="A10">
        <v>16</v>
      </c>
      <c r="B10" t="s">
        <v>7</v>
      </c>
      <c r="C10">
        <v>39</v>
      </c>
      <c r="D10" s="17">
        <v>45830</v>
      </c>
      <c r="E10" s="17">
        <v>45851</v>
      </c>
      <c r="F10" t="s">
        <v>16</v>
      </c>
      <c r="G10">
        <f>VLOOKUP(RIGHT(B10,1), {"A",10;"B",12;"C",14;"D",14}, 2, FALSE) * C10 + 50*K10</f>
        <v>596</v>
      </c>
      <c r="H10">
        <f t="shared" si="5"/>
        <v>8748</v>
      </c>
      <c r="I10" s="39">
        <f>WORKDAY.INTL(D10,INT(H10/1440),7) + MOD(H10/1440,1)</f>
        <v>45838.074999999997</v>
      </c>
      <c r="J10" s="39">
        <f>WORKDAY.INTL(E10, -QUOTIENT($O$15,1440), 7) - MOD($O$15,1440)/1440</f>
        <v>45850.875</v>
      </c>
      <c r="K10" s="21">
        <f>IF(ROW()=2,1,IF(B10&lt;&gt;B9,1,0))</f>
        <v>1</v>
      </c>
      <c r="L10" s="17"/>
      <c r="T10" s="20"/>
      <c r="V10" s="43">
        <f t="shared" si="1"/>
        <v>110.33333333333333</v>
      </c>
      <c r="W10" s="45">
        <f t="shared" si="2"/>
        <v>1544.6666666666665</v>
      </c>
      <c r="X10" s="20">
        <f t="shared" si="3"/>
        <v>0</v>
      </c>
      <c r="Y10" s="43">
        <f t="shared" si="0"/>
        <v>2244.6666666666665</v>
      </c>
      <c r="Z10" s="43"/>
      <c r="AA10" s="43">
        <f t="shared" si="6"/>
        <v>1681.6666666666665</v>
      </c>
      <c r="AB10" s="20">
        <f t="shared" si="4"/>
        <v>0</v>
      </c>
    </row>
    <row r="11" spans="1:28" x14ac:dyDescent="0.25">
      <c r="A11">
        <v>17</v>
      </c>
      <c r="B11" t="s">
        <v>7</v>
      </c>
      <c r="C11">
        <v>39</v>
      </c>
      <c r="D11" s="17">
        <v>45830</v>
      </c>
      <c r="E11" s="17">
        <v>45851</v>
      </c>
      <c r="F11" t="s">
        <v>16</v>
      </c>
      <c r="G11">
        <f>VLOOKUP(RIGHT(B11,1), {"A",10;"B",12;"C",14;"D",14}, 2, FALSE) * C11 + 50*K11</f>
        <v>546</v>
      </c>
      <c r="H11">
        <f t="shared" si="5"/>
        <v>9294</v>
      </c>
      <c r="I11" s="39">
        <f>WORKDAY.INTL(D11,INT(H11/1440),7) + MOD(H11/1440,1)</f>
        <v>45838.45416666667</v>
      </c>
      <c r="J11" s="39">
        <f>WORKDAY.INTL(E11, -QUOTIENT($O$15,1440), 7) - MOD($O$15,1440)/1440</f>
        <v>45850.875</v>
      </c>
      <c r="K11" s="21">
        <f>IF(ROW()=2,1,IF(B11&lt;&gt;B10,1,0))</f>
        <v>0</v>
      </c>
      <c r="L11" s="17"/>
      <c r="T11" s="20"/>
      <c r="V11" s="43">
        <f t="shared" si="1"/>
        <v>110.33333333333333</v>
      </c>
      <c r="W11" s="45">
        <f t="shared" si="2"/>
        <v>1544.6666666666665</v>
      </c>
      <c r="X11" s="20">
        <f t="shared" si="3"/>
        <v>0</v>
      </c>
      <c r="Y11" s="43">
        <f t="shared" si="0"/>
        <v>2244.6666666666665</v>
      </c>
      <c r="Z11" s="43"/>
      <c r="AA11" s="43">
        <f t="shared" si="6"/>
        <v>1642.6666666666665</v>
      </c>
      <c r="AB11" s="20">
        <f t="shared" si="4"/>
        <v>0</v>
      </c>
    </row>
    <row r="12" spans="1:28" x14ac:dyDescent="0.25">
      <c r="A12">
        <v>50</v>
      </c>
      <c r="B12" t="s">
        <v>7</v>
      </c>
      <c r="C12">
        <v>148</v>
      </c>
      <c r="D12" s="17">
        <v>45830</v>
      </c>
      <c r="E12" s="17">
        <v>45851</v>
      </c>
      <c r="F12" t="s">
        <v>16</v>
      </c>
      <c r="G12">
        <f>VLOOKUP(RIGHT(B12,1), {"A",10;"B",12;"C",14;"D",14}, 2, FALSE) * C12 + 50*K12</f>
        <v>2072</v>
      </c>
      <c r="H12">
        <f t="shared" si="5"/>
        <v>11366</v>
      </c>
      <c r="I12" s="39">
        <f>WORKDAY.INTL(D12,INT(H12/1440),7) + MOD(H12/1440,1)</f>
        <v>45839.893055555556</v>
      </c>
      <c r="J12" s="39">
        <f>WORKDAY.INTL(E12, -QUOTIENT($O$15,1440), 7) - MOD($O$15,1440)/1440</f>
        <v>45850.875</v>
      </c>
      <c r="K12" s="21">
        <f>IF(ROW()=2,1,IF(B12&lt;&gt;B11,1,0))</f>
        <v>0</v>
      </c>
      <c r="L12" s="17"/>
      <c r="N12" s="42"/>
      <c r="O12" s="42"/>
      <c r="P12" s="42"/>
      <c r="Q12" s="42"/>
      <c r="R12" s="42"/>
      <c r="T12" s="20"/>
      <c r="V12" s="43">
        <f t="shared" si="1"/>
        <v>110.33333333333333</v>
      </c>
      <c r="W12" s="45">
        <f t="shared" si="2"/>
        <v>1544.6666666666665</v>
      </c>
      <c r="X12" s="20">
        <f t="shared" si="3"/>
        <v>0</v>
      </c>
      <c r="Y12" s="43">
        <f t="shared" si="0"/>
        <v>2244.6666666666665</v>
      </c>
      <c r="Z12" s="43"/>
      <c r="AA12" s="43">
        <f t="shared" si="6"/>
        <v>1494.6666666666665</v>
      </c>
      <c r="AB12" s="20">
        <f t="shared" si="4"/>
        <v>750</v>
      </c>
    </row>
    <row r="13" spans="1:28" x14ac:dyDescent="0.25">
      <c r="A13">
        <v>49</v>
      </c>
      <c r="B13" t="s">
        <v>7</v>
      </c>
      <c r="C13">
        <v>143</v>
      </c>
      <c r="D13" s="17">
        <v>45830</v>
      </c>
      <c r="E13" s="17">
        <v>45851</v>
      </c>
      <c r="F13" t="s">
        <v>18</v>
      </c>
      <c r="G13">
        <f>VLOOKUP(RIGHT(B13,1), {"A",10;"B",12;"C",14;"D",14}, 2, FALSE) * C13 + 50*K13</f>
        <v>2002</v>
      </c>
      <c r="H13">
        <f t="shared" si="5"/>
        <v>13368</v>
      </c>
      <c r="I13" s="39">
        <f>WORKDAY.INTL(D13,INT(H13/1440),7) + MOD(H13/1440,1)</f>
        <v>45841.283333333333</v>
      </c>
      <c r="J13" s="39">
        <f>WORKDAY.INTL(E13, -QUOTIENT($O$15,1440), 7) - MOD($O$15,1440)/1440</f>
        <v>45850.875</v>
      </c>
      <c r="K13" s="21">
        <f>IF(ROW()=2,1,IF(B13&lt;&gt;B12,1,0))</f>
        <v>0</v>
      </c>
      <c r="L13" s="17"/>
      <c r="T13" s="20"/>
      <c r="V13" s="43">
        <f t="shared" si="1"/>
        <v>110.33333333333333</v>
      </c>
      <c r="W13" s="45">
        <f t="shared" si="2"/>
        <v>1544.6666666666665</v>
      </c>
      <c r="X13" s="20">
        <f t="shared" si="3"/>
        <v>0</v>
      </c>
      <c r="Y13" s="43">
        <f t="shared" si="0"/>
        <v>2244.6666666666665</v>
      </c>
      <c r="Z13" s="43"/>
      <c r="AA13" s="43">
        <f t="shared" si="6"/>
        <v>2101.6666666666665</v>
      </c>
      <c r="AB13" s="20">
        <f t="shared" si="4"/>
        <v>0</v>
      </c>
    </row>
    <row r="14" spans="1:28" x14ac:dyDescent="0.25">
      <c r="A14">
        <v>14</v>
      </c>
      <c r="B14" t="s">
        <v>7</v>
      </c>
      <c r="C14">
        <v>35</v>
      </c>
      <c r="D14" s="17">
        <v>45830</v>
      </c>
      <c r="E14" s="17">
        <v>45851</v>
      </c>
      <c r="F14" t="s">
        <v>17</v>
      </c>
      <c r="G14">
        <f>VLOOKUP(RIGHT(B14,1), {"A",10;"B",12;"C",14;"D",14}, 2, FALSE) * C14 + 50*K14</f>
        <v>490</v>
      </c>
      <c r="H14">
        <f t="shared" si="5"/>
        <v>13858</v>
      </c>
      <c r="I14" s="39">
        <f>WORKDAY.INTL(D14,INT(H14/1440),7) + MOD(H14/1440,1)</f>
        <v>45841.623611111114</v>
      </c>
      <c r="J14" s="39">
        <f>WORKDAY.INTL(E14, -QUOTIENT($O$15,1440), 7) - MOD($O$15,1440)/1440</f>
        <v>45850.875</v>
      </c>
      <c r="K14" s="21">
        <f>IF(ROW()=2,1,IF(B14&lt;&gt;B13,1,0))</f>
        <v>0</v>
      </c>
      <c r="L14" s="17"/>
      <c r="M14" s="21" t="s">
        <v>26</v>
      </c>
      <c r="N14" s="21" t="s">
        <v>27</v>
      </c>
      <c r="O14" s="21" t="s">
        <v>33</v>
      </c>
      <c r="T14" s="20"/>
      <c r="V14" s="43">
        <f t="shared" si="1"/>
        <v>110.33333333333333</v>
      </c>
      <c r="W14" s="45">
        <f t="shared" si="2"/>
        <v>1544.6666666666665</v>
      </c>
      <c r="X14" s="20">
        <f t="shared" si="3"/>
        <v>0</v>
      </c>
      <c r="Y14" s="43">
        <f t="shared" si="0"/>
        <v>2244.6666666666665</v>
      </c>
      <c r="Z14" s="43"/>
      <c r="AA14" s="43">
        <f t="shared" si="6"/>
        <v>2066.6666666666665</v>
      </c>
      <c r="AB14" s="20">
        <f t="shared" si="4"/>
        <v>0</v>
      </c>
    </row>
    <row r="15" spans="1:28" x14ac:dyDescent="0.25">
      <c r="A15">
        <v>38</v>
      </c>
      <c r="B15" t="s">
        <v>7</v>
      </c>
      <c r="C15">
        <v>90</v>
      </c>
      <c r="D15" s="17">
        <v>45830</v>
      </c>
      <c r="E15" s="17">
        <v>45851</v>
      </c>
      <c r="F15" t="s">
        <v>15</v>
      </c>
      <c r="G15">
        <f>VLOOKUP(RIGHT(B15,1), {"A",10;"B",12;"C",14;"D",14}, 2, FALSE) * C15 + 50*K15</f>
        <v>1260</v>
      </c>
      <c r="H15">
        <f t="shared" si="5"/>
        <v>15118</v>
      </c>
      <c r="I15" s="39">
        <f>WORKDAY.INTL(D15,INT(H15/1440),7) + MOD(H15/1440,1)</f>
        <v>45844.498611111114</v>
      </c>
      <c r="J15" s="39">
        <f>WORKDAY.INTL(E15, -QUOTIENT($O$15,1440), 7) - MOD($O$15,1440)/1440</f>
        <v>45850.875</v>
      </c>
      <c r="K15" s="21">
        <f>IF(ROW()=2,1,IF(B15&lt;&gt;B14,1,0))</f>
        <v>0</v>
      </c>
      <c r="L15" s="17"/>
      <c r="M15" s="30">
        <f>MAX(N7:R7)</f>
        <v>49996</v>
      </c>
      <c r="N15" s="21">
        <v>5</v>
      </c>
      <c r="O15" s="21">
        <v>180</v>
      </c>
      <c r="T15" s="20"/>
      <c r="V15" s="43">
        <f t="shared" si="1"/>
        <v>110.33333333333333</v>
      </c>
      <c r="W15" s="45">
        <f t="shared" si="2"/>
        <v>1544.6666666666665</v>
      </c>
      <c r="X15" s="20">
        <f t="shared" si="3"/>
        <v>0</v>
      </c>
      <c r="Y15" s="43">
        <f t="shared" si="0"/>
        <v>2244.6666666666665</v>
      </c>
      <c r="Z15" s="43"/>
      <c r="AA15" s="43">
        <f t="shared" si="6"/>
        <v>1976.6666666666665</v>
      </c>
      <c r="AB15" s="20">
        <f t="shared" si="4"/>
        <v>0</v>
      </c>
    </row>
    <row r="16" spans="1:28" x14ac:dyDescent="0.25">
      <c r="A16">
        <v>25</v>
      </c>
      <c r="B16" t="s">
        <v>5</v>
      </c>
      <c r="C16">
        <v>75</v>
      </c>
      <c r="D16" s="17">
        <v>45830</v>
      </c>
      <c r="E16" s="17">
        <v>45852</v>
      </c>
      <c r="F16" t="s">
        <v>17</v>
      </c>
      <c r="G16">
        <f>VLOOKUP(RIGHT(B16,1), {"A",10;"B",12;"C",14;"D",14}, 2, FALSE) * C16 + 50*K16</f>
        <v>950</v>
      </c>
      <c r="H16">
        <f t="shared" si="5"/>
        <v>16068</v>
      </c>
      <c r="I16" s="39">
        <f>WORKDAY.INTL(D16,INT(H16/1440),7) + MOD(H16/1440,1)</f>
        <v>45845.158333333333</v>
      </c>
      <c r="J16" s="39">
        <f>WORKDAY.INTL(E16, -QUOTIENT($O$15,1440), 7) - MOD($O$15,1440)/1440</f>
        <v>45851.875</v>
      </c>
      <c r="K16" s="21">
        <f>IF(ROW()=2,1,IF(B16&lt;&gt;B15,1,0))</f>
        <v>1</v>
      </c>
      <c r="L16" s="17"/>
      <c r="T16" s="20"/>
      <c r="V16" s="43">
        <f t="shared" si="1"/>
        <v>110.33333333333333</v>
      </c>
      <c r="W16" s="45">
        <f t="shared" si="2"/>
        <v>1544.6666666666665</v>
      </c>
      <c r="X16" s="20">
        <f t="shared" si="3"/>
        <v>0</v>
      </c>
      <c r="Y16" s="43">
        <f t="shared" si="0"/>
        <v>2244.6666666666665</v>
      </c>
      <c r="Z16" s="43"/>
      <c r="AA16" s="43">
        <f t="shared" si="6"/>
        <v>1901.6666666666665</v>
      </c>
      <c r="AB16" s="20">
        <f t="shared" si="4"/>
        <v>0</v>
      </c>
    </row>
    <row r="17" spans="1:28" x14ac:dyDescent="0.25">
      <c r="A17">
        <v>29</v>
      </c>
      <c r="B17" t="s">
        <v>4</v>
      </c>
      <c r="C17">
        <v>113</v>
      </c>
      <c r="D17" s="17">
        <v>45830</v>
      </c>
      <c r="E17" s="17">
        <v>45853</v>
      </c>
      <c r="F17" t="s">
        <v>16</v>
      </c>
      <c r="G17">
        <f>VLOOKUP(RIGHT(B17,1), {"A",10;"B",12;"C",14;"D",14}, 2, FALSE) * C17 + 50*K17</f>
        <v>1180</v>
      </c>
      <c r="H17">
        <f t="shared" si="5"/>
        <v>17248</v>
      </c>
      <c r="I17" s="39">
        <f>WORKDAY.INTL(D17,INT(H17/1440),7) + MOD(H17/1440,1)</f>
        <v>45845.977777777778</v>
      </c>
      <c r="J17" s="39">
        <f>WORKDAY.INTL(E17, -QUOTIENT($O$15,1440), 7) - MOD($O$15,1440)/1440</f>
        <v>45852.875</v>
      </c>
      <c r="K17" s="21">
        <f>IF(ROW()=2,1,IF(B17&lt;&gt;B16,1,0))</f>
        <v>1</v>
      </c>
      <c r="L17" s="17"/>
      <c r="M17" s="21" t="s">
        <v>21</v>
      </c>
      <c r="T17" s="20"/>
      <c r="V17" s="43">
        <f t="shared" si="1"/>
        <v>110.33333333333333</v>
      </c>
      <c r="W17" s="45">
        <f t="shared" si="2"/>
        <v>1544.6666666666665</v>
      </c>
      <c r="X17" s="20">
        <f t="shared" si="3"/>
        <v>0</v>
      </c>
      <c r="Y17" s="43">
        <f t="shared" si="0"/>
        <v>2244.6666666666665</v>
      </c>
      <c r="Z17" s="43"/>
      <c r="AA17" s="43">
        <f t="shared" si="6"/>
        <v>1788.6666666666665</v>
      </c>
      <c r="AB17" s="20">
        <f t="shared" si="4"/>
        <v>0</v>
      </c>
    </row>
    <row r="18" spans="1:28" x14ac:dyDescent="0.25">
      <c r="A18">
        <v>12</v>
      </c>
      <c r="B18" t="s">
        <v>4</v>
      </c>
      <c r="C18">
        <v>46</v>
      </c>
      <c r="D18" s="17">
        <v>45830</v>
      </c>
      <c r="E18" s="17">
        <v>45853</v>
      </c>
      <c r="F18" t="s">
        <v>18</v>
      </c>
      <c r="G18">
        <f>VLOOKUP(RIGHT(B18,1), {"A",10;"B",12;"C",14;"D",14}, 2, FALSE) * C18 + 50*K18</f>
        <v>460</v>
      </c>
      <c r="H18">
        <f t="shared" si="5"/>
        <v>17708</v>
      </c>
      <c r="I18" s="39">
        <f>WORKDAY.INTL(D18,INT(H18/1440),7) + MOD(H18/1440,1)</f>
        <v>45846.297222222223</v>
      </c>
      <c r="J18" s="39">
        <f>WORKDAY.INTL(E18, -QUOTIENT($O$15,1440), 7) - MOD($O$15,1440)/1440</f>
        <v>45852.875</v>
      </c>
      <c r="K18" s="21">
        <f>IF(ROW()=2,1,IF(B18&lt;&gt;B17,1,0))</f>
        <v>0</v>
      </c>
      <c r="L18" s="17"/>
      <c r="M18" s="31" cm="1">
        <f t="array" ref="M18">SUMPRODUCT((I2:I52&lt;=E2:E52)*1) / COUNTA(I2:I52)</f>
        <v>0.86274509803921573</v>
      </c>
      <c r="T18" s="20"/>
      <c r="V18" s="43">
        <f t="shared" si="1"/>
        <v>110.33333333333333</v>
      </c>
      <c r="W18" s="45">
        <f t="shared" si="2"/>
        <v>1544.6666666666665</v>
      </c>
      <c r="X18" s="20">
        <f t="shared" si="3"/>
        <v>0</v>
      </c>
      <c r="Y18" s="43">
        <f t="shared" si="0"/>
        <v>2244.6666666666665</v>
      </c>
      <c r="Z18" s="43"/>
      <c r="AA18" s="43">
        <f t="shared" si="6"/>
        <v>1742.6666666666665</v>
      </c>
      <c r="AB18" s="20">
        <f t="shared" si="4"/>
        <v>0</v>
      </c>
    </row>
    <row r="19" spans="1:28" x14ac:dyDescent="0.25">
      <c r="A19">
        <v>51</v>
      </c>
      <c r="B19" t="s">
        <v>6</v>
      </c>
      <c r="C19">
        <v>149</v>
      </c>
      <c r="D19" s="17">
        <v>45830</v>
      </c>
      <c r="E19" s="17">
        <v>45854</v>
      </c>
      <c r="F19" t="s">
        <v>17</v>
      </c>
      <c r="G19">
        <f>VLOOKUP(RIGHT(B19,1), {"A",10;"B",12;"C",14;"D",14}, 2, FALSE) * C19 + 50*K19</f>
        <v>2136</v>
      </c>
      <c r="H19">
        <f t="shared" si="5"/>
        <v>19844</v>
      </c>
      <c r="I19" s="39">
        <f>WORKDAY.INTL(D19,INT(H19/1440),7) + MOD(H19/1440,1)</f>
        <v>45847.780555555553</v>
      </c>
      <c r="J19" s="39">
        <f>WORKDAY.INTL(E19, -QUOTIENT($O$15,1440), 7) - MOD($O$15,1440)/1440</f>
        <v>45853.875</v>
      </c>
      <c r="K19" s="21">
        <f>IF(ROW()=2,1,IF(B19&lt;&gt;B18,1,0))</f>
        <v>1</v>
      </c>
      <c r="L19" s="17"/>
      <c r="M19" s="21"/>
      <c r="N19" s="26"/>
      <c r="T19" s="20"/>
      <c r="V19" s="43">
        <f t="shared" si="1"/>
        <v>110.33333333333333</v>
      </c>
      <c r="W19" s="45">
        <f t="shared" si="2"/>
        <v>1544.6666666666665</v>
      </c>
      <c r="X19" s="20">
        <f t="shared" si="3"/>
        <v>0</v>
      </c>
      <c r="Y19" s="43">
        <f t="shared" si="0"/>
        <v>2244.6666666666665</v>
      </c>
      <c r="Z19" s="43"/>
      <c r="AA19" s="43">
        <f t="shared" si="6"/>
        <v>1593.6666666666665</v>
      </c>
      <c r="AB19" s="20">
        <f t="shared" si="4"/>
        <v>0</v>
      </c>
    </row>
    <row r="20" spans="1:28" x14ac:dyDescent="0.25">
      <c r="A20">
        <v>36</v>
      </c>
      <c r="B20" t="s">
        <v>7</v>
      </c>
      <c r="C20">
        <v>88</v>
      </c>
      <c r="D20" s="17">
        <v>45830</v>
      </c>
      <c r="E20" s="17">
        <v>45858</v>
      </c>
      <c r="F20" t="s">
        <v>15</v>
      </c>
      <c r="G20">
        <f>VLOOKUP(RIGHT(B20,1), {"A",10;"B",12;"C",14;"D",14}, 2, FALSE) * C20 + 50*K20</f>
        <v>1282</v>
      </c>
      <c r="H20">
        <f t="shared" si="5"/>
        <v>21126</v>
      </c>
      <c r="I20" s="39">
        <f>WORKDAY.INTL(D20,INT(H20/1440),7) + MOD(H20/1440,1)</f>
        <v>45848.67083333333</v>
      </c>
      <c r="J20" s="39">
        <f>WORKDAY.INTL(E20, -QUOTIENT($O$15,1440), 7) - MOD($O$15,1440)/1440</f>
        <v>45857.875</v>
      </c>
      <c r="K20" s="21">
        <f>IF(ROW()=2,1,IF(B20&lt;&gt;B19,1,0))</f>
        <v>1</v>
      </c>
      <c r="L20" s="17"/>
      <c r="N20" s="20"/>
      <c r="O20" s="20"/>
      <c r="P20" s="20"/>
      <c r="T20" s="20"/>
      <c r="V20" s="43">
        <f t="shared" si="1"/>
        <v>110.33333333333333</v>
      </c>
      <c r="W20" s="45">
        <f t="shared" si="2"/>
        <v>1544.6666666666665</v>
      </c>
      <c r="X20" s="20">
        <f t="shared" si="3"/>
        <v>0</v>
      </c>
      <c r="Y20" s="43">
        <f t="shared" si="0"/>
        <v>2244.6666666666665</v>
      </c>
      <c r="Z20" s="43"/>
      <c r="AA20" s="43">
        <f t="shared" si="6"/>
        <v>1505.6666666666665</v>
      </c>
      <c r="AB20" s="20">
        <f t="shared" si="4"/>
        <v>739</v>
      </c>
    </row>
    <row r="21" spans="1:28" x14ac:dyDescent="0.25">
      <c r="A21">
        <v>32</v>
      </c>
      <c r="B21" t="s">
        <v>4</v>
      </c>
      <c r="C21">
        <v>118</v>
      </c>
      <c r="D21" s="17">
        <v>45830</v>
      </c>
      <c r="E21" s="17">
        <v>45859</v>
      </c>
      <c r="F21" t="s">
        <v>18</v>
      </c>
      <c r="G21">
        <f>VLOOKUP(RIGHT(B21,1), {"A",10;"B",12;"C",14;"D",14}, 2, FALSE) * C21 + 50*K21</f>
        <v>1230</v>
      </c>
      <c r="H21">
        <f t="shared" si="5"/>
        <v>22356</v>
      </c>
      <c r="I21" s="39">
        <f>WORKDAY.INTL(D21,INT(H21/1440),7) + MOD(H21/1440,1)</f>
        <v>45851.525000000001</v>
      </c>
      <c r="J21" s="39">
        <f>WORKDAY.INTL(E21, -QUOTIENT($O$15,1440), 7) - MOD($O$15,1440)/1440</f>
        <v>45858.875</v>
      </c>
      <c r="K21" s="21">
        <f>IF(ROW()=2,1,IF(B21&lt;&gt;B20,1,0))</f>
        <v>1</v>
      </c>
      <c r="L21" s="17"/>
      <c r="T21" s="20"/>
      <c r="V21" s="43">
        <f t="shared" si="1"/>
        <v>110.33333333333333</v>
      </c>
      <c r="W21" s="45">
        <f t="shared" si="2"/>
        <v>1544.6666666666665</v>
      </c>
      <c r="X21" s="20">
        <f t="shared" si="3"/>
        <v>0</v>
      </c>
      <c r="Y21" s="43">
        <f t="shared" si="0"/>
        <v>2244.6666666666665</v>
      </c>
      <c r="Z21" s="43"/>
      <c r="AA21" s="43">
        <f t="shared" si="6"/>
        <v>2126.6666666666665</v>
      </c>
      <c r="AB21" s="20">
        <f t="shared" si="4"/>
        <v>0</v>
      </c>
    </row>
    <row r="22" spans="1:28" x14ac:dyDescent="0.25">
      <c r="A22">
        <v>3</v>
      </c>
      <c r="B22" t="s">
        <v>5</v>
      </c>
      <c r="C22">
        <v>26</v>
      </c>
      <c r="D22" s="17">
        <v>45830</v>
      </c>
      <c r="E22" s="17">
        <v>45859</v>
      </c>
      <c r="F22" t="s">
        <v>18</v>
      </c>
      <c r="G22">
        <f>VLOOKUP(RIGHT(B22,1), {"A",10;"B",12;"C",14;"D",14}, 2, FALSE) * C22 + 50*K22</f>
        <v>362</v>
      </c>
      <c r="H22">
        <f t="shared" si="5"/>
        <v>22718</v>
      </c>
      <c r="I22" s="39">
        <f>WORKDAY.INTL(D22,INT(H22/1440),7) + MOD(H22/1440,1)</f>
        <v>45851.776388888888</v>
      </c>
      <c r="J22" s="39">
        <f>WORKDAY.INTL(E22, -QUOTIENT($O$15,1440), 7) - MOD($O$15,1440)/1440</f>
        <v>45858.875</v>
      </c>
      <c r="K22" s="21">
        <f>IF(ROW()=2,1,IF(B22&lt;&gt;B21,1,0))</f>
        <v>1</v>
      </c>
      <c r="L22" s="17"/>
      <c r="T22" s="20"/>
      <c r="V22" s="43">
        <f t="shared" si="1"/>
        <v>110.33333333333333</v>
      </c>
      <c r="W22" s="45">
        <f t="shared" si="2"/>
        <v>1544.6666666666665</v>
      </c>
      <c r="X22" s="20">
        <f t="shared" si="3"/>
        <v>0</v>
      </c>
      <c r="Y22" s="43">
        <f t="shared" si="0"/>
        <v>2244.6666666666665</v>
      </c>
      <c r="Z22" s="43"/>
      <c r="AA22" s="43">
        <f t="shared" si="6"/>
        <v>2100.6666666666665</v>
      </c>
      <c r="AB22" s="20">
        <f t="shared" si="4"/>
        <v>0</v>
      </c>
    </row>
    <row r="23" spans="1:28" x14ac:dyDescent="0.25">
      <c r="A23">
        <v>40</v>
      </c>
      <c r="B23" t="s">
        <v>6</v>
      </c>
      <c r="C23">
        <v>102</v>
      </c>
      <c r="D23" s="17">
        <v>45830</v>
      </c>
      <c r="E23" s="17">
        <v>45859</v>
      </c>
      <c r="F23" t="s">
        <v>16</v>
      </c>
      <c r="G23">
        <f>VLOOKUP(RIGHT(B23,1), {"A",10;"B",12;"C",14;"D",14}, 2, FALSE) * C23 + 50*K23</f>
        <v>1478</v>
      </c>
      <c r="H23">
        <f t="shared" si="5"/>
        <v>24196</v>
      </c>
      <c r="I23" s="39">
        <f>WORKDAY.INTL(D23,INT(H23/1440),7) + MOD(H23/1440,1)</f>
        <v>45852.802777777775</v>
      </c>
      <c r="J23" s="39">
        <f>WORKDAY.INTL(E23, -QUOTIENT($O$15,1440), 7) - MOD($O$15,1440)/1440</f>
        <v>45858.875</v>
      </c>
      <c r="K23" s="21">
        <f>IF(ROW()=2,1,IF(B23&lt;&gt;B22,1,0))</f>
        <v>1</v>
      </c>
      <c r="L23" s="17"/>
      <c r="T23" s="20"/>
      <c r="V23" s="43">
        <f t="shared" si="1"/>
        <v>110.33333333333333</v>
      </c>
      <c r="W23" s="45">
        <f t="shared" si="2"/>
        <v>1544.6666666666665</v>
      </c>
      <c r="X23" s="20">
        <f t="shared" si="3"/>
        <v>0</v>
      </c>
      <c r="Y23" s="43">
        <f t="shared" si="0"/>
        <v>2244.6666666666665</v>
      </c>
      <c r="Z23" s="43"/>
      <c r="AA23" s="43">
        <f t="shared" si="6"/>
        <v>1998.6666666666665</v>
      </c>
      <c r="AB23" s="20">
        <f t="shared" si="4"/>
        <v>0</v>
      </c>
    </row>
    <row r="24" spans="1:28" x14ac:dyDescent="0.25">
      <c r="A24">
        <v>45</v>
      </c>
      <c r="B24" t="s">
        <v>6</v>
      </c>
      <c r="C24">
        <v>114</v>
      </c>
      <c r="D24" s="17">
        <v>45830</v>
      </c>
      <c r="E24" s="17">
        <v>45859</v>
      </c>
      <c r="F24" t="s">
        <v>16</v>
      </c>
      <c r="G24">
        <f>VLOOKUP(RIGHT(B24,1), {"A",10;"B",12;"C",14;"D",14}, 2, FALSE) * C24 + 50*K24</f>
        <v>1596</v>
      </c>
      <c r="H24">
        <f t="shared" si="5"/>
        <v>25792</v>
      </c>
      <c r="I24" s="39">
        <f>WORKDAY.INTL(D24,INT(H24/1440),7) + MOD(H24/1440,1)</f>
        <v>45853.911111111112</v>
      </c>
      <c r="J24" s="39">
        <f>WORKDAY.INTL(E24, -QUOTIENT($O$15,1440), 7) - MOD($O$15,1440)/1440</f>
        <v>45858.875</v>
      </c>
      <c r="K24" s="21">
        <f>IF(ROW()=2,1,IF(B24&lt;&gt;B23,1,0))</f>
        <v>0</v>
      </c>
      <c r="L24" s="17"/>
      <c r="T24" s="20"/>
      <c r="V24" s="43">
        <f t="shared" si="1"/>
        <v>110.33333333333333</v>
      </c>
      <c r="W24" s="45">
        <f t="shared" si="2"/>
        <v>1544.6666666666665</v>
      </c>
      <c r="X24" s="20">
        <f t="shared" si="3"/>
        <v>0</v>
      </c>
      <c r="Y24" s="43">
        <f t="shared" si="0"/>
        <v>2244.6666666666665</v>
      </c>
      <c r="Z24" s="43"/>
      <c r="AA24" s="43">
        <f t="shared" si="6"/>
        <v>1884.6666666666665</v>
      </c>
      <c r="AB24" s="20">
        <f t="shared" si="4"/>
        <v>0</v>
      </c>
    </row>
    <row r="25" spans="1:28" x14ac:dyDescent="0.25">
      <c r="A25">
        <v>6</v>
      </c>
      <c r="B25" t="s">
        <v>7</v>
      </c>
      <c r="C25">
        <v>29</v>
      </c>
      <c r="D25" s="17">
        <v>45830</v>
      </c>
      <c r="E25" s="17">
        <v>45859</v>
      </c>
      <c r="F25" t="s">
        <v>17</v>
      </c>
      <c r="G25">
        <f>VLOOKUP(RIGHT(B25,1), {"A",10;"B",12;"C",14;"D",14}, 2, FALSE) * C25 + 50*K25</f>
        <v>456</v>
      </c>
      <c r="H25">
        <f t="shared" si="5"/>
        <v>26248</v>
      </c>
      <c r="I25" s="39">
        <f>WORKDAY.INTL(D25,INT(H25/1440),7) + MOD(H25/1440,1)</f>
        <v>45854.227777777778</v>
      </c>
      <c r="J25" s="39">
        <f>WORKDAY.INTL(E25, -QUOTIENT($O$15,1440), 7) - MOD($O$15,1440)/1440</f>
        <v>45858.875</v>
      </c>
      <c r="K25" s="21">
        <f>IF(ROW()=2,1,IF(B25&lt;&gt;B24,1,0))</f>
        <v>1</v>
      </c>
      <c r="L25" s="17"/>
      <c r="T25" s="20"/>
      <c r="V25" s="43">
        <f t="shared" si="1"/>
        <v>110.33333333333333</v>
      </c>
      <c r="W25" s="45">
        <f t="shared" si="2"/>
        <v>1544.6666666666665</v>
      </c>
      <c r="X25" s="20">
        <f t="shared" si="3"/>
        <v>0</v>
      </c>
      <c r="Y25" s="43">
        <f t="shared" si="0"/>
        <v>2244.6666666666665</v>
      </c>
      <c r="Z25" s="43"/>
      <c r="AA25" s="43">
        <f t="shared" si="6"/>
        <v>1855.6666666666665</v>
      </c>
      <c r="AB25" s="20">
        <f t="shared" si="4"/>
        <v>0</v>
      </c>
    </row>
    <row r="26" spans="1:28" x14ac:dyDescent="0.25">
      <c r="A26">
        <v>5</v>
      </c>
      <c r="B26" t="s">
        <v>7</v>
      </c>
      <c r="C26">
        <v>23</v>
      </c>
      <c r="D26" s="17">
        <v>45830</v>
      </c>
      <c r="E26" s="17">
        <v>45859</v>
      </c>
      <c r="F26" t="s">
        <v>15</v>
      </c>
      <c r="G26">
        <f>VLOOKUP(RIGHT(B26,1), {"A",10;"B",12;"C",14;"D",14}, 2, FALSE) * C26 + 50*K26</f>
        <v>322</v>
      </c>
      <c r="H26">
        <f t="shared" si="5"/>
        <v>26570</v>
      </c>
      <c r="I26" s="39">
        <f>WORKDAY.INTL(D26,INT(H26/1440),7) + MOD(H26/1440,1)</f>
        <v>45854.451388888891</v>
      </c>
      <c r="J26" s="39">
        <f>WORKDAY.INTL(E26, -QUOTIENT($O$15,1440), 7) - MOD($O$15,1440)/1440</f>
        <v>45858.875</v>
      </c>
      <c r="K26" s="21">
        <f>IF(ROW()=2,1,IF(B26&lt;&gt;B25,1,0))</f>
        <v>0</v>
      </c>
      <c r="L26" s="17"/>
      <c r="T26" s="20"/>
      <c r="V26" s="44">
        <f t="shared" si="1"/>
        <v>110.33333333333333</v>
      </c>
      <c r="W26" s="45">
        <f t="shared" si="2"/>
        <v>1544.6666666666665</v>
      </c>
      <c r="X26" s="20">
        <f t="shared" si="3"/>
        <v>0</v>
      </c>
      <c r="Y26" s="43">
        <f t="shared" si="0"/>
        <v>2244.6666666666665</v>
      </c>
      <c r="Z26" s="43"/>
      <c r="AA26" s="43">
        <f t="shared" si="6"/>
        <v>1832.6666666666665</v>
      </c>
      <c r="AB26" s="20">
        <f t="shared" si="4"/>
        <v>0</v>
      </c>
    </row>
    <row r="27" spans="1:28" x14ac:dyDescent="0.25">
      <c r="A27">
        <v>20</v>
      </c>
      <c r="B27" t="s">
        <v>4</v>
      </c>
      <c r="C27">
        <v>60</v>
      </c>
      <c r="D27" s="17">
        <v>45830</v>
      </c>
      <c r="E27" s="17">
        <v>45860</v>
      </c>
      <c r="F27" t="s">
        <v>15</v>
      </c>
      <c r="G27">
        <f>VLOOKUP(RIGHT(B27,1), {"A",10;"B",12;"C",14;"D",14}, 2, FALSE) * C27 + 50*K27</f>
        <v>650</v>
      </c>
      <c r="H27">
        <f t="shared" si="5"/>
        <v>27220</v>
      </c>
      <c r="I27" s="39">
        <f>WORKDAY.INTL(D27,INT(H27/1440),7) + MOD(H27/1440,1)</f>
        <v>45854.902777777781</v>
      </c>
      <c r="J27" s="39">
        <f>WORKDAY.INTL(E27, -QUOTIENT($O$15,1440), 7) - MOD($O$15,1440)/1440</f>
        <v>45859.875</v>
      </c>
      <c r="K27" s="21">
        <f>IF(ROW()=2,1,IF(B27&lt;&gt;B26,1,0))</f>
        <v>1</v>
      </c>
      <c r="L27" s="17"/>
      <c r="T27" s="20"/>
      <c r="V27" s="44">
        <f t="shared" si="1"/>
        <v>110.33333333333333</v>
      </c>
      <c r="W27" s="45">
        <f t="shared" si="2"/>
        <v>1544.6666666666665</v>
      </c>
      <c r="X27" s="20">
        <f t="shared" si="3"/>
        <v>0</v>
      </c>
      <c r="Y27" s="43">
        <f t="shared" si="0"/>
        <v>2244.6666666666665</v>
      </c>
      <c r="Z27" s="43"/>
      <c r="AA27" s="43">
        <f t="shared" si="6"/>
        <v>1772.6666666666665</v>
      </c>
      <c r="AB27" s="20">
        <f t="shared" si="4"/>
        <v>0</v>
      </c>
    </row>
    <row r="28" spans="1:28" x14ac:dyDescent="0.25">
      <c r="A28">
        <v>9</v>
      </c>
      <c r="B28" t="s">
        <v>4</v>
      </c>
      <c r="C28">
        <v>43</v>
      </c>
      <c r="D28" s="17">
        <v>45830</v>
      </c>
      <c r="E28" s="17">
        <v>45861</v>
      </c>
      <c r="F28" t="s">
        <v>17</v>
      </c>
      <c r="G28">
        <f>VLOOKUP(RIGHT(B28,1), {"A",10;"B",12;"C",14;"D",14}, 2, FALSE) * C28 + 50*K28</f>
        <v>430</v>
      </c>
      <c r="H28">
        <f t="shared" si="5"/>
        <v>27650</v>
      </c>
      <c r="I28" s="39">
        <f>WORKDAY.INTL(D28,INT(H28/1440),7) + MOD(H28/1440,1)</f>
        <v>45855.201388888891</v>
      </c>
      <c r="J28" s="39">
        <f>WORKDAY.INTL(E28, -QUOTIENT($O$15,1440), 7) - MOD($O$15,1440)/1440</f>
        <v>45860.875</v>
      </c>
      <c r="K28" s="21">
        <f>IF(ROW()=2,1,IF(B28&lt;&gt;B27,1,0))</f>
        <v>0</v>
      </c>
      <c r="L28" s="17"/>
      <c r="T28" s="20"/>
      <c r="V28" s="44">
        <f t="shared" si="1"/>
        <v>110.33333333333333</v>
      </c>
      <c r="W28" s="45">
        <f t="shared" si="2"/>
        <v>1544.6666666666665</v>
      </c>
      <c r="X28" s="20">
        <f t="shared" si="3"/>
        <v>0</v>
      </c>
      <c r="Y28" s="43">
        <f t="shared" si="0"/>
        <v>2244.6666666666665</v>
      </c>
      <c r="Z28" s="43"/>
      <c r="AA28" s="43">
        <f t="shared" si="6"/>
        <v>1729.6666666666665</v>
      </c>
      <c r="AB28" s="20">
        <f t="shared" si="4"/>
        <v>0</v>
      </c>
    </row>
    <row r="29" spans="1:28" x14ac:dyDescent="0.25">
      <c r="A29">
        <v>7</v>
      </c>
      <c r="B29" t="s">
        <v>5</v>
      </c>
      <c r="C29">
        <v>34</v>
      </c>
      <c r="D29" s="17">
        <v>45830</v>
      </c>
      <c r="E29" s="17">
        <v>45861</v>
      </c>
      <c r="F29" t="s">
        <v>17</v>
      </c>
      <c r="G29">
        <f>VLOOKUP(RIGHT(B29,1), {"A",10;"B",12;"C",14;"D",14}, 2, FALSE) * C29 + 50*K29</f>
        <v>458</v>
      </c>
      <c r="H29">
        <f t="shared" si="5"/>
        <v>28108</v>
      </c>
      <c r="I29" s="39">
        <f>WORKDAY.INTL(D29,INT(H29/1440),7) + MOD(H29/1440,1)</f>
        <v>45855.519444444442</v>
      </c>
      <c r="J29" s="39">
        <f>WORKDAY.INTL(E29, -QUOTIENT($O$15,1440), 7) - MOD($O$15,1440)/1440</f>
        <v>45860.875</v>
      </c>
      <c r="K29" s="21">
        <f>IF(ROW()=2,1,IF(B29&lt;&gt;B28,1,0))</f>
        <v>1</v>
      </c>
      <c r="L29" s="17"/>
      <c r="T29" s="20"/>
      <c r="V29" s="44">
        <f t="shared" si="1"/>
        <v>110.33333333333333</v>
      </c>
      <c r="W29" s="45">
        <f t="shared" si="2"/>
        <v>1544.6666666666665</v>
      </c>
      <c r="X29" s="20">
        <f t="shared" si="3"/>
        <v>0</v>
      </c>
      <c r="Y29" s="43">
        <f t="shared" si="0"/>
        <v>2244.6666666666665</v>
      </c>
      <c r="Z29" s="43"/>
      <c r="AA29" s="43">
        <f t="shared" si="6"/>
        <v>1695.6666666666665</v>
      </c>
      <c r="AB29" s="20">
        <f t="shared" si="4"/>
        <v>0</v>
      </c>
    </row>
    <row r="30" spans="1:28" x14ac:dyDescent="0.25">
      <c r="A30">
        <v>44</v>
      </c>
      <c r="B30" t="s">
        <v>5</v>
      </c>
      <c r="C30">
        <v>126</v>
      </c>
      <c r="D30" s="17">
        <v>45830</v>
      </c>
      <c r="E30" s="17">
        <v>45861</v>
      </c>
      <c r="F30" t="s">
        <v>17</v>
      </c>
      <c r="G30">
        <f>VLOOKUP(RIGHT(B30,1), {"A",10;"B",12;"C",14;"D",14}, 2, FALSE) * C30 + 50*K30</f>
        <v>1512</v>
      </c>
      <c r="H30">
        <f t="shared" si="5"/>
        <v>29620</v>
      </c>
      <c r="I30" s="39">
        <f>WORKDAY.INTL(D30,INT(H30/1440),7) + MOD(H30/1440,1)</f>
        <v>45858.569444444445</v>
      </c>
      <c r="J30" s="39">
        <f>WORKDAY.INTL(E30, -QUOTIENT($O$15,1440), 7) - MOD($O$15,1440)/1440</f>
        <v>45860.875</v>
      </c>
      <c r="K30" s="21">
        <f>IF(ROW()=2,1,IF(B30&lt;&gt;B29,1,0))</f>
        <v>0</v>
      </c>
      <c r="L30" s="17"/>
      <c r="T30" s="20"/>
      <c r="V30" s="44">
        <f t="shared" si="1"/>
        <v>110.33333333333333</v>
      </c>
      <c r="W30" s="45">
        <f t="shared" si="2"/>
        <v>1544.6666666666665</v>
      </c>
      <c r="X30" s="20">
        <f t="shared" si="3"/>
        <v>0</v>
      </c>
      <c r="Y30" s="43">
        <f t="shared" si="0"/>
        <v>2244.6666666666665</v>
      </c>
      <c r="Z30" s="43"/>
      <c r="AA30" s="43">
        <f t="shared" si="6"/>
        <v>1569.6666666666665</v>
      </c>
      <c r="AB30" s="20">
        <f t="shared" si="4"/>
        <v>0</v>
      </c>
    </row>
    <row r="31" spans="1:28" x14ac:dyDescent="0.25">
      <c r="A31">
        <v>30</v>
      </c>
      <c r="B31" t="s">
        <v>5</v>
      </c>
      <c r="C31">
        <v>96</v>
      </c>
      <c r="D31" s="17">
        <v>45830</v>
      </c>
      <c r="E31" s="17">
        <v>45865</v>
      </c>
      <c r="F31" t="s">
        <v>16</v>
      </c>
      <c r="G31">
        <f>VLOOKUP(RIGHT(B31,1), {"A",10;"B",12;"C",14;"D",14}, 2, FALSE) * C31 + 50*K31</f>
        <v>1152</v>
      </c>
      <c r="H31">
        <f t="shared" si="5"/>
        <v>30772</v>
      </c>
      <c r="I31" s="39">
        <f>WORKDAY.INTL(D31,INT(H31/1440),7) + MOD(H31/1440,1)</f>
        <v>45859.369444444441</v>
      </c>
      <c r="J31" s="39">
        <f>WORKDAY.INTL(E31, -QUOTIENT($O$15,1440), 7) - MOD($O$15,1440)/1440</f>
        <v>45864.875</v>
      </c>
      <c r="K31" s="21">
        <f>IF(ROW()=2,1,IF(B31&lt;&gt;B30,1,0))</f>
        <v>0</v>
      </c>
      <c r="L31" s="17"/>
      <c r="T31" s="20"/>
      <c r="V31" s="43">
        <f t="shared" si="1"/>
        <v>110.33333333333333</v>
      </c>
      <c r="W31" s="45">
        <f t="shared" si="2"/>
        <v>1544.6666666666665</v>
      </c>
      <c r="X31" s="20">
        <f t="shared" si="3"/>
        <v>0</v>
      </c>
      <c r="Y31" s="43">
        <f t="shared" si="0"/>
        <v>2244.6666666666665</v>
      </c>
      <c r="Z31" s="43"/>
      <c r="AA31" s="43">
        <f t="shared" si="6"/>
        <v>1473.6666666666665</v>
      </c>
      <c r="AB31" s="20">
        <f t="shared" si="4"/>
        <v>771</v>
      </c>
    </row>
    <row r="32" spans="1:28" x14ac:dyDescent="0.25">
      <c r="A32">
        <v>47</v>
      </c>
      <c r="B32" t="s">
        <v>6</v>
      </c>
      <c r="C32">
        <v>138</v>
      </c>
      <c r="D32" s="17">
        <v>45830</v>
      </c>
      <c r="E32" s="17">
        <v>45865</v>
      </c>
      <c r="F32" t="s">
        <v>18</v>
      </c>
      <c r="G32">
        <f>VLOOKUP(RIGHT(B32,1), {"A",10;"B",12;"C",14;"D",14}, 2, FALSE) * C32 + 50*K32</f>
        <v>1982</v>
      </c>
      <c r="H32">
        <f t="shared" si="5"/>
        <v>32754</v>
      </c>
      <c r="I32" s="39">
        <f>WORKDAY.INTL(D32,INT(H32/1440),7) + MOD(H32/1440,1)</f>
        <v>45860.745833333334</v>
      </c>
      <c r="J32" s="39">
        <f>WORKDAY.INTL(E32, -QUOTIENT($O$15,1440), 7) - MOD($O$15,1440)/1440</f>
        <v>45864.875</v>
      </c>
      <c r="K32" s="21">
        <f>IF(ROW()=2,1,IF(B32&lt;&gt;B31,1,0))</f>
        <v>1</v>
      </c>
      <c r="L32" s="17"/>
      <c r="T32" s="20"/>
      <c r="V32" s="43">
        <f t="shared" si="1"/>
        <v>110.33333333333333</v>
      </c>
      <c r="W32" s="45">
        <f t="shared" si="2"/>
        <v>1544.6666666666665</v>
      </c>
      <c r="X32" s="20">
        <f t="shared" si="3"/>
        <v>0</v>
      </c>
      <c r="Y32" s="43">
        <f t="shared" si="0"/>
        <v>2244.6666666666665</v>
      </c>
      <c r="Z32" s="43"/>
      <c r="AA32" s="43">
        <f t="shared" si="6"/>
        <v>2106.6666666666665</v>
      </c>
      <c r="AB32" s="20">
        <f t="shared" si="4"/>
        <v>0</v>
      </c>
    </row>
    <row r="33" spans="1:28" x14ac:dyDescent="0.25">
      <c r="A33">
        <v>35</v>
      </c>
      <c r="B33" t="s">
        <v>4</v>
      </c>
      <c r="C33">
        <v>121</v>
      </c>
      <c r="D33" s="17">
        <v>45830</v>
      </c>
      <c r="E33" s="17">
        <v>45866</v>
      </c>
      <c r="F33" t="s">
        <v>18</v>
      </c>
      <c r="G33">
        <f>VLOOKUP(RIGHT(B33,1), {"A",10;"B",12;"C",14;"D",14}, 2, FALSE) * C33 + 50*K33</f>
        <v>1260</v>
      </c>
      <c r="H33">
        <f t="shared" si="5"/>
        <v>34014</v>
      </c>
      <c r="I33" s="39">
        <f>WORKDAY.INTL(D33,INT(H33/1440),7) + MOD(H33/1440,1)</f>
        <v>45861.620833333334</v>
      </c>
      <c r="J33" s="39">
        <f>WORKDAY.INTL(E33, -QUOTIENT($O$15,1440), 7) - MOD($O$15,1440)/1440</f>
        <v>45865.875</v>
      </c>
      <c r="K33" s="21">
        <f>IF(ROW()=2,1,IF(B33&lt;&gt;B32,1,0))</f>
        <v>1</v>
      </c>
      <c r="L33" s="17"/>
      <c r="T33" s="20"/>
      <c r="V33" s="43">
        <f t="shared" si="1"/>
        <v>110.33333333333333</v>
      </c>
      <c r="W33" s="45">
        <f t="shared" si="2"/>
        <v>1544.6666666666665</v>
      </c>
      <c r="X33" s="20">
        <f t="shared" si="3"/>
        <v>0</v>
      </c>
      <c r="Y33" s="43">
        <f t="shared" si="0"/>
        <v>2244.6666666666665</v>
      </c>
      <c r="Z33" s="43"/>
      <c r="AA33" s="43">
        <f t="shared" si="6"/>
        <v>1985.6666666666665</v>
      </c>
      <c r="AB33" s="20">
        <f t="shared" si="4"/>
        <v>0</v>
      </c>
    </row>
    <row r="34" spans="1:28" x14ac:dyDescent="0.25">
      <c r="A34">
        <v>34</v>
      </c>
      <c r="B34" t="s">
        <v>5</v>
      </c>
      <c r="C34">
        <v>99</v>
      </c>
      <c r="D34" s="17">
        <v>45830</v>
      </c>
      <c r="E34" s="17">
        <v>45866</v>
      </c>
      <c r="F34" t="s">
        <v>17</v>
      </c>
      <c r="G34">
        <f>VLOOKUP(RIGHT(B34,1), {"A",10;"B",12;"C",14;"D",14}, 2, FALSE) * C34 + 50*K34</f>
        <v>1238</v>
      </c>
      <c r="H34">
        <f t="shared" si="5"/>
        <v>35252</v>
      </c>
      <c r="I34" s="39">
        <f>WORKDAY.INTL(D34,INT(H34/1440),7) + MOD(H34/1440,1)</f>
        <v>45862.480555555558</v>
      </c>
      <c r="J34" s="39">
        <f>WORKDAY.INTL(E34, -QUOTIENT($O$15,1440), 7) - MOD($O$15,1440)/1440</f>
        <v>45865.875</v>
      </c>
      <c r="K34" s="21">
        <f>IF(ROW()=2,1,IF(B34&lt;&gt;B33,1,0))</f>
        <v>1</v>
      </c>
      <c r="L34" s="17"/>
      <c r="T34" s="20"/>
      <c r="V34" s="43">
        <f t="shared" si="1"/>
        <v>110.33333333333333</v>
      </c>
      <c r="W34" s="45">
        <f t="shared" si="2"/>
        <v>1544.6666666666665</v>
      </c>
      <c r="X34" s="20">
        <f t="shared" si="3"/>
        <v>0</v>
      </c>
      <c r="Y34" s="43">
        <f t="shared" ref="Y34:Y52" si="7">$X$2+W34</f>
        <v>2244.6666666666665</v>
      </c>
      <c r="Z34" s="43"/>
      <c r="AA34" s="43">
        <f t="shared" si="6"/>
        <v>1886.6666666666665</v>
      </c>
      <c r="AB34" s="20">
        <f t="shared" si="4"/>
        <v>0</v>
      </c>
    </row>
    <row r="35" spans="1:28" x14ac:dyDescent="0.25">
      <c r="A35">
        <v>48</v>
      </c>
      <c r="B35" t="s">
        <v>6</v>
      </c>
      <c r="C35">
        <v>140</v>
      </c>
      <c r="D35" s="17">
        <v>45830</v>
      </c>
      <c r="E35" s="17">
        <v>45866</v>
      </c>
      <c r="F35" t="s">
        <v>17</v>
      </c>
      <c r="G35">
        <f>VLOOKUP(RIGHT(B35,1), {"A",10;"B",12;"C",14;"D",14}, 2, FALSE) * C35 + 50*K35</f>
        <v>2010</v>
      </c>
      <c r="H35">
        <f t="shared" si="5"/>
        <v>37262</v>
      </c>
      <c r="I35" s="39">
        <f>WORKDAY.INTL(D35,INT(H35/1440),7) + MOD(H35/1440,1)</f>
        <v>45865.876388888886</v>
      </c>
      <c r="J35" s="39">
        <f>WORKDAY.INTL(E35, -QUOTIENT($O$15,1440), 7) - MOD($O$15,1440)/1440</f>
        <v>45865.875</v>
      </c>
      <c r="K35" s="21">
        <f>IF(ROW()=2,1,IF(B35&lt;&gt;B34,1,0))</f>
        <v>1</v>
      </c>
      <c r="L35" s="17"/>
      <c r="T35" s="20"/>
      <c r="V35" s="43">
        <f t="shared" ref="V35:V52" si="8">SUM($C$2:$C$52) /
 NETWORKDAYS.INTL(INT(MIN($I$2:$I$52)), INT(MAX($I$2:$I$52)), 7)</f>
        <v>110.33333333333333</v>
      </c>
      <c r="W35" s="45">
        <f t="shared" ref="W35:W66" si="9">V35 * $T$2</f>
        <v>1544.6666666666665</v>
      </c>
      <c r="X35" s="20">
        <f t="shared" si="3"/>
        <v>0</v>
      </c>
      <c r="Y35" s="43">
        <f t="shared" si="7"/>
        <v>2244.6666666666665</v>
      </c>
      <c r="Z35" s="43"/>
      <c r="AA35" s="43">
        <f t="shared" si="6"/>
        <v>1746.6666666666665</v>
      </c>
      <c r="AB35" s="20">
        <f t="shared" si="4"/>
        <v>0</v>
      </c>
    </row>
    <row r="36" spans="1:28" x14ac:dyDescent="0.25">
      <c r="A36">
        <v>46</v>
      </c>
      <c r="B36" t="s">
        <v>6</v>
      </c>
      <c r="C36">
        <v>127</v>
      </c>
      <c r="D36" s="17">
        <v>45830</v>
      </c>
      <c r="E36" s="17">
        <v>45866</v>
      </c>
      <c r="F36" t="s">
        <v>15</v>
      </c>
      <c r="G36">
        <f>VLOOKUP(RIGHT(B36,1), {"A",10;"B",12;"C",14;"D",14}, 2, FALSE) * C36 + 50*K36</f>
        <v>1778</v>
      </c>
      <c r="H36">
        <f t="shared" si="5"/>
        <v>39040</v>
      </c>
      <c r="I36" s="39">
        <f>WORKDAY.INTL(D36,INT(H36/1440),7) + MOD(H36/1440,1)</f>
        <v>45867.111111111109</v>
      </c>
      <c r="J36" s="39">
        <f>WORKDAY.INTL(E36, -QUOTIENT($O$15,1440), 7) - MOD($O$15,1440)/1440</f>
        <v>45865.875</v>
      </c>
      <c r="K36" s="21">
        <f>IF(ROW()=2,1,IF(B36&lt;&gt;B35,1,0))</f>
        <v>0</v>
      </c>
      <c r="L36" s="17"/>
      <c r="T36" s="20"/>
      <c r="V36" s="43">
        <f t="shared" si="8"/>
        <v>110.33333333333333</v>
      </c>
      <c r="W36" s="45">
        <f t="shared" si="9"/>
        <v>1544.6666666666665</v>
      </c>
      <c r="X36" s="20">
        <f t="shared" si="3"/>
        <v>0</v>
      </c>
      <c r="Y36" s="43">
        <f t="shared" si="7"/>
        <v>2244.6666666666665</v>
      </c>
      <c r="Z36" s="43"/>
      <c r="AA36" s="43">
        <f t="shared" si="6"/>
        <v>1619.6666666666665</v>
      </c>
      <c r="AB36" s="20">
        <f t="shared" si="4"/>
        <v>0</v>
      </c>
    </row>
    <row r="37" spans="1:28" x14ac:dyDescent="0.25">
      <c r="A37">
        <v>11</v>
      </c>
      <c r="B37" t="s">
        <v>4</v>
      </c>
      <c r="C37">
        <v>44</v>
      </c>
      <c r="D37" s="17">
        <v>45830</v>
      </c>
      <c r="E37" s="17">
        <v>45867</v>
      </c>
      <c r="F37" t="s">
        <v>18</v>
      </c>
      <c r="G37">
        <f>VLOOKUP(RIGHT(B37,1), {"A",10;"B",12;"C",14;"D",14}, 2, FALSE) * C37 + 50*K37</f>
        <v>490</v>
      </c>
      <c r="H37">
        <f t="shared" si="5"/>
        <v>39530</v>
      </c>
      <c r="I37" s="39">
        <f>WORKDAY.INTL(D37,INT(H37/1440),7) + MOD(H37/1440,1)</f>
        <v>45867.451388888891</v>
      </c>
      <c r="J37" s="39">
        <f>WORKDAY.INTL(E37, -QUOTIENT($O$15,1440), 7) - MOD($O$15,1440)/1440</f>
        <v>45866.875</v>
      </c>
      <c r="K37" s="21">
        <f>IF(ROW()=2,1,IF(B37&lt;&gt;B36,1,0))</f>
        <v>1</v>
      </c>
      <c r="L37" s="17"/>
      <c r="T37" s="20"/>
      <c r="V37" s="43">
        <f t="shared" si="8"/>
        <v>110.33333333333333</v>
      </c>
      <c r="W37" s="45">
        <f t="shared" si="9"/>
        <v>1544.6666666666665</v>
      </c>
      <c r="X37" s="20">
        <f t="shared" si="3"/>
        <v>0</v>
      </c>
      <c r="Y37" s="43">
        <f t="shared" si="7"/>
        <v>2244.6666666666665</v>
      </c>
      <c r="Z37" s="43"/>
      <c r="AA37" s="43">
        <f t="shared" si="6"/>
        <v>1575.6666666666665</v>
      </c>
      <c r="AB37" s="20">
        <f t="shared" si="4"/>
        <v>0</v>
      </c>
    </row>
    <row r="38" spans="1:28" x14ac:dyDescent="0.25">
      <c r="A38">
        <v>37</v>
      </c>
      <c r="B38" t="s">
        <v>7</v>
      </c>
      <c r="C38">
        <v>90</v>
      </c>
      <c r="D38" s="17">
        <v>45830</v>
      </c>
      <c r="E38" s="17">
        <v>45867</v>
      </c>
      <c r="F38" t="s">
        <v>16</v>
      </c>
      <c r="G38">
        <f>VLOOKUP(RIGHT(B38,1), {"A",10;"B",12;"C",14;"D",14}, 2, FALSE) * C38 + 50*K38</f>
        <v>1310</v>
      </c>
      <c r="H38">
        <f t="shared" si="5"/>
        <v>40840</v>
      </c>
      <c r="I38" s="39">
        <f>WORKDAY.INTL(D38,INT(H38/1440),7) + MOD(H38/1440,1)</f>
        <v>45868.361111111109</v>
      </c>
      <c r="J38" s="39">
        <f>WORKDAY.INTL(E38, -QUOTIENT($O$15,1440), 7) - MOD($O$15,1440)/1440</f>
        <v>45866.875</v>
      </c>
      <c r="K38" s="21">
        <f>IF(ROW()=2,1,IF(B38&lt;&gt;B37,1,0))</f>
        <v>1</v>
      </c>
      <c r="L38" s="17"/>
      <c r="T38" s="20"/>
      <c r="V38" s="43">
        <f t="shared" si="8"/>
        <v>110.33333333333333</v>
      </c>
      <c r="W38" s="45">
        <f t="shared" si="9"/>
        <v>1544.6666666666665</v>
      </c>
      <c r="X38" s="20">
        <f t="shared" si="3"/>
        <v>0</v>
      </c>
      <c r="Y38" s="43">
        <f t="shared" si="7"/>
        <v>2244.6666666666665</v>
      </c>
      <c r="Z38" s="43"/>
      <c r="AA38" s="43">
        <f t="shared" si="6"/>
        <v>1485.6666666666665</v>
      </c>
      <c r="AB38" s="20">
        <f t="shared" si="4"/>
        <v>759</v>
      </c>
    </row>
    <row r="39" spans="1:28" x14ac:dyDescent="0.25">
      <c r="A39">
        <v>13</v>
      </c>
      <c r="B39" t="s">
        <v>6</v>
      </c>
      <c r="C39">
        <v>33</v>
      </c>
      <c r="D39" s="17">
        <v>45830</v>
      </c>
      <c r="E39" s="17">
        <v>45868</v>
      </c>
      <c r="F39" t="s">
        <v>16</v>
      </c>
      <c r="G39">
        <f>VLOOKUP(RIGHT(B39,1), {"A",10;"B",12;"C",14;"D",14}, 2, FALSE) * C39 + 50*K39</f>
        <v>512</v>
      </c>
      <c r="H39">
        <f t="shared" si="5"/>
        <v>41352</v>
      </c>
      <c r="I39" s="39">
        <f>WORKDAY.INTL(D39,INT(H39/1440),7) + MOD(H39/1440,1)</f>
        <v>45868.716666666667</v>
      </c>
      <c r="J39" s="39">
        <f>WORKDAY.INTL(E39, -QUOTIENT($O$15,1440), 7) - MOD($O$15,1440)/1440</f>
        <v>45867.875</v>
      </c>
      <c r="K39" s="21">
        <f>IF(ROW()=2,1,IF(B39&lt;&gt;B38,1,0))</f>
        <v>1</v>
      </c>
      <c r="L39" s="17"/>
      <c r="T39" s="20"/>
      <c r="V39" s="43">
        <f t="shared" si="8"/>
        <v>110.33333333333333</v>
      </c>
      <c r="W39" s="45">
        <f t="shared" si="9"/>
        <v>1544.6666666666665</v>
      </c>
      <c r="X39" s="20">
        <f t="shared" si="3"/>
        <v>0</v>
      </c>
      <c r="Y39" s="43">
        <f t="shared" si="7"/>
        <v>2244.6666666666665</v>
      </c>
      <c r="Z39" s="43"/>
      <c r="AA39" s="43">
        <f t="shared" si="6"/>
        <v>2211.6666666666665</v>
      </c>
      <c r="AB39" s="20">
        <f t="shared" si="4"/>
        <v>0</v>
      </c>
    </row>
    <row r="40" spans="1:28" x14ac:dyDescent="0.25">
      <c r="A40">
        <v>39</v>
      </c>
      <c r="B40" t="s">
        <v>7</v>
      </c>
      <c r="C40">
        <v>100</v>
      </c>
      <c r="D40" s="17">
        <v>45830</v>
      </c>
      <c r="E40" s="17">
        <v>45868</v>
      </c>
      <c r="F40" t="s">
        <v>18</v>
      </c>
      <c r="G40">
        <f>VLOOKUP(RIGHT(B40,1), {"A",10;"B",12;"C",14;"D",14}, 2, FALSE) * C40 + 50*K40</f>
        <v>1450</v>
      </c>
      <c r="H40">
        <f t="shared" si="5"/>
        <v>42802</v>
      </c>
      <c r="I40" s="39">
        <f>WORKDAY.INTL(D40,INT(H40/1440),7) + MOD(H40/1440,1)</f>
        <v>45869.723611111112</v>
      </c>
      <c r="J40" s="39">
        <f>WORKDAY.INTL(E40, -QUOTIENT($O$15,1440), 7) - MOD($O$15,1440)/1440</f>
        <v>45867.875</v>
      </c>
      <c r="K40" s="21">
        <f>IF(ROW()=2,1,IF(B40&lt;&gt;B39,1,0))</f>
        <v>1</v>
      </c>
      <c r="L40" s="17"/>
      <c r="T40" s="20"/>
      <c r="V40" s="43">
        <f t="shared" si="8"/>
        <v>110.33333333333333</v>
      </c>
      <c r="W40" s="45">
        <f t="shared" si="9"/>
        <v>1544.6666666666665</v>
      </c>
      <c r="X40" s="20">
        <f t="shared" si="3"/>
        <v>0</v>
      </c>
      <c r="Y40" s="43">
        <f t="shared" si="7"/>
        <v>2244.6666666666665</v>
      </c>
      <c r="Z40" s="43"/>
      <c r="AA40" s="43">
        <f t="shared" si="6"/>
        <v>2111.6666666666665</v>
      </c>
      <c r="AB40" s="20">
        <f t="shared" si="4"/>
        <v>0</v>
      </c>
    </row>
    <row r="41" spans="1:28" x14ac:dyDescent="0.25">
      <c r="A41">
        <v>21</v>
      </c>
      <c r="B41" t="s">
        <v>4</v>
      </c>
      <c r="C41">
        <v>61</v>
      </c>
      <c r="D41" s="17">
        <v>45830</v>
      </c>
      <c r="E41" s="17">
        <v>45872</v>
      </c>
      <c r="F41" t="s">
        <v>17</v>
      </c>
      <c r="G41">
        <f>VLOOKUP(RIGHT(B41,1), {"A",10;"B",12;"C",14;"D",14}, 2, FALSE) * C41 + 50*K41</f>
        <v>660</v>
      </c>
      <c r="H41">
        <f t="shared" si="5"/>
        <v>43462</v>
      </c>
      <c r="I41" s="39">
        <f>WORKDAY.INTL(D41,INT(H41/1440),7) + MOD(H41/1440,1)</f>
        <v>45872.181944444441</v>
      </c>
      <c r="J41" s="39">
        <f>WORKDAY.INTL(E41, -QUOTIENT($O$15,1440), 7) - MOD($O$15,1440)/1440</f>
        <v>45871.875</v>
      </c>
      <c r="K41" s="21">
        <f>IF(ROW()=2,1,IF(B41&lt;&gt;B40,1,0))</f>
        <v>1</v>
      </c>
      <c r="L41" s="17"/>
      <c r="T41" s="20"/>
      <c r="V41" s="43">
        <f t="shared" si="8"/>
        <v>110.33333333333333</v>
      </c>
      <c r="W41" s="45">
        <f t="shared" si="9"/>
        <v>1544.6666666666665</v>
      </c>
      <c r="X41" s="20">
        <f t="shared" si="3"/>
        <v>0</v>
      </c>
      <c r="Y41" s="43">
        <f t="shared" si="7"/>
        <v>2244.6666666666665</v>
      </c>
      <c r="Z41" s="43"/>
      <c r="AA41" s="43">
        <f t="shared" si="6"/>
        <v>2050.6666666666665</v>
      </c>
      <c r="AB41" s="20">
        <f t="shared" si="4"/>
        <v>0</v>
      </c>
    </row>
    <row r="42" spans="1:28" x14ac:dyDescent="0.25">
      <c r="A42">
        <v>18</v>
      </c>
      <c r="B42" t="s">
        <v>5</v>
      </c>
      <c r="C42">
        <v>46</v>
      </c>
      <c r="D42" s="17">
        <v>45830</v>
      </c>
      <c r="E42" s="17">
        <v>45872</v>
      </c>
      <c r="F42" t="s">
        <v>16</v>
      </c>
      <c r="G42">
        <f>VLOOKUP(RIGHT(B42,1), {"A",10;"B",12;"C",14;"D",14}, 2, FALSE) * C42 + 50*K42</f>
        <v>602</v>
      </c>
      <c r="H42">
        <f t="shared" si="5"/>
        <v>44064</v>
      </c>
      <c r="I42" s="39">
        <f>WORKDAY.INTL(D42,INT(H42/1440),7) + MOD(H42/1440,1)</f>
        <v>45872.6</v>
      </c>
      <c r="J42" s="39">
        <f>WORKDAY.INTL(E42, -QUOTIENT($O$15,1440), 7) - MOD($O$15,1440)/1440</f>
        <v>45871.875</v>
      </c>
      <c r="K42" s="21">
        <f>IF(ROW()=2,1,IF(B42&lt;&gt;B41,1,0))</f>
        <v>1</v>
      </c>
      <c r="L42" s="17"/>
      <c r="T42" s="20"/>
      <c r="V42" s="43">
        <f t="shared" si="8"/>
        <v>110.33333333333333</v>
      </c>
      <c r="W42" s="45">
        <f t="shared" si="9"/>
        <v>1544.6666666666665</v>
      </c>
      <c r="X42" s="20">
        <f t="shared" si="3"/>
        <v>0</v>
      </c>
      <c r="Y42" s="43">
        <f t="shared" si="7"/>
        <v>2244.6666666666665</v>
      </c>
      <c r="Z42" s="43"/>
      <c r="AA42" s="43">
        <f t="shared" si="6"/>
        <v>2004.6666666666665</v>
      </c>
      <c r="AB42" s="20">
        <f t="shared" si="4"/>
        <v>0</v>
      </c>
    </row>
    <row r="43" spans="1:28" x14ac:dyDescent="0.25">
      <c r="A43">
        <v>2</v>
      </c>
      <c r="B43" t="s">
        <v>6</v>
      </c>
      <c r="C43">
        <v>21</v>
      </c>
      <c r="D43" s="17">
        <v>45830</v>
      </c>
      <c r="E43" s="17">
        <v>45874</v>
      </c>
      <c r="F43" t="s">
        <v>16</v>
      </c>
      <c r="G43">
        <f>VLOOKUP(RIGHT(B43,1), {"A",10;"B",12;"C",14;"D",14}, 2, FALSE) * C43 + 50*K43</f>
        <v>344</v>
      </c>
      <c r="H43">
        <f t="shared" si="5"/>
        <v>44408</v>
      </c>
      <c r="I43" s="39">
        <f>WORKDAY.INTL(D43,INT(H43/1440),7) + MOD(H43/1440,1)</f>
        <v>45872.838888888888</v>
      </c>
      <c r="J43" s="39">
        <f>WORKDAY.INTL(E43, -QUOTIENT($O$15,1440), 7) - MOD($O$15,1440)/1440</f>
        <v>45873.875</v>
      </c>
      <c r="K43" s="21">
        <f>IF(ROW()=2,1,IF(B43&lt;&gt;B42,1,0))</f>
        <v>1</v>
      </c>
      <c r="L43" s="17"/>
      <c r="T43" s="20"/>
      <c r="V43" s="43">
        <f t="shared" si="8"/>
        <v>110.33333333333333</v>
      </c>
      <c r="W43" s="45">
        <f t="shared" si="9"/>
        <v>1544.6666666666665</v>
      </c>
      <c r="X43" s="20">
        <f t="shared" si="3"/>
        <v>0</v>
      </c>
      <c r="Y43" s="43">
        <f t="shared" si="7"/>
        <v>2244.6666666666665</v>
      </c>
      <c r="Z43" s="43"/>
      <c r="AA43" s="43">
        <f t="shared" si="6"/>
        <v>1983.6666666666665</v>
      </c>
      <c r="AB43" s="20">
        <f t="shared" si="4"/>
        <v>0</v>
      </c>
    </row>
    <row r="44" spans="1:28" x14ac:dyDescent="0.25">
      <c r="A44">
        <v>15</v>
      </c>
      <c r="B44" t="s">
        <v>4</v>
      </c>
      <c r="C44">
        <v>54</v>
      </c>
      <c r="D44" s="17">
        <v>45830</v>
      </c>
      <c r="E44" s="17">
        <v>45875</v>
      </c>
      <c r="F44" t="s">
        <v>16</v>
      </c>
      <c r="G44">
        <f>VLOOKUP(RIGHT(B44,1), {"A",10;"B",12;"C",14;"D",14}, 2, FALSE) * C44 + 50*K44</f>
        <v>590</v>
      </c>
      <c r="H44">
        <f t="shared" si="5"/>
        <v>44998</v>
      </c>
      <c r="I44" s="39">
        <f>WORKDAY.INTL(D44,INT(H44/1440),7) + MOD(H44/1440,1)</f>
        <v>45873.248611111114</v>
      </c>
      <c r="J44" s="39">
        <f>WORKDAY.INTL(E44, -QUOTIENT($O$15,1440), 7) - MOD($O$15,1440)/1440</f>
        <v>45874.875</v>
      </c>
      <c r="K44" s="21">
        <f>IF(ROW()=2,1,IF(B44&lt;&gt;B43,1,0))</f>
        <v>1</v>
      </c>
      <c r="L44" s="17"/>
      <c r="T44" s="20"/>
      <c r="V44" s="43">
        <f t="shared" si="8"/>
        <v>110.33333333333333</v>
      </c>
      <c r="W44" s="45">
        <f t="shared" si="9"/>
        <v>1544.6666666666665</v>
      </c>
      <c r="X44" s="20">
        <f t="shared" si="3"/>
        <v>0</v>
      </c>
      <c r="Y44" s="43">
        <f t="shared" si="7"/>
        <v>2244.6666666666665</v>
      </c>
      <c r="Z44" s="43"/>
      <c r="AA44" s="43">
        <f t="shared" si="6"/>
        <v>1929.6666666666665</v>
      </c>
      <c r="AB44" s="20">
        <f t="shared" si="4"/>
        <v>0</v>
      </c>
    </row>
    <row r="45" spans="1:28" x14ac:dyDescent="0.25">
      <c r="A45">
        <v>23</v>
      </c>
      <c r="B45" t="s">
        <v>7</v>
      </c>
      <c r="C45">
        <v>55</v>
      </c>
      <c r="D45" s="17">
        <v>45830</v>
      </c>
      <c r="E45" s="17">
        <v>45875</v>
      </c>
      <c r="F45" t="s">
        <v>16</v>
      </c>
      <c r="G45">
        <f>VLOOKUP(RIGHT(B45,1), {"A",10;"B",12;"C",14;"D",14}, 2, FALSE) * C45 + 50*K45</f>
        <v>820</v>
      </c>
      <c r="H45">
        <f t="shared" si="5"/>
        <v>45818</v>
      </c>
      <c r="I45" s="39">
        <f>WORKDAY.INTL(D45,INT(H45/1440),7) + MOD(H45/1440,1)</f>
        <v>45873.818055555559</v>
      </c>
      <c r="J45" s="39">
        <f>WORKDAY.INTL(E45, -QUOTIENT($O$15,1440), 7) - MOD($O$15,1440)/1440</f>
        <v>45874.875</v>
      </c>
      <c r="K45" s="21">
        <f>IF(ROW()=2,1,IF(B45&lt;&gt;B44,1,0))</f>
        <v>1</v>
      </c>
      <c r="L45" s="17"/>
      <c r="T45" s="20"/>
      <c r="V45" s="43">
        <f t="shared" si="8"/>
        <v>110.33333333333333</v>
      </c>
      <c r="W45" s="45">
        <f t="shared" si="9"/>
        <v>1544.6666666666665</v>
      </c>
      <c r="X45" s="20">
        <f t="shared" si="3"/>
        <v>0</v>
      </c>
      <c r="Y45" s="43">
        <f t="shared" si="7"/>
        <v>2244.6666666666665</v>
      </c>
      <c r="Z45" s="43"/>
      <c r="AA45" s="43">
        <f t="shared" si="6"/>
        <v>1874.6666666666665</v>
      </c>
      <c r="AB45" s="20">
        <f t="shared" si="4"/>
        <v>0</v>
      </c>
    </row>
    <row r="46" spans="1:28" x14ac:dyDescent="0.25">
      <c r="A46">
        <v>4</v>
      </c>
      <c r="B46" t="s">
        <v>4</v>
      </c>
      <c r="C46">
        <v>32</v>
      </c>
      <c r="D46" s="17">
        <v>45830</v>
      </c>
      <c r="E46" s="17">
        <v>45876</v>
      </c>
      <c r="F46" t="s">
        <v>18</v>
      </c>
      <c r="G46">
        <f>VLOOKUP(RIGHT(B46,1), {"A",10;"B",12;"C",14;"D",14}, 2, FALSE) * C46 + 50*K46</f>
        <v>370</v>
      </c>
      <c r="H46">
        <f t="shared" si="5"/>
        <v>46188</v>
      </c>
      <c r="I46" s="39">
        <f>WORKDAY.INTL(D46,INT(H46/1440),7) + MOD(H46/1440,1)</f>
        <v>45874.074999999997</v>
      </c>
      <c r="J46" s="39">
        <f>WORKDAY.INTL(E46, -QUOTIENT($O$15,1440), 7) - MOD($O$15,1440)/1440</f>
        <v>45875.875</v>
      </c>
      <c r="K46" s="21">
        <f>IF(ROW()=2,1,IF(B46&lt;&gt;B45,1,0))</f>
        <v>1</v>
      </c>
      <c r="L46" s="17"/>
      <c r="T46" s="20"/>
      <c r="V46" s="43">
        <f t="shared" si="8"/>
        <v>110.33333333333333</v>
      </c>
      <c r="W46" s="45">
        <f t="shared" si="9"/>
        <v>1544.6666666666665</v>
      </c>
      <c r="X46" s="20">
        <f t="shared" si="3"/>
        <v>0</v>
      </c>
      <c r="Y46" s="43">
        <f t="shared" si="7"/>
        <v>2244.6666666666665</v>
      </c>
      <c r="Z46" s="43"/>
      <c r="AA46" s="43">
        <f t="shared" si="6"/>
        <v>1842.6666666666665</v>
      </c>
      <c r="AB46" s="20">
        <f t="shared" si="4"/>
        <v>0</v>
      </c>
    </row>
    <row r="47" spans="1:28" x14ac:dyDescent="0.25">
      <c r="A47">
        <v>24</v>
      </c>
      <c r="B47" t="s">
        <v>5</v>
      </c>
      <c r="C47">
        <v>66</v>
      </c>
      <c r="D47" s="17">
        <v>45830</v>
      </c>
      <c r="E47" s="17">
        <v>45876</v>
      </c>
      <c r="F47" t="s">
        <v>15</v>
      </c>
      <c r="G47">
        <f>VLOOKUP(RIGHT(B47,1), {"A",10;"B",12;"C",14;"D",14}, 2, FALSE) * C47 + 50*K47</f>
        <v>842</v>
      </c>
      <c r="H47">
        <f t="shared" si="5"/>
        <v>47030</v>
      </c>
      <c r="I47" s="39">
        <f>WORKDAY.INTL(D47,INT(H47/1440),7) + MOD(H47/1440,1)</f>
        <v>45874.659722222219</v>
      </c>
      <c r="J47" s="39">
        <f>WORKDAY.INTL(E47, -QUOTIENT($O$15,1440), 7) - MOD($O$15,1440)/1440</f>
        <v>45875.875</v>
      </c>
      <c r="K47" s="21">
        <f>IF(ROW()=2,1,IF(B47&lt;&gt;B46,1,0))</f>
        <v>1</v>
      </c>
      <c r="L47" s="17"/>
      <c r="T47" s="20"/>
      <c r="V47" s="43">
        <f t="shared" si="8"/>
        <v>110.33333333333333</v>
      </c>
      <c r="W47" s="45">
        <f t="shared" si="9"/>
        <v>1544.6666666666665</v>
      </c>
      <c r="X47" s="20">
        <f t="shared" si="3"/>
        <v>0</v>
      </c>
      <c r="Y47" s="43">
        <f t="shared" si="7"/>
        <v>2244.6666666666665</v>
      </c>
      <c r="Z47" s="43"/>
      <c r="AA47" s="43">
        <f t="shared" si="6"/>
        <v>1776.6666666666665</v>
      </c>
      <c r="AB47" s="20">
        <f t="shared" si="4"/>
        <v>0</v>
      </c>
    </row>
    <row r="48" spans="1:28" x14ac:dyDescent="0.25">
      <c r="A48">
        <v>31</v>
      </c>
      <c r="B48" t="s">
        <v>4</v>
      </c>
      <c r="C48">
        <v>117</v>
      </c>
      <c r="D48" s="17">
        <v>45830</v>
      </c>
      <c r="E48" s="17">
        <v>45879</v>
      </c>
      <c r="F48" t="s">
        <v>15</v>
      </c>
      <c r="G48">
        <f>VLOOKUP(RIGHT(B48,1), {"A",10;"B",12;"C",14;"D",14}, 2, FALSE) * C48 + 50*K48</f>
        <v>1220</v>
      </c>
      <c r="H48">
        <f t="shared" si="5"/>
        <v>48250</v>
      </c>
      <c r="I48" s="39">
        <f>WORKDAY.INTL(D48,INT(H48/1440),7) + MOD(H48/1440,1)</f>
        <v>45875.506944444445</v>
      </c>
      <c r="J48" s="39">
        <f>WORKDAY.INTL(E48, -QUOTIENT($O$15,1440), 7) - MOD($O$15,1440)/1440</f>
        <v>45878.875</v>
      </c>
      <c r="K48" s="21">
        <f>IF(ROW()=2,1,IF(B48&lt;&gt;B47,1,0))</f>
        <v>1</v>
      </c>
      <c r="L48" s="17"/>
      <c r="T48" s="20"/>
      <c r="V48" s="43">
        <f t="shared" si="8"/>
        <v>110.33333333333333</v>
      </c>
      <c r="W48" s="45">
        <f t="shared" si="9"/>
        <v>1544.6666666666665</v>
      </c>
      <c r="X48" s="20">
        <f t="shared" si="3"/>
        <v>0</v>
      </c>
      <c r="Y48" s="43">
        <f t="shared" si="7"/>
        <v>2244.6666666666665</v>
      </c>
      <c r="Z48" s="43"/>
      <c r="AA48" s="43">
        <f t="shared" si="6"/>
        <v>1659.6666666666665</v>
      </c>
      <c r="AB48" s="20">
        <f t="shared" si="4"/>
        <v>0</v>
      </c>
    </row>
    <row r="49" spans="1:28" x14ac:dyDescent="0.25">
      <c r="A49">
        <v>1</v>
      </c>
      <c r="B49" t="s">
        <v>5</v>
      </c>
      <c r="C49">
        <v>23</v>
      </c>
      <c r="D49" s="17">
        <v>45830</v>
      </c>
      <c r="E49" s="17">
        <v>45879</v>
      </c>
      <c r="F49" t="s">
        <v>17</v>
      </c>
      <c r="G49">
        <f>VLOOKUP(RIGHT(B49,1), {"A",10;"B",12;"C",14;"D",14}, 2, FALSE) * C49 + 50*K49</f>
        <v>326</v>
      </c>
      <c r="H49">
        <f t="shared" si="5"/>
        <v>48576</v>
      </c>
      <c r="I49" s="39">
        <f>WORKDAY.INTL(D49,INT(H49/1440),7) + MOD(H49/1440,1)</f>
        <v>45875.73333333333</v>
      </c>
      <c r="J49" s="39">
        <f>WORKDAY.INTL(E49, -QUOTIENT($O$15,1440), 7) - MOD($O$15,1440)/1440</f>
        <v>45878.875</v>
      </c>
      <c r="K49" s="21">
        <f>IF(ROW()=2,1,IF(B49&lt;&gt;B48,1,0))</f>
        <v>1</v>
      </c>
      <c r="L49" s="17"/>
      <c r="T49" s="20"/>
      <c r="V49" s="43">
        <f t="shared" si="8"/>
        <v>110.33333333333333</v>
      </c>
      <c r="W49" s="45">
        <f t="shared" si="9"/>
        <v>1544.6666666666665</v>
      </c>
      <c r="X49" s="20">
        <f t="shared" si="3"/>
        <v>0</v>
      </c>
      <c r="Y49" s="43">
        <f t="shared" si="7"/>
        <v>2244.6666666666665</v>
      </c>
      <c r="Z49" s="43"/>
      <c r="AA49" s="43">
        <f t="shared" si="6"/>
        <v>1636.6666666666665</v>
      </c>
      <c r="AB49" s="20">
        <f t="shared" si="4"/>
        <v>0</v>
      </c>
    </row>
    <row r="50" spans="1:28" x14ac:dyDescent="0.25">
      <c r="A50">
        <v>22</v>
      </c>
      <c r="B50" t="s">
        <v>6</v>
      </c>
      <c r="C50">
        <v>48</v>
      </c>
      <c r="D50" s="17">
        <v>45830</v>
      </c>
      <c r="E50" s="17">
        <v>45880</v>
      </c>
      <c r="F50" t="s">
        <v>18</v>
      </c>
      <c r="G50">
        <f>VLOOKUP(RIGHT(B50,1), {"A",10;"B",12;"C",14;"D",14}, 2, FALSE) * C50 + 50*K50</f>
        <v>722</v>
      </c>
      <c r="H50">
        <f t="shared" si="5"/>
        <v>49298</v>
      </c>
      <c r="I50" s="39">
        <f>WORKDAY.INTL(D50,INT(H50/1440),7) + MOD(H50/1440,1)</f>
        <v>45876.234722222223</v>
      </c>
      <c r="J50" s="39">
        <f>WORKDAY.INTL(E50, -QUOTIENT($O$15,1440), 7) - MOD($O$15,1440)/1440</f>
        <v>45879.875</v>
      </c>
      <c r="K50" s="21">
        <f>IF(ROW()=2,1,IF(B50&lt;&gt;B49,1,0))</f>
        <v>1</v>
      </c>
      <c r="L50" s="17"/>
      <c r="T50" s="20"/>
      <c r="V50" s="43">
        <f t="shared" si="8"/>
        <v>110.33333333333333</v>
      </c>
      <c r="W50" s="45">
        <f t="shared" si="9"/>
        <v>1544.6666666666665</v>
      </c>
      <c r="X50" s="20">
        <f t="shared" si="3"/>
        <v>0</v>
      </c>
      <c r="Y50" s="43">
        <f t="shared" si="7"/>
        <v>2244.6666666666665</v>
      </c>
      <c r="Z50" s="43"/>
      <c r="AA50" s="43">
        <f t="shared" si="6"/>
        <v>1588.6666666666665</v>
      </c>
      <c r="AB50" s="20">
        <f t="shared" si="4"/>
        <v>0</v>
      </c>
    </row>
    <row r="51" spans="1:28" x14ac:dyDescent="0.25">
      <c r="A51">
        <v>26</v>
      </c>
      <c r="B51" t="s">
        <v>4</v>
      </c>
      <c r="C51">
        <v>95</v>
      </c>
      <c r="D51" s="17">
        <v>45830</v>
      </c>
      <c r="E51" s="17">
        <v>45881</v>
      </c>
      <c r="F51" t="s">
        <v>16</v>
      </c>
      <c r="G51">
        <f>VLOOKUP(RIGHT(B51,1), {"A",10;"B",12;"C",14;"D",14}, 2, FALSE) * C51 + 50*K51</f>
        <v>1000</v>
      </c>
      <c r="H51">
        <f t="shared" si="5"/>
        <v>50298</v>
      </c>
      <c r="I51" s="39">
        <f>WORKDAY.INTL(D51,INT(H51/1440),7) + MOD(H51/1440,1)</f>
        <v>45876.929166666669</v>
      </c>
      <c r="J51" s="39">
        <f>WORKDAY.INTL(E51, -QUOTIENT($O$15,1440), 7) - MOD($O$15,1440)/1440</f>
        <v>45880.875</v>
      </c>
      <c r="K51" s="21">
        <f>IF(ROW()=2,1,IF(B51&lt;&gt;B50,1,0))</f>
        <v>1</v>
      </c>
      <c r="L51" s="17"/>
      <c r="T51" s="20"/>
      <c r="V51" s="43">
        <f t="shared" si="8"/>
        <v>110.33333333333333</v>
      </c>
      <c r="W51" s="45">
        <f t="shared" si="9"/>
        <v>1544.6666666666665</v>
      </c>
      <c r="X51" s="20">
        <f t="shared" si="3"/>
        <v>0</v>
      </c>
      <c r="Y51" s="43">
        <f t="shared" si="7"/>
        <v>2244.6666666666665</v>
      </c>
      <c r="Z51" s="43"/>
      <c r="AA51" s="43">
        <f t="shared" si="6"/>
        <v>1493.6666666666665</v>
      </c>
      <c r="AB51" s="20">
        <f t="shared" si="4"/>
        <v>751</v>
      </c>
    </row>
    <row r="52" spans="1:28" x14ac:dyDescent="0.25">
      <c r="A52">
        <v>27</v>
      </c>
      <c r="B52" t="s">
        <v>5</v>
      </c>
      <c r="C52">
        <v>84</v>
      </c>
      <c r="D52" s="17">
        <v>45830</v>
      </c>
      <c r="E52" s="17">
        <v>45883</v>
      </c>
      <c r="F52" t="s">
        <v>17</v>
      </c>
      <c r="G52">
        <f>VLOOKUP(RIGHT(B52,1), {"A",10;"B",12;"C",14;"D",14}, 2, FALSE) * C52 + 50*K52</f>
        <v>1058</v>
      </c>
      <c r="H52">
        <f t="shared" si="5"/>
        <v>51356</v>
      </c>
      <c r="I52" s="39">
        <f>WORKDAY.INTL(D52,INT(H52/1440),7) + MOD(H52/1440,1)</f>
        <v>45879.663888888892</v>
      </c>
      <c r="J52" s="39">
        <f>WORKDAY.INTL(E52, -QUOTIENT($O$15,1440), 7) - MOD($O$15,1440)/1440</f>
        <v>45882.875</v>
      </c>
      <c r="K52" s="21">
        <f>IF(ROW()=2,1,IF(B52&lt;&gt;B51,1,0))</f>
        <v>1</v>
      </c>
      <c r="L52" s="17"/>
      <c r="T52" s="20"/>
      <c r="V52" s="43">
        <f t="shared" si="8"/>
        <v>110.33333333333333</v>
      </c>
      <c r="W52" s="45">
        <f t="shared" si="9"/>
        <v>1544.6666666666665</v>
      </c>
      <c r="X52" s="20">
        <f t="shared" si="3"/>
        <v>0</v>
      </c>
      <c r="Y52" s="43">
        <f t="shared" si="7"/>
        <v>2244.6666666666665</v>
      </c>
      <c r="Z52" s="43"/>
      <c r="AA52" s="43">
        <f t="shared" si="6"/>
        <v>2160.6666666666665</v>
      </c>
      <c r="AB52" s="20">
        <f t="shared" si="4"/>
        <v>0</v>
      </c>
    </row>
  </sheetData>
  <mergeCells count="3">
    <mergeCell ref="L7:M7"/>
    <mergeCell ref="L8:M8"/>
    <mergeCell ref="L9:M9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שלב 1</vt:lpstr>
      <vt:lpstr>שלב 2-3</vt:lpstr>
      <vt:lpstr>שאלה 3</vt:lpstr>
    </vt:vector>
  </TitlesOfParts>
  <Company>JCE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juliesarahkh</dc:creator>
  <cp:lastModifiedBy>Nathan Sebag</cp:lastModifiedBy>
  <dcterms:created xsi:type="dcterms:W3CDTF">2025-07-21T17:23:11Z</dcterms:created>
  <dcterms:modified xsi:type="dcterms:W3CDTF">2025-08-15T15:01:17Z</dcterms:modified>
</cp:coreProperties>
</file>