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s\Desktop\Museum_of_Science\"/>
    </mc:Choice>
  </mc:AlternateContent>
  <xr:revisionPtr revIDLastSave="0" documentId="13_ncr:1_{B1F5D199-7E00-4D5E-894C-36A0FECB00C0}" xr6:coauthVersionLast="47" xr6:coauthVersionMax="47" xr10:uidLastSave="{00000000-0000-0000-0000-000000000000}"/>
  <bookViews>
    <workbookView xWindow="-120" yWindow="-120" windowWidth="29040" windowHeight="15720" activeTab="2" xr2:uid="{7674F113-A605-430F-96C6-B052F47C0354}"/>
  </bookViews>
  <sheets>
    <sheet name="חלק 1" sheetId="3" r:id="rId1"/>
    <sheet name="DBR" sheetId="4" r:id="rId2"/>
    <sheet name="Sheet1" sheetId="5" r:id="rId3"/>
    <sheet name="זמן בדקות ליחידת מוצר 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5" l="1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H2" i="4"/>
  <c r="H3" i="4"/>
  <c r="H39" i="4"/>
  <c r="H5" i="4"/>
  <c r="H37" i="4"/>
  <c r="H8" i="4"/>
  <c r="H23" i="4"/>
  <c r="H33" i="4"/>
  <c r="H24" i="4"/>
  <c r="H42" i="4"/>
  <c r="H30" i="4"/>
  <c r="H25" i="4"/>
  <c r="H12" i="4"/>
  <c r="H36" i="4"/>
  <c r="H15" i="4"/>
  <c r="I4" i="5"/>
  <c r="I5" i="5" s="1"/>
  <c r="I6" i="5" s="1"/>
  <c r="I7" i="5" s="1"/>
  <c r="I8" i="5" s="1"/>
  <c r="I9" i="5" s="1"/>
  <c r="I10" i="5" s="1"/>
  <c r="I11" i="5" s="1"/>
  <c r="I12" i="5" s="1"/>
  <c r="I13" i="5" s="1"/>
  <c r="I14" i="5" s="1"/>
  <c r="I15" i="5" s="1"/>
  <c r="I16" i="5" s="1"/>
  <c r="I17" i="5" s="1"/>
  <c r="I18" i="5" s="1"/>
  <c r="I19" i="5" s="1"/>
  <c r="I20" i="5" s="1"/>
  <c r="I21" i="5" s="1"/>
  <c r="I22" i="5" s="1"/>
  <c r="I23" i="5" s="1"/>
  <c r="I24" i="5" s="1"/>
  <c r="I25" i="5" s="1"/>
  <c r="I26" i="5" s="1"/>
  <c r="I27" i="5" s="1"/>
  <c r="I28" i="5" s="1"/>
  <c r="I29" i="5" s="1"/>
  <c r="I30" i="5" s="1"/>
  <c r="I31" i="5" s="1"/>
  <c r="I32" i="5" s="1"/>
  <c r="I33" i="5" s="1"/>
  <c r="I34" i="5" s="1"/>
  <c r="I35" i="5" s="1"/>
  <c r="I36" i="5" s="1"/>
  <c r="I37" i="5" s="1"/>
  <c r="I38" i="5" s="1"/>
  <c r="I39" i="5" s="1"/>
  <c r="I40" i="5" s="1"/>
  <c r="I41" i="5" s="1"/>
  <c r="I42" i="5" s="1"/>
  <c r="I43" i="5" s="1"/>
  <c r="I44" i="5" s="1"/>
  <c r="I45" i="5" s="1"/>
  <c r="I46" i="5" s="1"/>
  <c r="I47" i="5" s="1"/>
  <c r="I48" i="5" s="1"/>
  <c r="I49" i="5" s="1"/>
  <c r="I50" i="5" s="1"/>
  <c r="I51" i="5" s="1"/>
  <c r="I52" i="5" s="1"/>
  <c r="I3" i="5"/>
  <c r="I2" i="5"/>
  <c r="G29" i="5"/>
  <c r="G34" i="5"/>
  <c r="G14" i="5"/>
  <c r="H51" i="5"/>
  <c r="G51" i="5" s="1"/>
  <c r="H17" i="5"/>
  <c r="G17" i="5" s="1"/>
  <c r="H41" i="5"/>
  <c r="G41" i="5" s="1"/>
  <c r="H2" i="5"/>
  <c r="G2" i="5" s="1"/>
  <c r="H3" i="5"/>
  <c r="G3" i="5" s="1"/>
  <c r="H31" i="5"/>
  <c r="G31" i="5" s="1"/>
  <c r="H4" i="5"/>
  <c r="G4" i="5" s="1"/>
  <c r="H43" i="5"/>
  <c r="G43" i="5" s="1"/>
  <c r="H39" i="5"/>
  <c r="G39" i="5" s="1"/>
  <c r="H21" i="5"/>
  <c r="G21" i="5" s="1"/>
  <c r="H5" i="5"/>
  <c r="G5" i="5" s="1"/>
  <c r="H22" i="5"/>
  <c r="H6" i="5"/>
  <c r="G6" i="5" s="1"/>
  <c r="H7" i="5"/>
  <c r="G7" i="5" s="1"/>
  <c r="H45" i="5"/>
  <c r="G45" i="5" s="1"/>
  <c r="H37" i="5"/>
  <c r="G37" i="5" s="1"/>
  <c r="H8" i="5"/>
  <c r="G8" i="5" s="1"/>
  <c r="H46" i="5"/>
  <c r="G46" i="5" s="1"/>
  <c r="H38" i="5"/>
  <c r="G38" i="5" s="1"/>
  <c r="H18" i="5"/>
  <c r="G18" i="5" s="1"/>
  <c r="H23" i="5"/>
  <c r="G23" i="5" s="1"/>
  <c r="H33" i="5"/>
  <c r="G33" i="5" s="1"/>
  <c r="H24" i="5"/>
  <c r="G24" i="5" s="1"/>
  <c r="H50" i="5"/>
  <c r="H32" i="5"/>
  <c r="G32" i="5" s="1"/>
  <c r="H40" i="5"/>
  <c r="G40" i="5" s="1"/>
  <c r="H9" i="5"/>
  <c r="G9" i="5" s="1"/>
  <c r="H28" i="5"/>
  <c r="G28" i="5" s="1"/>
  <c r="H42" i="5"/>
  <c r="G42" i="5" s="1"/>
  <c r="H48" i="5"/>
  <c r="G48" i="5" s="1"/>
  <c r="H29" i="5"/>
  <c r="H16" i="5"/>
  <c r="G16" i="5" s="1"/>
  <c r="H52" i="5"/>
  <c r="G52" i="5" s="1"/>
  <c r="H34" i="5"/>
  <c r="H30" i="5"/>
  <c r="G30" i="5" s="1"/>
  <c r="H10" i="5"/>
  <c r="H11" i="5"/>
  <c r="G11" i="5" s="1"/>
  <c r="H35" i="5"/>
  <c r="G35" i="5" s="1"/>
  <c r="H19" i="5"/>
  <c r="G19" i="5" s="1"/>
  <c r="H25" i="5"/>
  <c r="G25" i="5" s="1"/>
  <c r="H12" i="5"/>
  <c r="G12" i="5" s="1"/>
  <c r="H27" i="5"/>
  <c r="G27" i="5" s="1"/>
  <c r="H49" i="5"/>
  <c r="G49" i="5" s="1"/>
  <c r="H13" i="5"/>
  <c r="G13" i="5" s="1"/>
  <c r="H47" i="5"/>
  <c r="G47" i="5" s="1"/>
  <c r="H14" i="5"/>
  <c r="H36" i="5"/>
  <c r="G36" i="5" s="1"/>
  <c r="H26" i="5"/>
  <c r="H20" i="5"/>
  <c r="H15" i="5"/>
  <c r="G15" i="5" s="1"/>
  <c r="H44" i="5"/>
  <c r="G44" i="5" s="1"/>
  <c r="U27" i="5"/>
  <c r="R5" i="5"/>
  <c r="R4" i="5"/>
  <c r="R3" i="5"/>
  <c r="R2" i="5"/>
  <c r="G44" i="4"/>
  <c r="H44" i="4" s="1"/>
  <c r="O10" i="4" a="1"/>
  <c r="O10" i="4" s="1"/>
  <c r="O9" i="4" a="1"/>
  <c r="O9" i="4" s="1"/>
  <c r="O8" i="4" a="1"/>
  <c r="O8" i="4" s="1"/>
  <c r="O7" i="4" a="1"/>
  <c r="O7" i="4" s="1"/>
  <c r="N10" i="4" a="1"/>
  <c r="N10" i="4" s="1"/>
  <c r="N9" i="4" a="1"/>
  <c r="N9" i="4" s="1"/>
  <c r="N8" i="4" a="1"/>
  <c r="N8" i="4" s="1"/>
  <c r="N7" i="4" a="1"/>
  <c r="N7" i="4" s="1"/>
  <c r="M10" i="4" a="1"/>
  <c r="M10" i="4" s="1"/>
  <c r="M9" i="4" a="1"/>
  <c r="M9" i="4" s="1"/>
  <c r="M8" i="4" a="1"/>
  <c r="M8" i="4" s="1"/>
  <c r="M7" i="4" a="1"/>
  <c r="M7" i="4" s="1"/>
  <c r="L10" i="4" a="1"/>
  <c r="L10" i="4" s="1"/>
  <c r="L9" i="4" a="1"/>
  <c r="L9" i="4" s="1"/>
  <c r="L8" i="4" a="1"/>
  <c r="L8" i="4" s="1"/>
  <c r="L7" i="4" a="1"/>
  <c r="L7" i="4" s="1"/>
  <c r="K10" i="4" a="1"/>
  <c r="K10" i="4" s="1"/>
  <c r="K9" i="4" a="1"/>
  <c r="K9" i="4" s="1"/>
  <c r="K8" i="4" a="1"/>
  <c r="K8" i="4" s="1"/>
  <c r="K7" i="4" a="1"/>
  <c r="K7" i="4" s="1"/>
  <c r="G19" i="4"/>
  <c r="H19" i="4" s="1"/>
  <c r="G8" i="4"/>
  <c r="G9" i="4"/>
  <c r="H9" i="4" s="1"/>
  <c r="G35" i="4"/>
  <c r="H35" i="4" s="1"/>
  <c r="G32" i="4"/>
  <c r="H32" i="4" s="1"/>
  <c r="G36" i="4"/>
  <c r="G22" i="4"/>
  <c r="H22" i="4" s="1"/>
  <c r="G30" i="4"/>
  <c r="G5" i="4"/>
  <c r="G4" i="4"/>
  <c r="H4" i="4" s="1"/>
  <c r="G11" i="4"/>
  <c r="H11" i="4" s="1"/>
  <c r="G21" i="4"/>
  <c r="H21" i="4" s="1"/>
  <c r="G40" i="4"/>
  <c r="H40" i="4" s="1"/>
  <c r="G15" i="4"/>
  <c r="G37" i="4"/>
  <c r="G20" i="4"/>
  <c r="H20" i="4" s="1"/>
  <c r="G33" i="4"/>
  <c r="G34" i="4"/>
  <c r="H34" i="4" s="1"/>
  <c r="G13" i="4"/>
  <c r="H13" i="4" s="1"/>
  <c r="G23" i="4"/>
  <c r="G49" i="4"/>
  <c r="H49" i="4" s="1"/>
  <c r="G31" i="4"/>
  <c r="H31" i="4" s="1"/>
  <c r="G17" i="4"/>
  <c r="H17" i="4" s="1"/>
  <c r="G3" i="4"/>
  <c r="G52" i="4"/>
  <c r="H52" i="4" s="1"/>
  <c r="S27" i="4"/>
  <c r="G51" i="4"/>
  <c r="H51" i="4" s="1"/>
  <c r="G16" i="4"/>
  <c r="H16" i="4" s="1"/>
  <c r="G47" i="4"/>
  <c r="H47" i="4" s="1"/>
  <c r="G45" i="4"/>
  <c r="H45" i="4" s="1"/>
  <c r="G50" i="4"/>
  <c r="H50" i="4" s="1"/>
  <c r="G42" i="4"/>
  <c r="G27" i="4"/>
  <c r="H27" i="4" s="1"/>
  <c r="G2" i="4"/>
  <c r="G41" i="4"/>
  <c r="H41" i="4" s="1"/>
  <c r="G7" i="4"/>
  <c r="H7" i="4" s="1"/>
  <c r="G6" i="4"/>
  <c r="H6" i="4" s="1"/>
  <c r="G12" i="4"/>
  <c r="G39" i="4"/>
  <c r="G18" i="4"/>
  <c r="H18" i="4" s="1"/>
  <c r="G38" i="4"/>
  <c r="H38" i="4" s="1"/>
  <c r="G14" i="4"/>
  <c r="H14" i="4" s="1"/>
  <c r="G28" i="4"/>
  <c r="H28" i="4" s="1"/>
  <c r="G10" i="4"/>
  <c r="H10" i="4" s="1"/>
  <c r="G29" i="4"/>
  <c r="H29" i="4" s="1"/>
  <c r="G25" i="4"/>
  <c r="G26" i="4"/>
  <c r="H26" i="4" s="1"/>
  <c r="P5" i="4"/>
  <c r="G46" i="4"/>
  <c r="H46" i="4" s="1"/>
  <c r="P4" i="4"/>
  <c r="G24" i="4"/>
  <c r="P3" i="4"/>
  <c r="G43" i="4"/>
  <c r="H43" i="4" s="1"/>
  <c r="P2" i="4"/>
  <c r="G48" i="4"/>
  <c r="H48" i="4" s="1"/>
  <c r="J18" i="3" a="1"/>
  <c r="J18" i="3"/>
  <c r="O10" i="3" a="1"/>
  <c r="O10" i="3" s="1"/>
  <c r="N10" i="3" a="1"/>
  <c r="N10" i="3" s="1"/>
  <c r="M10" i="3" a="1"/>
  <c r="M10" i="3" s="1"/>
  <c r="L10" i="3" a="1"/>
  <c r="L10" i="3" s="1"/>
  <c r="N9" i="3" a="1"/>
  <c r="N9" i="3" s="1"/>
  <c r="O9" i="3" a="1"/>
  <c r="O9" i="3" s="1"/>
  <c r="M9" i="3" a="1"/>
  <c r="M9" i="3" s="1"/>
  <c r="L9" i="3" a="1"/>
  <c r="L9" i="3" s="1"/>
  <c r="O8" i="3" a="1"/>
  <c r="O8" i="3" s="1"/>
  <c r="N8" i="3" a="1"/>
  <c r="N8" i="3" s="1"/>
  <c r="L8" i="3" a="1"/>
  <c r="L8" i="3" s="1"/>
  <c r="M8" i="3" a="1"/>
  <c r="M8" i="3" s="1"/>
  <c r="K8" i="3" a="1"/>
  <c r="K8" i="3" s="1"/>
  <c r="O7" i="3" a="1"/>
  <c r="O7" i="3" s="1"/>
  <c r="O12" i="3" s="1"/>
  <c r="N7" i="3" a="1"/>
  <c r="N7" i="3" s="1"/>
  <c r="N12" i="3" s="1"/>
  <c r="M7" i="3" a="1"/>
  <c r="M7" i="3" s="1"/>
  <c r="L7" i="3" a="1"/>
  <c r="L7" i="3" s="1"/>
  <c r="L12" i="3" s="1"/>
  <c r="P6" i="3"/>
  <c r="K10" i="3" a="1"/>
  <c r="K10" i="3" s="1"/>
  <c r="K9" i="3" a="1"/>
  <c r="K9" i="3" s="1"/>
  <c r="K7" i="3" a="1"/>
  <c r="K7" i="3" s="1"/>
  <c r="L21" i="3"/>
  <c r="G3" i="3"/>
  <c r="H3" i="3" s="1"/>
  <c r="G2" i="3"/>
  <c r="H2" i="3" s="1"/>
  <c r="G4" i="3"/>
  <c r="H4" i="3" s="1"/>
  <c r="G5" i="3"/>
  <c r="H5" i="3" s="1"/>
  <c r="G6" i="3"/>
  <c r="H6" i="3" s="1"/>
  <c r="G7" i="3"/>
  <c r="H7" i="3" s="1"/>
  <c r="G8" i="3"/>
  <c r="H8" i="3" s="1"/>
  <c r="G9" i="3"/>
  <c r="H9" i="3" s="1"/>
  <c r="G10" i="3"/>
  <c r="H10" i="3" s="1"/>
  <c r="G11" i="3"/>
  <c r="H11" i="3" s="1"/>
  <c r="G12" i="3"/>
  <c r="H12" i="3" s="1"/>
  <c r="G13" i="3"/>
  <c r="H13" i="3" s="1"/>
  <c r="G14" i="3"/>
  <c r="H14" i="3" s="1"/>
  <c r="G15" i="3"/>
  <c r="H15" i="3" s="1"/>
  <c r="G16" i="3"/>
  <c r="H16" i="3" s="1"/>
  <c r="G17" i="3"/>
  <c r="H17" i="3" s="1"/>
  <c r="G18" i="3"/>
  <c r="H18" i="3" s="1"/>
  <c r="G19" i="3"/>
  <c r="H19" i="3" s="1"/>
  <c r="G20" i="3"/>
  <c r="H20" i="3" s="1"/>
  <c r="G21" i="3"/>
  <c r="H21" i="3" s="1"/>
  <c r="G22" i="3"/>
  <c r="H22" i="3" s="1"/>
  <c r="G23" i="3"/>
  <c r="H23" i="3" s="1"/>
  <c r="G24" i="3"/>
  <c r="H24" i="3" s="1"/>
  <c r="G25" i="3"/>
  <c r="H25" i="3" s="1"/>
  <c r="G26" i="3"/>
  <c r="H26" i="3" s="1"/>
  <c r="G27" i="3"/>
  <c r="H27" i="3" s="1"/>
  <c r="G28" i="3"/>
  <c r="H28" i="3" s="1"/>
  <c r="G29" i="3"/>
  <c r="H29" i="3" s="1"/>
  <c r="G30" i="3"/>
  <c r="H30" i="3" s="1"/>
  <c r="G31" i="3"/>
  <c r="H31" i="3" s="1"/>
  <c r="G32" i="3"/>
  <c r="H32" i="3" s="1"/>
  <c r="G33" i="3"/>
  <c r="H33" i="3" s="1"/>
  <c r="G34" i="3"/>
  <c r="H34" i="3" s="1"/>
  <c r="G35" i="3"/>
  <c r="H35" i="3" s="1"/>
  <c r="G36" i="3"/>
  <c r="H36" i="3" s="1"/>
  <c r="G37" i="3"/>
  <c r="H37" i="3" s="1"/>
  <c r="G38" i="3"/>
  <c r="H38" i="3" s="1"/>
  <c r="G39" i="3"/>
  <c r="H39" i="3" s="1"/>
  <c r="G40" i="3"/>
  <c r="H40" i="3" s="1"/>
  <c r="G41" i="3"/>
  <c r="H41" i="3" s="1"/>
  <c r="G42" i="3"/>
  <c r="H42" i="3" s="1"/>
  <c r="G43" i="3"/>
  <c r="H43" i="3" s="1"/>
  <c r="G44" i="3"/>
  <c r="H44" i="3" s="1"/>
  <c r="G45" i="3"/>
  <c r="H45" i="3" s="1"/>
  <c r="G46" i="3"/>
  <c r="H46" i="3" s="1"/>
  <c r="G47" i="3"/>
  <c r="H47" i="3" s="1"/>
  <c r="G48" i="3"/>
  <c r="H48" i="3" s="1"/>
  <c r="G49" i="3"/>
  <c r="H49" i="3" s="1"/>
  <c r="G50" i="3"/>
  <c r="H50" i="3" s="1"/>
  <c r="G51" i="3"/>
  <c r="H51" i="3" s="1"/>
  <c r="G52" i="3"/>
  <c r="H52" i="3" s="1"/>
  <c r="P2" i="3"/>
  <c r="S27" i="3"/>
  <c r="P5" i="3"/>
  <c r="P4" i="3"/>
  <c r="P3" i="3"/>
  <c r="G5" i="2"/>
  <c r="G4" i="2"/>
  <c r="G3" i="2"/>
  <c r="G2" i="2"/>
  <c r="L24" i="3"/>
  <c r="L23" i="3"/>
  <c r="L22" i="3"/>
  <c r="H9" i="2"/>
  <c r="L18" i="5" l="1" a="1"/>
  <c r="L18" i="5" s="1"/>
  <c r="J18" i="4" a="1"/>
  <c r="J18" i="4" s="1"/>
  <c r="L12" i="4"/>
  <c r="G20" i="5"/>
  <c r="G26" i="5"/>
  <c r="G10" i="5"/>
  <c r="G50" i="5"/>
  <c r="G22" i="5"/>
  <c r="M7" i="5" a="1"/>
  <c r="M7" i="5" s="1"/>
  <c r="M12" i="5" s="1"/>
  <c r="N7" i="5" a="1"/>
  <c r="N7" i="5" s="1"/>
  <c r="O7" i="5" a="1"/>
  <c r="O7" i="5" s="1"/>
  <c r="O12" i="5" s="1"/>
  <c r="P7" i="5" a="1"/>
  <c r="P7" i="5" s="1"/>
  <c r="P12" i="5" s="1"/>
  <c r="Q7" i="5" a="1"/>
  <c r="Q7" i="5" s="1"/>
  <c r="Q12" i="5" s="1"/>
  <c r="M12" i="4"/>
  <c r="K12" i="4"/>
  <c r="O12" i="4"/>
  <c r="N12" i="4"/>
  <c r="M12" i="3"/>
  <c r="K12" i="3"/>
  <c r="L26" i="3"/>
  <c r="N12" i="5" l="1"/>
  <c r="R7" i="5"/>
  <c r="L15" i="5"/>
  <c r="J15" i="4"/>
  <c r="J15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<sst xmlns="http://schemas.openxmlformats.org/spreadsheetml/2006/main" count="406" uniqueCount="39">
  <si>
    <t>מוצר</t>
  </si>
  <si>
    <t>כמות</t>
  </si>
  <si>
    <t>תאריך יעד לאספקה</t>
  </si>
  <si>
    <t>צבע</t>
  </si>
  <si>
    <t>מוצר A</t>
  </si>
  <si>
    <t>מוצר B</t>
  </si>
  <si>
    <t>מוצר C</t>
  </si>
  <si>
    <t>מוצר D</t>
  </si>
  <si>
    <t>A</t>
  </si>
  <si>
    <t>B</t>
  </si>
  <si>
    <t>C</t>
  </si>
  <si>
    <t>D</t>
  </si>
  <si>
    <t>תחנה 2: כיפוף</t>
  </si>
  <si>
    <t>תחנה 1: ניקוב</t>
  </si>
  <si>
    <t>תחנה 3: ניקוי</t>
  </si>
  <si>
    <t>תחנה 4: צביעה</t>
  </si>
  <si>
    <t>תחנה 5: הרכבה</t>
  </si>
  <si>
    <t xml:space="preserve">Set-Up </t>
  </si>
  <si>
    <t>Hours</t>
  </si>
  <si>
    <t>שחור</t>
  </si>
  <si>
    <t>אדום</t>
  </si>
  <si>
    <t>צהוב</t>
  </si>
  <si>
    <t>לבן</t>
  </si>
  <si>
    <t>מס_סידורי</t>
  </si>
  <si>
    <t>סה"כ</t>
  </si>
  <si>
    <t>סה"כ כמות</t>
  </si>
  <si>
    <t>MinutsInWeek</t>
  </si>
  <si>
    <t>OTD</t>
  </si>
  <si>
    <t>תאריך התחלה</t>
  </si>
  <si>
    <t>זמן ייצור</t>
  </si>
  <si>
    <t>סה"כ זמן למוצר</t>
  </si>
  <si>
    <t>תאריך אספקה בפועל</t>
  </si>
  <si>
    <t>מס' מנות</t>
  </si>
  <si>
    <t>סה"כ עומס לתחנה:</t>
  </si>
  <si>
    <t xml:space="preserve">צוואר הבקבוק </t>
  </si>
  <si>
    <t>תחנה מס'</t>
  </si>
  <si>
    <t>BATCH</t>
  </si>
  <si>
    <t>זמן הספקה</t>
  </si>
  <si>
    <t>זמן מצטבר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</si>
</sst>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sz val="8"/>
      <name val="Arial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14" fontId="0" fillId="0" borderId="0" xfId="0" applyNumberFormat="1"/>
    <xf numFmtId="0" fontId="0" fillId="0" borderId="19" xfId="0" applyBorder="1" applyAlignment="1">
      <alignment horizontal="center" vertical="center"/>
    </xf>
    <xf numFmtId="0" fontId="0" fillId="3" borderId="23" xfId="0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0" fontId="0" fillId="2" borderId="0" xfId="0" applyNumberFormat="1" applyFill="1" applyAlignment="1">
      <alignment horizontal="center" vertical="center"/>
    </xf>
    <xf numFmtId="0" fontId="0" fillId="0" borderId="0" xfId="0" applyNumberFormat="1"/>
  </cellXfs>
  <cellStyles count="1">
    <cellStyle name="Normal" xfId="0" builtinId="0"/>
  </cellStyles>
  <dxfs count="43"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border outline="0">
        <left style="medium">
          <color rgb="FF000000"/>
        </left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border outline="0">
        <left style="medium">
          <color rgb="FF000000"/>
        </left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numFmt numFmtId="0" formatCode="General"/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border outline="0">
        <left style="medium">
          <color indexed="64"/>
        </left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numFmt numFmtId="0" formatCode="General"/>
    </dxf>
    <dxf>
      <alignment horizontal="center" vertical="bottom" textRotation="0" wrapText="0" indent="0" justifyLastLine="0" shrinkToFit="0" readingOrder="0"/>
    </dxf>
    <dxf>
      <numFmt numFmtId="19" formatCode="dd/mm/yyyy"/>
    </dxf>
    <dxf>
      <numFmt numFmtId="0" formatCode="General"/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51996E-3107-463C-AA6C-98B4B9BFD89D}" name="טבלה2" displayName="טבלה2" ref="A1:H52" totalsRowShown="0" headerRowDxfId="42">
  <autoFilter ref="A1:H52" xr:uid="{3D51996E-3107-463C-AA6C-98B4B9BFD89D}"/>
  <sortState xmlns:xlrd2="http://schemas.microsoft.com/office/spreadsheetml/2017/richdata2" ref="A2:F52">
    <sortCondition ref="A1:A52"/>
  </sortState>
  <tableColumns count="8">
    <tableColumn id="1" xr3:uid="{18EEB45B-13CC-4D2E-A1A5-4A69D3474CE7}" name="מס_סידורי"/>
    <tableColumn id="2" xr3:uid="{37EF5C7D-63FF-4506-88ED-93B3AA2B06DA}" name="מוצר"/>
    <tableColumn id="3" xr3:uid="{4395F17F-4B5A-4E92-85D3-98DFCEE5AF9D}" name="כמות"/>
    <tableColumn id="7" xr3:uid="{A468D33E-2928-4BC0-9FA2-D615D49BB3F8}" name="תאריך התחלה"/>
    <tableColumn id="4" xr3:uid="{CFF5136B-CE7A-445A-BC55-C5F725971E8B}" name="תאריך יעד לאספקה" dataDxfId="41"/>
    <tableColumn id="5" xr3:uid="{FC8EF7F1-976B-4371-B989-95A4C293F353}" name="צבע"/>
    <tableColumn id="8" xr3:uid="{A719ED67-F6F2-4440-8804-4E8ABA56AE11}" name="זמן ייצור" dataDxfId="40">
      <calculatedColumnFormula>VLOOKUP(RIGHT(B2,1), {"A",43;"B",42;"C",50;"D",45}, 2, FALSE) * C2 + 50</calculatedColumnFormula>
    </tableColumn>
    <tableColumn id="9" xr3:uid="{52A6A7EC-D59D-4A5A-93E1-70954AD3883D}" name="תאריך אספקה בפועל" dataDxfId="39">
      <calculatedColumnFormula xml:space="preserve"> D2 + (G2 / 1440)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3A449C-D9DD-4CDE-837D-7A221B536B92}" name="טבלה4" displayName="טבלה4" ref="K20:M26" totalsRowShown="0" headerRowDxfId="38">
  <autoFilter ref="K20:M26" xr:uid="{3D3A449C-D9DD-4CDE-837D-7A221B536B92}"/>
  <tableColumns count="3">
    <tableColumn id="1" xr3:uid="{7D2EA9A1-C2D9-4E5E-93B6-DEB79CCBEB7F}" name="מוצר"/>
    <tableColumn id="2" xr3:uid="{44EA54CD-67B5-4E1B-B8E4-62C7BF2F374E}" name="סה&quot;כ כמות"/>
    <tableColumn id="3" xr3:uid="{0E764B2C-77FD-4D9C-B397-AE33F4DF58DB}" name="מס' מנות" dataDxfId="3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8CBB101-ED08-4117-9B7A-024153764FF9}" name="טבלה6" displayName="טבלה6" ref="J1:P6" totalsRowShown="0" headerRowDxfId="36" dataDxfId="35" tableBorderDxfId="34">
  <autoFilter ref="J1:P6" xr:uid="{48CBB101-ED08-4117-9B7A-024153764FF9}"/>
  <tableColumns count="7">
    <tableColumn id="1" xr3:uid="{373D3D22-7A8A-4BD1-A6B2-F9828C95BE11}" name="מוצר" dataDxfId="33"/>
    <tableColumn id="2" xr3:uid="{8E076F1A-FC9E-412F-8DD5-5EFD44B7D01F}" name="תחנה 1: ניקוב" dataDxfId="32"/>
    <tableColumn id="3" xr3:uid="{E13850EC-C030-4BCD-A0C0-740DDEC29813}" name="תחנה 2: כיפוף" dataDxfId="31"/>
    <tableColumn id="4" xr3:uid="{CA978F90-E3C1-4935-AC66-8F9F821B2147}" name="תחנה 3: ניקוי" dataDxfId="30"/>
    <tableColumn id="5" xr3:uid="{7A6D1D12-B68F-4405-8EED-FFC79B01BE25}" name="תחנה 4: צביעה" dataDxfId="29"/>
    <tableColumn id="6" xr3:uid="{BA39A533-A318-48C0-A02B-398131D99C33}" name="תחנה 5: הרכבה" dataDxfId="28"/>
    <tableColumn id="7" xr3:uid="{5D74619E-957F-4FF9-BE29-93ABE623749E}" name="סה&quot;כ זמן למוצר">
      <calculatedColumnFormula>SUM(K2:O2)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32C341A-DC3E-40F6-8EDC-7BF768FA64AB}" name="טבלה28" displayName="טבלה28" ref="A1:H52" totalsRowShown="0" headerRowDxfId="27">
  <autoFilter ref="A1:H52" xr:uid="{3D51996E-3107-463C-AA6C-98B4B9BFD89D}"/>
  <sortState xmlns:xlrd2="http://schemas.microsoft.com/office/spreadsheetml/2017/richdata2" ref="A2:H52">
    <sortCondition ref="E1:E52"/>
  </sortState>
  <tableColumns count="8">
    <tableColumn id="1" xr3:uid="{EF3DAC76-02AF-46FE-B005-ED74B8201FB8}" name="מס_סידורי"/>
    <tableColumn id="2" xr3:uid="{2EA5B12C-28E9-4262-909B-0BAC3A244200}" name="מוצר"/>
    <tableColumn id="3" xr3:uid="{0A23845F-BB61-46C2-8D56-E107F98E2756}" name="כמות"/>
    <tableColumn id="7" xr3:uid="{E3C028E2-626F-4138-8E1A-D215FE330036}" name="תאריך התחלה"/>
    <tableColumn id="4" xr3:uid="{6A278E15-3C22-4A97-960A-4FD36BC74C68}" name="תאריך יעד לאספקה" dataDxfId="26"/>
    <tableColumn id="5" xr3:uid="{2C2FBCBE-EB9F-4FC5-9D39-B4E89A9EB7A4}" name="צבע"/>
    <tableColumn id="8" xr3:uid="{25C234D2-E467-4A68-9C7B-82CB7F642464}" name="זמן ייצור" dataDxfId="25">
      <calculatedColumnFormula>VLOOKUP(RIGHT(B2,1), {"A",43;"B",42;"C",50;"D",45}, 2, FALSE) * C2 + 50</calculatedColumnFormula>
    </tableColumn>
    <tableColumn id="9" xr3:uid="{3A2AE8C4-1FA6-41EC-81ED-2B825A13C0F8}" name="תאריך אספקה בפועל" dataDxfId="1">
      <calculatedColumnFormula>WORKDAY.INTL(D2,INT(G2/1440),"0001100") + MOD(G2/1440,1)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BE058B6-205E-4B76-82B1-444C21633A41}" name="טבלה610" displayName="טבלה610" ref="J1:P6" totalsRowShown="0" headerRowDxfId="24" dataDxfId="23" tableBorderDxfId="22">
  <autoFilter ref="J1:P6" xr:uid="{48CBB101-ED08-4117-9B7A-024153764FF9}"/>
  <tableColumns count="7">
    <tableColumn id="1" xr3:uid="{BD3B3130-5EBE-41BF-9E1A-75F35FBDC209}" name="מוצר" dataDxfId="21"/>
    <tableColumn id="2" xr3:uid="{8525C69C-DD51-4556-A30A-973893243090}" name="תחנה 1: ניקוב" dataDxfId="20"/>
    <tableColumn id="3" xr3:uid="{BA63C8FB-D994-43B5-81C4-ED8EE096C682}" name="תחנה 2: כיפוף" dataDxfId="19"/>
    <tableColumn id="4" xr3:uid="{FE95684A-D590-46E2-B1A5-E923A507E96C}" name="תחנה 3: ניקוי" dataDxfId="18"/>
    <tableColumn id="5" xr3:uid="{D8631E57-58E9-4EE1-ADC8-CAB6DF7D168D}" name="תחנה 4: צביעה" dataDxfId="17"/>
    <tableColumn id="6" xr3:uid="{198082BD-1543-4F82-8B12-66DF9EB71904}" name="תחנה 5: הרכבה" dataDxfId="16"/>
    <tableColumn id="7" xr3:uid="{769615F4-0D00-44B4-ABA6-DAAAAB9D47EA}" name="סה&quot;כ זמן למוצר">
      <calculatedColumnFormula>SUM(K2:O2)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008EAD-7DA4-4C26-9C10-097C5178F5AA}" name="טבלה282" displayName="טבלה282" ref="A1:J52" totalsRowShown="0" headerRowDxfId="15">
  <autoFilter ref="A1:J52" xr:uid="{08008EAD-7DA4-4C26-9C10-097C5178F5AA}"/>
  <sortState xmlns:xlrd2="http://schemas.microsoft.com/office/spreadsheetml/2017/richdata2" ref="A2:J52">
    <sortCondition ref="E1:E52"/>
  </sortState>
  <tableColumns count="10">
    <tableColumn id="1" xr3:uid="{3B735449-9039-45C6-9B26-2703BF99B321}" name="מס_סידורי"/>
    <tableColumn id="2" xr3:uid="{B9BBBF10-6182-4D3A-A6F2-3B30E298D8F2}" name="מוצר"/>
    <tableColumn id="3" xr3:uid="{2BB6CB7D-DDD0-4D73-A85A-4F8173DD9E56}" name="כמות"/>
    <tableColumn id="7" xr3:uid="{7AB0FAFE-7635-4AC0-9DDF-E9E924BB207E}" name="תאריך התחלה"/>
    <tableColumn id="4" xr3:uid="{9E368F0F-7926-4594-8AAC-F8CC2CC36C48}" name="תאריך יעד לאספקה" dataDxfId="14"/>
    <tableColumn id="5" xr3:uid="{FBBD16CA-2DAF-4506-89AD-8FFD0DD93FAE}" name="צבע"/>
    <tableColumn id="8" xr3:uid="{886CB2D5-543A-4135-82CB-70D43B682E33}" name="זמן ייצור" dataDxfId="3">
      <calculatedColumnFormula xml:space="preserve"> C2 * SUM( INDEX($M$2:$Q$5, MATCH(B2, $L$2:$L$5, 0), 0) ) + 50 * $H2</calculatedColumnFormula>
    </tableColumn>
    <tableColumn id="9" xr3:uid="{C7F3C182-DE22-43DB-9FFF-6338D8F99A62}" name="BATCH" dataDxfId="4">
      <calculatedColumnFormula>IF(OR(ROW()=2, B2&lt;&gt;B1, F2&lt;&gt;F1), 1, 0)</calculatedColumnFormula>
    </tableColumn>
    <tableColumn id="12" xr3:uid="{8A467931-1D06-41EE-8F10-4D51BAD87D95}" name="זמן מצטבר" dataDxfId="2">
      <calculatedColumnFormula>G2</calculatedColumnFormula>
    </tableColumn>
    <tableColumn id="10" xr3:uid="{84ADF619-FB6C-4212-BE0C-A4B67AB1DCCB}" name="זמן הספקה" dataDxfId="0">
      <calculatedColumnFormula>WORKDAY.INTL($D$2, INT($I2/1440), 7) + MOD($I2/1440, 1)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38DEB9A-AB1C-4A26-8A37-4B46826EE29D}" name="טבלה6106" displayName="טבלה6106" ref="L1:R6" totalsRowShown="0" headerRowDxfId="13" dataDxfId="12" tableBorderDxfId="11">
  <autoFilter ref="L1:R6" xr:uid="{538DEB9A-AB1C-4A26-8A37-4B46826EE29D}"/>
  <tableColumns count="7">
    <tableColumn id="1" xr3:uid="{0BECBB0E-7A8E-4025-9F21-F05DC90DF973}" name="מוצר" dataDxfId="10"/>
    <tableColumn id="2" xr3:uid="{7BC6592A-78E0-4774-BC50-5E100928038A}" name="תחנה 1: ניקוב" dataDxfId="9"/>
    <tableColumn id="3" xr3:uid="{4B526EA7-CF5F-4ECC-B228-D08D6E828C57}" name="תחנה 2: כיפוף" dataDxfId="8"/>
    <tableColumn id="4" xr3:uid="{28DA1B82-B417-45A4-BF5A-88F48A716CE7}" name="תחנה 3: ניקוי" dataDxfId="7"/>
    <tableColumn id="5" xr3:uid="{645642BA-792E-4D15-93AC-507FAA98BC4E}" name="תחנה 4: צביעה" dataDxfId="6"/>
    <tableColumn id="6" xr3:uid="{35CF8BAD-2C1C-4DA8-B033-F0DAB5103C52}" name="תחנה 5: הרכבה" dataDxfId="5"/>
    <tableColumn id="7" xr3:uid="{1EDFCB95-3E09-400C-8F74-9079AF075A82}" name="סה&quot;כ זמן למוצר">
      <calculatedColumnFormula>SUM(M2:Q2)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0A72D-C2FE-4FE9-96CA-83881DD10505}">
  <dimension ref="A1:T52"/>
  <sheetViews>
    <sheetView rightToLeft="1" workbookViewId="0">
      <selection activeCell="I14" sqref="I14"/>
    </sheetView>
  </sheetViews>
  <sheetFormatPr defaultRowHeight="14.25" x14ac:dyDescent="0.2"/>
  <cols>
    <col min="1" max="1" width="5.125" customWidth="1"/>
    <col min="2" max="2" width="6" bestFit="1" customWidth="1"/>
    <col min="3" max="3" width="6.25" customWidth="1"/>
    <col min="4" max="4" width="11.25" customWidth="1"/>
    <col min="5" max="5" width="12.875" customWidth="1"/>
    <col min="6" max="6" width="5.625" customWidth="1"/>
    <col min="7" max="7" width="10.875" bestFit="1" customWidth="1"/>
    <col min="8" max="9" width="10.875" customWidth="1"/>
    <col min="10" max="10" width="14.375" bestFit="1" customWidth="1"/>
    <col min="11" max="11" width="9.75" bestFit="1" customWidth="1"/>
    <col min="14" max="14" width="13.125" customWidth="1"/>
    <col min="15" max="15" width="13.375" customWidth="1"/>
    <col min="16" max="16" width="14.625" bestFit="1" customWidth="1"/>
    <col min="17" max="17" width="14.625" customWidth="1"/>
  </cols>
  <sheetData>
    <row r="1" spans="1:16" ht="15.75" thickBot="1" x14ac:dyDescent="0.25">
      <c r="A1" t="s">
        <v>23</v>
      </c>
      <c r="B1" s="1" t="s">
        <v>0</v>
      </c>
      <c r="C1" s="2" t="s">
        <v>1</v>
      </c>
      <c r="D1" s="2" t="s">
        <v>28</v>
      </c>
      <c r="E1" s="2" t="s">
        <v>2</v>
      </c>
      <c r="F1" s="2" t="s">
        <v>3</v>
      </c>
      <c r="G1" s="26" t="s">
        <v>29</v>
      </c>
      <c r="H1" s="26" t="s">
        <v>31</v>
      </c>
      <c r="I1" s="23"/>
      <c r="J1" s="24" t="s">
        <v>0</v>
      </c>
      <c r="K1" s="5" t="s">
        <v>13</v>
      </c>
      <c r="L1" s="5" t="s">
        <v>12</v>
      </c>
      <c r="M1" s="5" t="s">
        <v>14</v>
      </c>
      <c r="N1" s="5" t="s">
        <v>15</v>
      </c>
      <c r="O1" s="5" t="s">
        <v>16</v>
      </c>
      <c r="P1" t="s">
        <v>30</v>
      </c>
    </row>
    <row r="2" spans="1:16" ht="15" thickBot="1" x14ac:dyDescent="0.25">
      <c r="A2">
        <v>1</v>
      </c>
      <c r="B2" t="s">
        <v>5</v>
      </c>
      <c r="C2">
        <v>23</v>
      </c>
      <c r="D2" s="18">
        <v>45850</v>
      </c>
      <c r="E2" s="18">
        <v>45879</v>
      </c>
      <c r="F2" t="s">
        <v>21</v>
      </c>
      <c r="G2">
        <f>VLOOKUP(RIGHT(B2,1), {"A",43;"B",42;"C",50;"D",45}, 2, FALSE) * C2 + 50</f>
        <v>1016</v>
      </c>
      <c r="H2" s="18">
        <f t="shared" ref="H2:H33" si="0" xml:space="preserve"> D2 + (G2 / 1440)</f>
        <v>45850.705555555556</v>
      </c>
      <c r="I2" s="18"/>
      <c r="J2" s="25" t="s">
        <v>8</v>
      </c>
      <c r="K2" s="11">
        <v>5</v>
      </c>
      <c r="L2" s="3">
        <v>8</v>
      </c>
      <c r="M2" s="3">
        <v>14</v>
      </c>
      <c r="N2" s="3">
        <v>6</v>
      </c>
      <c r="O2" s="10">
        <v>10</v>
      </c>
      <c r="P2">
        <f>SUM(K2:O2)</f>
        <v>43</v>
      </c>
    </row>
    <row r="3" spans="1:16" ht="15" thickBot="1" x14ac:dyDescent="0.25">
      <c r="A3">
        <v>2</v>
      </c>
      <c r="B3" t="s">
        <v>6</v>
      </c>
      <c r="C3">
        <v>21</v>
      </c>
      <c r="D3" s="18">
        <v>45850</v>
      </c>
      <c r="E3" s="18">
        <v>45874</v>
      </c>
      <c r="F3" t="s">
        <v>20</v>
      </c>
      <c r="G3">
        <f>VLOOKUP(RIGHT(B3,1), {"A",43;"B",42;"C",50;"D",45}, 2, FALSE) * C3 + 50</f>
        <v>1100</v>
      </c>
      <c r="H3" s="18">
        <f t="shared" si="0"/>
        <v>45850.763888888891</v>
      </c>
      <c r="I3" s="18"/>
      <c r="J3" s="25" t="s">
        <v>9</v>
      </c>
      <c r="K3" s="12">
        <v>7</v>
      </c>
      <c r="L3" s="4">
        <v>6</v>
      </c>
      <c r="M3" s="4">
        <v>11</v>
      </c>
      <c r="N3" s="4">
        <v>6</v>
      </c>
      <c r="O3" s="7">
        <v>12</v>
      </c>
      <c r="P3">
        <f>SUM(K3:O3)</f>
        <v>42</v>
      </c>
    </row>
    <row r="4" spans="1:16" ht="15" thickBot="1" x14ac:dyDescent="0.25">
      <c r="A4">
        <v>3</v>
      </c>
      <c r="B4" t="s">
        <v>5</v>
      </c>
      <c r="C4">
        <v>26</v>
      </c>
      <c r="D4" s="18">
        <v>45850</v>
      </c>
      <c r="E4" s="18">
        <v>45859</v>
      </c>
      <c r="F4" t="s">
        <v>22</v>
      </c>
      <c r="G4">
        <f>VLOOKUP(RIGHT(B4,1), {"A",43;"B",42;"C",50;"D",45}, 2, FALSE) * C4 + 50</f>
        <v>1142</v>
      </c>
      <c r="H4" s="18">
        <f t="shared" si="0"/>
        <v>45850.793055555558</v>
      </c>
      <c r="I4" s="18"/>
      <c r="J4" s="25" t="s">
        <v>10</v>
      </c>
      <c r="K4" s="12">
        <v>10</v>
      </c>
      <c r="L4" s="4">
        <v>10</v>
      </c>
      <c r="M4" s="4">
        <v>10</v>
      </c>
      <c r="N4" s="4">
        <v>6</v>
      </c>
      <c r="O4" s="7">
        <v>14</v>
      </c>
      <c r="P4">
        <f>SUM(K4:O4)</f>
        <v>50</v>
      </c>
    </row>
    <row r="5" spans="1:16" ht="15" thickBot="1" x14ac:dyDescent="0.25">
      <c r="A5">
        <v>4</v>
      </c>
      <c r="B5" t="s">
        <v>4</v>
      </c>
      <c r="C5">
        <v>32</v>
      </c>
      <c r="D5" s="18">
        <v>45850</v>
      </c>
      <c r="E5" s="18">
        <v>45876</v>
      </c>
      <c r="F5" t="s">
        <v>22</v>
      </c>
      <c r="G5">
        <f>VLOOKUP(RIGHT(B5,1), {"A",43;"B",42;"C",50;"D",45}, 2, FALSE) * C5 + 50</f>
        <v>1426</v>
      </c>
      <c r="H5" s="18">
        <f t="shared" si="0"/>
        <v>45850.990277777775</v>
      </c>
      <c r="I5" s="18"/>
      <c r="J5" s="25" t="s">
        <v>11</v>
      </c>
      <c r="K5" s="13">
        <v>6</v>
      </c>
      <c r="L5" s="8">
        <v>7</v>
      </c>
      <c r="M5" s="8">
        <v>12</v>
      </c>
      <c r="N5" s="8">
        <v>6</v>
      </c>
      <c r="O5" s="9">
        <v>14</v>
      </c>
      <c r="P5">
        <f>SUM(K5:O5)</f>
        <v>45</v>
      </c>
    </row>
    <row r="6" spans="1:16" x14ac:dyDescent="0.2">
      <c r="A6">
        <v>5</v>
      </c>
      <c r="B6" t="s">
        <v>7</v>
      </c>
      <c r="C6">
        <v>23</v>
      </c>
      <c r="D6" s="18">
        <v>45850</v>
      </c>
      <c r="E6" s="18">
        <v>45859</v>
      </c>
      <c r="F6" t="s">
        <v>19</v>
      </c>
      <c r="G6">
        <f>VLOOKUP(RIGHT(B6,1), {"A",43;"B",42;"C",50;"D",45}, 2, FALSE) * C6 + 50</f>
        <v>1085</v>
      </c>
      <c r="H6" s="18">
        <f t="shared" si="0"/>
        <v>45850.753472222219</v>
      </c>
      <c r="I6" s="18"/>
      <c r="J6" s="30"/>
      <c r="K6" s="19"/>
      <c r="L6" s="31"/>
      <c r="M6" s="31"/>
      <c r="N6" s="31"/>
      <c r="O6" s="32"/>
      <c r="P6" s="27">
        <f>SUM(K6:O6)</f>
        <v>0</v>
      </c>
    </row>
    <row r="7" spans="1:16" x14ac:dyDescent="0.2">
      <c r="A7">
        <v>6</v>
      </c>
      <c r="B7" t="s">
        <v>7</v>
      </c>
      <c r="C7">
        <v>29</v>
      </c>
      <c r="D7" s="18">
        <v>45850</v>
      </c>
      <c r="E7" s="18">
        <v>45859</v>
      </c>
      <c r="F7" t="s">
        <v>21</v>
      </c>
      <c r="G7">
        <f>VLOOKUP(RIGHT(B7,1), {"A",43;"B",42;"C",50;"D",45}, 2, FALSE) * C7 + 50</f>
        <v>1355</v>
      </c>
      <c r="H7" s="18">
        <f t="shared" si="0"/>
        <v>45850.940972222219</v>
      </c>
      <c r="I7" s="18"/>
      <c r="J7" t="s">
        <v>33</v>
      </c>
      <c r="K7" cm="1">
        <f t="array" ref="K7">SUMPRODUCT((RIGHT($B$2:$B$53,1)="A")*($K$2*$C$2:$C$53+10)) / COUNTIF($B$2:$B$53,"*A")</f>
        <v>403.07692307692309</v>
      </c>
      <c r="L7" cm="1">
        <f t="array" ref="L7">SUMPRODUCT((RIGHT($B$2:$B$53,1)="A")*($L$2*$C$2:$C$53+10)) / COUNTIF($B$2:$B$53,"*A")</f>
        <v>638.92307692307691</v>
      </c>
      <c r="M7" cm="1">
        <f t="array" ref="M7">SUMPRODUCT((RIGHT($B$2:$B$53,1)="A")*($M$2*$C$2:$C$53+10)) / COUNTIF($B$2:$B$53,"*A")</f>
        <v>1110.6153846153845</v>
      </c>
      <c r="N7" cm="1">
        <f t="array" ref="N7">SUMPRODUCT((RIGHT($B$2:$B$53,1)="A")*($N$2*$C$2:$C$53+10)) / COUNTIF($B$2:$B$53,"*A")</f>
        <v>481.69230769230768</v>
      </c>
      <c r="O7" cm="1">
        <f t="array" ref="O7">SUMPRODUCT((RIGHT($B$2:$B$53,1)="A")*($O$2*$C$2:$C$53+10)) / COUNTIF($B$2:$B$53,"*A")</f>
        <v>796.15384615384619</v>
      </c>
    </row>
    <row r="8" spans="1:16" x14ac:dyDescent="0.2">
      <c r="A8">
        <v>7</v>
      </c>
      <c r="B8" t="s">
        <v>5</v>
      </c>
      <c r="C8">
        <v>34</v>
      </c>
      <c r="D8" s="18">
        <v>45850</v>
      </c>
      <c r="E8" s="18">
        <v>45861</v>
      </c>
      <c r="F8" t="s">
        <v>21</v>
      </c>
      <c r="G8">
        <f>VLOOKUP(RIGHT(B8,1), {"A",43;"B",42;"C",50;"D",45}, 2, FALSE) * C8 + 50</f>
        <v>1478</v>
      </c>
      <c r="H8" s="18">
        <f t="shared" si="0"/>
        <v>45851.026388888888</v>
      </c>
      <c r="I8" s="18"/>
      <c r="J8" s="27"/>
      <c r="K8" cm="1">
        <f t="array" ref="K8">SUMPRODUCT((RIGHT($B$2:$B$53,1)="B")*($K$3*$C$2:$C$53+10)) / COUNTIF($B$2:$B$53,"*B")</f>
        <v>511.84615384615387</v>
      </c>
      <c r="L8" cm="1">
        <f t="array" ref="L8">SUMPRODUCT((RIGHT($B$2:$B$53,1)="B")*($L$3*$C$2:$C$53+10)) / COUNTIF($B$2:$B$53,"*B")</f>
        <v>440.15384615384613</v>
      </c>
      <c r="M8" cm="1">
        <f t="array" ref="M8">SUMPRODUCT((RIGHT($B$2:$B$53,1)="B")*($M$3*$C$2:$C$53+10)) / COUNTIF($B$2:$B$53,"*B")</f>
        <v>798.61538461538464</v>
      </c>
      <c r="N8" cm="1">
        <f t="array" ref="N8">SUMPRODUCT((RIGHT($B$2:$B$53,1)="B")*($N$3*$C$2:$C$53+10)) / COUNTIF($B$2:$B$53,"*B")</f>
        <v>440.15384615384613</v>
      </c>
      <c r="O8" cm="1">
        <f t="array" ref="O8">SUMPRODUCT((RIGHT($B$2:$B$53,1)="B")*($O$3*$C$2:$C$53+10)) / COUNTIF($B$2:$B$53,"*B")</f>
        <v>870.30769230769226</v>
      </c>
    </row>
    <row r="9" spans="1:16" x14ac:dyDescent="0.2">
      <c r="A9">
        <v>8</v>
      </c>
      <c r="B9" t="s">
        <v>6</v>
      </c>
      <c r="C9">
        <v>30</v>
      </c>
      <c r="D9" s="18">
        <v>45850</v>
      </c>
      <c r="E9" s="18">
        <v>45851</v>
      </c>
      <c r="F9" t="s">
        <v>21</v>
      </c>
      <c r="G9">
        <f>VLOOKUP(RIGHT(B9,1), {"A",43;"B",42;"C",50;"D",45}, 2, FALSE) * C9 + 50</f>
        <v>1550</v>
      </c>
      <c r="H9" s="18">
        <f t="shared" si="0"/>
        <v>45851.076388888891</v>
      </c>
      <c r="I9" s="18"/>
      <c r="K9" cm="1">
        <f t="array" ref="K9">SUMPRODUCT((RIGHT($B$2:$B$53,1)="C")*($K$4*$C$2:$C$53+10)) / COUNTIF($B$2:$B$53,"*C")</f>
        <v>886.15384615384619</v>
      </c>
      <c r="L9" cm="1">
        <f t="array" ref="L9">SUMPRODUCT((RIGHT($B$2:$B$53,1)="C")*($L$4*$C$2:$C$53+10)) / COUNTIF($B$2:$B$53,"*C")</f>
        <v>886.15384615384619</v>
      </c>
      <c r="M9" cm="1">
        <f t="array" ref="M9">SUMPRODUCT((RIGHT($B$2:$B$53,1)="C")*($M$4*$C$2:$C$53+10)) / COUNTIF($B$2:$B$53,"*C")</f>
        <v>886.15384615384619</v>
      </c>
      <c r="N9" cm="1">
        <f t="array" ref="N9">SUMPRODUCT((RIGHT($B$2:$B$53,1)="C")*($N$4*$C$2:$C$53+10)) / COUNTIF($B$2:$B$53,"*C")</f>
        <v>535.69230769230774</v>
      </c>
      <c r="O9" cm="1">
        <f t="array" ref="O9">SUMPRODUCT((RIGHT($B$2:$B$53,1)="C")*($O$4*$C$2:$C$53+10)) / COUNTIF($B$2:$B$53,"*C")</f>
        <v>1236.6153846153845</v>
      </c>
    </row>
    <row r="10" spans="1:16" x14ac:dyDescent="0.2">
      <c r="A10">
        <v>9</v>
      </c>
      <c r="B10" t="s">
        <v>4</v>
      </c>
      <c r="C10">
        <v>43</v>
      </c>
      <c r="D10" s="18">
        <v>45850</v>
      </c>
      <c r="E10" s="18">
        <v>45861</v>
      </c>
      <c r="F10" t="s">
        <v>21</v>
      </c>
      <c r="G10">
        <f>VLOOKUP(RIGHT(B10,1), {"A",43;"B",42;"C",50;"D",45}, 2, FALSE) * C10 + 50</f>
        <v>1899</v>
      </c>
      <c r="H10" s="18">
        <f t="shared" si="0"/>
        <v>45851.318749999999</v>
      </c>
      <c r="I10" s="18"/>
      <c r="K10" cm="1">
        <f t="array" ref="K10">SUMPRODUCT((RIGHT($B$2:$B$53,1)="D")*($K$5*$C$2:$C$53+10)) / COUNTIF($B$2:$B$53,"*D")</f>
        <v>449.5</v>
      </c>
      <c r="L10" cm="1">
        <f t="array" ref="L10">SUMPRODUCT((RIGHT($B$2:$B$53,1)="D")*($L$5*$C$2:$C$53+10)) / COUNTIF($B$2:$B$53,"*D")</f>
        <v>522.75</v>
      </c>
      <c r="M10" cm="1">
        <f t="array" ref="M10">SUMPRODUCT((RIGHT($B$2:$B$53,1)="D")*($M$5*$C$2:$C$53+10)) / COUNTIF($B$2:$B$53,"*D")</f>
        <v>889</v>
      </c>
      <c r="N10" cm="1">
        <f t="array" ref="N10">SUMPRODUCT((RIGHT($B$2:$B$53,1)="D")*($N$5*$C$2:$C$53+10)) / COUNTIF($B$2:$B$53,"*D")</f>
        <v>449.5</v>
      </c>
      <c r="O10" cm="1">
        <f t="array" ref="O10">SUMPRODUCT((RIGHT($B$2:$B$53,1)="D")*($O$5*$C$2:$C$53+10)) / COUNTIF($B$2:$B$53,"*D")</f>
        <v>1035.5</v>
      </c>
    </row>
    <row r="11" spans="1:16" x14ac:dyDescent="0.2">
      <c r="A11">
        <v>10</v>
      </c>
      <c r="B11" t="s">
        <v>6</v>
      </c>
      <c r="C11">
        <v>31</v>
      </c>
      <c r="D11" s="18">
        <v>45850</v>
      </c>
      <c r="E11" s="18">
        <v>45851</v>
      </c>
      <c r="F11" t="s">
        <v>19</v>
      </c>
      <c r="G11">
        <f>VLOOKUP(RIGHT(B11,1), {"A",43;"B",42;"C",50;"D",45}, 2, FALSE) * C11 + 50</f>
        <v>1600</v>
      </c>
      <c r="H11" s="18">
        <f t="shared" si="0"/>
        <v>45851.111111111109</v>
      </c>
      <c r="I11" s="18"/>
    </row>
    <row r="12" spans="1:16" x14ac:dyDescent="0.2">
      <c r="A12">
        <v>11</v>
      </c>
      <c r="B12" t="s">
        <v>4</v>
      </c>
      <c r="C12">
        <v>44</v>
      </c>
      <c r="D12" s="18">
        <v>45850</v>
      </c>
      <c r="E12" s="18">
        <v>45867</v>
      </c>
      <c r="F12" t="s">
        <v>22</v>
      </c>
      <c r="G12">
        <f>VLOOKUP(RIGHT(B12,1), {"A",43;"B",42;"C",50;"D",45}, 2, FALSE) * C12 + 50</f>
        <v>1942</v>
      </c>
      <c r="H12" s="18">
        <f t="shared" si="0"/>
        <v>45851.348611111112</v>
      </c>
      <c r="I12" s="18"/>
      <c r="K12" s="20">
        <f>AVERAGE(K7:K10)</f>
        <v>562.64423076923072</v>
      </c>
      <c r="L12" s="20">
        <f>AVERAGE(L7:L10)</f>
        <v>621.99519230769238</v>
      </c>
      <c r="M12" s="20">
        <f>AVERAGE(M7:M10)</f>
        <v>921.09615384615381</v>
      </c>
      <c r="N12" s="20">
        <f t="shared" ref="N12:O12" si="1">AVERAGE(N7:N10)</f>
        <v>476.75961538461536</v>
      </c>
      <c r="O12" s="20">
        <f t="shared" si="1"/>
        <v>984.64423076923072</v>
      </c>
    </row>
    <row r="13" spans="1:16" x14ac:dyDescent="0.2">
      <c r="A13">
        <v>12</v>
      </c>
      <c r="B13" t="s">
        <v>4</v>
      </c>
      <c r="C13">
        <v>46</v>
      </c>
      <c r="D13" s="18">
        <v>45850</v>
      </c>
      <c r="E13" s="18">
        <v>45853</v>
      </c>
      <c r="F13" t="s">
        <v>22</v>
      </c>
      <c r="G13">
        <f>VLOOKUP(RIGHT(B13,1), {"A",43;"B",42;"C",50;"D",45}, 2, FALSE) * C13 + 50</f>
        <v>2028</v>
      </c>
      <c r="H13" s="18">
        <f t="shared" si="0"/>
        <v>45851.408333333333</v>
      </c>
      <c r="I13" s="18"/>
    </row>
    <row r="14" spans="1:16" x14ac:dyDescent="0.2">
      <c r="A14">
        <v>13</v>
      </c>
      <c r="B14" t="s">
        <v>6</v>
      </c>
      <c r="C14">
        <v>33</v>
      </c>
      <c r="D14" s="18">
        <v>45850</v>
      </c>
      <c r="E14" s="18">
        <v>45868</v>
      </c>
      <c r="F14" t="s">
        <v>20</v>
      </c>
      <c r="G14">
        <f>VLOOKUP(RIGHT(B14,1), {"A",43;"B",42;"C",50;"D",45}, 2, FALSE) * C14 + 50</f>
        <v>1700</v>
      </c>
      <c r="H14" s="18">
        <f t="shared" si="0"/>
        <v>45851.180555555555</v>
      </c>
      <c r="I14" s="18"/>
      <c r="J14" s="22" t="s">
        <v>34</v>
      </c>
      <c r="K14" s="22" t="s">
        <v>35</v>
      </c>
    </row>
    <row r="15" spans="1:16" x14ac:dyDescent="0.2">
      <c r="A15">
        <v>14</v>
      </c>
      <c r="B15" t="s">
        <v>7</v>
      </c>
      <c r="C15">
        <v>35</v>
      </c>
      <c r="D15" s="18">
        <v>45850</v>
      </c>
      <c r="E15" s="18">
        <v>45851</v>
      </c>
      <c r="F15" t="s">
        <v>21</v>
      </c>
      <c r="G15">
        <f>VLOOKUP(RIGHT(B15,1), {"A",43;"B",42;"C",50;"D",45}, 2, FALSE) * C15 + 50</f>
        <v>1625</v>
      </c>
      <c r="H15" s="18">
        <f t="shared" si="0"/>
        <v>45851.128472222219</v>
      </c>
      <c r="I15" s="18"/>
      <c r="J15" s="33">
        <f>MAX(K12:O12)</f>
        <v>984.64423076923072</v>
      </c>
      <c r="K15" s="22">
        <v>5</v>
      </c>
    </row>
    <row r="16" spans="1:16" x14ac:dyDescent="0.2">
      <c r="A16">
        <v>15</v>
      </c>
      <c r="B16" t="s">
        <v>4</v>
      </c>
      <c r="C16">
        <v>54</v>
      </c>
      <c r="D16" s="18">
        <v>45850</v>
      </c>
      <c r="E16" s="18">
        <v>45875</v>
      </c>
      <c r="F16" t="s">
        <v>20</v>
      </c>
      <c r="G16">
        <f>VLOOKUP(RIGHT(B16,1), {"A",43;"B",42;"C",50;"D",45}, 2, FALSE) * C16 + 50</f>
        <v>2372</v>
      </c>
      <c r="H16" s="18">
        <f t="shared" si="0"/>
        <v>45851.647222222222</v>
      </c>
      <c r="I16" s="18"/>
    </row>
    <row r="17" spans="1:20" x14ac:dyDescent="0.2">
      <c r="A17">
        <v>16</v>
      </c>
      <c r="B17" t="s">
        <v>7</v>
      </c>
      <c r="C17">
        <v>39</v>
      </c>
      <c r="D17" s="18">
        <v>45850</v>
      </c>
      <c r="E17" s="18">
        <v>45851</v>
      </c>
      <c r="F17" t="s">
        <v>20</v>
      </c>
      <c r="G17">
        <f>VLOOKUP(RIGHT(B17,1), {"A",43;"B",42;"C",50;"D",45}, 2, FALSE) * C17 + 50</f>
        <v>1805</v>
      </c>
      <c r="H17" s="18">
        <f t="shared" si="0"/>
        <v>45851.253472222219</v>
      </c>
      <c r="I17" s="18"/>
      <c r="J17" s="22" t="s">
        <v>27</v>
      </c>
    </row>
    <row r="18" spans="1:20" x14ac:dyDescent="0.2">
      <c r="A18">
        <v>17</v>
      </c>
      <c r="B18" t="s">
        <v>7</v>
      </c>
      <c r="C18">
        <v>39</v>
      </c>
      <c r="D18" s="18">
        <v>45850</v>
      </c>
      <c r="E18" s="18">
        <v>45851</v>
      </c>
      <c r="F18" t="s">
        <v>20</v>
      </c>
      <c r="G18">
        <f>VLOOKUP(RIGHT(B18,1), {"A",43;"B",42;"C",50;"D",45}, 2, FALSE) * C18 + 50</f>
        <v>1805</v>
      </c>
      <c r="H18" s="18">
        <f t="shared" si="0"/>
        <v>45851.253472222219</v>
      </c>
      <c r="I18" s="18"/>
      <c r="J18" s="34" cm="1">
        <f t="array" ref="J18">SUMPRODUCT((H2:H53&lt;=E2:E53)*1) / COUNTA(H2:H53)</f>
        <v>0.68627450980392157</v>
      </c>
    </row>
    <row r="19" spans="1:20" x14ac:dyDescent="0.2">
      <c r="A19">
        <v>18</v>
      </c>
      <c r="B19" t="s">
        <v>5</v>
      </c>
      <c r="C19">
        <v>46</v>
      </c>
      <c r="D19" s="18">
        <v>45850</v>
      </c>
      <c r="E19" s="18">
        <v>45872</v>
      </c>
      <c r="F19" t="s">
        <v>20</v>
      </c>
      <c r="G19">
        <f>VLOOKUP(RIGHT(B19,1), {"A",43;"B",42;"C",50;"D",45}, 2, FALSE) * C19 + 50</f>
        <v>1982</v>
      </c>
      <c r="H19" s="18">
        <f t="shared" si="0"/>
        <v>45851.376388888886</v>
      </c>
      <c r="I19" s="18"/>
      <c r="J19" s="28"/>
      <c r="K19" s="29"/>
    </row>
    <row r="20" spans="1:20" x14ac:dyDescent="0.2">
      <c r="A20">
        <v>19</v>
      </c>
      <c r="B20" t="s">
        <v>5</v>
      </c>
      <c r="C20">
        <v>50</v>
      </c>
      <c r="D20" s="18">
        <v>45850</v>
      </c>
      <c r="E20" s="18">
        <v>45851</v>
      </c>
      <c r="F20" t="s">
        <v>20</v>
      </c>
      <c r="G20">
        <f>VLOOKUP(RIGHT(B20,1), {"A",43;"B",42;"C",50;"D",45}, 2, FALSE) * C20 + 50</f>
        <v>2150</v>
      </c>
      <c r="H20" s="18">
        <f t="shared" si="0"/>
        <v>45851.493055555555</v>
      </c>
      <c r="I20" s="18"/>
      <c r="J20" s="27"/>
      <c r="K20" s="21" t="s">
        <v>0</v>
      </c>
      <c r="L20" s="21" t="s">
        <v>25</v>
      </c>
      <c r="M20" s="21" t="s">
        <v>32</v>
      </c>
    </row>
    <row r="21" spans="1:20" x14ac:dyDescent="0.2">
      <c r="A21">
        <v>20</v>
      </c>
      <c r="B21" t="s">
        <v>4</v>
      </c>
      <c r="C21">
        <v>60</v>
      </c>
      <c r="D21" s="18">
        <v>45850</v>
      </c>
      <c r="E21" s="18">
        <v>45860</v>
      </c>
      <c r="F21" t="s">
        <v>19</v>
      </c>
      <c r="G21">
        <f>VLOOKUP(RIGHT(B21,1), {"A",43;"B",42;"C",50;"D",45}, 2, FALSE) * C21 + 50</f>
        <v>2630</v>
      </c>
      <c r="H21" s="18">
        <f t="shared" si="0"/>
        <v>45851.826388888891</v>
      </c>
      <c r="I21" s="18"/>
      <c r="J21" s="27"/>
      <c r="K21" t="s">
        <v>4</v>
      </c>
      <c r="L21">
        <f>SUMIF(B:B,"מוצר A",C:C)</f>
        <v>1022</v>
      </c>
    </row>
    <row r="22" spans="1:20" x14ac:dyDescent="0.2">
      <c r="A22">
        <v>21</v>
      </c>
      <c r="B22" t="s">
        <v>4</v>
      </c>
      <c r="C22">
        <v>61</v>
      </c>
      <c r="D22" s="18">
        <v>45850</v>
      </c>
      <c r="E22" s="18">
        <v>45872</v>
      </c>
      <c r="F22" t="s">
        <v>21</v>
      </c>
      <c r="G22">
        <f>VLOOKUP(RIGHT(B22,1), {"A",43;"B",42;"C",50;"D",45}, 2, FALSE) * C22 + 50</f>
        <v>2673</v>
      </c>
      <c r="H22" s="18">
        <f t="shared" si="0"/>
        <v>45851.856249999997</v>
      </c>
      <c r="I22" s="18"/>
      <c r="K22" t="s">
        <v>5</v>
      </c>
      <c r="L22">
        <f>SUMIF(B:B,"מוצר B",C:C)</f>
        <v>932</v>
      </c>
    </row>
    <row r="23" spans="1:20" x14ac:dyDescent="0.2">
      <c r="A23">
        <v>22</v>
      </c>
      <c r="B23" t="s">
        <v>6</v>
      </c>
      <c r="C23">
        <v>48</v>
      </c>
      <c r="D23" s="18">
        <v>45850</v>
      </c>
      <c r="E23" s="18">
        <v>45880</v>
      </c>
      <c r="F23" t="s">
        <v>22</v>
      </c>
      <c r="G23">
        <f>VLOOKUP(RIGHT(B23,1), {"A",43;"B",42;"C",50;"D",45}, 2, FALSE) * C23 + 50</f>
        <v>2450</v>
      </c>
      <c r="H23" s="18">
        <f t="shared" si="0"/>
        <v>45851.701388888891</v>
      </c>
      <c r="I23" s="18"/>
      <c r="K23" t="s">
        <v>6</v>
      </c>
      <c r="L23">
        <f>SUMIF(B:B,"מוצר C",C:C)</f>
        <v>1139</v>
      </c>
    </row>
    <row r="24" spans="1:20" x14ac:dyDescent="0.2">
      <c r="A24">
        <v>23</v>
      </c>
      <c r="B24" t="s">
        <v>7</v>
      </c>
      <c r="C24">
        <v>55</v>
      </c>
      <c r="D24" s="18">
        <v>45850</v>
      </c>
      <c r="E24" s="18">
        <v>45875</v>
      </c>
      <c r="F24" t="s">
        <v>20</v>
      </c>
      <c r="G24">
        <f>VLOOKUP(RIGHT(B24,1), {"A",43;"B",42;"C",50;"D",45}, 2, FALSE) * C24 + 50</f>
        <v>2525</v>
      </c>
      <c r="H24" s="18">
        <f t="shared" si="0"/>
        <v>45851.753472222219</v>
      </c>
      <c r="I24" s="18"/>
      <c r="K24" t="s">
        <v>7</v>
      </c>
      <c r="L24">
        <f>SUMIF(B:B,"מוצר D",C:C)</f>
        <v>879</v>
      </c>
    </row>
    <row r="25" spans="1:20" ht="15" thickBot="1" x14ac:dyDescent="0.25">
      <c r="A25">
        <v>24</v>
      </c>
      <c r="B25" t="s">
        <v>5</v>
      </c>
      <c r="C25">
        <v>66</v>
      </c>
      <c r="D25" s="18">
        <v>45850</v>
      </c>
      <c r="E25" s="18">
        <v>45876</v>
      </c>
      <c r="F25" t="s">
        <v>19</v>
      </c>
      <c r="G25">
        <f>VLOOKUP(RIGHT(B25,1), {"A",43;"B",42;"C",50;"D",45}, 2, FALSE) * C25 + 50</f>
        <v>2822</v>
      </c>
      <c r="H25" s="18">
        <f t="shared" si="0"/>
        <v>45851.959722222222</v>
      </c>
      <c r="I25" s="18"/>
    </row>
    <row r="26" spans="1:20" x14ac:dyDescent="0.2">
      <c r="A26">
        <v>25</v>
      </c>
      <c r="B26" t="s">
        <v>5</v>
      </c>
      <c r="C26">
        <v>75</v>
      </c>
      <c r="D26" s="18">
        <v>45850</v>
      </c>
      <c r="E26" s="18">
        <v>45852</v>
      </c>
      <c r="F26" t="s">
        <v>21</v>
      </c>
      <c r="G26">
        <f>VLOOKUP(RIGHT(B26,1), {"A",43;"B",42;"C",50;"D",45}, 2, FALSE) * C26 + 50</f>
        <v>3200</v>
      </c>
      <c r="H26" s="18">
        <f t="shared" si="0"/>
        <v>45852.222222222219</v>
      </c>
      <c r="I26" s="18"/>
      <c r="K26" t="s">
        <v>24</v>
      </c>
      <c r="L26">
        <f>SUM(L21:L25)</f>
        <v>3972</v>
      </c>
      <c r="S26" s="14">
        <v>10</v>
      </c>
      <c r="T26" s="15" t="s">
        <v>17</v>
      </c>
    </row>
    <row r="27" spans="1:20" x14ac:dyDescent="0.2">
      <c r="A27">
        <v>26</v>
      </c>
      <c r="B27" t="s">
        <v>4</v>
      </c>
      <c r="C27">
        <v>95</v>
      </c>
      <c r="D27" s="18">
        <v>45850</v>
      </c>
      <c r="E27" s="18">
        <v>45881</v>
      </c>
      <c r="F27" t="s">
        <v>20</v>
      </c>
      <c r="G27">
        <f>VLOOKUP(RIGHT(B27,1), {"A",43;"B",42;"C",50;"D",45}, 2, FALSE) * C27 + 50</f>
        <v>4135</v>
      </c>
      <c r="H27" s="18">
        <f t="shared" si="0"/>
        <v>45852.871527777781</v>
      </c>
      <c r="I27" s="18"/>
      <c r="S27" s="16">
        <f>5*24</f>
        <v>120</v>
      </c>
      <c r="T27" s="7" t="s">
        <v>18</v>
      </c>
    </row>
    <row r="28" spans="1:20" x14ac:dyDescent="0.2">
      <c r="A28">
        <v>27</v>
      </c>
      <c r="B28" t="s">
        <v>5</v>
      </c>
      <c r="C28">
        <v>84</v>
      </c>
      <c r="D28" s="18">
        <v>45850</v>
      </c>
      <c r="E28" s="18">
        <v>45883</v>
      </c>
      <c r="F28" t="s">
        <v>21</v>
      </c>
      <c r="G28">
        <f>VLOOKUP(RIGHT(B28,1), {"A",43;"B",42;"C",50;"D",45}, 2, FALSE) * C28 + 50</f>
        <v>3578</v>
      </c>
      <c r="H28" s="18">
        <f t="shared" si="0"/>
        <v>45852.484722222223</v>
      </c>
      <c r="I28" s="18"/>
      <c r="S28" s="16">
        <v>7200</v>
      </c>
      <c r="T28" s="7" t="s">
        <v>26</v>
      </c>
    </row>
    <row r="29" spans="1:20" ht="15" thickBot="1" x14ac:dyDescent="0.25">
      <c r="A29">
        <v>28</v>
      </c>
      <c r="B29" t="s">
        <v>5</v>
      </c>
      <c r="C29">
        <v>87</v>
      </c>
      <c r="D29" s="18">
        <v>45850</v>
      </c>
      <c r="E29" s="18">
        <v>45851</v>
      </c>
      <c r="F29" t="s">
        <v>20</v>
      </c>
      <c r="G29">
        <f>VLOOKUP(RIGHT(B29,1), {"A",43;"B",42;"C",50;"D",45}, 2, FALSE) * C29 + 50</f>
        <v>3704</v>
      </c>
      <c r="H29" s="18">
        <f t="shared" si="0"/>
        <v>45852.572222222225</v>
      </c>
      <c r="I29" s="18"/>
      <c r="S29" s="17"/>
      <c r="T29" s="9"/>
    </row>
    <row r="30" spans="1:20" x14ac:dyDescent="0.2">
      <c r="A30">
        <v>29</v>
      </c>
      <c r="B30" t="s">
        <v>4</v>
      </c>
      <c r="C30">
        <v>113</v>
      </c>
      <c r="D30" s="18">
        <v>45850</v>
      </c>
      <c r="E30" s="18">
        <v>45851</v>
      </c>
      <c r="F30" t="s">
        <v>20</v>
      </c>
      <c r="G30">
        <f>VLOOKUP(RIGHT(B30,1), {"A",43;"B",42;"C",50;"D",45}, 2, FALSE) * C30 + 50</f>
        <v>4909</v>
      </c>
      <c r="H30" s="18">
        <f t="shared" si="0"/>
        <v>45853.40902777778</v>
      </c>
      <c r="I30" s="18"/>
    </row>
    <row r="31" spans="1:20" x14ac:dyDescent="0.2">
      <c r="A31">
        <v>30</v>
      </c>
      <c r="B31" t="s">
        <v>5</v>
      </c>
      <c r="C31">
        <v>96</v>
      </c>
      <c r="D31" s="18">
        <v>45850</v>
      </c>
      <c r="E31" s="18">
        <v>45865</v>
      </c>
      <c r="F31" t="s">
        <v>20</v>
      </c>
      <c r="G31">
        <f>VLOOKUP(RIGHT(B31,1), {"A",43;"B",42;"C",50;"D",45}, 2, FALSE) * C31 + 50</f>
        <v>4082</v>
      </c>
      <c r="H31" s="18">
        <f t="shared" si="0"/>
        <v>45852.834722222222</v>
      </c>
      <c r="I31" s="18"/>
    </row>
    <row r="32" spans="1:20" x14ac:dyDescent="0.2">
      <c r="A32">
        <v>31</v>
      </c>
      <c r="B32" t="s">
        <v>4</v>
      </c>
      <c r="C32">
        <v>117</v>
      </c>
      <c r="D32" s="18">
        <v>45850</v>
      </c>
      <c r="E32" s="18">
        <v>45879</v>
      </c>
      <c r="F32" t="s">
        <v>19</v>
      </c>
      <c r="G32">
        <f>VLOOKUP(RIGHT(B32,1), {"A",43;"B",42;"C",50;"D",45}, 2, FALSE) * C32 + 50</f>
        <v>5081</v>
      </c>
      <c r="H32" s="18">
        <f t="shared" si="0"/>
        <v>45853.52847222222</v>
      </c>
      <c r="I32" s="18"/>
    </row>
    <row r="33" spans="1:9" x14ac:dyDescent="0.2">
      <c r="A33">
        <v>32</v>
      </c>
      <c r="B33" t="s">
        <v>4</v>
      </c>
      <c r="C33">
        <v>118</v>
      </c>
      <c r="D33" s="18">
        <v>45850</v>
      </c>
      <c r="E33" s="18">
        <v>45859</v>
      </c>
      <c r="F33" t="s">
        <v>22</v>
      </c>
      <c r="G33">
        <f>VLOOKUP(RIGHT(B33,1), {"A",43;"B",42;"C",50;"D",45}, 2, FALSE) * C33 + 50</f>
        <v>5124</v>
      </c>
      <c r="H33" s="18">
        <f t="shared" si="0"/>
        <v>45853.558333333334</v>
      </c>
      <c r="I33" s="18"/>
    </row>
    <row r="34" spans="1:9" x14ac:dyDescent="0.2">
      <c r="A34">
        <v>33</v>
      </c>
      <c r="B34" t="s">
        <v>4</v>
      </c>
      <c r="C34">
        <v>118</v>
      </c>
      <c r="D34" s="18">
        <v>45850</v>
      </c>
      <c r="E34" s="18">
        <v>45851</v>
      </c>
      <c r="F34" t="s">
        <v>19</v>
      </c>
      <c r="G34">
        <f>VLOOKUP(RIGHT(B34,1), {"A",43;"B",42;"C",50;"D",45}, 2, FALSE) * C34 + 50</f>
        <v>5124</v>
      </c>
      <c r="H34" s="18">
        <f t="shared" ref="H34:H52" si="2" xml:space="preserve"> D34 + (G34 / 1440)</f>
        <v>45853.558333333334</v>
      </c>
      <c r="I34" s="18"/>
    </row>
    <row r="35" spans="1:9" x14ac:dyDescent="0.2">
      <c r="A35">
        <v>34</v>
      </c>
      <c r="B35" t="s">
        <v>5</v>
      </c>
      <c r="C35">
        <v>99</v>
      </c>
      <c r="D35" s="18">
        <v>45850</v>
      </c>
      <c r="E35" s="18">
        <v>45866</v>
      </c>
      <c r="F35" t="s">
        <v>21</v>
      </c>
      <c r="G35">
        <f>VLOOKUP(RIGHT(B35,1), {"A",43;"B",42;"C",50;"D",45}, 2, FALSE) * C35 + 50</f>
        <v>4208</v>
      </c>
      <c r="H35" s="18">
        <f t="shared" si="2"/>
        <v>45852.922222222223</v>
      </c>
      <c r="I35" s="18"/>
    </row>
    <row r="36" spans="1:9" x14ac:dyDescent="0.2">
      <c r="A36">
        <v>35</v>
      </c>
      <c r="B36" t="s">
        <v>4</v>
      </c>
      <c r="C36">
        <v>121</v>
      </c>
      <c r="D36" s="18">
        <v>45850</v>
      </c>
      <c r="E36" s="18">
        <v>45866</v>
      </c>
      <c r="F36" t="s">
        <v>22</v>
      </c>
      <c r="G36">
        <f>VLOOKUP(RIGHT(B36,1), {"A",43;"B",42;"C",50;"D",45}, 2, FALSE) * C36 + 50</f>
        <v>5253</v>
      </c>
      <c r="H36" s="18">
        <f t="shared" si="2"/>
        <v>45853.647916666669</v>
      </c>
      <c r="I36" s="18"/>
    </row>
    <row r="37" spans="1:9" x14ac:dyDescent="0.2">
      <c r="A37">
        <v>36</v>
      </c>
      <c r="B37" t="s">
        <v>7</v>
      </c>
      <c r="C37">
        <v>88</v>
      </c>
      <c r="D37" s="18">
        <v>45850</v>
      </c>
      <c r="E37" s="18">
        <v>45858</v>
      </c>
      <c r="F37" t="s">
        <v>19</v>
      </c>
      <c r="G37">
        <f>VLOOKUP(RIGHT(B37,1), {"A",43;"B",42;"C",50;"D",45}, 2, FALSE) * C37 + 50</f>
        <v>4010</v>
      </c>
      <c r="H37" s="18">
        <f t="shared" si="2"/>
        <v>45852.784722222219</v>
      </c>
      <c r="I37" s="18"/>
    </row>
    <row r="38" spans="1:9" x14ac:dyDescent="0.2">
      <c r="A38">
        <v>37</v>
      </c>
      <c r="B38" t="s">
        <v>7</v>
      </c>
      <c r="C38">
        <v>90</v>
      </c>
      <c r="D38" s="18">
        <v>45850</v>
      </c>
      <c r="E38" s="18">
        <v>45867</v>
      </c>
      <c r="F38" t="s">
        <v>20</v>
      </c>
      <c r="G38">
        <f>VLOOKUP(RIGHT(B38,1), {"A",43;"B",42;"C",50;"D",45}, 2, FALSE) * C38 + 50</f>
        <v>4100</v>
      </c>
      <c r="H38" s="18">
        <f t="shared" si="2"/>
        <v>45852.847222222219</v>
      </c>
      <c r="I38" s="18"/>
    </row>
    <row r="39" spans="1:9" x14ac:dyDescent="0.2">
      <c r="A39">
        <v>38</v>
      </c>
      <c r="B39" t="s">
        <v>7</v>
      </c>
      <c r="C39">
        <v>90</v>
      </c>
      <c r="D39" s="18">
        <v>45850</v>
      </c>
      <c r="E39" s="18">
        <v>45851</v>
      </c>
      <c r="F39" t="s">
        <v>19</v>
      </c>
      <c r="G39">
        <f>VLOOKUP(RIGHT(B39,1), {"A",43;"B",42;"C",50;"D",45}, 2, FALSE) * C39 + 50</f>
        <v>4100</v>
      </c>
      <c r="H39" s="18">
        <f t="shared" si="2"/>
        <v>45852.847222222219</v>
      </c>
      <c r="I39" s="18"/>
    </row>
    <row r="40" spans="1:9" x14ac:dyDescent="0.2">
      <c r="A40">
        <v>39</v>
      </c>
      <c r="B40" t="s">
        <v>7</v>
      </c>
      <c r="C40">
        <v>100</v>
      </c>
      <c r="D40" s="18">
        <v>45850</v>
      </c>
      <c r="E40" s="18">
        <v>45868</v>
      </c>
      <c r="F40" t="s">
        <v>22</v>
      </c>
      <c r="G40">
        <f>VLOOKUP(RIGHT(B40,1), {"A",43;"B",42;"C",50;"D",45}, 2, FALSE) * C40 + 50</f>
        <v>4550</v>
      </c>
      <c r="H40" s="18">
        <f t="shared" si="2"/>
        <v>45853.159722222219</v>
      </c>
      <c r="I40" s="18"/>
    </row>
    <row r="41" spans="1:9" x14ac:dyDescent="0.2">
      <c r="A41">
        <v>40</v>
      </c>
      <c r="B41" t="s">
        <v>6</v>
      </c>
      <c r="C41">
        <v>102</v>
      </c>
      <c r="D41" s="18">
        <v>45850</v>
      </c>
      <c r="E41" s="18">
        <v>45859</v>
      </c>
      <c r="F41" t="s">
        <v>20</v>
      </c>
      <c r="G41">
        <f>VLOOKUP(RIGHT(B41,1), {"A",43;"B",42;"C",50;"D",45}, 2, FALSE) * C41 + 50</f>
        <v>5150</v>
      </c>
      <c r="H41" s="18">
        <f t="shared" si="2"/>
        <v>45853.576388888891</v>
      </c>
      <c r="I41" s="18"/>
    </row>
    <row r="42" spans="1:9" x14ac:dyDescent="0.2">
      <c r="A42">
        <v>41</v>
      </c>
      <c r="B42" t="s">
        <v>6</v>
      </c>
      <c r="C42">
        <v>102</v>
      </c>
      <c r="D42" s="18">
        <v>45850</v>
      </c>
      <c r="E42" s="18">
        <v>45851</v>
      </c>
      <c r="F42" t="s">
        <v>21</v>
      </c>
      <c r="G42">
        <f>VLOOKUP(RIGHT(B42,1), {"A",43;"B",42;"C",50;"D",45}, 2, FALSE) * C42 + 50</f>
        <v>5150</v>
      </c>
      <c r="H42" s="18">
        <f t="shared" si="2"/>
        <v>45853.576388888891</v>
      </c>
      <c r="I42" s="18"/>
    </row>
    <row r="43" spans="1:9" x14ac:dyDescent="0.2">
      <c r="A43">
        <v>42</v>
      </c>
      <c r="B43" t="s">
        <v>5</v>
      </c>
      <c r="C43">
        <v>120</v>
      </c>
      <c r="D43" s="18">
        <v>45850</v>
      </c>
      <c r="E43" s="18">
        <v>45851</v>
      </c>
      <c r="F43" t="s">
        <v>20</v>
      </c>
      <c r="G43">
        <f>VLOOKUP(RIGHT(B43,1), {"A",43;"B",42;"C",50;"D",45}, 2, FALSE) * C43 + 50</f>
        <v>5090</v>
      </c>
      <c r="H43" s="18">
        <f t="shared" si="2"/>
        <v>45853.534722222219</v>
      </c>
      <c r="I43" s="18"/>
    </row>
    <row r="44" spans="1:9" x14ac:dyDescent="0.2">
      <c r="A44">
        <v>43</v>
      </c>
      <c r="B44" t="s">
        <v>6</v>
      </c>
      <c r="C44">
        <v>104</v>
      </c>
      <c r="D44" s="18">
        <v>45850</v>
      </c>
      <c r="E44" s="18">
        <v>45851</v>
      </c>
      <c r="F44" t="s">
        <v>20</v>
      </c>
      <c r="G44">
        <f>VLOOKUP(RIGHT(B44,1), {"A",43;"B",42;"C",50;"D",45}, 2, FALSE) * C44 + 50</f>
        <v>5250</v>
      </c>
      <c r="H44" s="18">
        <f t="shared" si="2"/>
        <v>45853.645833333336</v>
      </c>
      <c r="I44" s="18"/>
    </row>
    <row r="45" spans="1:9" x14ac:dyDescent="0.2">
      <c r="A45">
        <v>44</v>
      </c>
      <c r="B45" t="s">
        <v>5</v>
      </c>
      <c r="C45">
        <v>126</v>
      </c>
      <c r="D45" s="18">
        <v>45850</v>
      </c>
      <c r="E45" s="18">
        <v>45861</v>
      </c>
      <c r="F45" t="s">
        <v>21</v>
      </c>
      <c r="G45">
        <f>VLOOKUP(RIGHT(B45,1), {"A",43;"B",42;"C",50;"D",45}, 2, FALSE) * C45 + 50</f>
        <v>5342</v>
      </c>
      <c r="H45" s="18">
        <f t="shared" si="2"/>
        <v>45853.709722222222</v>
      </c>
      <c r="I45" s="18"/>
    </row>
    <row r="46" spans="1:9" x14ac:dyDescent="0.2">
      <c r="A46">
        <v>45</v>
      </c>
      <c r="B46" t="s">
        <v>6</v>
      </c>
      <c r="C46">
        <v>114</v>
      </c>
      <c r="D46" s="18">
        <v>45850</v>
      </c>
      <c r="E46" s="18">
        <v>45859</v>
      </c>
      <c r="F46" t="s">
        <v>20</v>
      </c>
      <c r="G46">
        <f>VLOOKUP(RIGHT(B46,1), {"A",43;"B",42;"C",50;"D",45}, 2, FALSE) * C46 + 50</f>
        <v>5750</v>
      </c>
      <c r="H46" s="18">
        <f t="shared" si="2"/>
        <v>45853.993055555555</v>
      </c>
      <c r="I46" s="18"/>
    </row>
    <row r="47" spans="1:9" x14ac:dyDescent="0.2">
      <c r="A47">
        <v>46</v>
      </c>
      <c r="B47" t="s">
        <v>6</v>
      </c>
      <c r="C47">
        <v>127</v>
      </c>
      <c r="D47" s="18">
        <v>45850</v>
      </c>
      <c r="E47" s="18">
        <v>45866</v>
      </c>
      <c r="F47" t="s">
        <v>19</v>
      </c>
      <c r="G47">
        <f>VLOOKUP(RIGHT(B47,1), {"A",43;"B",42;"C",50;"D",45}, 2, FALSE) * C47 + 50</f>
        <v>6400</v>
      </c>
      <c r="H47" s="18">
        <f t="shared" si="2"/>
        <v>45854.444444444445</v>
      </c>
      <c r="I47" s="18"/>
    </row>
    <row r="48" spans="1:9" x14ac:dyDescent="0.2">
      <c r="A48">
        <v>47</v>
      </c>
      <c r="B48" t="s">
        <v>6</v>
      </c>
      <c r="C48">
        <v>138</v>
      </c>
      <c r="D48" s="18">
        <v>45850</v>
      </c>
      <c r="E48" s="18">
        <v>45865</v>
      </c>
      <c r="F48" t="s">
        <v>22</v>
      </c>
      <c r="G48">
        <f>VLOOKUP(RIGHT(B48,1), {"A",43;"B",42;"C",50;"D",45}, 2, FALSE) * C48 + 50</f>
        <v>6950</v>
      </c>
      <c r="H48" s="18">
        <f t="shared" si="2"/>
        <v>45854.826388888891</v>
      </c>
      <c r="I48" s="18"/>
    </row>
    <row r="49" spans="1:9" x14ac:dyDescent="0.2">
      <c r="A49">
        <v>48</v>
      </c>
      <c r="B49" t="s">
        <v>6</v>
      </c>
      <c r="C49">
        <v>140</v>
      </c>
      <c r="D49" s="18">
        <v>45850</v>
      </c>
      <c r="E49" s="18">
        <v>45866</v>
      </c>
      <c r="F49" t="s">
        <v>21</v>
      </c>
      <c r="G49">
        <f>VLOOKUP(RIGHT(B49,1), {"A",43;"B",42;"C",50;"D",45}, 2, FALSE) * C49 + 50</f>
        <v>7050</v>
      </c>
      <c r="H49" s="18">
        <f t="shared" si="2"/>
        <v>45854.895833333336</v>
      </c>
      <c r="I49" s="18"/>
    </row>
    <row r="50" spans="1:9" x14ac:dyDescent="0.2">
      <c r="A50">
        <v>49</v>
      </c>
      <c r="B50" t="s">
        <v>7</v>
      </c>
      <c r="C50">
        <v>143</v>
      </c>
      <c r="D50" s="18">
        <v>45850</v>
      </c>
      <c r="E50" s="18">
        <v>45851</v>
      </c>
      <c r="F50" t="s">
        <v>22</v>
      </c>
      <c r="G50">
        <f>VLOOKUP(RIGHT(B50,1), {"A",43;"B",42;"C",50;"D",45}, 2, FALSE) * C50 + 50</f>
        <v>6485</v>
      </c>
      <c r="H50" s="18">
        <f t="shared" si="2"/>
        <v>45854.503472222219</v>
      </c>
      <c r="I50" s="18"/>
    </row>
    <row r="51" spans="1:9" x14ac:dyDescent="0.2">
      <c r="A51">
        <v>50</v>
      </c>
      <c r="B51" t="s">
        <v>7</v>
      </c>
      <c r="C51">
        <v>148</v>
      </c>
      <c r="D51" s="18">
        <v>45850</v>
      </c>
      <c r="E51" s="18">
        <v>45851</v>
      </c>
      <c r="F51" t="s">
        <v>20</v>
      </c>
      <c r="G51">
        <f>VLOOKUP(RIGHT(B51,1), {"A",43;"B",42;"C",50;"D",45}, 2, FALSE) * C51 + 50</f>
        <v>6710</v>
      </c>
      <c r="H51" s="18">
        <f t="shared" si="2"/>
        <v>45854.659722222219</v>
      </c>
      <c r="I51" s="18"/>
    </row>
    <row r="52" spans="1:9" x14ac:dyDescent="0.2">
      <c r="A52">
        <v>51</v>
      </c>
      <c r="B52" t="s">
        <v>6</v>
      </c>
      <c r="C52">
        <v>149</v>
      </c>
      <c r="D52" s="18">
        <v>45850</v>
      </c>
      <c r="E52" s="18">
        <v>45854</v>
      </c>
      <c r="F52" t="s">
        <v>21</v>
      </c>
      <c r="G52">
        <f>VLOOKUP(RIGHT(B52,1), {"A",43;"B",42;"C",50;"D",45}, 2, FALSE) * C52 + 50</f>
        <v>7500</v>
      </c>
      <c r="H52" s="18">
        <f t="shared" si="2"/>
        <v>45855.208333333336</v>
      </c>
      <c r="I52" s="18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60E1F-9EE1-407A-9180-47B67A472CF1}">
  <dimension ref="A1:T52"/>
  <sheetViews>
    <sheetView rightToLeft="1" workbookViewId="0">
      <selection activeCell="H4" sqref="H4"/>
    </sheetView>
  </sheetViews>
  <sheetFormatPr defaultRowHeight="14.25" x14ac:dyDescent="0.2"/>
  <cols>
    <col min="1" max="1" width="10.75" bestFit="1" customWidth="1"/>
    <col min="2" max="2" width="8.5" bestFit="1" customWidth="1"/>
    <col min="3" max="3" width="8.625" bestFit="1" customWidth="1"/>
    <col min="4" max="4" width="15.75" bestFit="1" customWidth="1"/>
    <col min="5" max="5" width="17.75" customWidth="1"/>
    <col min="6" max="6" width="8" bestFit="1" customWidth="1"/>
    <col min="7" max="7" width="10.875" bestFit="1" customWidth="1"/>
    <col min="8" max="8" width="21.25" bestFit="1" customWidth="1"/>
    <col min="9" max="9" width="14.375" bestFit="1" customWidth="1"/>
    <col min="10" max="10" width="15.625" bestFit="1" customWidth="1"/>
    <col min="11" max="11" width="15.75" bestFit="1" customWidth="1"/>
    <col min="12" max="12" width="15" bestFit="1" customWidth="1"/>
    <col min="13" max="13" width="16.375" bestFit="1" customWidth="1"/>
    <col min="14" max="14" width="17" bestFit="1" customWidth="1"/>
    <col min="15" max="15" width="14.75" bestFit="1" customWidth="1"/>
    <col min="16" max="16" width="14.625" customWidth="1"/>
  </cols>
  <sheetData>
    <row r="1" spans="1:16" ht="15.75" thickBot="1" x14ac:dyDescent="0.25">
      <c r="A1" t="s">
        <v>23</v>
      </c>
      <c r="B1" s="1" t="s">
        <v>0</v>
      </c>
      <c r="C1" s="2" t="s">
        <v>1</v>
      </c>
      <c r="D1" s="2" t="s">
        <v>28</v>
      </c>
      <c r="E1" s="2" t="s">
        <v>2</v>
      </c>
      <c r="F1" s="2" t="s">
        <v>3</v>
      </c>
      <c r="G1" s="26" t="s">
        <v>29</v>
      </c>
      <c r="H1" s="26" t="s">
        <v>31</v>
      </c>
      <c r="I1" s="23"/>
      <c r="J1" s="24" t="s">
        <v>0</v>
      </c>
      <c r="K1" s="5" t="s">
        <v>13</v>
      </c>
      <c r="L1" s="5" t="s">
        <v>12</v>
      </c>
      <c r="M1" s="5" t="s">
        <v>14</v>
      </c>
      <c r="N1" s="5" t="s">
        <v>15</v>
      </c>
      <c r="O1" s="5" t="s">
        <v>16</v>
      </c>
      <c r="P1" t="s">
        <v>30</v>
      </c>
    </row>
    <row r="2" spans="1:16" ht="15" thickBot="1" x14ac:dyDescent="0.25">
      <c r="A2">
        <v>19</v>
      </c>
      <c r="B2" t="s">
        <v>5</v>
      </c>
      <c r="C2">
        <v>50</v>
      </c>
      <c r="D2" s="18">
        <v>45851</v>
      </c>
      <c r="E2" s="18">
        <v>45851</v>
      </c>
      <c r="F2" t="s">
        <v>20</v>
      </c>
      <c r="G2">
        <f>VLOOKUP(RIGHT(B2,1), {"A",43;"B",42;"C",50;"D",45}, 2, FALSE) * C2 + 50</f>
        <v>2150</v>
      </c>
      <c r="H2" s="18">
        <f>WORKDAY.INTL(D2,INT(G2/1440),"0001100") + MOD(G2/1440,1)</f>
        <v>45852.493055555555</v>
      </c>
      <c r="I2" s="18"/>
      <c r="J2" s="25" t="s">
        <v>8</v>
      </c>
      <c r="K2" s="11">
        <v>5</v>
      </c>
      <c r="L2" s="3">
        <v>8</v>
      </c>
      <c r="M2" s="3">
        <v>14</v>
      </c>
      <c r="N2" s="3">
        <v>6</v>
      </c>
      <c r="O2" s="10">
        <v>10</v>
      </c>
      <c r="P2">
        <f>SUM(K2:O2)</f>
        <v>43</v>
      </c>
    </row>
    <row r="3" spans="1:16" ht="15" thickBot="1" x14ac:dyDescent="0.25">
      <c r="A3">
        <v>28</v>
      </c>
      <c r="B3" t="s">
        <v>5</v>
      </c>
      <c r="C3">
        <v>87</v>
      </c>
      <c r="D3" s="18">
        <v>45851</v>
      </c>
      <c r="E3" s="18">
        <v>45851</v>
      </c>
      <c r="F3" t="s">
        <v>20</v>
      </c>
      <c r="G3">
        <f>VLOOKUP(RIGHT(B3,1), {"A",43;"B",42;"C",50;"D",45}, 2, FALSE) * C3 + 50</f>
        <v>3704</v>
      </c>
      <c r="H3" s="18">
        <f>WORKDAY.INTL(D3,INT(G3/1440),"0001100") + MOD(G3/1440,1)</f>
        <v>45853.572222222225</v>
      </c>
      <c r="I3" s="18"/>
      <c r="J3" s="25" t="s">
        <v>9</v>
      </c>
      <c r="K3" s="12">
        <v>7</v>
      </c>
      <c r="L3" s="4">
        <v>6</v>
      </c>
      <c r="M3" s="4">
        <v>11</v>
      </c>
      <c r="N3" s="4">
        <v>6</v>
      </c>
      <c r="O3" s="7">
        <v>12</v>
      </c>
      <c r="P3">
        <f>SUM(K3:O3)</f>
        <v>42</v>
      </c>
    </row>
    <row r="4" spans="1:16" ht="15" thickBot="1" x14ac:dyDescent="0.25">
      <c r="A4">
        <v>42</v>
      </c>
      <c r="B4" t="s">
        <v>5</v>
      </c>
      <c r="C4">
        <v>120</v>
      </c>
      <c r="D4" s="18">
        <v>45851</v>
      </c>
      <c r="E4" s="18">
        <v>45851</v>
      </c>
      <c r="F4" t="s">
        <v>20</v>
      </c>
      <c r="G4">
        <f>VLOOKUP(RIGHT(B4,1), {"A",43;"B",42;"C",50;"D",45}, 2, FALSE) * C4 + 50</f>
        <v>5090</v>
      </c>
      <c r="H4" s="18">
        <f>WORKDAY.INTL(D4,INT(G4/1440),"0001100") + MOD(G4/1440,1)</f>
        <v>45854.534722222219</v>
      </c>
      <c r="I4" s="18"/>
      <c r="J4" s="25" t="s">
        <v>10</v>
      </c>
      <c r="K4" s="12">
        <v>10</v>
      </c>
      <c r="L4" s="4">
        <v>10</v>
      </c>
      <c r="M4" s="4">
        <v>10</v>
      </c>
      <c r="N4" s="4">
        <v>6</v>
      </c>
      <c r="O4" s="7">
        <v>14</v>
      </c>
      <c r="P4">
        <f>SUM(K4:O4)</f>
        <v>50</v>
      </c>
    </row>
    <row r="5" spans="1:16" ht="15" thickBot="1" x14ac:dyDescent="0.25">
      <c r="A5">
        <v>43</v>
      </c>
      <c r="B5" t="s">
        <v>6</v>
      </c>
      <c r="C5">
        <v>104</v>
      </c>
      <c r="D5" s="18">
        <v>45851</v>
      </c>
      <c r="E5" s="18">
        <v>45851</v>
      </c>
      <c r="F5" t="s">
        <v>20</v>
      </c>
      <c r="G5">
        <f>VLOOKUP(RIGHT(B5,1), {"A",43;"B",42;"C",50;"D",45}, 2, FALSE) * C5 + 50</f>
        <v>5250</v>
      </c>
      <c r="H5" s="18">
        <f>WORKDAY.INTL(D5,INT(G5/1440),"0001100") + MOD(G5/1440,1)</f>
        <v>45854.645833333336</v>
      </c>
      <c r="I5" s="18"/>
      <c r="J5" s="25" t="s">
        <v>11</v>
      </c>
      <c r="K5" s="13">
        <v>6</v>
      </c>
      <c r="L5" s="8">
        <v>7</v>
      </c>
      <c r="M5" s="8">
        <v>12</v>
      </c>
      <c r="N5" s="8">
        <v>6</v>
      </c>
      <c r="O5" s="9">
        <v>14</v>
      </c>
      <c r="P5">
        <f>SUM(K5:O5)</f>
        <v>45</v>
      </c>
    </row>
    <row r="6" spans="1:16" x14ac:dyDescent="0.2">
      <c r="A6">
        <v>16</v>
      </c>
      <c r="B6" t="s">
        <v>7</v>
      </c>
      <c r="C6">
        <v>39</v>
      </c>
      <c r="D6" s="18">
        <v>45851</v>
      </c>
      <c r="E6" s="18">
        <v>45851</v>
      </c>
      <c r="F6" t="s">
        <v>20</v>
      </c>
      <c r="G6">
        <f>VLOOKUP(RIGHT(B6,1), {"A",43;"B",42;"C",50;"D",45}, 2, FALSE) * C6 + 50</f>
        <v>1805</v>
      </c>
      <c r="H6" s="18">
        <f>WORKDAY.INTL(D6,INT(G6/1440),"0001100") + MOD(G6/1440,1)</f>
        <v>45852.253472222219</v>
      </c>
      <c r="I6" s="18"/>
      <c r="J6" s="30"/>
      <c r="K6" s="19"/>
      <c r="L6" s="31"/>
      <c r="M6" s="31"/>
      <c r="N6" s="31"/>
      <c r="O6" s="32"/>
      <c r="P6" s="27"/>
    </row>
    <row r="7" spans="1:16" x14ac:dyDescent="0.2">
      <c r="A7">
        <v>17</v>
      </c>
      <c r="B7" t="s">
        <v>7</v>
      </c>
      <c r="C7">
        <v>39</v>
      </c>
      <c r="D7" s="18">
        <v>45851</v>
      </c>
      <c r="E7" s="18">
        <v>45851</v>
      </c>
      <c r="F7" t="s">
        <v>20</v>
      </c>
      <c r="G7">
        <f>VLOOKUP(RIGHT(B7,1), {"A",43;"B",42;"C",50;"D",45}, 2, FALSE) * C7 + 50</f>
        <v>1805</v>
      </c>
      <c r="H7" s="18">
        <f>WORKDAY.INTL(D7,INT(G7/1440),"0001100") + MOD(G7/1440,1)</f>
        <v>45852.253472222219</v>
      </c>
      <c r="I7" s="18"/>
      <c r="J7" t="s">
        <v>33</v>
      </c>
      <c r="K7" cm="1">
        <f t="array" ref="K7">SUMPRODUCT((RIGHT($B$2:$B$53,1)="A")*($K$2*$C$2:$C$53+10))</f>
        <v>5240</v>
      </c>
      <c r="L7" cm="1">
        <f t="array" ref="L7">SUMPRODUCT((RIGHT($B$2:$B$53,1)="A")*($L$2*$C$2:$C$53+10))</f>
        <v>8306</v>
      </c>
      <c r="M7" cm="1">
        <f t="array" ref="M7">SUMPRODUCT((RIGHT($B$2:$B$53,1)="A")*($M$2*$C$2:$C$53+10))</f>
        <v>14438</v>
      </c>
      <c r="N7" cm="1">
        <f t="array" ref="N7">SUMPRODUCT((RIGHT($B$2:$B$53,1)="A")*($N$2*$C$2:$C$53+10))</f>
        <v>6262</v>
      </c>
      <c r="O7" cm="1">
        <f t="array" ref="O7">SUMPRODUCT((RIGHT($B$2:$B$53,1)="A")*($O$2*$C$2:$C$53+10))</f>
        <v>10350</v>
      </c>
    </row>
    <row r="8" spans="1:16" x14ac:dyDescent="0.2">
      <c r="A8">
        <v>50</v>
      </c>
      <c r="B8" t="s">
        <v>7</v>
      </c>
      <c r="C8">
        <v>148</v>
      </c>
      <c r="D8" s="18">
        <v>45851</v>
      </c>
      <c r="E8" s="18">
        <v>45851</v>
      </c>
      <c r="F8" t="s">
        <v>20</v>
      </c>
      <c r="G8">
        <f>VLOOKUP(RIGHT(B8,1), {"A",43;"B",42;"C",50;"D",45}, 2, FALSE) * C8 + 50</f>
        <v>6710</v>
      </c>
      <c r="H8" s="18">
        <f>WORKDAY.INTL(D8,INT(G8/1440),"0001100") + MOD(G8/1440,1)</f>
        <v>45857.659722222219</v>
      </c>
      <c r="I8" s="18"/>
      <c r="J8" s="27"/>
      <c r="K8" cm="1">
        <f t="array" ref="K8">SUMPRODUCT((RIGHT($B$2:$B$53,1)="B")*($K$3*$C$2:$C$53+10))</f>
        <v>6654</v>
      </c>
      <c r="L8" cm="1">
        <f t="array" ref="L8">SUMPRODUCT((RIGHT($B$2:$B$53,1)="B")*($L$3*$C$2:$C$53+10))</f>
        <v>5722</v>
      </c>
      <c r="M8" cm="1">
        <f t="array" ref="M8">SUMPRODUCT((RIGHT($B$2:$B$53,1)="B")*($M$3*$C$2:$C$53+10))</f>
        <v>10382</v>
      </c>
      <c r="N8" cm="1">
        <f t="array" ref="N8">SUMPRODUCT((RIGHT($B$2:$B$53,1)="B")*($N$3*$C$2:$C$53+10))</f>
        <v>5722</v>
      </c>
      <c r="O8" cm="1">
        <f t="array" ref="O8">SUMPRODUCT((RIGHT($B$2:$B$53,1)="B")*($O$3*$C$2:$C$53+10))</f>
        <v>11314</v>
      </c>
    </row>
    <row r="9" spans="1:16" x14ac:dyDescent="0.2">
      <c r="A9">
        <v>49</v>
      </c>
      <c r="B9" t="s">
        <v>7</v>
      </c>
      <c r="C9">
        <v>143</v>
      </c>
      <c r="D9" s="18">
        <v>45851</v>
      </c>
      <c r="E9" s="18">
        <v>45851</v>
      </c>
      <c r="F9" t="s">
        <v>22</v>
      </c>
      <c r="G9">
        <f>VLOOKUP(RIGHT(B9,1), {"A",43;"B",42;"C",50;"D",45}, 2, FALSE) * C9 + 50</f>
        <v>6485</v>
      </c>
      <c r="H9" s="18">
        <f>WORKDAY.INTL(D9,INT(G9/1440),"0001100") + MOD(G9/1440,1)</f>
        <v>45857.503472222219</v>
      </c>
      <c r="I9" s="18"/>
      <c r="K9" cm="1">
        <f t="array" ref="K9">SUMPRODUCT((RIGHT($B$2:$B$53,1)="C")*($K$4*$C$2:$C$53+10))</f>
        <v>11520</v>
      </c>
      <c r="L9" cm="1">
        <f t="array" ref="L9">SUMPRODUCT((RIGHT($B$2:$B$53,1)="C")*($L$4*$C$2:$C$53+10))</f>
        <v>11520</v>
      </c>
      <c r="M9" cm="1">
        <f t="array" ref="M9">SUMPRODUCT((RIGHT($B$2:$B$53,1)="C")*($M$4*$C$2:$C$53+10))</f>
        <v>11520</v>
      </c>
      <c r="N9" cm="1">
        <f t="array" ref="N9">SUMPRODUCT((RIGHT($B$2:$B$53,1)="C")*($N$4*$C$2:$C$53+10))</f>
        <v>6964</v>
      </c>
      <c r="O9" cm="1">
        <f t="array" ref="O9">SUMPRODUCT((RIGHT($B$2:$B$53,1)="C")*($O$4*$C$2:$C$53+10))</f>
        <v>16076</v>
      </c>
    </row>
    <row r="10" spans="1:16" x14ac:dyDescent="0.2">
      <c r="A10">
        <v>8</v>
      </c>
      <c r="B10" t="s">
        <v>6</v>
      </c>
      <c r="C10">
        <v>30</v>
      </c>
      <c r="D10" s="18">
        <v>45851</v>
      </c>
      <c r="E10" s="18">
        <v>45851</v>
      </c>
      <c r="F10" t="s">
        <v>21</v>
      </c>
      <c r="G10">
        <f>VLOOKUP(RIGHT(B10,1), {"A",43;"B",42;"C",50;"D",45}, 2, FALSE) * C10 + 50</f>
        <v>1550</v>
      </c>
      <c r="H10" s="18">
        <f>WORKDAY.INTL(D10,INT(G10/1440),"0001100") + MOD(G10/1440,1)</f>
        <v>45852.076388888891</v>
      </c>
      <c r="I10" s="18"/>
      <c r="K10" cm="1">
        <f t="array" ref="K10">SUMPRODUCT((RIGHT($B$2:$B$53,1)="D")*($K$5*$C$2:$C$53+10))</f>
        <v>5394</v>
      </c>
      <c r="L10" cm="1">
        <f t="array" ref="L10">SUMPRODUCT((RIGHT($B$2:$B$53,1)="D")*($L$5*$C$2:$C$53+10))</f>
        <v>6273</v>
      </c>
      <c r="M10" cm="1">
        <f t="array" ref="M10">SUMPRODUCT((RIGHT($B$2:$B$53,1)="D")*($M$5*$C$2:$C$53+10))</f>
        <v>10668</v>
      </c>
      <c r="N10" cm="1">
        <f t="array" ref="N10">SUMPRODUCT((RIGHT($B$2:$B$53,1)="D")*($N$5*$C$2:$C$53+10))</f>
        <v>5394</v>
      </c>
      <c r="O10" cm="1">
        <f t="array" ref="O10">SUMPRODUCT((RIGHT($B$2:$B$53,1)="D")*($O$5*$C$2:$C$53+10))</f>
        <v>12426</v>
      </c>
    </row>
    <row r="11" spans="1:16" x14ac:dyDescent="0.2">
      <c r="A11">
        <v>41</v>
      </c>
      <c r="B11" t="s">
        <v>6</v>
      </c>
      <c r="C11">
        <v>102</v>
      </c>
      <c r="D11" s="18">
        <v>45851</v>
      </c>
      <c r="E11" s="18">
        <v>45851</v>
      </c>
      <c r="F11" t="s">
        <v>21</v>
      </c>
      <c r="G11">
        <f>VLOOKUP(RIGHT(B11,1), {"A",43;"B",42;"C",50;"D",45}, 2, FALSE) * C11 + 50</f>
        <v>5150</v>
      </c>
      <c r="H11" s="18">
        <f>WORKDAY.INTL(D11,INT(G11/1440),"0001100") + MOD(G11/1440,1)</f>
        <v>45854.576388888891</v>
      </c>
      <c r="I11" s="18"/>
    </row>
    <row r="12" spans="1:16" x14ac:dyDescent="0.2">
      <c r="A12">
        <v>14</v>
      </c>
      <c r="B12" t="s">
        <v>7</v>
      </c>
      <c r="C12">
        <v>35</v>
      </c>
      <c r="D12" s="18">
        <v>45851</v>
      </c>
      <c r="E12" s="18">
        <v>45851</v>
      </c>
      <c r="F12" t="s">
        <v>21</v>
      </c>
      <c r="G12">
        <f>VLOOKUP(RIGHT(B12,1), {"A",43;"B",42;"C",50;"D",45}, 2, FALSE) * C12 + 50</f>
        <v>1625</v>
      </c>
      <c r="H12" s="18">
        <f>WORKDAY.INTL(D12,INT(G12/1440),"0001100") + MOD(G12/1440,1)</f>
        <v>45852.128472222219</v>
      </c>
      <c r="I12" s="18"/>
      <c r="K12" s="20">
        <f>SUM(K7:K10)</f>
        <v>28808</v>
      </c>
      <c r="L12" s="20">
        <f>SUM(L7:L10)</f>
        <v>31821</v>
      </c>
      <c r="M12" s="20">
        <f>SUM(M7:M10)</f>
        <v>47008</v>
      </c>
      <c r="N12" s="20">
        <f>SUM(N7:N10)</f>
        <v>24342</v>
      </c>
      <c r="O12" s="20">
        <f>SUM(O7:O10)</f>
        <v>50166</v>
      </c>
    </row>
    <row r="13" spans="1:16" x14ac:dyDescent="0.2">
      <c r="A13">
        <v>33</v>
      </c>
      <c r="B13" t="s">
        <v>4</v>
      </c>
      <c r="C13">
        <v>118</v>
      </c>
      <c r="D13" s="18">
        <v>45851</v>
      </c>
      <c r="E13" s="18">
        <v>45851</v>
      </c>
      <c r="F13" t="s">
        <v>19</v>
      </c>
      <c r="G13">
        <f>VLOOKUP(RIGHT(B13,1), {"A",43;"B",42;"C",50;"D",45}, 2, FALSE) * C13 + 50</f>
        <v>5124</v>
      </c>
      <c r="H13" s="18">
        <f>WORKDAY.INTL(D13,INT(G13/1440),"0001100") + MOD(G13/1440,1)</f>
        <v>45854.558333333334</v>
      </c>
      <c r="I13" s="18"/>
    </row>
    <row r="14" spans="1:16" x14ac:dyDescent="0.2">
      <c r="A14">
        <v>10</v>
      </c>
      <c r="B14" t="s">
        <v>6</v>
      </c>
      <c r="C14">
        <v>31</v>
      </c>
      <c r="D14" s="18">
        <v>45851</v>
      </c>
      <c r="E14" s="18">
        <v>45851</v>
      </c>
      <c r="F14" t="s">
        <v>19</v>
      </c>
      <c r="G14">
        <f>VLOOKUP(RIGHT(B14,1), {"A",43;"B",42;"C",50;"D",45}, 2, FALSE) * C14 + 50</f>
        <v>1600</v>
      </c>
      <c r="H14" s="18">
        <f>WORKDAY.INTL(D14,INT(G14/1440),"0001100") + MOD(G14/1440,1)</f>
        <v>45852.111111111109</v>
      </c>
      <c r="I14" s="18"/>
      <c r="J14" s="22" t="s">
        <v>34</v>
      </c>
      <c r="K14" s="22" t="s">
        <v>35</v>
      </c>
    </row>
    <row r="15" spans="1:16" x14ac:dyDescent="0.2">
      <c r="A15">
        <v>38</v>
      </c>
      <c r="B15" t="s">
        <v>7</v>
      </c>
      <c r="C15">
        <v>90</v>
      </c>
      <c r="D15" s="18">
        <v>45851</v>
      </c>
      <c r="E15" s="18">
        <v>45851</v>
      </c>
      <c r="F15" t="s">
        <v>19</v>
      </c>
      <c r="G15">
        <f>VLOOKUP(RIGHT(B15,1), {"A",43;"B",42;"C",50;"D",45}, 2, FALSE) * C15 + 50</f>
        <v>4100</v>
      </c>
      <c r="H15" s="18">
        <f>WORKDAY.INTL(D15,INT(G15/1440),"0001100") + MOD(G15/1440,1)</f>
        <v>45853.847222222219</v>
      </c>
      <c r="I15" s="18"/>
      <c r="J15" s="33">
        <f>MAX(K12:O12)</f>
        <v>50166</v>
      </c>
      <c r="K15" s="22">
        <v>5</v>
      </c>
    </row>
    <row r="16" spans="1:16" x14ac:dyDescent="0.2">
      <c r="A16">
        <v>25</v>
      </c>
      <c r="B16" t="s">
        <v>5</v>
      </c>
      <c r="C16">
        <v>75</v>
      </c>
      <c r="D16" s="18">
        <v>45851</v>
      </c>
      <c r="E16" s="18">
        <v>45852</v>
      </c>
      <c r="F16" t="s">
        <v>21</v>
      </c>
      <c r="G16">
        <f>VLOOKUP(RIGHT(B16,1), {"A",43;"B",42;"C",50;"D",45}, 2, FALSE) * C16 + 50</f>
        <v>3200</v>
      </c>
      <c r="H16" s="18">
        <f>WORKDAY.INTL(D16,INT(G16/1440),"0001100") + MOD(G16/1440,1)</f>
        <v>45853.222222222219</v>
      </c>
      <c r="I16" s="18"/>
    </row>
    <row r="17" spans="1:20" x14ac:dyDescent="0.2">
      <c r="A17">
        <v>29</v>
      </c>
      <c r="B17" t="s">
        <v>4</v>
      </c>
      <c r="C17">
        <v>113</v>
      </c>
      <c r="D17" s="18">
        <v>45851</v>
      </c>
      <c r="E17" s="18">
        <v>45853</v>
      </c>
      <c r="F17" t="s">
        <v>20</v>
      </c>
      <c r="G17">
        <f>VLOOKUP(RIGHT(B17,1), {"A",43;"B",42;"C",50;"D",45}, 2, FALSE) * C17 + 50</f>
        <v>4909</v>
      </c>
      <c r="H17" s="18">
        <f>WORKDAY.INTL(D17,INT(G17/1440),"0001100") + MOD(G17/1440,1)</f>
        <v>45854.40902777778</v>
      </c>
      <c r="I17" s="18"/>
      <c r="J17" s="22" t="s">
        <v>27</v>
      </c>
    </row>
    <row r="18" spans="1:20" x14ac:dyDescent="0.2">
      <c r="A18">
        <v>12</v>
      </c>
      <c r="B18" t="s">
        <v>4</v>
      </c>
      <c r="C18">
        <v>46</v>
      </c>
      <c r="D18" s="18">
        <v>45851</v>
      </c>
      <c r="E18" s="18">
        <v>45853</v>
      </c>
      <c r="F18" t="s">
        <v>22</v>
      </c>
      <c r="G18">
        <f>VLOOKUP(RIGHT(B18,1), {"A",43;"B",42;"C",50;"D",45}, 2, FALSE) * C18 + 50</f>
        <v>2028</v>
      </c>
      <c r="H18" s="18">
        <f>WORKDAY.INTL(D18,INT(G18/1440),"0001100") + MOD(G18/1440,1)</f>
        <v>45852.408333333333</v>
      </c>
      <c r="I18" s="18"/>
      <c r="J18" s="34" cm="1">
        <f t="array" ref="J18">SUMPRODUCT((H2:H52&lt;=E2:E52)*1) / COUNTA(H2:H52)</f>
        <v>0.66666666666666663</v>
      </c>
    </row>
    <row r="19" spans="1:20" x14ac:dyDescent="0.2">
      <c r="A19">
        <v>51</v>
      </c>
      <c r="B19" t="s">
        <v>6</v>
      </c>
      <c r="C19">
        <v>149</v>
      </c>
      <c r="D19" s="18">
        <v>45851</v>
      </c>
      <c r="E19" s="18">
        <v>45854</v>
      </c>
      <c r="F19" t="s">
        <v>21</v>
      </c>
      <c r="G19">
        <f>VLOOKUP(RIGHT(B19,1), {"A",43;"B",42;"C",50;"D",45}, 2, FALSE) * C19 + 50</f>
        <v>7500</v>
      </c>
      <c r="H19" s="18">
        <f>WORKDAY.INTL(D19,INT(G19/1440),"0001100") + MOD(G19/1440,1)</f>
        <v>45858.208333333336</v>
      </c>
      <c r="I19" s="18"/>
      <c r="J19" s="28"/>
      <c r="K19" s="29"/>
    </row>
    <row r="20" spans="1:20" x14ac:dyDescent="0.2">
      <c r="A20">
        <v>36</v>
      </c>
      <c r="B20" t="s">
        <v>7</v>
      </c>
      <c r="C20">
        <v>88</v>
      </c>
      <c r="D20" s="18">
        <v>45851</v>
      </c>
      <c r="E20" s="18">
        <v>45858</v>
      </c>
      <c r="F20" t="s">
        <v>19</v>
      </c>
      <c r="G20">
        <f>VLOOKUP(RIGHT(B20,1), {"A",43;"B",42;"C",50;"D",45}, 2, FALSE) * C20 + 50</f>
        <v>4010</v>
      </c>
      <c r="H20" s="18">
        <f>WORKDAY.INTL(D20,INT(G20/1440),"0001100") + MOD(G20/1440,1)</f>
        <v>45853.784722222219</v>
      </c>
      <c r="I20" s="18"/>
      <c r="J20" s="27"/>
      <c r="K20" s="21"/>
      <c r="L20" s="21"/>
      <c r="M20" s="21"/>
    </row>
    <row r="21" spans="1:20" x14ac:dyDescent="0.2">
      <c r="A21">
        <v>40</v>
      </c>
      <c r="B21" t="s">
        <v>6</v>
      </c>
      <c r="C21">
        <v>102</v>
      </c>
      <c r="D21" s="18">
        <v>45851</v>
      </c>
      <c r="E21" s="18">
        <v>45859</v>
      </c>
      <c r="F21" t="s">
        <v>20</v>
      </c>
      <c r="G21">
        <f>VLOOKUP(RIGHT(B21,1), {"A",43;"B",42;"C",50;"D",45}, 2, FALSE) * C21 + 50</f>
        <v>5150</v>
      </c>
      <c r="H21" s="18">
        <f>WORKDAY.INTL(D21,INT(G21/1440),"0001100") + MOD(G21/1440,1)</f>
        <v>45854.576388888891</v>
      </c>
      <c r="I21" s="18"/>
      <c r="J21" s="27"/>
    </row>
    <row r="22" spans="1:20" x14ac:dyDescent="0.2">
      <c r="A22">
        <v>45</v>
      </c>
      <c r="B22" t="s">
        <v>6</v>
      </c>
      <c r="C22">
        <v>114</v>
      </c>
      <c r="D22" s="18">
        <v>45851</v>
      </c>
      <c r="E22" s="18">
        <v>45859</v>
      </c>
      <c r="F22" t="s">
        <v>20</v>
      </c>
      <c r="G22">
        <f>VLOOKUP(RIGHT(B22,1), {"A",43;"B",42;"C",50;"D",45}, 2, FALSE) * C22 + 50</f>
        <v>5750</v>
      </c>
      <c r="H22" s="18">
        <f>WORKDAY.INTL(D22,INT(G22/1440),"0001100") + MOD(G22/1440,1)</f>
        <v>45854.993055555555</v>
      </c>
      <c r="I22" s="18"/>
    </row>
    <row r="23" spans="1:20" x14ac:dyDescent="0.2">
      <c r="A23">
        <v>32</v>
      </c>
      <c r="B23" t="s">
        <v>4</v>
      </c>
      <c r="C23">
        <v>118</v>
      </c>
      <c r="D23" s="18">
        <v>45851</v>
      </c>
      <c r="E23" s="18">
        <v>45859</v>
      </c>
      <c r="F23" t="s">
        <v>22</v>
      </c>
      <c r="G23">
        <f>VLOOKUP(RIGHT(B23,1), {"A",43;"B",42;"C",50;"D",45}, 2, FALSE) * C23 + 50</f>
        <v>5124</v>
      </c>
      <c r="H23" s="18">
        <f>WORKDAY.INTL(D23,INT(G23/1440),"0001100") + MOD(G23/1440,1)</f>
        <v>45854.558333333334</v>
      </c>
      <c r="I23" s="18"/>
    </row>
    <row r="24" spans="1:20" x14ac:dyDescent="0.2">
      <c r="A24">
        <v>3</v>
      </c>
      <c r="B24" t="s">
        <v>5</v>
      </c>
      <c r="C24">
        <v>26</v>
      </c>
      <c r="D24" s="18">
        <v>45851</v>
      </c>
      <c r="E24" s="18">
        <v>45859</v>
      </c>
      <c r="F24" t="s">
        <v>22</v>
      </c>
      <c r="G24">
        <f>VLOOKUP(RIGHT(B24,1), {"A",43;"B",42;"C",50;"D",45}, 2, FALSE) * C24 + 50</f>
        <v>1142</v>
      </c>
      <c r="H24" s="18">
        <f>WORKDAY.INTL(D24,INT(G24/1440),"0001100") + MOD(G24/1440,1)</f>
        <v>45851.793055555558</v>
      </c>
      <c r="I24" s="18"/>
    </row>
    <row r="25" spans="1:20" ht="15" thickBot="1" x14ac:dyDescent="0.25">
      <c r="A25">
        <v>6</v>
      </c>
      <c r="B25" t="s">
        <v>7</v>
      </c>
      <c r="C25">
        <v>29</v>
      </c>
      <c r="D25" s="18">
        <v>45851</v>
      </c>
      <c r="E25" s="18">
        <v>45859</v>
      </c>
      <c r="F25" t="s">
        <v>21</v>
      </c>
      <c r="G25">
        <f>VLOOKUP(RIGHT(B25,1), {"A",43;"B",42;"C",50;"D",45}, 2, FALSE) * C25 + 50</f>
        <v>1355</v>
      </c>
      <c r="H25" s="18">
        <f>WORKDAY.INTL(D25,INT(G25/1440),"0001100") + MOD(G25/1440,1)</f>
        <v>45851.940972222219</v>
      </c>
      <c r="I25" s="18"/>
    </row>
    <row r="26" spans="1:20" x14ac:dyDescent="0.2">
      <c r="A26">
        <v>5</v>
      </c>
      <c r="B26" t="s">
        <v>7</v>
      </c>
      <c r="C26">
        <v>23</v>
      </c>
      <c r="D26" s="18">
        <v>45851</v>
      </c>
      <c r="E26" s="18">
        <v>45859</v>
      </c>
      <c r="F26" t="s">
        <v>19</v>
      </c>
      <c r="G26">
        <f>VLOOKUP(RIGHT(B26,1), {"A",43;"B",42;"C",50;"D",45}, 2, FALSE) * C26 + 50</f>
        <v>1085</v>
      </c>
      <c r="H26" s="18">
        <f>WORKDAY.INTL(D26,INT(G26/1440),"0001100") + MOD(G26/1440,1)</f>
        <v>45851.753472222219</v>
      </c>
      <c r="I26" s="18"/>
      <c r="S26" s="14">
        <v>10</v>
      </c>
      <c r="T26" s="15" t="s">
        <v>17</v>
      </c>
    </row>
    <row r="27" spans="1:20" x14ac:dyDescent="0.2">
      <c r="A27">
        <v>20</v>
      </c>
      <c r="B27" t="s">
        <v>4</v>
      </c>
      <c r="C27">
        <v>60</v>
      </c>
      <c r="D27" s="18">
        <v>45851</v>
      </c>
      <c r="E27" s="18">
        <v>45860</v>
      </c>
      <c r="F27" t="s">
        <v>19</v>
      </c>
      <c r="G27">
        <f>VLOOKUP(RIGHT(B27,1), {"A",43;"B",42;"C",50;"D",45}, 2, FALSE) * C27 + 50</f>
        <v>2630</v>
      </c>
      <c r="H27" s="18">
        <f>WORKDAY.INTL(D27,INT(G27/1440),"0001100") + MOD(G27/1440,1)</f>
        <v>45852.826388888891</v>
      </c>
      <c r="I27" s="18"/>
      <c r="S27" s="16">
        <f>5*24</f>
        <v>120</v>
      </c>
      <c r="T27" s="7" t="s">
        <v>18</v>
      </c>
    </row>
    <row r="28" spans="1:20" x14ac:dyDescent="0.2">
      <c r="A28">
        <v>9</v>
      </c>
      <c r="B28" t="s">
        <v>4</v>
      </c>
      <c r="C28">
        <v>43</v>
      </c>
      <c r="D28" s="18">
        <v>45851</v>
      </c>
      <c r="E28" s="18">
        <v>45861</v>
      </c>
      <c r="F28" t="s">
        <v>21</v>
      </c>
      <c r="G28">
        <f>VLOOKUP(RIGHT(B28,1), {"A",43;"B",42;"C",50;"D",45}, 2, FALSE) * C28 + 50</f>
        <v>1899</v>
      </c>
      <c r="H28" s="18">
        <f>WORKDAY.INTL(D28,INT(G28/1440),"0001100") + MOD(G28/1440,1)</f>
        <v>45852.318749999999</v>
      </c>
      <c r="I28" s="18"/>
      <c r="S28" s="16">
        <v>7200</v>
      </c>
      <c r="T28" s="7" t="s">
        <v>26</v>
      </c>
    </row>
    <row r="29" spans="1:20" ht="15" thickBot="1" x14ac:dyDescent="0.25">
      <c r="A29">
        <v>7</v>
      </c>
      <c r="B29" t="s">
        <v>5</v>
      </c>
      <c r="C29">
        <v>34</v>
      </c>
      <c r="D29" s="18">
        <v>45851</v>
      </c>
      <c r="E29" s="18">
        <v>45861</v>
      </c>
      <c r="F29" t="s">
        <v>21</v>
      </c>
      <c r="G29">
        <f>VLOOKUP(RIGHT(B29,1), {"A",43;"B",42;"C",50;"D",45}, 2, FALSE) * C29 + 50</f>
        <v>1478</v>
      </c>
      <c r="H29" s="18">
        <f>WORKDAY.INTL(D29,INT(G29/1440),"0001100") + MOD(G29/1440,1)</f>
        <v>45852.026388888888</v>
      </c>
      <c r="I29" s="18"/>
      <c r="S29" s="17"/>
      <c r="T29" s="9"/>
    </row>
    <row r="30" spans="1:20" x14ac:dyDescent="0.2">
      <c r="A30">
        <v>44</v>
      </c>
      <c r="B30" t="s">
        <v>5</v>
      </c>
      <c r="C30">
        <v>126</v>
      </c>
      <c r="D30" s="18">
        <v>45851</v>
      </c>
      <c r="E30" s="18">
        <v>45861</v>
      </c>
      <c r="F30" t="s">
        <v>21</v>
      </c>
      <c r="G30">
        <f>VLOOKUP(RIGHT(B30,1), {"A",43;"B",42;"C",50;"D",45}, 2, FALSE) * C30 + 50</f>
        <v>5342</v>
      </c>
      <c r="H30" s="18">
        <f>WORKDAY.INTL(D30,INT(G30/1440),"0001100") + MOD(G30/1440,1)</f>
        <v>45854.709722222222</v>
      </c>
      <c r="I30" s="18"/>
    </row>
    <row r="31" spans="1:20" x14ac:dyDescent="0.2">
      <c r="A31">
        <v>30</v>
      </c>
      <c r="B31" t="s">
        <v>5</v>
      </c>
      <c r="C31">
        <v>96</v>
      </c>
      <c r="D31" s="18">
        <v>45851</v>
      </c>
      <c r="E31" s="18">
        <v>45865</v>
      </c>
      <c r="F31" t="s">
        <v>20</v>
      </c>
      <c r="G31">
        <f>VLOOKUP(RIGHT(B31,1), {"A",43;"B",42;"C",50;"D",45}, 2, FALSE) * C31 + 50</f>
        <v>4082</v>
      </c>
      <c r="H31" s="18">
        <f>WORKDAY.INTL(D31,INT(G31/1440),"0001100") + MOD(G31/1440,1)</f>
        <v>45853.834722222222</v>
      </c>
      <c r="I31" s="18"/>
    </row>
    <row r="32" spans="1:20" x14ac:dyDescent="0.2">
      <c r="A32">
        <v>47</v>
      </c>
      <c r="B32" t="s">
        <v>6</v>
      </c>
      <c r="C32">
        <v>138</v>
      </c>
      <c r="D32" s="18">
        <v>45851</v>
      </c>
      <c r="E32" s="18">
        <v>45865</v>
      </c>
      <c r="F32" t="s">
        <v>22</v>
      </c>
      <c r="G32">
        <f>VLOOKUP(RIGHT(B32,1), {"A",43;"B",42;"C",50;"D",45}, 2, FALSE) * C32 + 50</f>
        <v>6950</v>
      </c>
      <c r="H32" s="18">
        <f>WORKDAY.INTL(D32,INT(G32/1440),"0001100") + MOD(G32/1440,1)</f>
        <v>45857.826388888891</v>
      </c>
      <c r="I32" s="18"/>
    </row>
    <row r="33" spans="1:9" x14ac:dyDescent="0.2">
      <c r="A33">
        <v>35</v>
      </c>
      <c r="B33" t="s">
        <v>4</v>
      </c>
      <c r="C33">
        <v>121</v>
      </c>
      <c r="D33" s="18">
        <v>45851</v>
      </c>
      <c r="E33" s="18">
        <v>45866</v>
      </c>
      <c r="F33" t="s">
        <v>22</v>
      </c>
      <c r="G33">
        <f>VLOOKUP(RIGHT(B33,1), {"A",43;"B",42;"C",50;"D",45}, 2, FALSE) * C33 + 50</f>
        <v>5253</v>
      </c>
      <c r="H33" s="18">
        <f>WORKDAY.INTL(D33,INT(G33/1440),"0001100") + MOD(G33/1440,1)</f>
        <v>45854.647916666669</v>
      </c>
      <c r="I33" s="18"/>
    </row>
    <row r="34" spans="1:9" x14ac:dyDescent="0.2">
      <c r="A34">
        <v>34</v>
      </c>
      <c r="B34" t="s">
        <v>5</v>
      </c>
      <c r="C34">
        <v>99</v>
      </c>
      <c r="D34" s="18">
        <v>45851</v>
      </c>
      <c r="E34" s="18">
        <v>45866</v>
      </c>
      <c r="F34" t="s">
        <v>21</v>
      </c>
      <c r="G34">
        <f>VLOOKUP(RIGHT(B34,1), {"A",43;"B",42;"C",50;"D",45}, 2, FALSE) * C34 + 50</f>
        <v>4208</v>
      </c>
      <c r="H34" s="18">
        <f>WORKDAY.INTL(D34,INT(G34/1440),"0001100") + MOD(G34/1440,1)</f>
        <v>45853.922222222223</v>
      </c>
      <c r="I34" s="18"/>
    </row>
    <row r="35" spans="1:9" x14ac:dyDescent="0.2">
      <c r="A35">
        <v>48</v>
      </c>
      <c r="B35" t="s">
        <v>6</v>
      </c>
      <c r="C35">
        <v>140</v>
      </c>
      <c r="D35" s="18">
        <v>45851</v>
      </c>
      <c r="E35" s="18">
        <v>45866</v>
      </c>
      <c r="F35" t="s">
        <v>21</v>
      </c>
      <c r="G35">
        <f>VLOOKUP(RIGHT(B35,1), {"A",43;"B",42;"C",50;"D",45}, 2, FALSE) * C35 + 50</f>
        <v>7050</v>
      </c>
      <c r="H35" s="18">
        <f>WORKDAY.INTL(D35,INT(G35/1440),"0001100") + MOD(G35/1440,1)</f>
        <v>45857.895833333336</v>
      </c>
      <c r="I35" s="18"/>
    </row>
    <row r="36" spans="1:9" x14ac:dyDescent="0.2">
      <c r="A36">
        <v>46</v>
      </c>
      <c r="B36" t="s">
        <v>6</v>
      </c>
      <c r="C36">
        <v>127</v>
      </c>
      <c r="D36" s="18">
        <v>45851</v>
      </c>
      <c r="E36" s="18">
        <v>45866</v>
      </c>
      <c r="F36" t="s">
        <v>19</v>
      </c>
      <c r="G36">
        <f>VLOOKUP(RIGHT(B36,1), {"A",43;"B",42;"C",50;"D",45}, 2, FALSE) * C36 + 50</f>
        <v>6400</v>
      </c>
      <c r="H36" s="18">
        <f>WORKDAY.INTL(D36,INT(G36/1440),"0001100") + MOD(G36/1440,1)</f>
        <v>45857.444444444445</v>
      </c>
      <c r="I36" s="18"/>
    </row>
    <row r="37" spans="1:9" x14ac:dyDescent="0.2">
      <c r="A37">
        <v>37</v>
      </c>
      <c r="B37" t="s">
        <v>7</v>
      </c>
      <c r="C37">
        <v>90</v>
      </c>
      <c r="D37" s="18">
        <v>45851</v>
      </c>
      <c r="E37" s="18">
        <v>45867</v>
      </c>
      <c r="F37" t="s">
        <v>20</v>
      </c>
      <c r="G37">
        <f>VLOOKUP(RIGHT(B37,1), {"A",43;"B",42;"C",50;"D",45}, 2, FALSE) * C37 + 50</f>
        <v>4100</v>
      </c>
      <c r="H37" s="18">
        <f>WORKDAY.INTL(D37,INT(G37/1440),"0001100") + MOD(G37/1440,1)</f>
        <v>45853.847222222219</v>
      </c>
      <c r="I37" s="18"/>
    </row>
    <row r="38" spans="1:9" x14ac:dyDescent="0.2">
      <c r="A38">
        <v>11</v>
      </c>
      <c r="B38" t="s">
        <v>4</v>
      </c>
      <c r="C38">
        <v>44</v>
      </c>
      <c r="D38" s="18">
        <v>45851</v>
      </c>
      <c r="E38" s="18">
        <v>45867</v>
      </c>
      <c r="F38" t="s">
        <v>22</v>
      </c>
      <c r="G38">
        <f>VLOOKUP(RIGHT(B38,1), {"A",43;"B",42;"C",50;"D",45}, 2, FALSE) * C38 + 50</f>
        <v>1942</v>
      </c>
      <c r="H38" s="18">
        <f>WORKDAY.INTL(D38,INT(G38/1440),"0001100") + MOD(G38/1440,1)</f>
        <v>45852.348611111112</v>
      </c>
      <c r="I38" s="18"/>
    </row>
    <row r="39" spans="1:9" x14ac:dyDescent="0.2">
      <c r="A39">
        <v>13</v>
      </c>
      <c r="B39" t="s">
        <v>6</v>
      </c>
      <c r="C39">
        <v>33</v>
      </c>
      <c r="D39" s="18">
        <v>45851</v>
      </c>
      <c r="E39" s="18">
        <v>45868</v>
      </c>
      <c r="F39" t="s">
        <v>20</v>
      </c>
      <c r="G39">
        <f>VLOOKUP(RIGHT(B39,1), {"A",43;"B",42;"C",50;"D",45}, 2, FALSE) * C39 + 50</f>
        <v>1700</v>
      </c>
      <c r="H39" s="18">
        <f>WORKDAY.INTL(D39,INT(G39/1440),"0001100") + MOD(G39/1440,1)</f>
        <v>45852.180555555555</v>
      </c>
      <c r="I39" s="18"/>
    </row>
    <row r="40" spans="1:9" x14ac:dyDescent="0.2">
      <c r="A40">
        <v>39</v>
      </c>
      <c r="B40" t="s">
        <v>7</v>
      </c>
      <c r="C40">
        <v>100</v>
      </c>
      <c r="D40" s="18">
        <v>45851</v>
      </c>
      <c r="E40" s="18">
        <v>45868</v>
      </c>
      <c r="F40" t="s">
        <v>22</v>
      </c>
      <c r="G40">
        <f>VLOOKUP(RIGHT(B40,1), {"A",43;"B",42;"C",50;"D",45}, 2, FALSE) * C40 + 50</f>
        <v>4550</v>
      </c>
      <c r="H40" s="18">
        <f>WORKDAY.INTL(D40,INT(G40/1440),"0001100") + MOD(G40/1440,1)</f>
        <v>45854.159722222219</v>
      </c>
      <c r="I40" s="18"/>
    </row>
    <row r="41" spans="1:9" x14ac:dyDescent="0.2">
      <c r="A41">
        <v>18</v>
      </c>
      <c r="B41" t="s">
        <v>5</v>
      </c>
      <c r="C41">
        <v>46</v>
      </c>
      <c r="D41" s="18">
        <v>45851</v>
      </c>
      <c r="E41" s="18">
        <v>45872</v>
      </c>
      <c r="F41" t="s">
        <v>20</v>
      </c>
      <c r="G41">
        <f>VLOOKUP(RIGHT(B41,1), {"A",43;"B",42;"C",50;"D",45}, 2, FALSE) * C41 + 50</f>
        <v>1982</v>
      </c>
      <c r="H41" s="18">
        <f>WORKDAY.INTL(D41,INT(G41/1440),"0001100") + MOD(G41/1440,1)</f>
        <v>45852.376388888886</v>
      </c>
      <c r="I41" s="18"/>
    </row>
    <row r="42" spans="1:9" x14ac:dyDescent="0.2">
      <c r="A42">
        <v>21</v>
      </c>
      <c r="B42" t="s">
        <v>4</v>
      </c>
      <c r="C42">
        <v>61</v>
      </c>
      <c r="D42" s="18">
        <v>45851</v>
      </c>
      <c r="E42" s="18">
        <v>45872</v>
      </c>
      <c r="F42" t="s">
        <v>21</v>
      </c>
      <c r="G42">
        <f>VLOOKUP(RIGHT(B42,1), {"A",43;"B",42;"C",50;"D",45}, 2, FALSE) * C42 + 50</f>
        <v>2673</v>
      </c>
      <c r="H42" s="18">
        <f>WORKDAY.INTL(D42,INT(G42/1440),"0001100") + MOD(G42/1440,1)</f>
        <v>45852.856249999997</v>
      </c>
      <c r="I42" s="18"/>
    </row>
    <row r="43" spans="1:9" x14ac:dyDescent="0.2">
      <c r="A43">
        <v>2</v>
      </c>
      <c r="B43" t="s">
        <v>6</v>
      </c>
      <c r="C43">
        <v>21</v>
      </c>
      <c r="D43" s="18">
        <v>45851</v>
      </c>
      <c r="E43" s="18">
        <v>45874</v>
      </c>
      <c r="F43" t="s">
        <v>20</v>
      </c>
      <c r="G43">
        <f>VLOOKUP(RIGHT(B43,1), {"A",43;"B",42;"C",50;"D",45}, 2, FALSE) * C43 + 50</f>
        <v>1100</v>
      </c>
      <c r="H43" s="18">
        <f>WORKDAY.INTL(D43,INT(G43/1440),"0001100") + MOD(G43/1440,1)</f>
        <v>45851.763888888891</v>
      </c>
      <c r="I43" s="18"/>
    </row>
    <row r="44" spans="1:9" x14ac:dyDescent="0.2">
      <c r="A44">
        <v>15</v>
      </c>
      <c r="B44" t="s">
        <v>4</v>
      </c>
      <c r="C44">
        <v>54</v>
      </c>
      <c r="D44" s="18">
        <v>45851</v>
      </c>
      <c r="E44" s="18">
        <v>45875</v>
      </c>
      <c r="F44" t="s">
        <v>20</v>
      </c>
      <c r="G44">
        <f>VLOOKUP(RIGHT(B44,1), {"A",43;"B",42;"C",50;"D",45}, 2, FALSE) * C44 + 50</f>
        <v>2372</v>
      </c>
      <c r="H44" s="18">
        <f>WORKDAY.INTL(D44,INT(G44/1440),"0001100") + MOD(G44/1440,1)</f>
        <v>45852.647222222222</v>
      </c>
      <c r="I44" s="18"/>
    </row>
    <row r="45" spans="1:9" x14ac:dyDescent="0.2">
      <c r="A45">
        <v>23</v>
      </c>
      <c r="B45" t="s">
        <v>7</v>
      </c>
      <c r="C45">
        <v>55</v>
      </c>
      <c r="D45" s="18">
        <v>45851</v>
      </c>
      <c r="E45" s="18">
        <v>45875</v>
      </c>
      <c r="F45" t="s">
        <v>20</v>
      </c>
      <c r="G45">
        <f>VLOOKUP(RIGHT(B45,1), {"A",43;"B",42;"C",50;"D",45}, 2, FALSE) * C45 + 50</f>
        <v>2525</v>
      </c>
      <c r="H45" s="18">
        <f>WORKDAY.INTL(D45,INT(G45/1440),"0001100") + MOD(G45/1440,1)</f>
        <v>45852.753472222219</v>
      </c>
      <c r="I45" s="18"/>
    </row>
    <row r="46" spans="1:9" x14ac:dyDescent="0.2">
      <c r="A46">
        <v>4</v>
      </c>
      <c r="B46" t="s">
        <v>4</v>
      </c>
      <c r="C46">
        <v>32</v>
      </c>
      <c r="D46" s="18">
        <v>45851</v>
      </c>
      <c r="E46" s="18">
        <v>45876</v>
      </c>
      <c r="F46" t="s">
        <v>22</v>
      </c>
      <c r="G46">
        <f>VLOOKUP(RIGHT(B46,1), {"A",43;"B",42;"C",50;"D",45}, 2, FALSE) * C46 + 50</f>
        <v>1426</v>
      </c>
      <c r="H46" s="18">
        <f>WORKDAY.INTL(D46,INT(G46/1440),"0001100") + MOD(G46/1440,1)</f>
        <v>45851.990277777775</v>
      </c>
      <c r="I46" s="18"/>
    </row>
    <row r="47" spans="1:9" x14ac:dyDescent="0.2">
      <c r="A47">
        <v>24</v>
      </c>
      <c r="B47" t="s">
        <v>5</v>
      </c>
      <c r="C47">
        <v>66</v>
      </c>
      <c r="D47" s="18">
        <v>45851</v>
      </c>
      <c r="E47" s="18">
        <v>45876</v>
      </c>
      <c r="F47" t="s">
        <v>19</v>
      </c>
      <c r="G47">
        <f>VLOOKUP(RIGHT(B47,1), {"A",43;"B",42;"C",50;"D",45}, 2, FALSE) * C47 + 50</f>
        <v>2822</v>
      </c>
      <c r="H47" s="18">
        <f>WORKDAY.INTL(D47,INT(G47/1440),"0001100") + MOD(G47/1440,1)</f>
        <v>45852.959722222222</v>
      </c>
      <c r="I47" s="18"/>
    </row>
    <row r="48" spans="1:9" x14ac:dyDescent="0.2">
      <c r="A48">
        <v>1</v>
      </c>
      <c r="B48" t="s">
        <v>5</v>
      </c>
      <c r="C48">
        <v>23</v>
      </c>
      <c r="D48" s="18">
        <v>45851</v>
      </c>
      <c r="E48" s="18">
        <v>45879</v>
      </c>
      <c r="F48" t="s">
        <v>21</v>
      </c>
      <c r="G48">
        <f>VLOOKUP(RIGHT(B48,1), {"A",43;"B",42;"C",50;"D",45}, 2, FALSE) * C48 + 50</f>
        <v>1016</v>
      </c>
      <c r="H48" s="18">
        <f>WORKDAY.INTL(D48,INT(G48/1440),"0001100") + MOD(G48/1440,1)</f>
        <v>45851.705555555556</v>
      </c>
      <c r="I48" s="18"/>
    </row>
    <row r="49" spans="1:9" x14ac:dyDescent="0.2">
      <c r="A49">
        <v>31</v>
      </c>
      <c r="B49" t="s">
        <v>4</v>
      </c>
      <c r="C49">
        <v>117</v>
      </c>
      <c r="D49" s="18">
        <v>45851</v>
      </c>
      <c r="E49" s="18">
        <v>45879</v>
      </c>
      <c r="F49" t="s">
        <v>19</v>
      </c>
      <c r="G49">
        <f>VLOOKUP(RIGHT(B49,1), {"A",43;"B",42;"C",50;"D",45}, 2, FALSE) * C49 + 50</f>
        <v>5081</v>
      </c>
      <c r="H49" s="18">
        <f>WORKDAY.INTL(D49,INT(G49/1440),"0001100") + MOD(G49/1440,1)</f>
        <v>45854.52847222222</v>
      </c>
      <c r="I49" s="18"/>
    </row>
    <row r="50" spans="1:9" x14ac:dyDescent="0.2">
      <c r="A50">
        <v>22</v>
      </c>
      <c r="B50" t="s">
        <v>6</v>
      </c>
      <c r="C50">
        <v>48</v>
      </c>
      <c r="D50" s="18">
        <v>45851</v>
      </c>
      <c r="E50" s="18">
        <v>45880</v>
      </c>
      <c r="F50" t="s">
        <v>22</v>
      </c>
      <c r="G50">
        <f>VLOOKUP(RIGHT(B50,1), {"A",43;"B",42;"C",50;"D",45}, 2, FALSE) * C50 + 50</f>
        <v>2450</v>
      </c>
      <c r="H50" s="18">
        <f>WORKDAY.INTL(D50,INT(G50/1440),"0001100") + MOD(G50/1440,1)</f>
        <v>45852.701388888891</v>
      </c>
      <c r="I50" s="18"/>
    </row>
    <row r="51" spans="1:9" x14ac:dyDescent="0.2">
      <c r="A51">
        <v>26</v>
      </c>
      <c r="B51" t="s">
        <v>4</v>
      </c>
      <c r="C51">
        <v>95</v>
      </c>
      <c r="D51" s="18">
        <v>45851</v>
      </c>
      <c r="E51" s="18">
        <v>45881</v>
      </c>
      <c r="F51" t="s">
        <v>20</v>
      </c>
      <c r="G51">
        <f>VLOOKUP(RIGHT(B51,1), {"A",43;"B",42;"C",50;"D",45}, 2, FALSE) * C51 + 50</f>
        <v>4135</v>
      </c>
      <c r="H51" s="18">
        <f>WORKDAY.INTL(D51,INT(G51/1440),"0001100") + MOD(G51/1440,1)</f>
        <v>45853.871527777781</v>
      </c>
      <c r="I51" s="18"/>
    </row>
    <row r="52" spans="1:9" x14ac:dyDescent="0.2">
      <c r="A52">
        <v>27</v>
      </c>
      <c r="B52" t="s">
        <v>5</v>
      </c>
      <c r="C52">
        <v>84</v>
      </c>
      <c r="D52" s="18">
        <v>45851</v>
      </c>
      <c r="E52" s="18">
        <v>45883</v>
      </c>
      <c r="F52" t="s">
        <v>21</v>
      </c>
      <c r="G52">
        <f>VLOOKUP(RIGHT(B52,1), {"A",43;"B",42;"C",50;"D",45}, 2, FALSE) * C52 + 50</f>
        <v>3578</v>
      </c>
      <c r="H52" s="18">
        <f>WORKDAY.INTL(D52,INT(G52/1440),"0001100") + MOD(G52/1440,1)</f>
        <v>45853.484722222223</v>
      </c>
      <c r="I52" s="18"/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E18FF-6F7D-4F95-A54A-93C013A0C465}">
  <dimension ref="A1:V52"/>
  <sheetViews>
    <sheetView rightToLeft="1" tabSelected="1" topLeftCell="A25" workbookViewId="0">
      <selection activeCell="D2" sqref="D2"/>
    </sheetView>
  </sheetViews>
  <sheetFormatPr defaultRowHeight="14.25" x14ac:dyDescent="0.2"/>
  <cols>
    <col min="1" max="1" width="10.75" bestFit="1" customWidth="1"/>
    <col min="2" max="2" width="8.5" bestFit="1" customWidth="1"/>
    <col min="3" max="3" width="8.625" bestFit="1" customWidth="1"/>
    <col min="4" max="4" width="15.75" bestFit="1" customWidth="1"/>
    <col min="5" max="5" width="17.75" customWidth="1"/>
    <col min="6" max="6" width="8" bestFit="1" customWidth="1"/>
    <col min="7" max="7" width="11.25" bestFit="1" customWidth="1"/>
    <col min="8" max="8" width="11.375" bestFit="1" customWidth="1"/>
    <col min="9" max="9" width="15" bestFit="1" customWidth="1"/>
    <col min="10" max="10" width="16.375" bestFit="1" customWidth="1"/>
    <col min="11" max="11" width="17" bestFit="1" customWidth="1"/>
    <col min="12" max="12" width="14.75" bestFit="1" customWidth="1"/>
    <col min="13" max="13" width="14.625" customWidth="1"/>
  </cols>
  <sheetData>
    <row r="1" spans="1:18" ht="15.75" thickBot="1" x14ac:dyDescent="0.25">
      <c r="A1" t="s">
        <v>23</v>
      </c>
      <c r="B1" s="1" t="s">
        <v>0</v>
      </c>
      <c r="C1" s="2" t="s">
        <v>1</v>
      </c>
      <c r="D1" s="2" t="s">
        <v>28</v>
      </c>
      <c r="E1" s="2" t="s">
        <v>2</v>
      </c>
      <c r="F1" s="2" t="s">
        <v>3</v>
      </c>
      <c r="G1" s="26" t="s">
        <v>29</v>
      </c>
      <c r="H1" s="26" t="s">
        <v>36</v>
      </c>
      <c r="I1" s="26" t="s">
        <v>38</v>
      </c>
      <c r="J1" s="26" t="s">
        <v>37</v>
      </c>
      <c r="K1" s="23"/>
      <c r="L1" s="24" t="s">
        <v>0</v>
      </c>
      <c r="M1" s="5" t="s">
        <v>13</v>
      </c>
      <c r="N1" s="5" t="s">
        <v>12</v>
      </c>
      <c r="O1" s="5" t="s">
        <v>14</v>
      </c>
      <c r="P1" s="5" t="s">
        <v>15</v>
      </c>
      <c r="Q1" s="5" t="s">
        <v>16</v>
      </c>
      <c r="R1" t="s">
        <v>30</v>
      </c>
    </row>
    <row r="2" spans="1:18" ht="15" thickBot="1" x14ac:dyDescent="0.25">
      <c r="A2">
        <v>19</v>
      </c>
      <c r="B2" t="s">
        <v>5</v>
      </c>
      <c r="C2">
        <v>50</v>
      </c>
      <c r="D2" s="18">
        <v>45809</v>
      </c>
      <c r="E2" s="18">
        <v>45851</v>
      </c>
      <c r="F2" t="s">
        <v>20</v>
      </c>
      <c r="G2">
        <f xml:space="preserve"> C2 * SUM( INDEX($M$2:$Q$5, MATCH(B2, $L$2:$L$5, 0), 0) ) + 50 * $H2</f>
        <v>2150</v>
      </c>
      <c r="H2">
        <f>IF(OR(ROW()=2, B2&lt;&gt;B1, F2&lt;&gt;F1), 1, 0)</f>
        <v>1</v>
      </c>
      <c r="I2">
        <f t="shared" ref="I2:I33" si="0">G2</f>
        <v>2150</v>
      </c>
      <c r="J2" s="18">
        <f t="shared" ref="J2:J33" si="1">WORKDAY.INTL($D$2, INT($I2/1440), 7) + MOD($I2/1440, 1)</f>
        <v>45810.493055555555</v>
      </c>
      <c r="K2" s="18"/>
      <c r="L2" s="25" t="s">
        <v>4</v>
      </c>
      <c r="M2" s="11">
        <v>5</v>
      </c>
      <c r="N2" s="3">
        <v>8</v>
      </c>
      <c r="O2" s="3">
        <v>14</v>
      </c>
      <c r="P2" s="3">
        <v>6</v>
      </c>
      <c r="Q2" s="10">
        <v>10</v>
      </c>
      <c r="R2">
        <f>SUM(M2:Q2)</f>
        <v>43</v>
      </c>
    </row>
    <row r="3" spans="1:18" ht="15" thickBot="1" x14ac:dyDescent="0.25">
      <c r="A3">
        <v>28</v>
      </c>
      <c r="B3" t="s">
        <v>5</v>
      </c>
      <c r="C3">
        <v>87</v>
      </c>
      <c r="D3" s="18">
        <v>45809</v>
      </c>
      <c r="E3" s="18">
        <v>45851</v>
      </c>
      <c r="F3" t="s">
        <v>20</v>
      </c>
      <c r="G3">
        <f xml:space="preserve"> C3 * SUM( INDEX($M$2:$Q$5, MATCH(B3, $L$2:$L$5, 0), 0) ) + 50 * $H3</f>
        <v>3654</v>
      </c>
      <c r="H3">
        <f>IF(OR(ROW()=2, B3&lt;&gt;B2, F3&lt;&gt;F2), 1, 0)</f>
        <v>0</v>
      </c>
      <c r="I3" s="35">
        <f>G3+ I2</f>
        <v>5804</v>
      </c>
      <c r="J3" s="18">
        <f t="shared" si="1"/>
        <v>45813.030555555553</v>
      </c>
      <c r="K3" s="18"/>
      <c r="L3" s="25" t="s">
        <v>5</v>
      </c>
      <c r="M3" s="12">
        <v>7</v>
      </c>
      <c r="N3" s="4">
        <v>6</v>
      </c>
      <c r="O3" s="4">
        <v>11</v>
      </c>
      <c r="P3" s="4">
        <v>6</v>
      </c>
      <c r="Q3" s="7">
        <v>12</v>
      </c>
      <c r="R3">
        <f>SUM(M3:Q3)</f>
        <v>42</v>
      </c>
    </row>
    <row r="4" spans="1:18" ht="15" thickBot="1" x14ac:dyDescent="0.25">
      <c r="A4">
        <v>42</v>
      </c>
      <c r="B4" t="s">
        <v>5</v>
      </c>
      <c r="C4">
        <v>120</v>
      </c>
      <c r="D4" s="18">
        <v>45809</v>
      </c>
      <c r="E4" s="18">
        <v>45851</v>
      </c>
      <c r="F4" t="s">
        <v>20</v>
      </c>
      <c r="G4">
        <f xml:space="preserve"> C4 * SUM( INDEX($M$2:$Q$5, MATCH(B4, $L$2:$L$5, 0), 0) ) + 50 * $H4</f>
        <v>5040</v>
      </c>
      <c r="H4">
        <f>IF(OR(ROW()=2, B4&lt;&gt;B3, F4&lt;&gt;F3), 1, 0)</f>
        <v>0</v>
      </c>
      <c r="I4" s="35">
        <f t="shared" ref="I4:I52" si="2">G4+ I3</f>
        <v>10844</v>
      </c>
      <c r="J4" s="18">
        <f t="shared" si="1"/>
        <v>45818.530555555553</v>
      </c>
      <c r="K4" s="18"/>
      <c r="L4" s="25" t="s">
        <v>6</v>
      </c>
      <c r="M4" s="12">
        <v>10</v>
      </c>
      <c r="N4" s="4">
        <v>10</v>
      </c>
      <c r="O4" s="4">
        <v>10</v>
      </c>
      <c r="P4" s="4">
        <v>6</v>
      </c>
      <c r="Q4" s="7">
        <v>14</v>
      </c>
      <c r="R4">
        <f>SUM(M4:Q4)</f>
        <v>50</v>
      </c>
    </row>
    <row r="5" spans="1:18" ht="15" thickBot="1" x14ac:dyDescent="0.25">
      <c r="A5">
        <v>43</v>
      </c>
      <c r="B5" t="s">
        <v>6</v>
      </c>
      <c r="C5">
        <v>104</v>
      </c>
      <c r="D5" s="18">
        <v>45809</v>
      </c>
      <c r="E5" s="18">
        <v>45851</v>
      </c>
      <c r="F5" t="s">
        <v>20</v>
      </c>
      <c r="G5">
        <f xml:space="preserve"> C5 * SUM( INDEX($M$2:$Q$5, MATCH(B5, $L$2:$L$5, 0), 0) ) + 50 * $H5</f>
        <v>5250</v>
      </c>
      <c r="H5">
        <f>IF(OR(ROW()=2, B5&lt;&gt;B4, F5&lt;&gt;F4), 1, 0)</f>
        <v>1</v>
      </c>
      <c r="I5" s="35">
        <f t="shared" si="2"/>
        <v>16094</v>
      </c>
      <c r="J5" s="18">
        <f t="shared" si="1"/>
        <v>45824.176388888889</v>
      </c>
      <c r="K5" s="18"/>
      <c r="L5" s="25" t="s">
        <v>7</v>
      </c>
      <c r="M5" s="13">
        <v>6</v>
      </c>
      <c r="N5" s="8">
        <v>7</v>
      </c>
      <c r="O5" s="8">
        <v>12</v>
      </c>
      <c r="P5" s="8">
        <v>6</v>
      </c>
      <c r="Q5" s="9">
        <v>14</v>
      </c>
      <c r="R5">
        <f>SUM(M5:Q5)</f>
        <v>45</v>
      </c>
    </row>
    <row r="6" spans="1:18" x14ac:dyDescent="0.2">
      <c r="A6">
        <v>16</v>
      </c>
      <c r="B6" t="s">
        <v>7</v>
      </c>
      <c r="C6">
        <v>39</v>
      </c>
      <c r="D6" s="18">
        <v>45809</v>
      </c>
      <c r="E6" s="18">
        <v>45851</v>
      </c>
      <c r="F6" t="s">
        <v>20</v>
      </c>
      <c r="G6">
        <f xml:space="preserve"> C6 * SUM( INDEX($M$2:$Q$5, MATCH(B6, $L$2:$L$5, 0), 0) ) + 50 * $H6</f>
        <v>1805</v>
      </c>
      <c r="H6">
        <f>IF(OR(ROW()=2, B6&lt;&gt;B5, F6&lt;&gt;F5), 1, 0)</f>
        <v>1</v>
      </c>
      <c r="I6" s="35">
        <f t="shared" si="2"/>
        <v>17899</v>
      </c>
      <c r="J6" s="18">
        <f t="shared" si="1"/>
        <v>45825.429861111108</v>
      </c>
      <c r="K6" s="18"/>
      <c r="L6" s="30"/>
      <c r="M6" s="19"/>
      <c r="N6" s="31"/>
      <c r="O6" s="31"/>
      <c r="P6" s="31"/>
      <c r="Q6" s="32"/>
      <c r="R6" s="27"/>
    </row>
    <row r="7" spans="1:18" x14ac:dyDescent="0.2">
      <c r="A7">
        <v>17</v>
      </c>
      <c r="B7" t="s">
        <v>7</v>
      </c>
      <c r="C7">
        <v>39</v>
      </c>
      <c r="D7" s="18">
        <v>45809</v>
      </c>
      <c r="E7" s="18">
        <v>45851</v>
      </c>
      <c r="F7" t="s">
        <v>20</v>
      </c>
      <c r="G7">
        <f xml:space="preserve"> C7 * SUM( INDEX($M$2:$Q$5, MATCH(B7, $L$2:$L$5, 0), 0) ) + 50 * $H7</f>
        <v>1755</v>
      </c>
      <c r="H7">
        <f>IF(OR(ROW()=2, B7&lt;&gt;B6, F7&lt;&gt;F6), 1, 0)</f>
        <v>0</v>
      </c>
      <c r="I7" s="35">
        <f t="shared" si="2"/>
        <v>19654</v>
      </c>
      <c r="J7" s="18">
        <f t="shared" si="1"/>
        <v>45826.648611111108</v>
      </c>
      <c r="K7" s="18"/>
      <c r="L7" t="s">
        <v>33</v>
      </c>
      <c r="M7" cm="1">
        <f t="array" ref="M7">SUMPRODUCT($C$2:$C$52 * VLOOKUP($B$2:$B$52, $L$2:$Q$5, 2, FALSE))
 + 10 * SUM($H$2:$H$52)</f>
        <v>28738</v>
      </c>
      <c r="N7" cm="1">
        <f t="array" ref="N7">SUMPRODUCT($C$2:$C$52 * VLOOKUP($B$2:$B$52, $L$2:$Q$5, 3, FALSE))
 + 10 * SUM($H$2:$H$52)</f>
        <v>31751</v>
      </c>
      <c r="O7" cm="1">
        <f t="array" ref="O7">SUMPRODUCT($C$2:$C$52 * VLOOKUP($B$2:$B$52, $L$2:$Q$5, 4, FALSE))
 + 10 * SUM($H$2:$H$52)</f>
        <v>46938</v>
      </c>
      <c r="P7" cm="1">
        <f t="array" ref="P7">SUMPRODUCT($C$2:$C$52 * VLOOKUP($B$2:$B$52, $L$2:$Q$5, 5, FALSE))
 + 10 * SUM($H$2:$H$52)</f>
        <v>24272</v>
      </c>
      <c r="Q7" cm="1">
        <f t="array" ref="Q7">SUMPRODUCT($C$2:$C$52 * VLOOKUP($B$2:$B$52, $L$2:$Q$5, 6, FALSE))
 + 10 * SUM($H$2:$H$52)</f>
        <v>50096</v>
      </c>
      <c r="R7">
        <f>SUM(N7:Q7)</f>
        <v>153057</v>
      </c>
    </row>
    <row r="8" spans="1:18" x14ac:dyDescent="0.2">
      <c r="A8">
        <v>50</v>
      </c>
      <c r="B8" t="s">
        <v>7</v>
      </c>
      <c r="C8">
        <v>148</v>
      </c>
      <c r="D8" s="18">
        <v>45809</v>
      </c>
      <c r="E8" s="18">
        <v>45851</v>
      </c>
      <c r="F8" t="s">
        <v>20</v>
      </c>
      <c r="G8">
        <f xml:space="preserve"> C8 * SUM( INDEX($M$2:$Q$5, MATCH(B8, $L$2:$L$5, 0), 0) ) + 50 * $H8</f>
        <v>6660</v>
      </c>
      <c r="H8">
        <f>IF(OR(ROW()=2, B8&lt;&gt;B7, F8&lt;&gt;F7), 1, 0)</f>
        <v>0</v>
      </c>
      <c r="I8" s="35">
        <f t="shared" si="2"/>
        <v>26314</v>
      </c>
      <c r="J8" s="18">
        <f t="shared" si="1"/>
        <v>45833.273611111108</v>
      </c>
      <c r="K8" s="18"/>
      <c r="L8" s="27"/>
    </row>
    <row r="9" spans="1:18" x14ac:dyDescent="0.2">
      <c r="A9">
        <v>49</v>
      </c>
      <c r="B9" t="s">
        <v>7</v>
      </c>
      <c r="C9">
        <v>143</v>
      </c>
      <c r="D9" s="18">
        <v>45809</v>
      </c>
      <c r="E9" s="18">
        <v>45851</v>
      </c>
      <c r="F9" t="s">
        <v>22</v>
      </c>
      <c r="G9">
        <f xml:space="preserve"> C9 * SUM( INDEX($M$2:$Q$5, MATCH(B9, $L$2:$L$5, 0), 0) ) + 50 * $H9</f>
        <v>6485</v>
      </c>
      <c r="H9">
        <f>IF(OR(ROW()=2, B9&lt;&gt;B8, F9&lt;&gt;F8), 1, 0)</f>
        <v>1</v>
      </c>
      <c r="I9" s="35">
        <f t="shared" si="2"/>
        <v>32799</v>
      </c>
      <c r="J9" s="18">
        <f t="shared" si="1"/>
        <v>45839.777083333334</v>
      </c>
      <c r="K9" s="18"/>
    </row>
    <row r="10" spans="1:18" x14ac:dyDescent="0.2">
      <c r="A10">
        <v>8</v>
      </c>
      <c r="B10" t="s">
        <v>6</v>
      </c>
      <c r="C10">
        <v>30</v>
      </c>
      <c r="D10" s="18">
        <v>45809</v>
      </c>
      <c r="E10" s="18">
        <v>45851</v>
      </c>
      <c r="F10" t="s">
        <v>21</v>
      </c>
      <c r="G10">
        <f xml:space="preserve"> C10 * SUM( INDEX($M$2:$Q$5, MATCH(B10, $L$2:$L$5, 0), 0) ) + 50 * $H10</f>
        <v>1550</v>
      </c>
      <c r="H10">
        <f>IF(OR(ROW()=2, B10&lt;&gt;B9, F10&lt;&gt;F9), 1, 0)</f>
        <v>1</v>
      </c>
      <c r="I10" s="35">
        <f t="shared" si="2"/>
        <v>34349</v>
      </c>
      <c r="J10" s="18">
        <f t="shared" si="1"/>
        <v>45840.853472222225</v>
      </c>
      <c r="K10" s="18"/>
    </row>
    <row r="11" spans="1:18" x14ac:dyDescent="0.2">
      <c r="A11">
        <v>41</v>
      </c>
      <c r="B11" t="s">
        <v>6</v>
      </c>
      <c r="C11">
        <v>102</v>
      </c>
      <c r="D11" s="18">
        <v>45809</v>
      </c>
      <c r="E11" s="18">
        <v>45851</v>
      </c>
      <c r="F11" t="s">
        <v>21</v>
      </c>
      <c r="G11">
        <f xml:space="preserve"> C11 * SUM( INDEX($M$2:$Q$5, MATCH(B11, $L$2:$L$5, 0), 0) ) + 50 * $H11</f>
        <v>5100</v>
      </c>
      <c r="H11">
        <f>IF(OR(ROW()=2, B11&lt;&gt;B10, F11&lt;&gt;F10), 1, 0)</f>
        <v>0</v>
      </c>
      <c r="I11" s="35">
        <f t="shared" si="2"/>
        <v>39449</v>
      </c>
      <c r="J11" s="18">
        <f t="shared" si="1"/>
        <v>45846.395138888889</v>
      </c>
      <c r="K11" s="18"/>
    </row>
    <row r="12" spans="1:18" x14ac:dyDescent="0.2">
      <c r="A12">
        <v>14</v>
      </c>
      <c r="B12" t="s">
        <v>7</v>
      </c>
      <c r="C12">
        <v>35</v>
      </c>
      <c r="D12" s="18">
        <v>45809</v>
      </c>
      <c r="E12" s="18">
        <v>45851</v>
      </c>
      <c r="F12" t="s">
        <v>21</v>
      </c>
      <c r="G12">
        <f xml:space="preserve"> C12 * SUM( INDEX($M$2:$Q$5, MATCH(B12, $L$2:$L$5, 0), 0) ) + 50 * $H12</f>
        <v>1625</v>
      </c>
      <c r="H12">
        <f>IF(OR(ROW()=2, B12&lt;&gt;B11, F12&lt;&gt;F11), 1, 0)</f>
        <v>1</v>
      </c>
      <c r="I12" s="35">
        <f t="shared" si="2"/>
        <v>41074</v>
      </c>
      <c r="J12" s="18">
        <f t="shared" si="1"/>
        <v>45847.523611111108</v>
      </c>
      <c r="K12" s="18"/>
      <c r="M12" s="20">
        <f>SUM(M7:M10)</f>
        <v>28738</v>
      </c>
      <c r="N12" s="20">
        <f>SUM(N7:N10)</f>
        <v>31751</v>
      </c>
      <c r="O12" s="20">
        <f>SUM(O7:O10)</f>
        <v>46938</v>
      </c>
      <c r="P12" s="20">
        <f>SUM(P7:P10)</f>
        <v>24272</v>
      </c>
      <c r="Q12" s="20">
        <f>SUM(Q7:Q10)</f>
        <v>50096</v>
      </c>
    </row>
    <row r="13" spans="1:18" x14ac:dyDescent="0.2">
      <c r="A13">
        <v>33</v>
      </c>
      <c r="B13" t="s">
        <v>4</v>
      </c>
      <c r="C13">
        <v>118</v>
      </c>
      <c r="D13" s="18">
        <v>45809</v>
      </c>
      <c r="E13" s="18">
        <v>45851</v>
      </c>
      <c r="F13" t="s">
        <v>19</v>
      </c>
      <c r="G13">
        <f xml:space="preserve"> C13 * SUM( INDEX($M$2:$Q$5, MATCH(B13, $L$2:$L$5, 0), 0) ) + 50 * $H13</f>
        <v>5124</v>
      </c>
      <c r="H13">
        <f>IF(OR(ROW()=2, B13&lt;&gt;B12, F13&lt;&gt;F12), 1, 0)</f>
        <v>1</v>
      </c>
      <c r="I13" s="35">
        <f t="shared" si="2"/>
        <v>46198</v>
      </c>
      <c r="J13" s="18">
        <f t="shared" si="1"/>
        <v>45853.081944444442</v>
      </c>
      <c r="K13" s="18"/>
    </row>
    <row r="14" spans="1:18" x14ac:dyDescent="0.2">
      <c r="A14">
        <v>10</v>
      </c>
      <c r="B14" t="s">
        <v>6</v>
      </c>
      <c r="C14">
        <v>31</v>
      </c>
      <c r="D14" s="18">
        <v>45809</v>
      </c>
      <c r="E14" s="18">
        <v>45851</v>
      </c>
      <c r="F14" t="s">
        <v>19</v>
      </c>
      <c r="G14">
        <f xml:space="preserve"> C14 * SUM( INDEX($M$2:$Q$5, MATCH(B14, $L$2:$L$5, 0), 0) ) + 50 * $H14</f>
        <v>1600</v>
      </c>
      <c r="H14">
        <f>IF(OR(ROW()=2, B14&lt;&gt;B13, F14&lt;&gt;F13), 1, 0)</f>
        <v>1</v>
      </c>
      <c r="I14" s="35">
        <f t="shared" si="2"/>
        <v>47798</v>
      </c>
      <c r="J14" s="18">
        <f t="shared" si="1"/>
        <v>45854.193055555559</v>
      </c>
      <c r="K14" s="18"/>
      <c r="L14" s="22" t="s">
        <v>34</v>
      </c>
      <c r="M14" s="22" t="s">
        <v>35</v>
      </c>
    </row>
    <row r="15" spans="1:18" x14ac:dyDescent="0.2">
      <c r="A15">
        <v>38</v>
      </c>
      <c r="B15" t="s">
        <v>7</v>
      </c>
      <c r="C15">
        <v>90</v>
      </c>
      <c r="D15" s="18">
        <v>45809</v>
      </c>
      <c r="E15" s="18">
        <v>45851</v>
      </c>
      <c r="F15" t="s">
        <v>19</v>
      </c>
      <c r="G15">
        <f xml:space="preserve"> C15 * SUM( INDEX($M$2:$Q$5, MATCH(B15, $L$2:$L$5, 0), 0) ) + 50 * $H15</f>
        <v>4100</v>
      </c>
      <c r="H15">
        <f>IF(OR(ROW()=2, B15&lt;&gt;B14, F15&lt;&gt;F14), 1, 0)</f>
        <v>1</v>
      </c>
      <c r="I15" s="35">
        <f t="shared" si="2"/>
        <v>51898</v>
      </c>
      <c r="J15" s="18">
        <f t="shared" si="1"/>
        <v>45859.040277777778</v>
      </c>
      <c r="K15" s="18"/>
      <c r="L15" s="33">
        <f>MAX(M12:Q12)</f>
        <v>50096</v>
      </c>
      <c r="M15" s="22">
        <v>5</v>
      </c>
    </row>
    <row r="16" spans="1:18" x14ac:dyDescent="0.2">
      <c r="A16">
        <v>25</v>
      </c>
      <c r="B16" t="s">
        <v>5</v>
      </c>
      <c r="C16">
        <v>75</v>
      </c>
      <c r="D16" s="18">
        <v>45809</v>
      </c>
      <c r="E16" s="18">
        <v>45852</v>
      </c>
      <c r="F16" t="s">
        <v>21</v>
      </c>
      <c r="G16">
        <f xml:space="preserve"> C16 * SUM( INDEX($M$2:$Q$5, MATCH(B16, $L$2:$L$5, 0), 0) ) + 50 * $H16</f>
        <v>3200</v>
      </c>
      <c r="H16">
        <f>IF(OR(ROW()=2, B16&lt;&gt;B15, F16&lt;&gt;F15), 1, 0)</f>
        <v>1</v>
      </c>
      <c r="I16" s="35">
        <f t="shared" si="2"/>
        <v>55098</v>
      </c>
      <c r="J16" s="18">
        <f t="shared" si="1"/>
        <v>45861.262499999997</v>
      </c>
      <c r="K16" s="18"/>
    </row>
    <row r="17" spans="1:22" x14ac:dyDescent="0.2">
      <c r="A17">
        <v>29</v>
      </c>
      <c r="B17" t="s">
        <v>4</v>
      </c>
      <c r="C17">
        <v>113</v>
      </c>
      <c r="D17" s="18">
        <v>45809</v>
      </c>
      <c r="E17" s="18">
        <v>45853</v>
      </c>
      <c r="F17" t="s">
        <v>20</v>
      </c>
      <c r="G17">
        <f xml:space="preserve"> C17 * SUM( INDEX($M$2:$Q$5, MATCH(B17, $L$2:$L$5, 0), 0) ) + 50 * $H17</f>
        <v>4909</v>
      </c>
      <c r="H17">
        <f>IF(OR(ROW()=2, B17&lt;&gt;B16, F17&lt;&gt;F16), 1, 0)</f>
        <v>1</v>
      </c>
      <c r="I17" s="35">
        <f t="shared" si="2"/>
        <v>60007</v>
      </c>
      <c r="J17" s="18">
        <f t="shared" si="1"/>
        <v>45866.671527777777</v>
      </c>
      <c r="K17" s="18"/>
      <c r="L17" s="22" t="s">
        <v>27</v>
      </c>
    </row>
    <row r="18" spans="1:22" x14ac:dyDescent="0.2">
      <c r="A18">
        <v>12</v>
      </c>
      <c r="B18" t="s">
        <v>4</v>
      </c>
      <c r="C18">
        <v>46</v>
      </c>
      <c r="D18" s="18">
        <v>45809</v>
      </c>
      <c r="E18" s="18">
        <v>45853</v>
      </c>
      <c r="F18" t="s">
        <v>22</v>
      </c>
      <c r="G18">
        <f xml:space="preserve"> C18 * SUM( INDEX($M$2:$Q$5, MATCH(B18, $L$2:$L$5, 0), 0) ) + 50 * $H18</f>
        <v>2028</v>
      </c>
      <c r="H18">
        <f>IF(OR(ROW()=2, B18&lt;&gt;B17, F18&lt;&gt;F17), 1, 0)</f>
        <v>1</v>
      </c>
      <c r="I18" s="35">
        <f t="shared" si="2"/>
        <v>62035</v>
      </c>
      <c r="J18" s="18">
        <f t="shared" si="1"/>
        <v>45868.079861111109</v>
      </c>
      <c r="K18" s="18"/>
      <c r="L18" s="34" cm="1">
        <f t="array" ref="L18">SUMPRODUCT(--($J$2:$J$52 &lt;= $E$2:$E$52)) / ROWS($B$2:$B$52)</f>
        <v>0.21568627450980393</v>
      </c>
    </row>
    <row r="19" spans="1:22" x14ac:dyDescent="0.2">
      <c r="A19">
        <v>51</v>
      </c>
      <c r="B19" t="s">
        <v>6</v>
      </c>
      <c r="C19">
        <v>149</v>
      </c>
      <c r="D19" s="18">
        <v>45809</v>
      </c>
      <c r="E19" s="18">
        <v>45854</v>
      </c>
      <c r="F19" t="s">
        <v>21</v>
      </c>
      <c r="G19">
        <f xml:space="preserve"> C19 * SUM( INDEX($M$2:$Q$5, MATCH(B19, $L$2:$L$5, 0), 0) ) + 50 * $H19</f>
        <v>7500</v>
      </c>
      <c r="H19">
        <f>IF(OR(ROW()=2, B19&lt;&gt;B18, F19&lt;&gt;F18), 1, 0)</f>
        <v>1</v>
      </c>
      <c r="I19" s="35">
        <f t="shared" si="2"/>
        <v>69535</v>
      </c>
      <c r="J19" s="18">
        <f t="shared" si="1"/>
        <v>45875.288194444445</v>
      </c>
      <c r="K19" s="18"/>
      <c r="L19" s="28"/>
      <c r="M19" s="29"/>
    </row>
    <row r="20" spans="1:22" x14ac:dyDescent="0.2">
      <c r="A20">
        <v>36</v>
      </c>
      <c r="B20" t="s">
        <v>7</v>
      </c>
      <c r="C20">
        <v>88</v>
      </c>
      <c r="D20" s="18">
        <v>45809</v>
      </c>
      <c r="E20" s="18">
        <v>45858</v>
      </c>
      <c r="F20" t="s">
        <v>19</v>
      </c>
      <c r="G20">
        <f xml:space="preserve"> C20 * SUM( INDEX($M$2:$Q$5, MATCH(B20, $L$2:$L$5, 0), 0) ) + 50 * $H20</f>
        <v>4010</v>
      </c>
      <c r="H20">
        <f>IF(OR(ROW()=2, B20&lt;&gt;B19, F20&lt;&gt;F19), 1, 0)</f>
        <v>1</v>
      </c>
      <c r="I20" s="35">
        <f t="shared" si="2"/>
        <v>73545</v>
      </c>
      <c r="J20" s="18">
        <f t="shared" si="1"/>
        <v>45880.072916666664</v>
      </c>
      <c r="K20" s="18"/>
      <c r="L20" s="27"/>
      <c r="M20" s="21"/>
      <c r="N20" s="21"/>
      <c r="O20" s="21"/>
    </row>
    <row r="21" spans="1:22" x14ac:dyDescent="0.2">
      <c r="A21">
        <v>40</v>
      </c>
      <c r="B21" t="s">
        <v>6</v>
      </c>
      <c r="C21">
        <v>102</v>
      </c>
      <c r="D21" s="18">
        <v>45809</v>
      </c>
      <c r="E21" s="18">
        <v>45859</v>
      </c>
      <c r="F21" t="s">
        <v>20</v>
      </c>
      <c r="G21">
        <f xml:space="preserve"> C21 * SUM( INDEX($M$2:$Q$5, MATCH(B21, $L$2:$L$5, 0), 0) ) + 50 * $H21</f>
        <v>5150</v>
      </c>
      <c r="H21">
        <f>IF(OR(ROW()=2, B21&lt;&gt;B20, F21&lt;&gt;F20), 1, 0)</f>
        <v>1</v>
      </c>
      <c r="I21" s="35">
        <f t="shared" si="2"/>
        <v>78695</v>
      </c>
      <c r="J21" s="18">
        <f t="shared" si="1"/>
        <v>45883.649305555555</v>
      </c>
      <c r="K21" s="18"/>
      <c r="L21" s="27"/>
    </row>
    <row r="22" spans="1:22" x14ac:dyDescent="0.2">
      <c r="A22">
        <v>45</v>
      </c>
      <c r="B22" t="s">
        <v>6</v>
      </c>
      <c r="C22">
        <v>114</v>
      </c>
      <c r="D22" s="18">
        <v>45809</v>
      </c>
      <c r="E22" s="18">
        <v>45859</v>
      </c>
      <c r="F22" t="s">
        <v>20</v>
      </c>
      <c r="G22">
        <f xml:space="preserve"> C22 * SUM( INDEX($M$2:$Q$5, MATCH(B22, $L$2:$L$5, 0), 0) ) + 50 * $H22</f>
        <v>5700</v>
      </c>
      <c r="H22">
        <f>IF(OR(ROW()=2, B22&lt;&gt;B21, F22&lt;&gt;F21), 1, 0)</f>
        <v>0</v>
      </c>
      <c r="I22" s="35">
        <f t="shared" si="2"/>
        <v>84395</v>
      </c>
      <c r="J22" s="18">
        <f t="shared" si="1"/>
        <v>45889.607638888891</v>
      </c>
      <c r="K22" s="18"/>
    </row>
    <row r="23" spans="1:22" x14ac:dyDescent="0.2">
      <c r="A23">
        <v>32</v>
      </c>
      <c r="B23" t="s">
        <v>4</v>
      </c>
      <c r="C23">
        <v>118</v>
      </c>
      <c r="D23" s="18">
        <v>45809</v>
      </c>
      <c r="E23" s="18">
        <v>45859</v>
      </c>
      <c r="F23" t="s">
        <v>22</v>
      </c>
      <c r="G23">
        <f xml:space="preserve"> C23 * SUM( INDEX($M$2:$Q$5, MATCH(B23, $L$2:$L$5, 0), 0) ) + 50 * $H23</f>
        <v>5124</v>
      </c>
      <c r="H23">
        <f>IF(OR(ROW()=2, B23&lt;&gt;B22, F23&lt;&gt;F22), 1, 0)</f>
        <v>1</v>
      </c>
      <c r="I23" s="35">
        <f t="shared" si="2"/>
        <v>89519</v>
      </c>
      <c r="J23" s="18">
        <f t="shared" si="1"/>
        <v>45895.165972222225</v>
      </c>
      <c r="K23" s="18"/>
    </row>
    <row r="24" spans="1:22" x14ac:dyDescent="0.2">
      <c r="A24">
        <v>3</v>
      </c>
      <c r="B24" t="s">
        <v>5</v>
      </c>
      <c r="C24">
        <v>26</v>
      </c>
      <c r="D24" s="18">
        <v>45809</v>
      </c>
      <c r="E24" s="18">
        <v>45859</v>
      </c>
      <c r="F24" t="s">
        <v>22</v>
      </c>
      <c r="G24">
        <f xml:space="preserve"> C24 * SUM( INDEX($M$2:$Q$5, MATCH(B24, $L$2:$L$5, 0), 0) ) + 50 * $H24</f>
        <v>1142</v>
      </c>
      <c r="H24">
        <f>IF(OR(ROW()=2, B24&lt;&gt;B23, F24&lt;&gt;F23), 1, 0)</f>
        <v>1</v>
      </c>
      <c r="I24" s="35">
        <f t="shared" si="2"/>
        <v>90661</v>
      </c>
      <c r="J24" s="18">
        <f t="shared" si="1"/>
        <v>45895.959027777775</v>
      </c>
      <c r="K24" s="18"/>
    </row>
    <row r="25" spans="1:22" ht="15" thickBot="1" x14ac:dyDescent="0.25">
      <c r="A25">
        <v>6</v>
      </c>
      <c r="B25" t="s">
        <v>7</v>
      </c>
      <c r="C25">
        <v>29</v>
      </c>
      <c r="D25" s="18">
        <v>45809</v>
      </c>
      <c r="E25" s="18">
        <v>45859</v>
      </c>
      <c r="F25" t="s">
        <v>21</v>
      </c>
      <c r="G25">
        <f xml:space="preserve"> C25 * SUM( INDEX($M$2:$Q$5, MATCH(B25, $L$2:$L$5, 0), 0) ) + 50 * $H25</f>
        <v>1355</v>
      </c>
      <c r="H25">
        <f>IF(OR(ROW()=2, B25&lt;&gt;B24, F25&lt;&gt;F24), 1, 0)</f>
        <v>1</v>
      </c>
      <c r="I25" s="35">
        <f t="shared" si="2"/>
        <v>92016</v>
      </c>
      <c r="J25" s="18">
        <f t="shared" si="1"/>
        <v>45896.9</v>
      </c>
      <c r="K25" s="18"/>
    </row>
    <row r="26" spans="1:22" x14ac:dyDescent="0.2">
      <c r="A26">
        <v>5</v>
      </c>
      <c r="B26" t="s">
        <v>7</v>
      </c>
      <c r="C26">
        <v>23</v>
      </c>
      <c r="D26" s="18">
        <v>45809</v>
      </c>
      <c r="E26" s="18">
        <v>45859</v>
      </c>
      <c r="F26" t="s">
        <v>19</v>
      </c>
      <c r="G26">
        <f xml:space="preserve"> C26 * SUM( INDEX($M$2:$Q$5, MATCH(B26, $L$2:$L$5, 0), 0) ) + 50 * $H26</f>
        <v>1085</v>
      </c>
      <c r="H26">
        <f>IF(OR(ROW()=2, B26&lt;&gt;B25, F26&lt;&gt;F25), 1, 0)</f>
        <v>1</v>
      </c>
      <c r="I26" s="35">
        <f t="shared" si="2"/>
        <v>93101</v>
      </c>
      <c r="J26" s="18">
        <f t="shared" si="1"/>
        <v>45897.65347222222</v>
      </c>
      <c r="K26" s="18"/>
      <c r="U26" s="14">
        <v>10</v>
      </c>
      <c r="V26" s="15" t="s">
        <v>17</v>
      </c>
    </row>
    <row r="27" spans="1:22" x14ac:dyDescent="0.2">
      <c r="A27">
        <v>20</v>
      </c>
      <c r="B27" t="s">
        <v>4</v>
      </c>
      <c r="C27">
        <v>60</v>
      </c>
      <c r="D27" s="18">
        <v>45809</v>
      </c>
      <c r="E27" s="18">
        <v>45860</v>
      </c>
      <c r="F27" t="s">
        <v>19</v>
      </c>
      <c r="G27">
        <f xml:space="preserve"> C27 * SUM( INDEX($M$2:$Q$5, MATCH(B27, $L$2:$L$5, 0), 0) ) + 50 * $H27</f>
        <v>2630</v>
      </c>
      <c r="H27">
        <f>IF(OR(ROW()=2, B27&lt;&gt;B26, F27&lt;&gt;F26), 1, 0)</f>
        <v>1</v>
      </c>
      <c r="I27" s="35">
        <f t="shared" si="2"/>
        <v>95731</v>
      </c>
      <c r="J27" s="18">
        <f t="shared" si="1"/>
        <v>45901.479861111111</v>
      </c>
      <c r="K27" s="18"/>
      <c r="U27" s="16">
        <f>5*24</f>
        <v>120</v>
      </c>
      <c r="V27" s="7" t="s">
        <v>18</v>
      </c>
    </row>
    <row r="28" spans="1:22" x14ac:dyDescent="0.2">
      <c r="A28">
        <v>9</v>
      </c>
      <c r="B28" t="s">
        <v>4</v>
      </c>
      <c r="C28">
        <v>43</v>
      </c>
      <c r="D28" s="18">
        <v>45809</v>
      </c>
      <c r="E28" s="18">
        <v>45861</v>
      </c>
      <c r="F28" t="s">
        <v>21</v>
      </c>
      <c r="G28">
        <f xml:space="preserve"> C28 * SUM( INDEX($M$2:$Q$5, MATCH(B28, $L$2:$L$5, 0), 0) ) + 50 * $H28</f>
        <v>1899</v>
      </c>
      <c r="H28">
        <f>IF(OR(ROW()=2, B28&lt;&gt;B27, F28&lt;&gt;F27), 1, 0)</f>
        <v>1</v>
      </c>
      <c r="I28" s="35">
        <f t="shared" si="2"/>
        <v>97630</v>
      </c>
      <c r="J28" s="18">
        <f t="shared" si="1"/>
        <v>45902.798611111109</v>
      </c>
      <c r="K28" s="18"/>
      <c r="U28" s="16">
        <v>7200</v>
      </c>
      <c r="V28" s="7" t="s">
        <v>26</v>
      </c>
    </row>
    <row r="29" spans="1:22" ht="15" thickBot="1" x14ac:dyDescent="0.25">
      <c r="A29">
        <v>7</v>
      </c>
      <c r="B29" t="s">
        <v>5</v>
      </c>
      <c r="C29">
        <v>34</v>
      </c>
      <c r="D29" s="18">
        <v>45809</v>
      </c>
      <c r="E29" s="18">
        <v>45861</v>
      </c>
      <c r="F29" t="s">
        <v>21</v>
      </c>
      <c r="G29">
        <f xml:space="preserve"> C29 * SUM( INDEX($M$2:$Q$5, MATCH(B29, $L$2:$L$5, 0), 0) ) + 50 * $H29</f>
        <v>1478</v>
      </c>
      <c r="H29">
        <f>IF(OR(ROW()=2, B29&lt;&gt;B28, F29&lt;&gt;F28), 1, 0)</f>
        <v>1</v>
      </c>
      <c r="I29" s="35">
        <f t="shared" si="2"/>
        <v>99108</v>
      </c>
      <c r="J29" s="18">
        <f t="shared" si="1"/>
        <v>45903.824999999997</v>
      </c>
      <c r="K29" s="18"/>
      <c r="U29" s="17"/>
      <c r="V29" s="9"/>
    </row>
    <row r="30" spans="1:22" x14ac:dyDescent="0.2">
      <c r="A30">
        <v>44</v>
      </c>
      <c r="B30" t="s">
        <v>5</v>
      </c>
      <c r="C30">
        <v>126</v>
      </c>
      <c r="D30" s="18">
        <v>45809</v>
      </c>
      <c r="E30" s="18">
        <v>45861</v>
      </c>
      <c r="F30" t="s">
        <v>21</v>
      </c>
      <c r="G30">
        <f xml:space="preserve"> C30 * SUM( INDEX($M$2:$Q$5, MATCH(B30, $L$2:$L$5, 0), 0) ) + 50 * $H30</f>
        <v>5292</v>
      </c>
      <c r="H30">
        <f>IF(OR(ROW()=2, B30&lt;&gt;B29, F30&lt;&gt;F29), 1, 0)</f>
        <v>0</v>
      </c>
      <c r="I30" s="35">
        <f t="shared" si="2"/>
        <v>104400</v>
      </c>
      <c r="J30" s="18">
        <f t="shared" si="1"/>
        <v>45909.5</v>
      </c>
      <c r="K30" s="18"/>
    </row>
    <row r="31" spans="1:22" x14ac:dyDescent="0.2">
      <c r="A31">
        <v>30</v>
      </c>
      <c r="B31" t="s">
        <v>5</v>
      </c>
      <c r="C31">
        <v>96</v>
      </c>
      <c r="D31" s="18">
        <v>45809</v>
      </c>
      <c r="E31" s="18">
        <v>45865</v>
      </c>
      <c r="F31" t="s">
        <v>20</v>
      </c>
      <c r="G31">
        <f xml:space="preserve"> C31 * SUM( INDEX($M$2:$Q$5, MATCH(B31, $L$2:$L$5, 0), 0) ) + 50 * $H31</f>
        <v>4082</v>
      </c>
      <c r="H31">
        <f>IF(OR(ROW()=2, B31&lt;&gt;B30, F31&lt;&gt;F30), 1, 0)</f>
        <v>1</v>
      </c>
      <c r="I31" s="35">
        <f t="shared" si="2"/>
        <v>108482</v>
      </c>
      <c r="J31" s="18">
        <f t="shared" si="1"/>
        <v>45914.334722222222</v>
      </c>
      <c r="K31" s="18"/>
    </row>
    <row r="32" spans="1:22" x14ac:dyDescent="0.2">
      <c r="A32">
        <v>47</v>
      </c>
      <c r="B32" t="s">
        <v>6</v>
      </c>
      <c r="C32">
        <v>138</v>
      </c>
      <c r="D32" s="18">
        <v>45809</v>
      </c>
      <c r="E32" s="18">
        <v>45865</v>
      </c>
      <c r="F32" t="s">
        <v>22</v>
      </c>
      <c r="G32">
        <f xml:space="preserve"> C32 * SUM( INDEX($M$2:$Q$5, MATCH(B32, $L$2:$L$5, 0), 0) ) + 50 * $H32</f>
        <v>6950</v>
      </c>
      <c r="H32">
        <f>IF(OR(ROW()=2, B32&lt;&gt;B31, F32&lt;&gt;F31), 1, 0)</f>
        <v>1</v>
      </c>
      <c r="I32" s="35">
        <f t="shared" si="2"/>
        <v>115432</v>
      </c>
      <c r="J32" s="18">
        <f t="shared" si="1"/>
        <v>45921.161111111112</v>
      </c>
      <c r="K32" s="18"/>
    </row>
    <row r="33" spans="1:11" x14ac:dyDescent="0.2">
      <c r="A33">
        <v>35</v>
      </c>
      <c r="B33" t="s">
        <v>4</v>
      </c>
      <c r="C33">
        <v>121</v>
      </c>
      <c r="D33" s="18">
        <v>45809</v>
      </c>
      <c r="E33" s="18">
        <v>45866</v>
      </c>
      <c r="F33" t="s">
        <v>22</v>
      </c>
      <c r="G33">
        <f xml:space="preserve"> C33 * SUM( INDEX($M$2:$Q$5, MATCH(B33, $L$2:$L$5, 0), 0) ) + 50 * $H33</f>
        <v>5253</v>
      </c>
      <c r="H33">
        <f>IF(OR(ROW()=2, B33&lt;&gt;B32, F33&lt;&gt;F32), 1, 0)</f>
        <v>1</v>
      </c>
      <c r="I33" s="35">
        <f t="shared" si="2"/>
        <v>120685</v>
      </c>
      <c r="J33" s="18">
        <f t="shared" si="1"/>
        <v>45924.809027777781</v>
      </c>
      <c r="K33" s="18"/>
    </row>
    <row r="34" spans="1:11" x14ac:dyDescent="0.2">
      <c r="A34">
        <v>34</v>
      </c>
      <c r="B34" t="s">
        <v>5</v>
      </c>
      <c r="C34">
        <v>99</v>
      </c>
      <c r="D34" s="18">
        <v>45809</v>
      </c>
      <c r="E34" s="18">
        <v>45866</v>
      </c>
      <c r="F34" t="s">
        <v>21</v>
      </c>
      <c r="G34">
        <f xml:space="preserve"> C34 * SUM( INDEX($M$2:$Q$5, MATCH(B34, $L$2:$L$5, 0), 0) ) + 50 * $H34</f>
        <v>4208</v>
      </c>
      <c r="H34">
        <f>IF(OR(ROW()=2, B34&lt;&gt;B33, F34&lt;&gt;F33), 1, 0)</f>
        <v>1</v>
      </c>
      <c r="I34" s="35">
        <f t="shared" si="2"/>
        <v>124893</v>
      </c>
      <c r="J34" s="18">
        <f t="shared" ref="J34:J52" si="3">WORKDAY.INTL($D$2, INT($I34/1440), 7) + MOD($I34/1440, 1)</f>
        <v>45929.731249999997</v>
      </c>
      <c r="K34" s="18"/>
    </row>
    <row r="35" spans="1:11" x14ac:dyDescent="0.2">
      <c r="A35">
        <v>48</v>
      </c>
      <c r="B35" t="s">
        <v>6</v>
      </c>
      <c r="C35">
        <v>140</v>
      </c>
      <c r="D35" s="18">
        <v>45809</v>
      </c>
      <c r="E35" s="18">
        <v>45866</v>
      </c>
      <c r="F35" t="s">
        <v>21</v>
      </c>
      <c r="G35">
        <f xml:space="preserve"> C35 * SUM( INDEX($M$2:$Q$5, MATCH(B35, $L$2:$L$5, 0), 0) ) + 50 * $H35</f>
        <v>7050</v>
      </c>
      <c r="H35">
        <f>IF(OR(ROW()=2, B35&lt;&gt;B34, F35&lt;&gt;F34), 1, 0)</f>
        <v>1</v>
      </c>
      <c r="I35" s="35">
        <f t="shared" si="2"/>
        <v>131943</v>
      </c>
      <c r="J35" s="18">
        <f t="shared" si="3"/>
        <v>45936.627083333333</v>
      </c>
      <c r="K35" s="18"/>
    </row>
    <row r="36" spans="1:11" x14ac:dyDescent="0.2">
      <c r="A36">
        <v>46</v>
      </c>
      <c r="B36" t="s">
        <v>6</v>
      </c>
      <c r="C36">
        <v>127</v>
      </c>
      <c r="D36" s="18">
        <v>45809</v>
      </c>
      <c r="E36" s="18">
        <v>45866</v>
      </c>
      <c r="F36" t="s">
        <v>19</v>
      </c>
      <c r="G36">
        <f xml:space="preserve"> C36 * SUM( INDEX($M$2:$Q$5, MATCH(B36, $L$2:$L$5, 0), 0) ) + 50 * $H36</f>
        <v>6400</v>
      </c>
      <c r="H36">
        <f>IF(OR(ROW()=2, B36&lt;&gt;B35, F36&lt;&gt;F35), 1, 0)</f>
        <v>1</v>
      </c>
      <c r="I36" s="35">
        <f t="shared" si="2"/>
        <v>138343</v>
      </c>
      <c r="J36" s="18">
        <f t="shared" si="3"/>
        <v>45943.071527777778</v>
      </c>
      <c r="K36" s="18"/>
    </row>
    <row r="37" spans="1:11" x14ac:dyDescent="0.2">
      <c r="A37">
        <v>37</v>
      </c>
      <c r="B37" t="s">
        <v>7</v>
      </c>
      <c r="C37">
        <v>90</v>
      </c>
      <c r="D37" s="18">
        <v>45809</v>
      </c>
      <c r="E37" s="18">
        <v>45867</v>
      </c>
      <c r="F37" t="s">
        <v>20</v>
      </c>
      <c r="G37">
        <f xml:space="preserve"> C37 * SUM( INDEX($M$2:$Q$5, MATCH(B37, $L$2:$L$5, 0), 0) ) + 50 * $H37</f>
        <v>4100</v>
      </c>
      <c r="H37">
        <f>IF(OR(ROW()=2, B37&lt;&gt;B36, F37&lt;&gt;F36), 1, 0)</f>
        <v>1</v>
      </c>
      <c r="I37" s="35">
        <f t="shared" si="2"/>
        <v>142443</v>
      </c>
      <c r="J37" s="18">
        <f t="shared" si="3"/>
        <v>45945.918749999997</v>
      </c>
      <c r="K37" s="18"/>
    </row>
    <row r="38" spans="1:11" x14ac:dyDescent="0.2">
      <c r="A38">
        <v>11</v>
      </c>
      <c r="B38" t="s">
        <v>4</v>
      </c>
      <c r="C38">
        <v>44</v>
      </c>
      <c r="D38" s="18">
        <v>45809</v>
      </c>
      <c r="E38" s="18">
        <v>45867</v>
      </c>
      <c r="F38" t="s">
        <v>22</v>
      </c>
      <c r="G38">
        <f xml:space="preserve"> C38 * SUM( INDEX($M$2:$Q$5, MATCH(B38, $L$2:$L$5, 0), 0) ) + 50 * $H38</f>
        <v>1942</v>
      </c>
      <c r="H38">
        <f>IF(OR(ROW()=2, B38&lt;&gt;B37, F38&lt;&gt;F37), 1, 0)</f>
        <v>1</v>
      </c>
      <c r="I38" s="35">
        <f t="shared" si="2"/>
        <v>144385</v>
      </c>
      <c r="J38" s="18">
        <f t="shared" si="3"/>
        <v>45949.267361111109</v>
      </c>
      <c r="K38" s="18"/>
    </row>
    <row r="39" spans="1:11" x14ac:dyDescent="0.2">
      <c r="A39">
        <v>13</v>
      </c>
      <c r="B39" t="s">
        <v>6</v>
      </c>
      <c r="C39">
        <v>33</v>
      </c>
      <c r="D39" s="18">
        <v>45809</v>
      </c>
      <c r="E39" s="18">
        <v>45868</v>
      </c>
      <c r="F39" t="s">
        <v>20</v>
      </c>
      <c r="G39">
        <f xml:space="preserve"> C39 * SUM( INDEX($M$2:$Q$5, MATCH(B39, $L$2:$L$5, 0), 0) ) + 50 * $H39</f>
        <v>1700</v>
      </c>
      <c r="H39">
        <f>IF(OR(ROW()=2, B39&lt;&gt;B38, F39&lt;&gt;F38), 1, 0)</f>
        <v>1</v>
      </c>
      <c r="I39" s="35">
        <f t="shared" si="2"/>
        <v>146085</v>
      </c>
      <c r="J39" s="18">
        <f t="shared" si="3"/>
        <v>45950.447916666664</v>
      </c>
      <c r="K39" s="18"/>
    </row>
    <row r="40" spans="1:11" x14ac:dyDescent="0.2">
      <c r="A40">
        <v>39</v>
      </c>
      <c r="B40" t="s">
        <v>7</v>
      </c>
      <c r="C40">
        <v>100</v>
      </c>
      <c r="D40" s="18">
        <v>45809</v>
      </c>
      <c r="E40" s="18">
        <v>45868</v>
      </c>
      <c r="F40" t="s">
        <v>22</v>
      </c>
      <c r="G40">
        <f xml:space="preserve"> C40 * SUM( INDEX($M$2:$Q$5, MATCH(B40, $L$2:$L$5, 0), 0) ) + 50 * $H40</f>
        <v>4550</v>
      </c>
      <c r="H40">
        <f>IF(OR(ROW()=2, B40&lt;&gt;B39, F40&lt;&gt;F39), 1, 0)</f>
        <v>1</v>
      </c>
      <c r="I40" s="35">
        <f t="shared" si="2"/>
        <v>150635</v>
      </c>
      <c r="J40" s="18">
        <f t="shared" si="3"/>
        <v>45953.607638888891</v>
      </c>
      <c r="K40" s="18"/>
    </row>
    <row r="41" spans="1:11" x14ac:dyDescent="0.2">
      <c r="A41">
        <v>18</v>
      </c>
      <c r="B41" t="s">
        <v>5</v>
      </c>
      <c r="C41">
        <v>46</v>
      </c>
      <c r="D41" s="18">
        <v>45809</v>
      </c>
      <c r="E41" s="18">
        <v>45872</v>
      </c>
      <c r="F41" t="s">
        <v>20</v>
      </c>
      <c r="G41">
        <f xml:space="preserve"> C41 * SUM( INDEX($M$2:$Q$5, MATCH(B41, $L$2:$L$5, 0), 0) ) + 50 * $H41</f>
        <v>1982</v>
      </c>
      <c r="H41">
        <f>IF(OR(ROW()=2, B41&lt;&gt;B40, F41&lt;&gt;F40), 1, 0)</f>
        <v>1</v>
      </c>
      <c r="I41" s="35">
        <f t="shared" si="2"/>
        <v>152617</v>
      </c>
      <c r="J41" s="18">
        <f t="shared" si="3"/>
        <v>45956.984027777777</v>
      </c>
      <c r="K41" s="18"/>
    </row>
    <row r="42" spans="1:11" x14ac:dyDescent="0.2">
      <c r="A42">
        <v>21</v>
      </c>
      <c r="B42" t="s">
        <v>4</v>
      </c>
      <c r="C42">
        <v>61</v>
      </c>
      <c r="D42" s="18">
        <v>45809</v>
      </c>
      <c r="E42" s="18">
        <v>45872</v>
      </c>
      <c r="F42" t="s">
        <v>21</v>
      </c>
      <c r="G42">
        <f xml:space="preserve"> C42 * SUM( INDEX($M$2:$Q$5, MATCH(B42, $L$2:$L$5, 0), 0) ) + 50 * $H42</f>
        <v>2673</v>
      </c>
      <c r="H42">
        <f>IF(OR(ROW()=2, B42&lt;&gt;B41, F42&lt;&gt;F41), 1, 0)</f>
        <v>1</v>
      </c>
      <c r="I42" s="35">
        <f t="shared" si="2"/>
        <v>155290</v>
      </c>
      <c r="J42" s="18">
        <f t="shared" si="3"/>
        <v>45958.840277777781</v>
      </c>
      <c r="K42" s="18"/>
    </row>
    <row r="43" spans="1:11" x14ac:dyDescent="0.2">
      <c r="A43">
        <v>2</v>
      </c>
      <c r="B43" t="s">
        <v>6</v>
      </c>
      <c r="C43">
        <v>21</v>
      </c>
      <c r="D43" s="18">
        <v>45809</v>
      </c>
      <c r="E43" s="18">
        <v>45874</v>
      </c>
      <c r="F43" t="s">
        <v>20</v>
      </c>
      <c r="G43">
        <f xml:space="preserve"> C43 * SUM( INDEX($M$2:$Q$5, MATCH(B43, $L$2:$L$5, 0), 0) ) + 50 * $H43</f>
        <v>1100</v>
      </c>
      <c r="H43">
        <f>IF(OR(ROW()=2, B43&lt;&gt;B42, F43&lt;&gt;F42), 1, 0)</f>
        <v>1</v>
      </c>
      <c r="I43" s="35">
        <f t="shared" si="2"/>
        <v>156390</v>
      </c>
      <c r="J43" s="18">
        <f t="shared" si="3"/>
        <v>45959.604166666664</v>
      </c>
      <c r="K43" s="18"/>
    </row>
    <row r="44" spans="1:11" x14ac:dyDescent="0.2">
      <c r="A44">
        <v>15</v>
      </c>
      <c r="B44" t="s">
        <v>4</v>
      </c>
      <c r="C44">
        <v>54</v>
      </c>
      <c r="D44" s="18">
        <v>45809</v>
      </c>
      <c r="E44" s="18">
        <v>45875</v>
      </c>
      <c r="F44" t="s">
        <v>20</v>
      </c>
      <c r="G44">
        <f xml:space="preserve"> C44 * SUM( INDEX($M$2:$Q$5, MATCH(B44, $L$2:$L$5, 0), 0) ) + 50 * $H44</f>
        <v>2372</v>
      </c>
      <c r="H44">
        <f>IF(OR(ROW()=2, B44&lt;&gt;B43, F44&lt;&gt;F43), 1, 0)</f>
        <v>1</v>
      </c>
      <c r="I44" s="35">
        <f t="shared" si="2"/>
        <v>158762</v>
      </c>
      <c r="J44" s="18">
        <f t="shared" si="3"/>
        <v>45963.251388888886</v>
      </c>
      <c r="K44" s="18"/>
    </row>
    <row r="45" spans="1:11" x14ac:dyDescent="0.2">
      <c r="A45">
        <v>23</v>
      </c>
      <c r="B45" t="s">
        <v>7</v>
      </c>
      <c r="C45">
        <v>55</v>
      </c>
      <c r="D45" s="18">
        <v>45809</v>
      </c>
      <c r="E45" s="18">
        <v>45875</v>
      </c>
      <c r="F45" t="s">
        <v>20</v>
      </c>
      <c r="G45">
        <f xml:space="preserve"> C45 * SUM( INDEX($M$2:$Q$5, MATCH(B45, $L$2:$L$5, 0), 0) ) + 50 * $H45</f>
        <v>2525</v>
      </c>
      <c r="H45">
        <f>IF(OR(ROW()=2, B45&lt;&gt;B44, F45&lt;&gt;F44), 1, 0)</f>
        <v>1</v>
      </c>
      <c r="I45" s="35">
        <f t="shared" si="2"/>
        <v>161287</v>
      </c>
      <c r="J45" s="18">
        <f t="shared" si="3"/>
        <v>45965.004861111112</v>
      </c>
      <c r="K45" s="18"/>
    </row>
    <row r="46" spans="1:11" x14ac:dyDescent="0.2">
      <c r="A46">
        <v>4</v>
      </c>
      <c r="B46" t="s">
        <v>4</v>
      </c>
      <c r="C46">
        <v>32</v>
      </c>
      <c r="D46" s="18">
        <v>45809</v>
      </c>
      <c r="E46" s="18">
        <v>45876</v>
      </c>
      <c r="F46" t="s">
        <v>22</v>
      </c>
      <c r="G46">
        <f xml:space="preserve"> C46 * SUM( INDEX($M$2:$Q$5, MATCH(B46, $L$2:$L$5, 0), 0) ) + 50 * $H46</f>
        <v>1426</v>
      </c>
      <c r="H46">
        <f>IF(OR(ROW()=2, B46&lt;&gt;B45, F46&lt;&gt;F45), 1, 0)</f>
        <v>1</v>
      </c>
      <c r="I46" s="35">
        <f t="shared" si="2"/>
        <v>162713</v>
      </c>
      <c r="J46" s="18">
        <f t="shared" si="3"/>
        <v>45965.995138888888</v>
      </c>
      <c r="K46" s="18"/>
    </row>
    <row r="47" spans="1:11" x14ac:dyDescent="0.2">
      <c r="A47">
        <v>24</v>
      </c>
      <c r="B47" t="s">
        <v>5</v>
      </c>
      <c r="C47">
        <v>66</v>
      </c>
      <c r="D47" s="18">
        <v>45809</v>
      </c>
      <c r="E47" s="18">
        <v>45876</v>
      </c>
      <c r="F47" t="s">
        <v>19</v>
      </c>
      <c r="G47">
        <f xml:space="preserve"> C47 * SUM( INDEX($M$2:$Q$5, MATCH(B47, $L$2:$L$5, 0), 0) ) + 50 * $H47</f>
        <v>2822</v>
      </c>
      <c r="H47">
        <f>IF(OR(ROW()=2, B47&lt;&gt;B46, F47&lt;&gt;F46), 1, 0)</f>
        <v>1</v>
      </c>
      <c r="I47" s="35">
        <f t="shared" si="2"/>
        <v>165535</v>
      </c>
      <c r="J47" s="18">
        <f t="shared" si="3"/>
        <v>45967.954861111109</v>
      </c>
      <c r="K47" s="18"/>
    </row>
    <row r="48" spans="1:11" x14ac:dyDescent="0.2">
      <c r="A48">
        <v>1</v>
      </c>
      <c r="B48" t="s">
        <v>5</v>
      </c>
      <c r="C48">
        <v>23</v>
      </c>
      <c r="D48" s="18">
        <v>45809</v>
      </c>
      <c r="E48" s="18">
        <v>45879</v>
      </c>
      <c r="F48" t="s">
        <v>21</v>
      </c>
      <c r="G48">
        <f xml:space="preserve"> C48 * SUM( INDEX($M$2:$Q$5, MATCH(B48, $L$2:$L$5, 0), 0) ) + 50 * $H48</f>
        <v>1016</v>
      </c>
      <c r="H48">
        <f>IF(OR(ROW()=2, B48&lt;&gt;B47, F48&lt;&gt;F47), 1, 0)</f>
        <v>1</v>
      </c>
      <c r="I48" s="35">
        <f t="shared" si="2"/>
        <v>166551</v>
      </c>
      <c r="J48" s="18">
        <f t="shared" si="3"/>
        <v>45970.660416666666</v>
      </c>
      <c r="K48" s="18"/>
    </row>
    <row r="49" spans="1:11" x14ac:dyDescent="0.2">
      <c r="A49">
        <v>31</v>
      </c>
      <c r="B49" t="s">
        <v>4</v>
      </c>
      <c r="C49">
        <v>117</v>
      </c>
      <c r="D49" s="18">
        <v>45809</v>
      </c>
      <c r="E49" s="18">
        <v>45879</v>
      </c>
      <c r="F49" t="s">
        <v>19</v>
      </c>
      <c r="G49">
        <f xml:space="preserve"> C49 * SUM( INDEX($M$2:$Q$5, MATCH(B49, $L$2:$L$5, 0), 0) ) + 50 * $H49</f>
        <v>5081</v>
      </c>
      <c r="H49">
        <f>IF(OR(ROW()=2, B49&lt;&gt;B48, F49&lt;&gt;F48), 1, 0)</f>
        <v>1</v>
      </c>
      <c r="I49" s="35">
        <f t="shared" si="2"/>
        <v>171632</v>
      </c>
      <c r="J49" s="18">
        <f t="shared" si="3"/>
        <v>45974.188888888886</v>
      </c>
      <c r="K49" s="18"/>
    </row>
    <row r="50" spans="1:11" x14ac:dyDescent="0.2">
      <c r="A50">
        <v>22</v>
      </c>
      <c r="B50" t="s">
        <v>6</v>
      </c>
      <c r="C50">
        <v>48</v>
      </c>
      <c r="D50" s="18">
        <v>45809</v>
      </c>
      <c r="E50" s="18">
        <v>45880</v>
      </c>
      <c r="F50" t="s">
        <v>22</v>
      </c>
      <c r="G50">
        <f xml:space="preserve"> C50 * SUM( INDEX($M$2:$Q$5, MATCH(B50, $L$2:$L$5, 0), 0) ) + 50 * $H50</f>
        <v>2450</v>
      </c>
      <c r="H50">
        <f>IF(OR(ROW()=2, B50&lt;&gt;B49, F50&lt;&gt;F49), 1, 0)</f>
        <v>1</v>
      </c>
      <c r="I50" s="35">
        <f t="shared" si="2"/>
        <v>174082</v>
      </c>
      <c r="J50" s="18">
        <f t="shared" si="3"/>
        <v>45977.890277777777</v>
      </c>
      <c r="K50" s="18"/>
    </row>
    <row r="51" spans="1:11" x14ac:dyDescent="0.2">
      <c r="A51">
        <v>26</v>
      </c>
      <c r="B51" t="s">
        <v>4</v>
      </c>
      <c r="C51">
        <v>95</v>
      </c>
      <c r="D51" s="18">
        <v>45809</v>
      </c>
      <c r="E51" s="18">
        <v>45881</v>
      </c>
      <c r="F51" t="s">
        <v>20</v>
      </c>
      <c r="G51">
        <f xml:space="preserve"> C51 * SUM( INDEX($M$2:$Q$5, MATCH(B51, $L$2:$L$5, 0), 0) ) + 50 * $H51</f>
        <v>4135</v>
      </c>
      <c r="H51">
        <f>IF(OR(ROW()=2, B51&lt;&gt;B50, F51&lt;&gt;F50), 1, 0)</f>
        <v>1</v>
      </c>
      <c r="I51" s="35">
        <f t="shared" si="2"/>
        <v>178217</v>
      </c>
      <c r="J51" s="18">
        <f t="shared" si="3"/>
        <v>45980.761805555558</v>
      </c>
      <c r="K51" s="18"/>
    </row>
    <row r="52" spans="1:11" x14ac:dyDescent="0.2">
      <c r="A52">
        <v>27</v>
      </c>
      <c r="B52" t="s">
        <v>5</v>
      </c>
      <c r="C52">
        <v>84</v>
      </c>
      <c r="D52" s="18">
        <v>45809</v>
      </c>
      <c r="E52" s="18">
        <v>45883</v>
      </c>
      <c r="F52" t="s">
        <v>21</v>
      </c>
      <c r="G52">
        <f xml:space="preserve"> C52 * SUM( INDEX($M$2:$Q$5, MATCH(B52, $L$2:$L$5, 0), 0) ) + 50 * $H52</f>
        <v>3578</v>
      </c>
      <c r="H52">
        <f>IF(OR(ROW()=2, B52&lt;&gt;B51, F52&lt;&gt;F51), 1, 0)</f>
        <v>1</v>
      </c>
      <c r="I52" s="35">
        <f t="shared" si="2"/>
        <v>181795</v>
      </c>
      <c r="J52" s="18">
        <f t="shared" si="3"/>
        <v>45985.246527777781</v>
      </c>
      <c r="K52" s="18"/>
    </row>
  </sheetData>
  <phoneticPr fontId="2" type="noConversion"/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0BADE-831E-440D-8082-250D060CA97D}">
  <dimension ref="A1:I11"/>
  <sheetViews>
    <sheetView rightToLeft="1" workbookViewId="0">
      <selection activeCell="H15" sqref="H15"/>
    </sheetView>
  </sheetViews>
  <sheetFormatPr defaultRowHeight="14.25" x14ac:dyDescent="0.2"/>
  <cols>
    <col min="2" max="2" width="11.375" bestFit="1" customWidth="1"/>
    <col min="3" max="3" width="11.25" bestFit="1" customWidth="1"/>
    <col min="4" max="4" width="10.25" bestFit="1" customWidth="1"/>
    <col min="5" max="5" width="11.875" bestFit="1" customWidth="1"/>
    <col min="6" max="6" width="12.625" bestFit="1" customWidth="1"/>
    <col min="9" max="9" width="12" bestFit="1" customWidth="1"/>
  </cols>
  <sheetData>
    <row r="1" spans="1:9" ht="15" thickBot="1" x14ac:dyDescent="0.25">
      <c r="A1" s="6"/>
      <c r="B1" s="5" t="s">
        <v>13</v>
      </c>
      <c r="C1" s="5" t="s">
        <v>12</v>
      </c>
      <c r="D1" s="5" t="s">
        <v>14</v>
      </c>
      <c r="E1" s="5" t="s">
        <v>15</v>
      </c>
      <c r="F1" s="5" t="s">
        <v>16</v>
      </c>
    </row>
    <row r="2" spans="1:9" ht="15" thickBot="1" x14ac:dyDescent="0.25">
      <c r="A2" s="5" t="s">
        <v>8</v>
      </c>
      <c r="B2" s="11">
        <v>5</v>
      </c>
      <c r="C2" s="3">
        <v>8</v>
      </c>
      <c r="D2" s="3">
        <v>14</v>
      </c>
      <c r="E2" s="3">
        <v>6</v>
      </c>
      <c r="F2" s="10">
        <v>10</v>
      </c>
      <c r="G2">
        <f>SUM(B2:F2)</f>
        <v>43</v>
      </c>
    </row>
    <row r="3" spans="1:9" ht="15" thickBot="1" x14ac:dyDescent="0.25">
      <c r="A3" s="5" t="s">
        <v>9</v>
      </c>
      <c r="B3" s="12">
        <v>7</v>
      </c>
      <c r="C3" s="4">
        <v>6</v>
      </c>
      <c r="D3" s="4">
        <v>11</v>
      </c>
      <c r="E3" s="4">
        <v>6</v>
      </c>
      <c r="F3" s="7">
        <v>12</v>
      </c>
      <c r="G3">
        <f>SUM(B3:F3)</f>
        <v>42</v>
      </c>
    </row>
    <row r="4" spans="1:9" ht="15" thickBot="1" x14ac:dyDescent="0.25">
      <c r="A4" s="5" t="s">
        <v>10</v>
      </c>
      <c r="B4" s="12">
        <v>10</v>
      </c>
      <c r="C4" s="4">
        <v>10</v>
      </c>
      <c r="D4" s="4">
        <v>10</v>
      </c>
      <c r="E4" s="4">
        <v>6</v>
      </c>
      <c r="F4" s="7">
        <v>14</v>
      </c>
      <c r="G4">
        <f>SUM(B4:F4)</f>
        <v>50</v>
      </c>
    </row>
    <row r="5" spans="1:9" ht="15" thickBot="1" x14ac:dyDescent="0.25">
      <c r="A5" s="5" t="s">
        <v>11</v>
      </c>
      <c r="B5" s="13">
        <v>6</v>
      </c>
      <c r="C5" s="8">
        <v>7</v>
      </c>
      <c r="D5" s="8">
        <v>12</v>
      </c>
      <c r="E5" s="8">
        <v>6</v>
      </c>
      <c r="F5" s="9">
        <v>14</v>
      </c>
      <c r="G5">
        <f>SUM(B5:F5)</f>
        <v>45</v>
      </c>
    </row>
    <row r="7" spans="1:9" ht="15" thickBot="1" x14ac:dyDescent="0.25"/>
    <row r="8" spans="1:9" x14ac:dyDescent="0.2">
      <c r="H8" s="14">
        <v>10</v>
      </c>
      <c r="I8" s="15" t="s">
        <v>17</v>
      </c>
    </row>
    <row r="9" spans="1:9" x14ac:dyDescent="0.2">
      <c r="H9" s="16">
        <f>5*24</f>
        <v>120</v>
      </c>
      <c r="I9" s="7" t="s">
        <v>18</v>
      </c>
    </row>
    <row r="10" spans="1:9" x14ac:dyDescent="0.2">
      <c r="H10" s="16">
        <v>7200</v>
      </c>
      <c r="I10" s="7" t="s">
        <v>26</v>
      </c>
    </row>
    <row r="11" spans="1:9" ht="15" thickBot="1" x14ac:dyDescent="0.25">
      <c r="H11" s="17"/>
      <c r="I1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חלק 1</vt:lpstr>
      <vt:lpstr>DBR</vt:lpstr>
      <vt:lpstr>Sheet1</vt:lpstr>
      <vt:lpstr>זמן בדקות ליחידת מוצר </vt:lpstr>
    </vt:vector>
  </TitlesOfParts>
  <Company>JCE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juliesarahkh</dc:creator>
  <cp:lastModifiedBy>Nathan Sebag</cp:lastModifiedBy>
  <dcterms:created xsi:type="dcterms:W3CDTF">2025-07-21T17:23:11Z</dcterms:created>
  <dcterms:modified xsi:type="dcterms:W3CDTF">2025-08-14T17:34:01Z</dcterms:modified>
</cp:coreProperties>
</file>