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athanielhawkins/Documents/Subscription/PHY451_GH/Cavendish_Experiment/Data/"/>
    </mc:Choice>
  </mc:AlternateContent>
  <bookViews>
    <workbookView xWindow="0" yWindow="440" windowWidth="25600" windowHeight="15480" tabRatio="500" activeTab="1"/>
  </bookViews>
  <sheets>
    <sheet name="Sheet1" sheetId="1" r:id="rId1"/>
    <sheet name="Driven Osc 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" i="2"/>
  <c r="H30" i="2"/>
  <c r="E31" i="2"/>
  <c r="E30" i="2"/>
  <c r="D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" i="2"/>
  <c r="E3" i="2"/>
  <c r="I29" i="1"/>
  <c r="I30" i="1"/>
  <c r="G25" i="1"/>
  <c r="B17" i="1"/>
  <c r="N29" i="1"/>
  <c r="O29" i="1"/>
  <c r="H26" i="1"/>
  <c r="H25" i="1"/>
  <c r="L25" i="1"/>
  <c r="L24" i="1"/>
  <c r="K25" i="1"/>
  <c r="K24" i="1"/>
  <c r="J25" i="1"/>
  <c r="J24" i="1"/>
  <c r="G26" i="1"/>
  <c r="L22" i="1"/>
  <c r="D14" i="1"/>
  <c r="F6" i="1"/>
  <c r="J5" i="1"/>
  <c r="J6" i="1"/>
  <c r="H10" i="1"/>
  <c r="L21" i="1"/>
  <c r="K21" i="1"/>
  <c r="J22" i="1"/>
  <c r="K22" i="1"/>
  <c r="J21" i="1"/>
  <c r="I4" i="1"/>
  <c r="L20" i="1"/>
  <c r="C17" i="1"/>
  <c r="J4" i="1"/>
  <c r="E18" i="1"/>
  <c r="C14" i="1"/>
  <c r="C13" i="1"/>
  <c r="E19" i="1"/>
  <c r="B26" i="1"/>
  <c r="B25" i="1"/>
  <c r="B14" i="1"/>
  <c r="I15" i="1"/>
  <c r="C15" i="1"/>
  <c r="B15" i="1"/>
  <c r="B13" i="1"/>
  <c r="B11" i="1"/>
  <c r="D1" i="1"/>
  <c r="E1" i="1"/>
  <c r="D2" i="1"/>
  <c r="E2" i="1"/>
  <c r="D6" i="1"/>
  <c r="E6" i="1"/>
  <c r="D7" i="1"/>
  <c r="E7" i="1"/>
  <c r="D8" i="1"/>
  <c r="E8" i="1"/>
  <c r="C10" i="1"/>
  <c r="E3" i="1"/>
  <c r="E4" i="1"/>
  <c r="E5" i="1"/>
  <c r="D5" i="1"/>
  <c r="D4" i="1"/>
  <c r="D3" i="1"/>
  <c r="B10" i="1"/>
</calcChain>
</file>

<file path=xl/sharedStrings.xml><?xml version="1.0" encoding="utf-8"?>
<sst xmlns="http://schemas.openxmlformats.org/spreadsheetml/2006/main" count="46" uniqueCount="44">
  <si>
    <t>lb</t>
  </si>
  <si>
    <t>wb</t>
  </si>
  <si>
    <t>mb</t>
  </si>
  <si>
    <t>mL</t>
  </si>
  <si>
    <t>mR</t>
  </si>
  <si>
    <t>d</t>
  </si>
  <si>
    <t>rL</t>
  </si>
  <si>
    <t>rR</t>
  </si>
  <si>
    <t>I</t>
  </si>
  <si>
    <t>w1</t>
  </si>
  <si>
    <t>w0</t>
  </si>
  <si>
    <t>b</t>
  </si>
  <si>
    <t>K</t>
  </si>
  <si>
    <t>thetad</t>
  </si>
  <si>
    <t>G</t>
  </si>
  <si>
    <t>R0</t>
  </si>
  <si>
    <t>m</t>
  </si>
  <si>
    <t>M</t>
  </si>
  <si>
    <t>M3</t>
  </si>
  <si>
    <t>M4</t>
  </si>
  <si>
    <t>T</t>
  </si>
  <si>
    <t>fd</t>
  </si>
  <si>
    <t>b new</t>
  </si>
  <si>
    <t>k new</t>
  </si>
  <si>
    <t>w0 new</t>
  </si>
  <si>
    <t>w2</t>
  </si>
  <si>
    <t>r</t>
  </si>
  <si>
    <t>R</t>
  </si>
  <si>
    <t>phi</t>
  </si>
  <si>
    <t>thetaR</t>
  </si>
  <si>
    <t>theta0</t>
  </si>
  <si>
    <t>Theta</t>
  </si>
  <si>
    <t>S</t>
  </si>
  <si>
    <t>t</t>
  </si>
  <si>
    <t>Average</t>
  </si>
  <si>
    <t>delta t</t>
  </si>
  <si>
    <t>Period</t>
  </si>
  <si>
    <t>DO 1</t>
  </si>
  <si>
    <t>SOL 1</t>
  </si>
  <si>
    <t>SOL 2</t>
  </si>
  <si>
    <t>theta_laser</t>
  </si>
  <si>
    <t>S0</t>
  </si>
  <si>
    <t>L</t>
  </si>
  <si>
    <t>theta_laser/theta_beam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</si>
</sst>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E+00"/>
    <numFmt numFmtId="165" formatCode="0.000E+00"/>
    <numFmt numFmtId="166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20" workbookViewId="0">
      <selection activeCell="J31" sqref="J31"/>
    </sheetView>
  </sheetViews>
  <sheetFormatPr baseColWidth="10" defaultRowHeight="16" x14ac:dyDescent="0.2"/>
  <cols>
    <col min="3" max="3" width="11.83203125" bestFit="1" customWidth="1"/>
    <col min="5" max="5" width="11.83203125" bestFit="1" customWidth="1"/>
    <col min="8" max="8" width="11.83203125" bestFit="1" customWidth="1"/>
  </cols>
  <sheetData>
    <row r="1" spans="1:13" x14ac:dyDescent="0.2">
      <c r="A1" t="s">
        <v>0</v>
      </c>
      <c r="B1" s="1">
        <v>0.14499999999999999</v>
      </c>
      <c r="C1" s="1">
        <v>5.0000000000000001E-3</v>
      </c>
      <c r="D1" s="1">
        <f>B3*B1*2/12</f>
        <v>1.7337166666666663E-4</v>
      </c>
      <c r="E1" s="1">
        <f>D1*C1</f>
        <v>8.6685833333333315E-7</v>
      </c>
    </row>
    <row r="2" spans="1:13" x14ac:dyDescent="0.2">
      <c r="A2" t="s">
        <v>1</v>
      </c>
      <c r="B2" s="1">
        <v>1.273E-2</v>
      </c>
      <c r="C2" s="1">
        <v>2.9999999999999997E-4</v>
      </c>
      <c r="D2" s="1">
        <f>2*B3*B2/12</f>
        <v>1.5220836666666666E-5</v>
      </c>
      <c r="E2" s="1">
        <f t="shared" ref="E2:E8" si="0">D2*C2</f>
        <v>4.5662509999999999E-9</v>
      </c>
    </row>
    <row r="3" spans="1:13" x14ac:dyDescent="0.2">
      <c r="A3" t="s">
        <v>2</v>
      </c>
      <c r="B3" s="1">
        <v>7.1739999999999998E-3</v>
      </c>
      <c r="C3" s="1">
        <v>1E-4</v>
      </c>
      <c r="D3">
        <f>(B1^2+B2^2)/12</f>
        <v>1.7655877416666666E-3</v>
      </c>
      <c r="E3" s="1">
        <f t="shared" si="0"/>
        <v>1.7655877416666666E-7</v>
      </c>
      <c r="H3" t="s">
        <v>16</v>
      </c>
      <c r="I3">
        <v>1.4629E-2</v>
      </c>
      <c r="J3">
        <v>7.9999999999999996E-6</v>
      </c>
      <c r="K3" t="s">
        <v>18</v>
      </c>
      <c r="L3">
        <v>1.0383800000000001</v>
      </c>
    </row>
    <row r="4" spans="1:13" x14ac:dyDescent="0.2">
      <c r="A4" t="s">
        <v>3</v>
      </c>
      <c r="B4" s="1">
        <v>1.4572999999999999E-2</v>
      </c>
      <c r="C4" s="1">
        <v>1.0000000000000001E-5</v>
      </c>
      <c r="D4">
        <f>(B6^2+2/5*B7^2)</f>
        <v>4.4443365304000001E-3</v>
      </c>
      <c r="E4" s="1">
        <f t="shared" si="0"/>
        <v>4.4443365304000003E-8</v>
      </c>
      <c r="H4" t="s">
        <v>17</v>
      </c>
      <c r="I4" s="4">
        <f>(L3+L4)/2</f>
        <v>1.0372400000000002</v>
      </c>
      <c r="J4">
        <f>SQRT(1/4*(0.000025)^2)</f>
        <v>1.2500000000000001E-5</v>
      </c>
      <c r="K4" t="s">
        <v>19</v>
      </c>
      <c r="L4">
        <v>1.0361</v>
      </c>
    </row>
    <row r="5" spans="1:13" x14ac:dyDescent="0.2">
      <c r="A5" t="s">
        <v>4</v>
      </c>
      <c r="B5" s="1">
        <v>1.4545000000000001E-2</v>
      </c>
      <c r="C5" s="1">
        <v>1.0000000000000001E-5</v>
      </c>
      <c r="D5">
        <f>(B6^2+2/5*B8^2)</f>
        <v>4.4443796024000006E-3</v>
      </c>
      <c r="E5" s="1">
        <f t="shared" si="0"/>
        <v>4.4443796024000009E-8</v>
      </c>
      <c r="J5" s="1">
        <f>B14*J20*F10^2*J3/(2*I3^2*I4*B6)</f>
        <v>1.0666779859868769E-13</v>
      </c>
    </row>
    <row r="6" spans="1:13" x14ac:dyDescent="0.2">
      <c r="A6" t="s">
        <v>5</v>
      </c>
      <c r="B6" s="1">
        <v>6.6530000000000006E-2</v>
      </c>
      <c r="C6" s="1">
        <v>3.7100000000000001E-5</v>
      </c>
      <c r="D6" s="1">
        <f>2*B6*(B4+B5)</f>
        <v>3.8744410800000003E-3</v>
      </c>
      <c r="E6" s="1">
        <f t="shared" si="0"/>
        <v>1.4374176406800003E-7</v>
      </c>
      <c r="F6" s="1">
        <f>B14*J20*F10^2*C6/(2*I4*I3*B6^2)</f>
        <v>1.0877131307958345E-13</v>
      </c>
      <c r="J6" s="1">
        <f>B14*J20*F10^2*J4/(2*I3*I4^2*B6)</f>
        <v>2.3506541785474583E-15</v>
      </c>
    </row>
    <row r="7" spans="1:13" x14ac:dyDescent="0.2">
      <c r="A7" t="s">
        <v>6</v>
      </c>
      <c r="B7" s="1">
        <v>6.7260000000000002E-3</v>
      </c>
      <c r="C7" s="1">
        <v>2.4000000000000001E-5</v>
      </c>
      <c r="D7" s="1">
        <f>2*B4*B7*2/5</f>
        <v>7.84143984E-5</v>
      </c>
      <c r="E7" s="1">
        <f t="shared" si="0"/>
        <v>1.8819455615999999E-9</v>
      </c>
    </row>
    <row r="8" spans="1:13" x14ac:dyDescent="0.2">
      <c r="A8" t="s">
        <v>7</v>
      </c>
      <c r="B8" s="1">
        <v>6.7340000000000004E-3</v>
      </c>
      <c r="C8" s="1">
        <v>2.4000000000000001E-5</v>
      </c>
      <c r="D8" s="1">
        <f>2*B5*B8*2/5</f>
        <v>7.8356824000000007E-5</v>
      </c>
      <c r="E8" s="1">
        <f t="shared" si="0"/>
        <v>1.8805637760000001E-9</v>
      </c>
    </row>
    <row r="10" spans="1:13" x14ac:dyDescent="0.2">
      <c r="A10" t="s">
        <v>8</v>
      </c>
      <c r="B10" s="2">
        <f>B4*(B6^2+2/5*B7^2)+B5*(B6^2+2/5*B8^2)+B3*(B1^2+B2^2)/12</f>
        <v>1.4207714403314387E-4</v>
      </c>
      <c r="C10">
        <f>SQRT(E1^2+E2^2+E3^2+E4^2+E5^2+E6^2+E7^2+E8^2)</f>
        <v>8.9847451725357016E-7</v>
      </c>
      <c r="E10" t="s">
        <v>15</v>
      </c>
      <c r="F10">
        <v>4.6102999999999998E-2</v>
      </c>
      <c r="G10">
        <v>1.5799999999999999E-4</v>
      </c>
      <c r="H10" s="1">
        <f>B14*J20*F10*G10/(2*I4*I3*B6)</f>
        <v>6.6847610150270017E-13</v>
      </c>
      <c r="K10" t="s">
        <v>26</v>
      </c>
      <c r="L10">
        <v>8.1100000000000005E-2</v>
      </c>
      <c r="M10">
        <v>1E-3</v>
      </c>
    </row>
    <row r="11" spans="1:13" x14ac:dyDescent="0.2">
      <c r="A11" t="s">
        <v>11</v>
      </c>
      <c r="B11">
        <f>0.001345</f>
        <v>1.3450000000000001E-3</v>
      </c>
      <c r="C11">
        <v>9.9999999999999995E-7</v>
      </c>
      <c r="H11" t="s">
        <v>21</v>
      </c>
      <c r="I11">
        <v>3.49E-2</v>
      </c>
    </row>
    <row r="12" spans="1:13" x14ac:dyDescent="0.2">
      <c r="A12" t="s">
        <v>9</v>
      </c>
      <c r="B12" s="3">
        <v>3.0859999999999999E-2</v>
      </c>
      <c r="C12">
        <v>1.0000000000000001E-5</v>
      </c>
    </row>
    <row r="13" spans="1:13" x14ac:dyDescent="0.2">
      <c r="A13" t="s">
        <v>10</v>
      </c>
      <c r="B13">
        <f>SQRT(B12^2+B11^2)</f>
        <v>3.088929628528303E-2</v>
      </c>
      <c r="C13">
        <f>SQRT((B12*C12/SQRT(B12^2+B11^2))^2+(B11*C11/SQRT(B12^2+B11^2))^2)</f>
        <v>9.9906106035905752E-6</v>
      </c>
    </row>
    <row r="14" spans="1:13" x14ac:dyDescent="0.2">
      <c r="A14" t="s">
        <v>12</v>
      </c>
      <c r="B14" s="2">
        <f>B13^2*B10</f>
        <v>1.3556271162315117E-7</v>
      </c>
      <c r="C14">
        <f>SQRT((2*B13*B10*C13)^2+(B13^2*C10)^2)</f>
        <v>8.6175149547969981E-10</v>
      </c>
      <c r="D14" s="1">
        <f>J20*F10^2*C14/(2*I4*I3*B6)</f>
        <v>1.2399374681074428E-12</v>
      </c>
    </row>
    <row r="15" spans="1:13" x14ac:dyDescent="0.2">
      <c r="A15" t="s">
        <v>13</v>
      </c>
      <c r="B15">
        <f>0.01187/2</f>
        <v>5.9350000000000002E-3</v>
      </c>
      <c r="C15">
        <f>0.01574/2</f>
        <v>7.8700000000000003E-3</v>
      </c>
      <c r="D15">
        <v>1.4E-3</v>
      </c>
      <c r="F15" t="s">
        <v>20</v>
      </c>
      <c r="G15">
        <v>213.13570000000001</v>
      </c>
      <c r="H15">
        <v>252.51</v>
      </c>
      <c r="I15" s="1">
        <f>2*PI()/B12</f>
        <v>203.60289394619528</v>
      </c>
      <c r="J15">
        <v>203.63195627100001</v>
      </c>
      <c r="K15">
        <v>218</v>
      </c>
    </row>
    <row r="17" spans="1:15" x14ac:dyDescent="0.2">
      <c r="A17" t="s">
        <v>14</v>
      </c>
      <c r="B17" s="2">
        <f>B14*J20*I30^2/(2*I4*I3*B6)</f>
        <v>1.8914201230453862E-10</v>
      </c>
      <c r="C17">
        <f>SQRT(D14^2+L20^2+H10^2+J5^2+J6^2+F6^2)</f>
        <v>1.5334452499661209E-12</v>
      </c>
    </row>
    <row r="18" spans="1:15" x14ac:dyDescent="0.2">
      <c r="A18" t="s">
        <v>37</v>
      </c>
      <c r="B18" s="2"/>
      <c r="D18" t="s">
        <v>14</v>
      </c>
      <c r="E18" s="1">
        <f>((2*PI()/G15)^2*J20)*B10*F10^2/(2*I4*I3*B6)</f>
        <v>1.7765985109586794E-10</v>
      </c>
      <c r="F18" s="1"/>
    </row>
    <row r="19" spans="1:15" x14ac:dyDescent="0.2">
      <c r="E19">
        <f>(PI()*F10/G15)^2*B10/(I4*I3*B6*(1-I11))*J19</f>
        <v>3.4616329847460838E-11</v>
      </c>
      <c r="J19">
        <v>5.1403751825100001E-4</v>
      </c>
    </row>
    <row r="20" spans="1:15" x14ac:dyDescent="0.2">
      <c r="E20" s="1"/>
      <c r="J20" s="1">
        <v>1.36678681363E-3</v>
      </c>
      <c r="K20" s="1">
        <v>4.1094204971600004E-6</v>
      </c>
      <c r="L20" s="1">
        <f>B14*F10^2*K20/(2*I4*I3*B6)</f>
        <v>5.8645917860043815E-13</v>
      </c>
    </row>
    <row r="21" spans="1:15" x14ac:dyDescent="0.2">
      <c r="J21">
        <f>0.01187/2</f>
        <v>5.9350000000000002E-3</v>
      </c>
      <c r="K21">
        <f>0.00146/2</f>
        <v>7.2999999999999996E-4</v>
      </c>
      <c r="L21" s="1">
        <f>B14*F10^2*K21/(2*I4*I3*B6)</f>
        <v>1.0417897138396716E-10</v>
      </c>
    </row>
    <row r="22" spans="1:15" x14ac:dyDescent="0.2">
      <c r="J22">
        <f>0.01574/2</f>
        <v>7.8700000000000003E-3</v>
      </c>
      <c r="K22">
        <f>0.00146/2</f>
        <v>7.2999999999999996E-4</v>
      </c>
      <c r="L22" s="1">
        <f>B14*F10^2*K22/(2*I4*I3*B6)</f>
        <v>1.0417897138396716E-10</v>
      </c>
    </row>
    <row r="24" spans="1:15" x14ac:dyDescent="0.2">
      <c r="A24" t="s">
        <v>22</v>
      </c>
      <c r="B24">
        <v>1.4073769972300001E-3</v>
      </c>
      <c r="J24">
        <f>(0.013157-0.01187)/2</f>
        <v>6.4349999999999997E-4</v>
      </c>
      <c r="K24">
        <f>SQRT(2*0.00146^2)</f>
        <v>2.0647518010647186E-3</v>
      </c>
      <c r="L24" s="1">
        <f>B14*F10^2*K24/(2*I4*I3*B6)</f>
        <v>2.9466262849056984E-10</v>
      </c>
    </row>
    <row r="25" spans="1:15" x14ac:dyDescent="0.2">
      <c r="A25" t="s">
        <v>24</v>
      </c>
      <c r="B25" s="1">
        <f>SQRT(B12^2-B24^2)</f>
        <v>3.0827891429477752E-2</v>
      </c>
      <c r="F25" t="s">
        <v>38</v>
      </c>
      <c r="G25" s="1">
        <f>B14*J24*I30^2/(2*I4*I3*B6)</f>
        <v>8.9050379842864976E-11</v>
      </c>
      <c r="H25">
        <f>SQRT(L24^2+D14^2+F6^2+J5^2+J6^2+H10^2)</f>
        <v>2.9466603494284517E-10</v>
      </c>
      <c r="J25">
        <f>(0.01574-0.013157)/2</f>
        <v>1.2915000000000001E-3</v>
      </c>
      <c r="K25">
        <f>SQRT(2*0.00146^2)</f>
        <v>2.0647518010647186E-3</v>
      </c>
      <c r="L25" s="1">
        <f>B14*F10^2*K25/(2*I4*I3*B6)</f>
        <v>2.9466262849056984E-10</v>
      </c>
    </row>
    <row r="26" spans="1:15" x14ac:dyDescent="0.2">
      <c r="A26" t="s">
        <v>23</v>
      </c>
      <c r="B26" s="1">
        <f>B25^2*B10</f>
        <v>1.3502427689595659E-7</v>
      </c>
      <c r="F26" t="s">
        <v>39</v>
      </c>
      <c r="G26" s="1">
        <f>B14*J25*F10^2/(2*I4*I3*B6)</f>
        <v>1.8431115279779947E-10</v>
      </c>
      <c r="H26">
        <f>SQRT(L25^2+D14^2+F6^2+J5^2+J6^2+H10^2)</f>
        <v>2.9466603494284517E-10</v>
      </c>
    </row>
    <row r="27" spans="1:15" x14ac:dyDescent="0.2">
      <c r="A27" t="s">
        <v>25</v>
      </c>
      <c r="B27" s="1">
        <v>2.9472829999999998E-2</v>
      </c>
    </row>
    <row r="28" spans="1:15" x14ac:dyDescent="0.2">
      <c r="M28" t="s">
        <v>28</v>
      </c>
      <c r="N28">
        <v>0.60199999999999998</v>
      </c>
      <c r="O28">
        <v>1.75E-3</v>
      </c>
    </row>
    <row r="29" spans="1:15" x14ac:dyDescent="0.2">
      <c r="H29" t="s">
        <v>29</v>
      </c>
      <c r="I29" s="1">
        <f>N28-N29-J20</f>
        <v>0.59405471318636993</v>
      </c>
      <c r="M29" t="s">
        <v>30</v>
      </c>
      <c r="N29">
        <f>13.157/2*0.001</f>
        <v>6.5785000000000001E-3</v>
      </c>
      <c r="O29">
        <f>0.00146/2</f>
        <v>7.2999999999999996E-4</v>
      </c>
    </row>
    <row r="30" spans="1:15" x14ac:dyDescent="0.2">
      <c r="H30" t="s">
        <v>27</v>
      </c>
      <c r="I30" s="1">
        <f>SQRT(L10^2+B6^2-2*L10*B6*COS(I29))</f>
        <v>4.539878150385504E-2</v>
      </c>
      <c r="J30" s="1">
        <v>2.9200000000000002E-5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1"/>
  <sheetViews>
    <sheetView tabSelected="1" workbookViewId="0">
      <selection activeCell="H30" sqref="H30"/>
    </sheetView>
  </sheetViews>
  <sheetFormatPr baseColWidth="10" defaultRowHeight="16" x14ac:dyDescent="0.2"/>
  <cols>
    <col min="8" max="8" width="21" bestFit="1" customWidth="1"/>
  </cols>
  <sheetData>
    <row r="1" spans="2:10" x14ac:dyDescent="0.2">
      <c r="B1" t="s">
        <v>31</v>
      </c>
      <c r="C1" t="s">
        <v>32</v>
      </c>
      <c r="D1" t="s">
        <v>33</v>
      </c>
      <c r="E1" t="s">
        <v>35</v>
      </c>
      <c r="G1" t="s">
        <v>40</v>
      </c>
      <c r="H1" t="s">
        <v>43</v>
      </c>
      <c r="I1" t="s">
        <v>41</v>
      </c>
      <c r="J1" t="s">
        <v>42</v>
      </c>
    </row>
    <row r="2" spans="2:10" x14ac:dyDescent="0.2">
      <c r="B2">
        <v>-4.16</v>
      </c>
      <c r="C2">
        <v>50.9</v>
      </c>
      <c r="D2" s="5">
        <f>8*60+5</f>
        <v>485</v>
      </c>
      <c r="G2">
        <f>ATAN(ABS(C2-$I$2)/$J$2)*1000</f>
        <v>6.4498589594169857</v>
      </c>
      <c r="H2">
        <f>ABS(2*G2/B2)</f>
        <v>3.1008937304889352</v>
      </c>
      <c r="I2">
        <v>49.65</v>
      </c>
      <c r="J2">
        <v>193.8</v>
      </c>
    </row>
    <row r="3" spans="2:10" x14ac:dyDescent="0.2">
      <c r="B3">
        <v>4.431</v>
      </c>
      <c r="C3">
        <v>48.1</v>
      </c>
      <c r="D3">
        <f>9*60+52</f>
        <v>592</v>
      </c>
      <c r="E3">
        <f>D3-D2</f>
        <v>107</v>
      </c>
      <c r="G3">
        <f t="shared" ref="G3:G28" si="0">ATAN(ABS(C3-$I$2)/$J$2)*1000</f>
        <v>7.9977654884509031</v>
      </c>
      <c r="H3">
        <f t="shared" ref="H3:H28" si="1">ABS(2*G3/B3)</f>
        <v>3.6099144610475751</v>
      </c>
    </row>
    <row r="4" spans="2:10" x14ac:dyDescent="0.2">
      <c r="B4">
        <v>-5.31</v>
      </c>
      <c r="C4">
        <v>51.4</v>
      </c>
      <c r="D4">
        <f>11*60+40</f>
        <v>700</v>
      </c>
      <c r="E4">
        <f t="shared" ref="E4:E28" si="2">D4-D3</f>
        <v>108</v>
      </c>
      <c r="G4">
        <f t="shared" si="0"/>
        <v>9.0296823403661026</v>
      </c>
      <c r="H4">
        <f t="shared" si="1"/>
        <v>3.4010102976896812</v>
      </c>
    </row>
    <row r="5" spans="2:10" x14ac:dyDescent="0.2">
      <c r="B5">
        <v>5.39</v>
      </c>
      <c r="C5">
        <v>47.6</v>
      </c>
      <c r="D5">
        <f>13*60+25</f>
        <v>805</v>
      </c>
      <c r="E5">
        <f t="shared" si="2"/>
        <v>105</v>
      </c>
      <c r="G5">
        <f t="shared" si="0"/>
        <v>10.577520874090302</v>
      </c>
      <c r="H5">
        <f t="shared" si="1"/>
        <v>3.9248685989203351</v>
      </c>
    </row>
    <row r="6" spans="2:10" x14ac:dyDescent="0.2">
      <c r="B6">
        <v>-6.2</v>
      </c>
      <c r="C6">
        <v>51.7</v>
      </c>
      <c r="D6">
        <f>15*60+10</f>
        <v>910</v>
      </c>
      <c r="E6">
        <f t="shared" si="2"/>
        <v>105</v>
      </c>
      <c r="G6">
        <f t="shared" si="0"/>
        <v>10.577520874090338</v>
      </c>
      <c r="H6">
        <f t="shared" si="1"/>
        <v>3.4121035077710764</v>
      </c>
    </row>
    <row r="7" spans="2:10" x14ac:dyDescent="0.2">
      <c r="B7">
        <v>6.2510000000000003</v>
      </c>
      <c r="C7">
        <v>47.4</v>
      </c>
      <c r="D7">
        <f>16*60+57</f>
        <v>1017</v>
      </c>
      <c r="E7">
        <f t="shared" si="2"/>
        <v>107</v>
      </c>
      <c r="G7">
        <f t="shared" si="0"/>
        <v>11.609385530017782</v>
      </c>
      <c r="H7">
        <f t="shared" si="1"/>
        <v>3.7144090641554253</v>
      </c>
    </row>
    <row r="8" spans="2:10" x14ac:dyDescent="0.2">
      <c r="B8">
        <v>-6.82</v>
      </c>
      <c r="C8">
        <v>52</v>
      </c>
      <c r="D8">
        <f>18*60+44</f>
        <v>1124</v>
      </c>
      <c r="E8">
        <f t="shared" si="2"/>
        <v>107</v>
      </c>
      <c r="G8">
        <f t="shared" si="0"/>
        <v>12.125308724288066</v>
      </c>
      <c r="H8">
        <f t="shared" si="1"/>
        <v>3.5558090100551514</v>
      </c>
    </row>
    <row r="9" spans="2:10" x14ac:dyDescent="0.2">
      <c r="B9">
        <v>6.82</v>
      </c>
      <c r="C9">
        <v>47.2</v>
      </c>
      <c r="D9">
        <f>20*60+28</f>
        <v>1228</v>
      </c>
      <c r="E9">
        <f t="shared" si="2"/>
        <v>104</v>
      </c>
      <c r="G9">
        <f t="shared" si="0"/>
        <v>12.64122546337294</v>
      </c>
      <c r="H9">
        <f t="shared" si="1"/>
        <v>3.7071042414583402</v>
      </c>
    </row>
    <row r="10" spans="2:10" x14ac:dyDescent="0.2">
      <c r="B10">
        <v>-7.2990000000000004</v>
      </c>
      <c r="C10">
        <v>52.2</v>
      </c>
      <c r="D10">
        <f>22*60+15</f>
        <v>1335</v>
      </c>
      <c r="E10">
        <f t="shared" si="2"/>
        <v>107</v>
      </c>
      <c r="G10">
        <f t="shared" si="0"/>
        <v>13.157135472755762</v>
      </c>
      <c r="H10">
        <f t="shared" si="1"/>
        <v>3.6051885115100046</v>
      </c>
    </row>
    <row r="11" spans="2:10" x14ac:dyDescent="0.2">
      <c r="B11">
        <v>7.3540000000000001</v>
      </c>
      <c r="C11">
        <v>47</v>
      </c>
      <c r="D11">
        <f>24*60+1</f>
        <v>1441</v>
      </c>
      <c r="E11">
        <f t="shared" si="2"/>
        <v>106</v>
      </c>
      <c r="G11">
        <f t="shared" si="0"/>
        <v>13.673038477941127</v>
      </c>
      <c r="H11">
        <f t="shared" si="1"/>
        <v>3.718530997536341</v>
      </c>
    </row>
    <row r="12" spans="2:10" x14ac:dyDescent="0.2">
      <c r="B12">
        <v>-7.75</v>
      </c>
      <c r="C12">
        <v>52.3</v>
      </c>
      <c r="D12">
        <f>25*60+47</f>
        <v>1547</v>
      </c>
      <c r="E12">
        <f t="shared" si="2"/>
        <v>106</v>
      </c>
      <c r="G12">
        <f t="shared" si="0"/>
        <v>13.673038477941127</v>
      </c>
      <c r="H12">
        <f t="shared" si="1"/>
        <v>3.5285260588235166</v>
      </c>
    </row>
    <row r="13" spans="2:10" x14ac:dyDescent="0.2">
      <c r="B13">
        <v>7.73</v>
      </c>
      <c r="C13">
        <v>46.9</v>
      </c>
      <c r="D13">
        <f>27*60+33</f>
        <v>1653</v>
      </c>
      <c r="E13">
        <f t="shared" si="2"/>
        <v>106</v>
      </c>
      <c r="G13">
        <f t="shared" si="0"/>
        <v>14.188934204456247</v>
      </c>
      <c r="H13">
        <f t="shared" si="1"/>
        <v>3.6711343349175283</v>
      </c>
    </row>
    <row r="14" spans="2:10" x14ac:dyDescent="0.2">
      <c r="B14">
        <v>-8.2100000000000009</v>
      </c>
      <c r="C14">
        <v>52.4</v>
      </c>
      <c r="D14">
        <f>29*60+19</f>
        <v>1759</v>
      </c>
      <c r="E14">
        <f t="shared" si="2"/>
        <v>106</v>
      </c>
      <c r="G14">
        <f t="shared" si="0"/>
        <v>14.188934204456247</v>
      </c>
      <c r="H14">
        <f t="shared" si="1"/>
        <v>3.4565004152146761</v>
      </c>
    </row>
    <row r="15" spans="2:10" x14ac:dyDescent="0.2">
      <c r="B15">
        <v>7.98</v>
      </c>
      <c r="C15">
        <v>46.7</v>
      </c>
      <c r="D15">
        <f>31*60+5</f>
        <v>1865</v>
      </c>
      <c r="E15">
        <f t="shared" si="2"/>
        <v>106</v>
      </c>
      <c r="G15">
        <f t="shared" si="0"/>
        <v>15.220702723701132</v>
      </c>
      <c r="H15">
        <f t="shared" si="1"/>
        <v>3.8147124620804842</v>
      </c>
    </row>
    <row r="16" spans="2:10" x14ac:dyDescent="0.2">
      <c r="B16">
        <v>-8.4499999999999993</v>
      </c>
      <c r="C16">
        <v>52.5</v>
      </c>
      <c r="D16">
        <f>32*60+52</f>
        <v>1972</v>
      </c>
      <c r="E16">
        <f t="shared" si="2"/>
        <v>107</v>
      </c>
      <c r="G16">
        <f t="shared" si="0"/>
        <v>14.704822377851439</v>
      </c>
      <c r="H16">
        <f t="shared" si="1"/>
        <v>3.480431332035844</v>
      </c>
    </row>
    <row r="17" spans="2:8" x14ac:dyDescent="0.2">
      <c r="B17">
        <v>8.2189999999999994</v>
      </c>
      <c r="C17">
        <v>46.7</v>
      </c>
      <c r="D17">
        <f>34*60+37</f>
        <v>2077</v>
      </c>
      <c r="E17">
        <f t="shared" si="2"/>
        <v>105</v>
      </c>
      <c r="G17">
        <f t="shared" si="0"/>
        <v>15.220702723701132</v>
      </c>
      <c r="H17">
        <f t="shared" si="1"/>
        <v>3.7037845780998011</v>
      </c>
    </row>
    <row r="18" spans="2:8" x14ac:dyDescent="0.2">
      <c r="B18">
        <v>-8.6289999999999996</v>
      </c>
      <c r="C18">
        <v>52.7</v>
      </c>
      <c r="D18">
        <f>36*60+22</f>
        <v>2182</v>
      </c>
      <c r="E18">
        <f t="shared" si="2"/>
        <v>105</v>
      </c>
      <c r="G18">
        <f t="shared" si="0"/>
        <v>15.736574967604898</v>
      </c>
      <c r="H18">
        <f t="shared" si="1"/>
        <v>3.6473693284517092</v>
      </c>
    </row>
    <row r="19" spans="2:8" x14ac:dyDescent="0.2">
      <c r="B19">
        <v>8.4570000000000007</v>
      </c>
      <c r="C19">
        <v>46.7</v>
      </c>
      <c r="D19">
        <f>38*60+8</f>
        <v>2288</v>
      </c>
      <c r="E19">
        <f t="shared" si="2"/>
        <v>106</v>
      </c>
      <c r="G19">
        <f t="shared" si="0"/>
        <v>15.220702723701132</v>
      </c>
      <c r="H19">
        <f t="shared" si="1"/>
        <v>3.5995513122150009</v>
      </c>
    </row>
    <row r="20" spans="2:8" x14ac:dyDescent="0.2">
      <c r="B20">
        <v>-8.9809999999999999</v>
      </c>
      <c r="C20">
        <v>52.7</v>
      </c>
      <c r="D20">
        <f>39*60+54</f>
        <v>2394</v>
      </c>
      <c r="E20">
        <f t="shared" si="2"/>
        <v>106</v>
      </c>
      <c r="G20">
        <f t="shared" si="0"/>
        <v>15.736574967604898</v>
      </c>
      <c r="H20">
        <f t="shared" si="1"/>
        <v>3.5044148686348735</v>
      </c>
    </row>
    <row r="21" spans="2:8" x14ac:dyDescent="0.2">
      <c r="B21">
        <v>8.593</v>
      </c>
      <c r="C21">
        <v>46.6</v>
      </c>
      <c r="D21">
        <f>41*60+40</f>
        <v>2500</v>
      </c>
      <c r="E21">
        <f t="shared" si="2"/>
        <v>106</v>
      </c>
      <c r="G21">
        <f t="shared" si="0"/>
        <v>15.736574967604861</v>
      </c>
      <c r="H21">
        <f t="shared" si="1"/>
        <v>3.6626498237181102</v>
      </c>
    </row>
    <row r="22" spans="2:8" x14ac:dyDescent="0.2">
      <c r="B22">
        <v>-9</v>
      </c>
      <c r="C22">
        <v>52.7</v>
      </c>
      <c r="D22">
        <f>43*60+27</f>
        <v>2607</v>
      </c>
      <c r="E22">
        <f t="shared" si="2"/>
        <v>107</v>
      </c>
      <c r="G22">
        <f t="shared" si="0"/>
        <v>15.736574967604898</v>
      </c>
      <c r="H22">
        <f t="shared" si="1"/>
        <v>3.4970166594677554</v>
      </c>
    </row>
    <row r="23" spans="2:8" x14ac:dyDescent="0.2">
      <c r="B23">
        <v>7.91</v>
      </c>
      <c r="C23">
        <v>46.6</v>
      </c>
      <c r="D23">
        <f>45*60+14</f>
        <v>2714</v>
      </c>
      <c r="E23">
        <f t="shared" si="2"/>
        <v>107</v>
      </c>
      <c r="G23">
        <f t="shared" si="0"/>
        <v>15.736574967604861</v>
      </c>
      <c r="H23">
        <f t="shared" si="1"/>
        <v>3.9789064393438331</v>
      </c>
    </row>
    <row r="24" spans="2:8" x14ac:dyDescent="0.2">
      <c r="B24">
        <v>-9.0380000000000003</v>
      </c>
      <c r="C24">
        <v>52.7</v>
      </c>
      <c r="D24">
        <f>46*60+59</f>
        <v>2819</v>
      </c>
      <c r="E24">
        <f t="shared" si="2"/>
        <v>105</v>
      </c>
      <c r="G24">
        <f t="shared" si="0"/>
        <v>15.736574967604898</v>
      </c>
      <c r="H24">
        <f t="shared" si="1"/>
        <v>3.4823135577793534</v>
      </c>
    </row>
    <row r="25" spans="2:8" x14ac:dyDescent="0.2">
      <c r="B25">
        <v>8.76</v>
      </c>
      <c r="C25">
        <v>46.5</v>
      </c>
      <c r="D25">
        <f>48*60+44</f>
        <v>2924</v>
      </c>
      <c r="E25">
        <f t="shared" si="2"/>
        <v>105</v>
      </c>
      <c r="G25">
        <f t="shared" si="0"/>
        <v>16.25243883518792</v>
      </c>
      <c r="H25">
        <f t="shared" si="1"/>
        <v>3.7106024737871963</v>
      </c>
    </row>
    <row r="26" spans="2:8" x14ac:dyDescent="0.2">
      <c r="B26">
        <v>-9.1069999999999993</v>
      </c>
      <c r="C26">
        <v>52.7</v>
      </c>
      <c r="D26">
        <f>50*60+29</f>
        <v>3029</v>
      </c>
      <c r="E26">
        <f t="shared" si="2"/>
        <v>105</v>
      </c>
      <c r="G26">
        <f t="shared" si="0"/>
        <v>15.736574967604898</v>
      </c>
      <c r="H26">
        <f t="shared" si="1"/>
        <v>3.4559294976622157</v>
      </c>
    </row>
    <row r="27" spans="2:8" x14ac:dyDescent="0.2">
      <c r="B27">
        <v>8.8140000000000001</v>
      </c>
      <c r="C27">
        <v>46.5</v>
      </c>
      <c r="D27">
        <f>52*60+17</f>
        <v>3137</v>
      </c>
      <c r="E27">
        <f t="shared" si="2"/>
        <v>108</v>
      </c>
      <c r="G27">
        <f t="shared" si="0"/>
        <v>16.25243883518792</v>
      </c>
      <c r="H27">
        <f t="shared" si="1"/>
        <v>3.6878690345332243</v>
      </c>
    </row>
    <row r="28" spans="2:8" x14ac:dyDescent="0.2">
      <c r="B28">
        <v>-9.17</v>
      </c>
      <c r="C28">
        <v>52.7</v>
      </c>
      <c r="D28">
        <f>54*60</f>
        <v>3240</v>
      </c>
      <c r="E28">
        <f t="shared" si="2"/>
        <v>103</v>
      </c>
      <c r="G28">
        <f t="shared" si="0"/>
        <v>15.736574967604898</v>
      </c>
      <c r="H28">
        <f t="shared" si="1"/>
        <v>3.4321864705790399</v>
      </c>
    </row>
    <row r="30" spans="2:8" x14ac:dyDescent="0.2">
      <c r="D30" t="s">
        <v>34</v>
      </c>
      <c r="E30">
        <f>AVERAGE(E3:E28)</f>
        <v>105.96153846153847</v>
      </c>
      <c r="G30" t="s">
        <v>34</v>
      </c>
      <c r="H30">
        <f>AVERAGE(H2:H28)</f>
        <v>3.5949530025176673</v>
      </c>
    </row>
    <row r="31" spans="2:8" x14ac:dyDescent="0.2">
      <c r="D31" t="s">
        <v>36</v>
      </c>
      <c r="E31">
        <f>2*E30</f>
        <v>211.92307692307693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Driven Osc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</cp:lastModifiedBy>
  <dcterms:created xsi:type="dcterms:W3CDTF">2017-10-17T22:56:06Z</dcterms:created>
  <dcterms:modified xsi:type="dcterms:W3CDTF">2017-10-24T16:01:54Z</dcterms:modified>
</cp:coreProperties>
</file>