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tevenfromm/Desktop/Homework/PHY 451/Cavendish/Analysis/"/>
    </mc:Choice>
  </mc:AlternateContent>
  <bookViews>
    <workbookView xWindow="0" yWindow="460" windowWidth="25600" windowHeight="14180" tabRatio="500"/>
  </bookViews>
  <sheets>
    <sheet name="Sheet1" sheetId="1" r:id="rId1"/>
    <sheet name="Driven Osc 2" sheetId="2" r:id="rId2"/>
    <sheet name="Driven Osc 3" sheetId="3" r:id="rId3"/>
  </sheets>
  <definedNames>
    <definedName name="eq">'Driven Osc 2'!$E$37</definedName>
    <definedName name="etheta">'Driven Osc 3'!$C$43</definedName>
    <definedName name="l">'Driven Osc 3'!$C$41</definedName>
    <definedName name="s0">'Driven Osc 3'!$C$40</definedName>
    <definedName name="sc">'Driven Osc 3'!$K$39</definedName>
    <definedName name="scale">'Driven Osc 2'!$I$30</definedName>
    <definedName name="x">'Driven Osc 2'!$E$38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2" i="1" l="1"/>
  <c r="N41" i="1"/>
  <c r="O41" i="1"/>
  <c r="O40" i="1"/>
  <c r="N40" i="1"/>
  <c r="M40" i="1"/>
  <c r="L40" i="1"/>
  <c r="K40" i="1"/>
  <c r="J40" i="1"/>
  <c r="I40" i="1"/>
  <c r="H40" i="1"/>
  <c r="K25" i="1"/>
  <c r="F40" i="1"/>
  <c r="A40" i="1"/>
  <c r="G40" i="1"/>
  <c r="B40" i="1"/>
  <c r="C40" i="1"/>
  <c r="O37" i="1"/>
  <c r="O39" i="1"/>
  <c r="O38" i="1"/>
  <c r="C39" i="1"/>
  <c r="C38" i="1"/>
  <c r="C37" i="1"/>
  <c r="B39" i="1"/>
  <c r="B38" i="1"/>
  <c r="B37" i="1"/>
  <c r="H38" i="1"/>
  <c r="N27" i="1"/>
  <c r="J29" i="1"/>
  <c r="O28" i="1"/>
  <c r="G38" i="1"/>
  <c r="N38" i="1"/>
  <c r="H39" i="1"/>
  <c r="G39" i="1"/>
  <c r="N39" i="1"/>
  <c r="H37" i="1"/>
  <c r="G37" i="1"/>
  <c r="N37" i="1"/>
  <c r="L39" i="1"/>
  <c r="L38" i="1"/>
  <c r="L37" i="1"/>
  <c r="K39" i="1"/>
  <c r="K38" i="1"/>
  <c r="K37" i="1"/>
  <c r="J39" i="1"/>
  <c r="J38" i="1"/>
  <c r="J37" i="1"/>
  <c r="I39" i="1"/>
  <c r="I38" i="1"/>
  <c r="I37" i="1"/>
  <c r="M39" i="1"/>
  <c r="M38" i="1"/>
  <c r="M37" i="1"/>
  <c r="K47" i="3"/>
  <c r="H56" i="3"/>
  <c r="K52" i="3"/>
  <c r="K53" i="3"/>
  <c r="L47" i="3"/>
  <c r="L49" i="3"/>
  <c r="K49" i="3"/>
  <c r="Q39" i="3"/>
  <c r="P4" i="3"/>
  <c r="Q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Q3" i="3"/>
  <c r="P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2" i="3"/>
  <c r="G48" i="3"/>
  <c r="N39" i="3"/>
  <c r="M39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4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" i="3"/>
  <c r="C4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" i="3"/>
  <c r="H3" i="3"/>
  <c r="H2" i="3"/>
  <c r="J3" i="3"/>
  <c r="K3" i="3"/>
  <c r="H4" i="3"/>
  <c r="J4" i="3"/>
  <c r="K4" i="3"/>
  <c r="H5" i="3"/>
  <c r="J5" i="3"/>
  <c r="K5" i="3"/>
  <c r="H6" i="3"/>
  <c r="J6" i="3"/>
  <c r="K6" i="3"/>
  <c r="H7" i="3"/>
  <c r="J7" i="3"/>
  <c r="K7" i="3"/>
  <c r="H8" i="3"/>
  <c r="J8" i="3"/>
  <c r="K8" i="3"/>
  <c r="H9" i="3"/>
  <c r="J9" i="3"/>
  <c r="K9" i="3"/>
  <c r="H10" i="3"/>
  <c r="J10" i="3"/>
  <c r="K10" i="3"/>
  <c r="H11" i="3"/>
  <c r="J11" i="3"/>
  <c r="K11" i="3"/>
  <c r="H12" i="3"/>
  <c r="J12" i="3"/>
  <c r="K12" i="3"/>
  <c r="H13" i="3"/>
  <c r="J13" i="3"/>
  <c r="K13" i="3"/>
  <c r="H14" i="3"/>
  <c r="J14" i="3"/>
  <c r="K14" i="3"/>
  <c r="H15" i="3"/>
  <c r="J15" i="3"/>
  <c r="K15" i="3"/>
  <c r="H16" i="3"/>
  <c r="J16" i="3"/>
  <c r="K16" i="3"/>
  <c r="H17" i="3"/>
  <c r="J17" i="3"/>
  <c r="K17" i="3"/>
  <c r="H18" i="3"/>
  <c r="J18" i="3"/>
  <c r="K18" i="3"/>
  <c r="H19" i="3"/>
  <c r="J19" i="3"/>
  <c r="K19" i="3"/>
  <c r="H20" i="3"/>
  <c r="J20" i="3"/>
  <c r="K20" i="3"/>
  <c r="H21" i="3"/>
  <c r="J21" i="3"/>
  <c r="K21" i="3"/>
  <c r="H22" i="3"/>
  <c r="J22" i="3"/>
  <c r="K22" i="3"/>
  <c r="H23" i="3"/>
  <c r="J23" i="3"/>
  <c r="K23" i="3"/>
  <c r="H24" i="3"/>
  <c r="J24" i="3"/>
  <c r="K24" i="3"/>
  <c r="H25" i="3"/>
  <c r="J25" i="3"/>
  <c r="K25" i="3"/>
  <c r="H26" i="3"/>
  <c r="J26" i="3"/>
  <c r="K26" i="3"/>
  <c r="H27" i="3"/>
  <c r="J27" i="3"/>
  <c r="K27" i="3"/>
  <c r="H28" i="3"/>
  <c r="J28" i="3"/>
  <c r="K28" i="3"/>
  <c r="H29" i="3"/>
  <c r="J29" i="3"/>
  <c r="K29" i="3"/>
  <c r="H30" i="3"/>
  <c r="J30" i="3"/>
  <c r="K30" i="3"/>
  <c r="H31" i="3"/>
  <c r="J31" i="3"/>
  <c r="K31" i="3"/>
  <c r="H32" i="3"/>
  <c r="J32" i="3"/>
  <c r="K32" i="3"/>
  <c r="H33" i="3"/>
  <c r="J33" i="3"/>
  <c r="K33" i="3"/>
  <c r="H34" i="3"/>
  <c r="J34" i="3"/>
  <c r="K34" i="3"/>
  <c r="H35" i="3"/>
  <c r="J35" i="3"/>
  <c r="K35" i="3"/>
  <c r="H36" i="3"/>
  <c r="J36" i="3"/>
  <c r="K36" i="3"/>
  <c r="H37" i="3"/>
  <c r="J37" i="3"/>
  <c r="K37" i="3"/>
  <c r="K3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B29" i="3"/>
  <c r="F19" i="2"/>
  <c r="F20" i="2"/>
  <c r="F21" i="2"/>
  <c r="F22" i="2"/>
  <c r="F23" i="2"/>
  <c r="F24" i="2"/>
  <c r="F25" i="2"/>
  <c r="F26" i="2"/>
  <c r="F27" i="2"/>
  <c r="H38" i="2"/>
  <c r="F3" i="2"/>
  <c r="F2" i="2"/>
  <c r="H3" i="2"/>
  <c r="I3" i="2"/>
  <c r="F4" i="2"/>
  <c r="H4" i="2"/>
  <c r="I4" i="2"/>
  <c r="F5" i="2"/>
  <c r="H5" i="2"/>
  <c r="I5" i="2"/>
  <c r="F6" i="2"/>
  <c r="H6" i="2"/>
  <c r="I6" i="2"/>
  <c r="F7" i="2"/>
  <c r="H7" i="2"/>
  <c r="I7" i="2"/>
  <c r="F8" i="2"/>
  <c r="H8" i="2"/>
  <c r="I8" i="2"/>
  <c r="F9" i="2"/>
  <c r="H9" i="2"/>
  <c r="I9" i="2"/>
  <c r="F10" i="2"/>
  <c r="H10" i="2"/>
  <c r="I10" i="2"/>
  <c r="F11" i="2"/>
  <c r="H11" i="2"/>
  <c r="I11" i="2"/>
  <c r="F12" i="2"/>
  <c r="H12" i="2"/>
  <c r="I12" i="2"/>
  <c r="F13" i="2"/>
  <c r="H13" i="2"/>
  <c r="I13" i="2"/>
  <c r="F14" i="2"/>
  <c r="H14" i="2"/>
  <c r="I14" i="2"/>
  <c r="F15" i="2"/>
  <c r="H15" i="2"/>
  <c r="I15" i="2"/>
  <c r="F16" i="2"/>
  <c r="H16" i="2"/>
  <c r="I16" i="2"/>
  <c r="F17" i="2"/>
  <c r="H17" i="2"/>
  <c r="I17" i="2"/>
  <c r="F18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F28" i="2"/>
  <c r="H28" i="2"/>
  <c r="I28" i="2"/>
  <c r="I30" i="2"/>
  <c r="J18" i="2"/>
  <c r="J20" i="2"/>
  <c r="J21" i="2"/>
  <c r="J22" i="2"/>
  <c r="J23" i="2"/>
  <c r="J24" i="2"/>
  <c r="J25" i="2"/>
  <c r="J26" i="2"/>
  <c r="J27" i="2"/>
  <c r="I3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9" i="2"/>
  <c r="J28" i="2"/>
  <c r="J2" i="2"/>
  <c r="E37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3" i="2"/>
  <c r="G26" i="1"/>
  <c r="E31" i="2"/>
  <c r="E30" i="2"/>
  <c r="D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" i="2"/>
  <c r="E3" i="2"/>
  <c r="I29" i="1"/>
  <c r="I30" i="1"/>
  <c r="G25" i="1"/>
  <c r="B17" i="1"/>
  <c r="N29" i="1"/>
  <c r="O29" i="1"/>
  <c r="L25" i="1"/>
  <c r="H26" i="1"/>
  <c r="H25" i="1"/>
  <c r="L24" i="1"/>
  <c r="K24" i="1"/>
  <c r="J25" i="1"/>
  <c r="J24" i="1"/>
  <c r="L22" i="1"/>
  <c r="D14" i="1"/>
  <c r="F6" i="1"/>
  <c r="J5" i="1"/>
  <c r="J6" i="1"/>
  <c r="H10" i="1"/>
  <c r="L21" i="1"/>
  <c r="K21" i="1"/>
  <c r="J22" i="1"/>
  <c r="K22" i="1"/>
  <c r="J21" i="1"/>
  <c r="I4" i="1"/>
  <c r="L20" i="1"/>
  <c r="C17" i="1"/>
  <c r="J4" i="1"/>
  <c r="E18" i="1"/>
  <c r="C14" i="1"/>
  <c r="C13" i="1"/>
  <c r="E19" i="1"/>
  <c r="B26" i="1"/>
  <c r="B25" i="1"/>
  <c r="B14" i="1"/>
  <c r="I15" i="1"/>
  <c r="C15" i="1"/>
  <c r="B15" i="1"/>
  <c r="B13" i="1"/>
  <c r="B11" i="1"/>
  <c r="D1" i="1"/>
  <c r="E1" i="1"/>
  <c r="D2" i="1"/>
  <c r="E2" i="1"/>
  <c r="D6" i="1"/>
  <c r="E6" i="1"/>
  <c r="D7" i="1"/>
  <c r="E7" i="1"/>
  <c r="D8" i="1"/>
  <c r="E8" i="1"/>
  <c r="C10" i="1"/>
  <c r="E3" i="1"/>
  <c r="E4" i="1"/>
  <c r="E5" i="1"/>
  <c r="D5" i="1"/>
  <c r="D4" i="1"/>
  <c r="D3" i="1"/>
  <c r="B10" i="1"/>
</calcChain>
</file>

<file path=xl/sharedStrings.xml><?xml version="1.0" encoding="utf-8"?>
<sst xmlns="http://schemas.openxmlformats.org/spreadsheetml/2006/main" count="99" uniqueCount="72">
  <si>
    <t>lb</t>
  </si>
  <si>
    <t>wb</t>
  </si>
  <si>
    <t>mb</t>
  </si>
  <si>
    <t>mL</t>
  </si>
  <si>
    <t>mR</t>
  </si>
  <si>
    <t>d</t>
  </si>
  <si>
    <t>rL</t>
  </si>
  <si>
    <t>rR</t>
  </si>
  <si>
    <t>I</t>
  </si>
  <si>
    <t>w1</t>
  </si>
  <si>
    <t>w0</t>
  </si>
  <si>
    <t>b</t>
  </si>
  <si>
    <t>K</t>
  </si>
  <si>
    <t>thetad</t>
  </si>
  <si>
    <t>G</t>
  </si>
  <si>
    <t>R0</t>
  </si>
  <si>
    <t>m</t>
  </si>
  <si>
    <t>M</t>
  </si>
  <si>
    <t>M3</t>
  </si>
  <si>
    <t>M4</t>
  </si>
  <si>
    <t>T</t>
  </si>
  <si>
    <t>fd</t>
  </si>
  <si>
    <t>b new</t>
  </si>
  <si>
    <t>k new</t>
  </si>
  <si>
    <t>w0 new</t>
  </si>
  <si>
    <t>w2</t>
  </si>
  <si>
    <t>r</t>
  </si>
  <si>
    <t>R</t>
  </si>
  <si>
    <t>phi</t>
  </si>
  <si>
    <t>thetaR</t>
  </si>
  <si>
    <t>theta0</t>
  </si>
  <si>
    <t>Theta</t>
  </si>
  <si>
    <t>S</t>
  </si>
  <si>
    <t>t</t>
  </si>
  <si>
    <t>Average</t>
  </si>
  <si>
    <t>delta t</t>
  </si>
  <si>
    <t>Period</t>
  </si>
  <si>
    <t>DO 1</t>
  </si>
  <si>
    <t>SOL 1</t>
  </si>
  <si>
    <t>SOL 2</t>
  </si>
  <si>
    <t>S0</t>
  </si>
  <si>
    <t>L</t>
  </si>
  <si>
    <t>stheta</t>
  </si>
  <si>
    <t>delta theta</t>
  </si>
  <si>
    <t>delta stheta</t>
  </si>
  <si>
    <t>ratio</t>
  </si>
  <si>
    <t>SE</t>
  </si>
  <si>
    <t>etheta</t>
  </si>
  <si>
    <t>x</t>
  </si>
  <si>
    <t>theta (mrad)</t>
  </si>
  <si>
    <t>theta (rad)</t>
  </si>
  <si>
    <t>minutes</t>
  </si>
  <si>
    <t>seconds</t>
  </si>
  <si>
    <t>scale</t>
  </si>
  <si>
    <t>eq</t>
  </si>
  <si>
    <t>scaled theta</t>
  </si>
  <si>
    <t>scaled theta eq</t>
  </si>
  <si>
    <t>scaled thetad</t>
  </si>
  <si>
    <t>thd</t>
  </si>
  <si>
    <t>dthetad</t>
  </si>
  <si>
    <t>dG</t>
  </si>
  <si>
    <t>gdthetad</t>
  </si>
  <si>
    <t>gdR</t>
  </si>
  <si>
    <t>gdK</t>
  </si>
  <si>
    <t>gdm</t>
  </si>
  <si>
    <t>gdM</t>
  </si>
  <si>
    <t>gdd</t>
  </si>
  <si>
    <t>dthetaR</t>
  </si>
  <si>
    <t>dR</t>
  </si>
  <si>
    <t>better G</t>
  </si>
  <si>
    <t>mh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</si>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</sst>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E+00"/>
    <numFmt numFmtId="165" formatCode="0.000E+00"/>
    <numFmt numFmtId="166" formatCode="0.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14" workbookViewId="0">
      <selection activeCell="P43" sqref="P43"/>
    </sheetView>
  </sheetViews>
  <sheetFormatPr baseColWidth="10" defaultRowHeight="16" x14ac:dyDescent="0.2"/>
  <cols>
    <col min="3" max="3" width="11.83203125" bestFit="1" customWidth="1"/>
    <col min="5" max="5" width="11.83203125" bestFit="1" customWidth="1"/>
    <col min="8" max="8" width="11.83203125" bestFit="1" customWidth="1"/>
    <col min="10" max="10" width="11.83203125" bestFit="1" customWidth="1"/>
    <col min="14" max="14" width="12" bestFit="1" customWidth="1"/>
    <col min="15" max="15" width="11.83203125" bestFit="1" customWidth="1"/>
  </cols>
  <sheetData>
    <row r="1" spans="1:13" x14ac:dyDescent="0.2">
      <c r="A1" t="s">
        <v>0</v>
      </c>
      <c r="B1" s="1">
        <v>0.14499999999999999</v>
      </c>
      <c r="C1" s="1">
        <v>5.0000000000000001E-3</v>
      </c>
      <c r="D1" s="1">
        <f>B3*B1*2/12</f>
        <v>1.7337166666666663E-4</v>
      </c>
      <c r="E1" s="1">
        <f>D1*C1</f>
        <v>8.6685833333333315E-7</v>
      </c>
    </row>
    <row r="2" spans="1:13" x14ac:dyDescent="0.2">
      <c r="A2" t="s">
        <v>1</v>
      </c>
      <c r="B2" s="1">
        <v>1.273E-2</v>
      </c>
      <c r="C2" s="1">
        <v>2.9999999999999997E-4</v>
      </c>
      <c r="D2" s="1">
        <f>2*B3*B2/12</f>
        <v>1.5220836666666666E-5</v>
      </c>
      <c r="E2" s="1">
        <f t="shared" ref="E2:E8" si="0">D2*C2</f>
        <v>4.5662509999999999E-9</v>
      </c>
    </row>
    <row r="3" spans="1:13" x14ac:dyDescent="0.2">
      <c r="A3" t="s">
        <v>2</v>
      </c>
      <c r="B3" s="1">
        <v>7.1739999999999998E-3</v>
      </c>
      <c r="C3" s="1">
        <v>1E-4</v>
      </c>
      <c r="D3">
        <f>(B1^2+B2^2)/12</f>
        <v>1.7655877416666666E-3</v>
      </c>
      <c r="E3" s="1">
        <f t="shared" si="0"/>
        <v>1.7655877416666666E-7</v>
      </c>
      <c r="H3" t="s">
        <v>16</v>
      </c>
      <c r="I3">
        <v>1.4629E-2</v>
      </c>
      <c r="J3">
        <v>7.9999999999999996E-6</v>
      </c>
      <c r="K3" t="s">
        <v>18</v>
      </c>
      <c r="L3">
        <v>1.0383800000000001</v>
      </c>
    </row>
    <row r="4" spans="1:13" x14ac:dyDescent="0.2">
      <c r="A4" t="s">
        <v>3</v>
      </c>
      <c r="B4" s="1">
        <v>1.4572999999999999E-2</v>
      </c>
      <c r="C4" s="1">
        <v>1.0000000000000001E-5</v>
      </c>
      <c r="D4">
        <f>(B6^2+2/5*B7^2)</f>
        <v>4.4443365304000001E-3</v>
      </c>
      <c r="E4" s="1">
        <f t="shared" si="0"/>
        <v>4.4443365304000003E-8</v>
      </c>
      <c r="H4" t="s">
        <v>17</v>
      </c>
      <c r="I4" s="4">
        <f>(L3+L4)/2</f>
        <v>1.0372400000000002</v>
      </c>
      <c r="J4">
        <f>SQRT(1/4*(0.000025)^2)</f>
        <v>1.2500000000000001E-5</v>
      </c>
      <c r="K4" t="s">
        <v>19</v>
      </c>
      <c r="L4">
        <v>1.0361</v>
      </c>
    </row>
    <row r="5" spans="1:13" x14ac:dyDescent="0.2">
      <c r="A5" t="s">
        <v>4</v>
      </c>
      <c r="B5" s="1">
        <v>1.4545000000000001E-2</v>
      </c>
      <c r="C5" s="1">
        <v>1.0000000000000001E-5</v>
      </c>
      <c r="D5">
        <f>(B6^2+2/5*B8^2)</f>
        <v>4.4443796024000006E-3</v>
      </c>
      <c r="E5" s="1">
        <f t="shared" si="0"/>
        <v>4.4443796024000009E-8</v>
      </c>
      <c r="H5" t="s">
        <v>70</v>
      </c>
      <c r="I5">
        <v>3.4000000000000002E-4</v>
      </c>
      <c r="J5" s="1">
        <f>B14*J20*F10^2*J3/(2*I3^2*I4*B6)</f>
        <v>1.0666779859868769E-13</v>
      </c>
    </row>
    <row r="6" spans="1:13" x14ac:dyDescent="0.2">
      <c r="A6" t="s">
        <v>5</v>
      </c>
      <c r="B6" s="1">
        <v>6.6530000000000006E-2</v>
      </c>
      <c r="C6" s="1">
        <v>3.7100000000000001E-5</v>
      </c>
      <c r="D6" s="1">
        <f>2*B6*(B4+B5)</f>
        <v>3.8744410800000003E-3</v>
      </c>
      <c r="E6" s="1">
        <f t="shared" si="0"/>
        <v>1.4374176406800003E-7</v>
      </c>
      <c r="F6" s="1">
        <f>B14*J20*F10^2*C6/(2*I4*I3*B6^2)</f>
        <v>1.0877131307958345E-13</v>
      </c>
      <c r="H6" t="s">
        <v>71</v>
      </c>
      <c r="I6">
        <v>0.19</v>
      </c>
      <c r="J6" s="1">
        <f>B14*J20*F10^2*J4/(2*I3*I4^2*B6)</f>
        <v>2.3506541785474583E-15</v>
      </c>
    </row>
    <row r="7" spans="1:13" x14ac:dyDescent="0.2">
      <c r="A7" t="s">
        <v>6</v>
      </c>
      <c r="B7" s="1">
        <v>6.7260000000000002E-3</v>
      </c>
      <c r="C7" s="1">
        <v>2.4000000000000001E-5</v>
      </c>
      <c r="D7" s="1">
        <f>2*B4*B7*2/5</f>
        <v>7.84143984E-5</v>
      </c>
      <c r="E7" s="1">
        <f t="shared" si="0"/>
        <v>1.8819455615999999E-9</v>
      </c>
      <c r="H7" t="s">
        <v>21</v>
      </c>
      <c r="I7">
        <v>3.5000000000000003E-2</v>
      </c>
    </row>
    <row r="8" spans="1:13" x14ac:dyDescent="0.2">
      <c r="A8" t="s">
        <v>7</v>
      </c>
      <c r="B8" s="1">
        <v>6.7340000000000004E-3</v>
      </c>
      <c r="C8" s="1">
        <v>2.4000000000000001E-5</v>
      </c>
      <c r="D8" s="1">
        <f>2*B5*B8*2/5</f>
        <v>7.8356824000000007E-5</v>
      </c>
      <c r="E8" s="1">
        <f t="shared" si="0"/>
        <v>1.8805637760000001E-9</v>
      </c>
    </row>
    <row r="10" spans="1:13" x14ac:dyDescent="0.2">
      <c r="A10" t="s">
        <v>8</v>
      </c>
      <c r="B10" s="2">
        <f>B4*(B6^2+2/5*B7^2)+B5*(B6^2+2/5*B8^2)+B3*(B1^2+B2^2)/12</f>
        <v>1.4207714403314387E-4</v>
      </c>
      <c r="C10">
        <f>SQRT(E1^2+E2^2+E3^2+E4^2+E5^2+E6^2+E7^2+E8^2)</f>
        <v>8.9847451725357016E-7</v>
      </c>
      <c r="E10" t="s">
        <v>15</v>
      </c>
      <c r="F10">
        <v>4.6102999999999998E-2</v>
      </c>
      <c r="G10">
        <v>1.5799999999999999E-4</v>
      </c>
      <c r="H10" s="1">
        <f>B14*J20*F10*G10/(2*I4*I3*B6)</f>
        <v>6.6847610150270017E-13</v>
      </c>
      <c r="K10" t="s">
        <v>26</v>
      </c>
      <c r="L10">
        <v>8.1100000000000005E-2</v>
      </c>
      <c r="M10">
        <v>1E-3</v>
      </c>
    </row>
    <row r="11" spans="1:13" x14ac:dyDescent="0.2">
      <c r="A11" t="s">
        <v>11</v>
      </c>
      <c r="B11">
        <f>0.001345</f>
        <v>1.3450000000000001E-3</v>
      </c>
      <c r="C11">
        <v>9.9999999999999995E-7</v>
      </c>
      <c r="H11" t="s">
        <v>21</v>
      </c>
      <c r="I11">
        <v>3.49E-2</v>
      </c>
    </row>
    <row r="12" spans="1:13" x14ac:dyDescent="0.2">
      <c r="A12" t="s">
        <v>9</v>
      </c>
      <c r="B12" s="3">
        <v>3.0859999999999999E-2</v>
      </c>
      <c r="C12">
        <v>1.0000000000000001E-5</v>
      </c>
    </row>
    <row r="13" spans="1:13" x14ac:dyDescent="0.2">
      <c r="A13" t="s">
        <v>10</v>
      </c>
      <c r="B13">
        <f>SQRT(B12^2+B11^2)</f>
        <v>3.088929628528303E-2</v>
      </c>
      <c r="C13">
        <f>SQRT((B12*C12/SQRT(B12^2+B11^2))^2+(B11*C11/SQRT(B12^2+B11^2))^2)</f>
        <v>9.9906106035905752E-6</v>
      </c>
    </row>
    <row r="14" spans="1:13" x14ac:dyDescent="0.2">
      <c r="A14" t="s">
        <v>12</v>
      </c>
      <c r="B14" s="2">
        <f>B13^2*B10</f>
        <v>1.3556271162315117E-7</v>
      </c>
      <c r="C14">
        <f>SQRT((2*B13*B10*C13)^2+(B13^2*C10)^2)</f>
        <v>8.6175149547969981E-10</v>
      </c>
      <c r="D14" s="1">
        <f>J20*F10^2*C14/(2*I4*I3*B6)</f>
        <v>1.2399374681074428E-12</v>
      </c>
    </row>
    <row r="15" spans="1:13" x14ac:dyDescent="0.2">
      <c r="A15" t="s">
        <v>13</v>
      </c>
      <c r="B15">
        <f>0.01187/2</f>
        <v>5.9350000000000002E-3</v>
      </c>
      <c r="C15">
        <f>0.01574/2</f>
        <v>7.8700000000000003E-3</v>
      </c>
      <c r="D15">
        <v>1.4E-3</v>
      </c>
      <c r="F15" t="s">
        <v>20</v>
      </c>
      <c r="G15">
        <v>213.13570000000001</v>
      </c>
      <c r="H15">
        <v>252.51</v>
      </c>
      <c r="I15" s="1">
        <f>2*PI()/B12</f>
        <v>203.60289394619528</v>
      </c>
      <c r="J15">
        <v>203.63195627100001</v>
      </c>
      <c r="K15">
        <v>218</v>
      </c>
    </row>
    <row r="17" spans="1:15" x14ac:dyDescent="0.2">
      <c r="A17" t="s">
        <v>14</v>
      </c>
      <c r="B17" s="2">
        <f>B14*J20*I30^2/(2*I4*I3*B6)</f>
        <v>1.8914201230453862E-10</v>
      </c>
      <c r="C17">
        <f>SQRT(D14^2+L20^2+H10^2+J5^2+J6^2+F6^2)</f>
        <v>1.5334452499661209E-12</v>
      </c>
    </row>
    <row r="18" spans="1:15" x14ac:dyDescent="0.2">
      <c r="A18" t="s">
        <v>37</v>
      </c>
      <c r="B18" s="2"/>
      <c r="D18" t="s">
        <v>14</v>
      </c>
      <c r="E18" s="1">
        <f>((2*PI()/G15)^2*J20)*B10*F10^2/(2*I4*I3*B6)</f>
        <v>1.7765985109586794E-10</v>
      </c>
      <c r="F18" s="1"/>
    </row>
    <row r="19" spans="1:15" x14ac:dyDescent="0.2">
      <c r="E19">
        <f>(PI()*F10/G15)^2*B10/(I4*I3*B6*(1-I11))*J19</f>
        <v>3.4616329847460838E-11</v>
      </c>
      <c r="J19">
        <v>5.1403751825100001E-4</v>
      </c>
    </row>
    <row r="20" spans="1:15" x14ac:dyDescent="0.2">
      <c r="E20" s="1"/>
      <c r="J20" s="1">
        <v>1.36678681363E-3</v>
      </c>
      <c r="K20" s="1">
        <v>4.1094204971600004E-6</v>
      </c>
      <c r="L20" s="1">
        <f>B14*F10^2*K20/(2*I4*I3*B6)</f>
        <v>5.8645917860043815E-13</v>
      </c>
    </row>
    <row r="21" spans="1:15" x14ac:dyDescent="0.2">
      <c r="J21">
        <f>0.01187/2</f>
        <v>5.9350000000000002E-3</v>
      </c>
      <c r="K21">
        <f>0.00146/2</f>
        <v>7.2999999999999996E-4</v>
      </c>
      <c r="L21" s="1">
        <f>B14*F10^2*K21/(2*I4*I3*B6)</f>
        <v>1.0417897138396716E-10</v>
      </c>
    </row>
    <row r="22" spans="1:15" x14ac:dyDescent="0.2">
      <c r="J22">
        <f>0.01574/2</f>
        <v>7.8700000000000003E-3</v>
      </c>
      <c r="K22">
        <f>0.00146/2</f>
        <v>7.2999999999999996E-4</v>
      </c>
      <c r="L22" s="1">
        <f>B14*F10^2*K22/(2*I4*I3*B6)</f>
        <v>1.0417897138396716E-10</v>
      </c>
    </row>
    <row r="24" spans="1:15" x14ac:dyDescent="0.2">
      <c r="A24" t="s">
        <v>22</v>
      </c>
      <c r="B24">
        <v>1.4073769972300001E-3</v>
      </c>
      <c r="J24">
        <f>(0.013157-0.01187)/2</f>
        <v>6.4349999999999997E-4</v>
      </c>
      <c r="K24">
        <f>SQRT(2*0.00146^2)</f>
        <v>2.0647518010647186E-3</v>
      </c>
      <c r="L24" s="1">
        <f>B14*F10^2*K24/(2*I4*I3*B6)</f>
        <v>2.9466262849056984E-10</v>
      </c>
    </row>
    <row r="25" spans="1:15" x14ac:dyDescent="0.2">
      <c r="A25" t="s">
        <v>24</v>
      </c>
      <c r="B25" s="1">
        <f>SQRT(B12^2-B24^2)</f>
        <v>3.0827891429477752E-2</v>
      </c>
      <c r="F25" t="s">
        <v>38</v>
      </c>
      <c r="G25" s="1">
        <f>B14*J24*I30^2/(2*I4*I3*B6)</f>
        <v>8.9050379842864976E-11</v>
      </c>
      <c r="H25">
        <f>SQRT(L24^2+D14^2+F6^2+J5^2+J6^2+H10^2)</f>
        <v>2.9466603494284517E-10</v>
      </c>
      <c r="J25">
        <f>(0.01574-0.013157)/2</f>
        <v>1.2915000000000001E-3</v>
      </c>
      <c r="K25">
        <f>SQRT(2*(0.00146/2)^2)</f>
        <v>1.0323759005323593E-3</v>
      </c>
      <c r="L25" s="1">
        <f>B14*F10^2*K25/(2*I4*I3*B6)</f>
        <v>1.4733131424528492E-10</v>
      </c>
    </row>
    <row r="26" spans="1:15" x14ac:dyDescent="0.2">
      <c r="A26" t="s">
        <v>23</v>
      </c>
      <c r="B26" s="1">
        <f>B25^2*B10</f>
        <v>1.3502427689595659E-7</v>
      </c>
      <c r="F26" t="s">
        <v>39</v>
      </c>
      <c r="G26" s="1">
        <f>B14*J25*F10^2/(2*I4*I3*B6)</f>
        <v>1.8431115279779947E-10</v>
      </c>
      <c r="H26">
        <f>SQRT(L25^2+D14^2+F6^2+J5^2+J6^2+H10^2)</f>
        <v>1.4733812703170003E-10</v>
      </c>
    </row>
    <row r="27" spans="1:15" x14ac:dyDescent="0.2">
      <c r="A27" t="s">
        <v>25</v>
      </c>
      <c r="B27" s="1">
        <v>2.9472829999999998E-2</v>
      </c>
      <c r="N27">
        <f>N28*180/PI()</f>
        <v>34.492059266875557</v>
      </c>
    </row>
    <row r="28" spans="1:15" x14ac:dyDescent="0.2">
      <c r="M28" t="s">
        <v>28</v>
      </c>
      <c r="N28">
        <v>0.60199999999999998</v>
      </c>
      <c r="O28">
        <f>5*PI()/180</f>
        <v>8.7266462599716474E-2</v>
      </c>
    </row>
    <row r="29" spans="1:15" x14ac:dyDescent="0.2">
      <c r="H29" t="s">
        <v>29</v>
      </c>
      <c r="I29" s="1">
        <f>N28-N29-J20</f>
        <v>0.59405471318636993</v>
      </c>
      <c r="J29">
        <f>SQRT(K20^2+O28^2+O29^2)</f>
        <v>8.7269515935148007E-2</v>
      </c>
      <c r="M29" t="s">
        <v>30</v>
      </c>
      <c r="N29">
        <f>13.157/2*0.001</f>
        <v>6.5785000000000001E-3</v>
      </c>
      <c r="O29">
        <f>0.00146/2</f>
        <v>7.2999999999999996E-4</v>
      </c>
    </row>
    <row r="30" spans="1:15" x14ac:dyDescent="0.2">
      <c r="E30">
        <v>4.6700000000000002E-4</v>
      </c>
      <c r="H30" t="s">
        <v>27</v>
      </c>
      <c r="I30" s="1">
        <f>SQRT(L10^2+B6^2-2*L10*B6*COS(I29))</f>
        <v>4.539878150385504E-2</v>
      </c>
      <c r="J30" s="1">
        <v>1.89E-3</v>
      </c>
    </row>
    <row r="32" spans="1:15" x14ac:dyDescent="0.2">
      <c r="H32" t="s">
        <v>26</v>
      </c>
      <c r="I32">
        <v>8.1100000000000005E-2</v>
      </c>
      <c r="J32" s="1">
        <v>1E-4</v>
      </c>
    </row>
    <row r="33" spans="1:16" x14ac:dyDescent="0.2">
      <c r="H33" t="s">
        <v>5</v>
      </c>
      <c r="I33" s="1">
        <v>6.6650000000000001E-2</v>
      </c>
      <c r="J33" s="1">
        <v>4.0000000000000003E-5</v>
      </c>
    </row>
    <row r="36" spans="1:16" x14ac:dyDescent="0.2">
      <c r="A36" t="s">
        <v>13</v>
      </c>
      <c r="B36" t="s">
        <v>29</v>
      </c>
      <c r="C36" t="s">
        <v>27</v>
      </c>
      <c r="D36" t="s">
        <v>67</v>
      </c>
      <c r="E36" t="s">
        <v>68</v>
      </c>
      <c r="F36" t="s">
        <v>59</v>
      </c>
      <c r="G36" t="s">
        <v>61</v>
      </c>
      <c r="H36" t="s">
        <v>62</v>
      </c>
      <c r="I36" t="s">
        <v>63</v>
      </c>
      <c r="J36" t="s">
        <v>64</v>
      </c>
      <c r="K36" t="s">
        <v>65</v>
      </c>
      <c r="L36" t="s">
        <v>66</v>
      </c>
      <c r="M36" t="s">
        <v>14</v>
      </c>
      <c r="N36" t="s">
        <v>60</v>
      </c>
      <c r="O36" t="s">
        <v>69</v>
      </c>
    </row>
    <row r="37" spans="1:16" x14ac:dyDescent="0.2">
      <c r="A37" s="3">
        <v>1.289E-3</v>
      </c>
      <c r="B37" s="1">
        <f>N28-N29-A37</f>
        <v>0.59413249999999995</v>
      </c>
      <c r="C37">
        <f>SQRT(I32^2+I33^2-2*I32*I33*COS(B37))</f>
        <v>4.5402337914780377E-2</v>
      </c>
      <c r="F37" s="1">
        <v>3.9999999999999998E-6</v>
      </c>
      <c r="G37" s="1">
        <f>B14*F37*I30^2/(2*I4*I3*B6)</f>
        <v>5.5353771464096332E-13</v>
      </c>
      <c r="H37" s="1">
        <f>2*B14*A37*I30*J30/(2*I4*I3*B6)</f>
        <v>1.4852095927629142E-11</v>
      </c>
      <c r="I37" s="1">
        <f>C14*A37*I30^2/(2*I3*I4*B6)</f>
        <v>1.1339187608555847E-12</v>
      </c>
      <c r="J37" s="1">
        <f>B14*A37*I30^2*J3/(2*I4*I3^2*B6)</f>
        <v>9.7547353089370685E-14</v>
      </c>
      <c r="K37" s="1">
        <f>B14*A37*I30^2*J4/(2*I3*I4^2*B6)</f>
        <v>2.1496655612858457E-15</v>
      </c>
      <c r="L37" s="1">
        <f>B14*A37*I30^2*C6/(2*I4*I3*B6^2)</f>
        <v>9.9471010205128094E-14</v>
      </c>
      <c r="M37" s="3">
        <f>B14*A37*I30^2/(2*I4*I3*B6)</f>
        <v>1.7837752854305046E-10</v>
      </c>
      <c r="N37">
        <f>SQRT(G37^2+H37^2+I37^2+J37^2+K37^2+L37^2)</f>
        <v>1.4906251835732427E-11</v>
      </c>
      <c r="O37" s="1">
        <f>B14*A37*C37^2/(2*I4*((I3-I5)*(1-I7)+B3*I6)*B6)</f>
        <v>1.7224809885846032E-10</v>
      </c>
    </row>
    <row r="38" spans="1:16" x14ac:dyDescent="0.2">
      <c r="A38" s="3">
        <v>1.1529999999999999E-3</v>
      </c>
      <c r="B38" s="1">
        <f>N28-N29-A38</f>
        <v>0.59426849999999998</v>
      </c>
      <c r="C38">
        <f>SQRT(I32^2+I33^2-2*I32*I33*COS(B38))</f>
        <v>4.5411401651813059E-2</v>
      </c>
      <c r="F38" s="1">
        <v>3.9999999999999998E-6</v>
      </c>
      <c r="G38" s="1">
        <f>B14*F38*I30^2/(2*I4*I3*B6)</f>
        <v>5.5353771464096332E-13</v>
      </c>
      <c r="H38" s="1">
        <f>2*B14*A38*I30*J30/(2*I4*I3*B6)</f>
        <v>1.3285078824326145E-11</v>
      </c>
      <c r="I38" s="1">
        <f>C14*A38*I30^2/(2*I3*I4*B6)</f>
        <v>1.014281094853754E-12</v>
      </c>
      <c r="J38" s="1">
        <f>B14*A38*I30^2*J3/(2*I4*I3^2*B6)</f>
        <v>8.7255312732385101E-14</v>
      </c>
      <c r="K38" s="1">
        <f>B14*A38*I30^2*J4/(2*I3*I4^2*B6)</f>
        <v>1.9228583337180602E-15</v>
      </c>
      <c r="L38" s="1">
        <f>B14*A38*I30^2*C6/(2*I4*I3*B6^2)</f>
        <v>8.8976008352608761E-14</v>
      </c>
      <c r="M38" s="3">
        <f>B14*A38*I30^2/(2*I4*I3*B6)</f>
        <v>1.5955724624525767E-10</v>
      </c>
      <c r="N38">
        <f t="shared" ref="N38:N40" si="1">SQRT(G38^2+H38^2+I38^2+J38^2+K38^2+L38^2)</f>
        <v>1.3335817313779953E-11</v>
      </c>
      <c r="O38" s="1">
        <f>B14*A38*C38^2/(2*I4*((I3-I5)*(1-I7)+B3*I6)*B6)</f>
        <v>1.5413604371913526E-10</v>
      </c>
    </row>
    <row r="39" spans="1:16" x14ac:dyDescent="0.2">
      <c r="A39" s="3">
        <v>9.6100000000000005E-4</v>
      </c>
      <c r="B39" s="1">
        <f>N28-N29-A39</f>
        <v>0.59446049999999995</v>
      </c>
      <c r="C39">
        <f>SQRT(I32^2+I33^2-2*I32*I33*COS(B39))</f>
        <v>4.5424197541500115E-2</v>
      </c>
      <c r="F39" s="1">
        <v>3.0000000000000001E-6</v>
      </c>
      <c r="G39" s="1">
        <f>B14*F39*I30^2/(2*I4*I3*B6)</f>
        <v>4.1515328598072254E-13</v>
      </c>
      <c r="H39" s="1">
        <f>2*B14*A39*I30*J30/(2*I4*I3*B6)</f>
        <v>1.1072819384368974E-11</v>
      </c>
      <c r="I39" s="1">
        <f>C14*A39*I30^2/(2*I3*I4*B6)</f>
        <v>8.4538086049822895E-13</v>
      </c>
      <c r="J39" s="1">
        <f>B14*A39*I30^2*J3/(2*I4*I3^2*B6)</f>
        <v>7.2725373404876059E-14</v>
      </c>
      <c r="K39" s="1">
        <f>B14*A39*I30^2*J4/(2*I3*I4^2*B6)</f>
        <v>1.6026598947988349E-15</v>
      </c>
      <c r="L39" s="1">
        <f>B14*A39*I30^2*C6/(2*I4*I3*B6^2)</f>
        <v>7.4159535149052073E-14</v>
      </c>
      <c r="M39" s="3">
        <f>B14*A39*I30^2/(2*I4*I3*B6)</f>
        <v>1.3298743594249147E-10</v>
      </c>
      <c r="N39">
        <f t="shared" si="1"/>
        <v>1.1113286703497024E-11</v>
      </c>
      <c r="O39" s="1">
        <f>B14*A39*C39^2/(2*I4*((I3-I5)*(1-I7)+B3*I6)*B6)</f>
        <v>1.2854139294981733E-10</v>
      </c>
    </row>
    <row r="40" spans="1:16" x14ac:dyDescent="0.2">
      <c r="A40" s="3">
        <f>J25</f>
        <v>1.2915000000000001E-3</v>
      </c>
      <c r="B40" s="1">
        <f>N28-N29-A40</f>
        <v>0.59412999999999994</v>
      </c>
      <c r="C40">
        <f>SQRT(I32^2+I33^2-2*I32*I33*COS(B40))</f>
        <v>4.5402171302109599E-2</v>
      </c>
      <c r="F40">
        <f>K25</f>
        <v>1.0323759005323593E-3</v>
      </c>
      <c r="G40" s="1">
        <f>B14*F40*I30^2/(2*I4*I3*B6)</f>
        <v>1.4286474915777215E-10</v>
      </c>
      <c r="H40" s="1">
        <f>2*B14*A40*I30*J30/(2*I4*I3*B6)</f>
        <v>1.488090138908692E-11</v>
      </c>
      <c r="I40" s="1">
        <f>C14*A40*I30^2/(2*I3*I4*B6)</f>
        <v>1.1361179826570892E-12</v>
      </c>
      <c r="J40" s="1">
        <f>B14*A40*I30^2*J3/(2*I4*I3^2*B6)</f>
        <v>9.7736545007697634E-14</v>
      </c>
      <c r="K40" s="1">
        <f>B14*A40*I30^2*J4/(2*I3*I4^2*B6)</f>
        <v>2.1538348117926068E-15</v>
      </c>
      <c r="L40" s="1">
        <f>B14*A40*I30^2*C6/(2*I4*I3*B6^2)</f>
        <v>9.9663933033299416E-14</v>
      </c>
      <c r="M40" s="3">
        <f>B14*A40*I30^2/(2*I4*I3*B6)</f>
        <v>1.7872348961470107E-10</v>
      </c>
      <c r="N40">
        <f>SQRT(G40^2+H40^2+I40^2+J40^2+K40^2+L40^2)</f>
        <v>1.4364222231679023E-10</v>
      </c>
      <c r="O40" s="1">
        <f>B14*A40*C40^2/(2*I4*((I3-I5)*(1-I7)+B3*I6)*B6)</f>
        <v>1.7258090532986868E-10</v>
      </c>
    </row>
    <row r="41" spans="1:16" x14ac:dyDescent="0.2">
      <c r="N41">
        <f>AVERAGE(N37:N40)</f>
        <v>4.5749394542449907E-11</v>
      </c>
      <c r="O41" s="1">
        <f>AVERAGE(O37:O40)</f>
        <v>1.568766102143204E-10</v>
      </c>
    </row>
    <row r="42" spans="1:16" x14ac:dyDescent="0.2">
      <c r="O42" s="1">
        <v>6.67E-11</v>
      </c>
      <c r="P42" s="1">
        <f>O41/O42</f>
        <v>2.3519731666314905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opLeftCell="A19" workbookViewId="0">
      <selection activeCell="H38" sqref="H38"/>
    </sheetView>
  </sheetViews>
  <sheetFormatPr baseColWidth="10" defaultRowHeight="16" x14ac:dyDescent="0.2"/>
  <sheetData>
    <row r="1" spans="2:10" x14ac:dyDescent="0.2">
      <c r="B1" t="s">
        <v>31</v>
      </c>
      <c r="C1" t="s">
        <v>32</v>
      </c>
      <c r="D1" t="s">
        <v>33</v>
      </c>
      <c r="E1" t="s">
        <v>35</v>
      </c>
      <c r="F1" t="s">
        <v>42</v>
      </c>
      <c r="G1" t="s">
        <v>43</v>
      </c>
      <c r="H1" t="s">
        <v>44</v>
      </c>
      <c r="I1" t="s">
        <v>45</v>
      </c>
    </row>
    <row r="2" spans="2:10" x14ac:dyDescent="0.2">
      <c r="B2">
        <v>-4.16</v>
      </c>
      <c r="C2">
        <v>50.9</v>
      </c>
      <c r="D2" s="5">
        <f>8*60+5</f>
        <v>485</v>
      </c>
      <c r="F2">
        <f t="shared" ref="F2:F28" si="0">ATAN((s0-C2)/l)/2</f>
        <v>-1.7976296454970311E-3</v>
      </c>
      <c r="J2">
        <f t="shared" ref="J2:J28" si="1">B2*scale*0.001</f>
        <v>-3.7312230188367369E-3</v>
      </c>
    </row>
    <row r="3" spans="2:10" x14ac:dyDescent="0.2">
      <c r="B3">
        <v>4.431</v>
      </c>
      <c r="C3">
        <v>48.1</v>
      </c>
      <c r="D3">
        <f>9*60+52</f>
        <v>592</v>
      </c>
      <c r="E3">
        <f>D3-D2</f>
        <v>107</v>
      </c>
      <c r="F3">
        <f t="shared" si="0"/>
        <v>5.3927030608086251E-3</v>
      </c>
      <c r="G3">
        <f>B3-B2</f>
        <v>8.5910000000000011</v>
      </c>
      <c r="H3">
        <f>(F3-F2)*1000</f>
        <v>7.1903327063056564</v>
      </c>
      <c r="I3">
        <f>H3/G3</f>
        <v>0.83696108791824653</v>
      </c>
      <c r="J3">
        <f t="shared" si="1"/>
        <v>3.9742906722273035E-3</v>
      </c>
    </row>
    <row r="4" spans="2:10" x14ac:dyDescent="0.2">
      <c r="B4">
        <v>-5.31</v>
      </c>
      <c r="C4">
        <v>51.4</v>
      </c>
      <c r="D4">
        <f>11*60+40</f>
        <v>700</v>
      </c>
      <c r="E4">
        <f t="shared" ref="E4:E28" si="2">D4-D3</f>
        <v>108</v>
      </c>
      <c r="F4">
        <f t="shared" si="0"/>
        <v>-3.081625078840564E-3</v>
      </c>
      <c r="G4">
        <f t="shared" ref="G4:G28" si="3">B4-B3</f>
        <v>-9.7409999999999997</v>
      </c>
      <c r="H4">
        <f t="shared" ref="H4:H28" si="4">(F4-F3)*1000</f>
        <v>-8.4743281396491899</v>
      </c>
      <c r="I4">
        <f t="shared" ref="I4:I28" si="5">H4/G4</f>
        <v>0.86996490500453649</v>
      </c>
      <c r="J4">
        <f t="shared" si="1"/>
        <v>-4.7626909206786236E-3</v>
      </c>
    </row>
    <row r="5" spans="2:10" x14ac:dyDescent="0.2">
      <c r="B5">
        <v>5.39</v>
      </c>
      <c r="C5">
        <v>47.6</v>
      </c>
      <c r="D5">
        <f>13*60+25</f>
        <v>805</v>
      </c>
      <c r="E5">
        <f t="shared" si="2"/>
        <v>105</v>
      </c>
      <c r="F5">
        <f t="shared" si="0"/>
        <v>6.6765420320738979E-3</v>
      </c>
      <c r="G5">
        <f t="shared" si="3"/>
        <v>10.7</v>
      </c>
      <c r="H5">
        <f t="shared" si="4"/>
        <v>9.7581671109144619</v>
      </c>
      <c r="I5">
        <f t="shared" si="5"/>
        <v>0.91197823466490302</v>
      </c>
      <c r="J5">
        <f t="shared" si="1"/>
        <v>4.8344452095024065E-3</v>
      </c>
    </row>
    <row r="6" spans="2:10" x14ac:dyDescent="0.2">
      <c r="B6">
        <v>-6.2</v>
      </c>
      <c r="C6">
        <v>51.7</v>
      </c>
      <c r="D6">
        <f>15*60+10</f>
        <v>910</v>
      </c>
      <c r="E6">
        <f t="shared" si="2"/>
        <v>105</v>
      </c>
      <c r="F6">
        <f t="shared" si="0"/>
        <v>-3.8520039137500649E-3</v>
      </c>
      <c r="G6">
        <f t="shared" si="3"/>
        <v>-11.59</v>
      </c>
      <c r="H6">
        <f t="shared" si="4"/>
        <v>-10.528545945823963</v>
      </c>
      <c r="I6">
        <f t="shared" si="5"/>
        <v>0.90841638876824526</v>
      </c>
      <c r="J6">
        <f t="shared" si="1"/>
        <v>-5.5609573838432142E-3</v>
      </c>
    </row>
    <row r="7" spans="2:10" x14ac:dyDescent="0.2">
      <c r="B7">
        <v>6.2510000000000003</v>
      </c>
      <c r="C7">
        <v>47.4</v>
      </c>
      <c r="D7">
        <f>16*60+57</f>
        <v>1017</v>
      </c>
      <c r="E7">
        <f t="shared" si="2"/>
        <v>107</v>
      </c>
      <c r="F7">
        <f t="shared" si="0"/>
        <v>7.1900539180054261E-3</v>
      </c>
      <c r="G7">
        <f t="shared" si="3"/>
        <v>12.451000000000001</v>
      </c>
      <c r="H7">
        <f t="shared" si="4"/>
        <v>11.042057831755493</v>
      </c>
      <c r="I7">
        <f t="shared" si="5"/>
        <v>0.8868410434306877</v>
      </c>
      <c r="J7">
        <f t="shared" si="1"/>
        <v>5.6067007429683761E-3</v>
      </c>
    </row>
    <row r="8" spans="2:10" x14ac:dyDescent="0.2">
      <c r="B8">
        <v>-6.82</v>
      </c>
      <c r="C8">
        <v>52</v>
      </c>
      <c r="D8">
        <f>18*60+44</f>
        <v>1124</v>
      </c>
      <c r="E8">
        <f t="shared" si="2"/>
        <v>107</v>
      </c>
      <c r="F8">
        <f t="shared" si="0"/>
        <v>-4.6223644599387333E-3</v>
      </c>
      <c r="G8">
        <f t="shared" si="3"/>
        <v>-13.071000000000002</v>
      </c>
      <c r="H8">
        <f t="shared" si="4"/>
        <v>-11.81241837794416</v>
      </c>
      <c r="I8">
        <f t="shared" si="5"/>
        <v>0.90371191017857544</v>
      </c>
      <c r="J8">
        <f t="shared" si="1"/>
        <v>-6.1170531222275353E-3</v>
      </c>
    </row>
    <row r="9" spans="2:10" x14ac:dyDescent="0.2">
      <c r="B9">
        <v>6.82</v>
      </c>
      <c r="C9">
        <v>47.2</v>
      </c>
      <c r="D9">
        <f>20*60+28</f>
        <v>1228</v>
      </c>
      <c r="E9">
        <f t="shared" si="2"/>
        <v>104</v>
      </c>
      <c r="F9">
        <f t="shared" si="0"/>
        <v>7.7035506355258342E-3</v>
      </c>
      <c r="G9">
        <f t="shared" si="3"/>
        <v>13.64</v>
      </c>
      <c r="H9">
        <f t="shared" si="4"/>
        <v>12.325915095464566</v>
      </c>
      <c r="I9">
        <f t="shared" si="5"/>
        <v>0.90365946447687429</v>
      </c>
      <c r="J9">
        <f t="shared" si="1"/>
        <v>6.1170531222275353E-3</v>
      </c>
    </row>
    <row r="10" spans="2:10" x14ac:dyDescent="0.2">
      <c r="B10">
        <v>-7.2990000000000004</v>
      </c>
      <c r="C10">
        <v>52.2</v>
      </c>
      <c r="D10">
        <f>22*60+15</f>
        <v>1335</v>
      </c>
      <c r="E10">
        <f t="shared" si="2"/>
        <v>107</v>
      </c>
      <c r="F10">
        <f t="shared" si="0"/>
        <v>-5.1359261912454282E-3</v>
      </c>
      <c r="G10">
        <f t="shared" si="3"/>
        <v>-14.119</v>
      </c>
      <c r="H10">
        <f t="shared" si="4"/>
        <v>-12.839476826771261</v>
      </c>
      <c r="I10">
        <f t="shared" si="5"/>
        <v>0.90937579338276509</v>
      </c>
      <c r="J10">
        <f t="shared" si="1"/>
        <v>-6.5466819265599385E-3</v>
      </c>
    </row>
    <row r="11" spans="2:10" x14ac:dyDescent="0.2">
      <c r="B11">
        <v>7.3540000000000001</v>
      </c>
      <c r="C11">
        <v>47</v>
      </c>
      <c r="D11">
        <f>24*60+1</f>
        <v>1441</v>
      </c>
      <c r="E11">
        <f t="shared" si="2"/>
        <v>106</v>
      </c>
      <c r="F11">
        <f t="shared" si="0"/>
        <v>8.2170311021715972E-3</v>
      </c>
      <c r="G11">
        <f t="shared" si="3"/>
        <v>14.653</v>
      </c>
      <c r="H11">
        <f t="shared" si="4"/>
        <v>13.352957293417026</v>
      </c>
      <c r="I11">
        <f t="shared" si="5"/>
        <v>0.91127805182672661</v>
      </c>
      <c r="J11">
        <f t="shared" si="1"/>
        <v>6.5960130001262891E-3</v>
      </c>
    </row>
    <row r="12" spans="2:10" x14ac:dyDescent="0.2">
      <c r="B12">
        <v>-7.75</v>
      </c>
      <c r="C12">
        <v>52.3</v>
      </c>
      <c r="D12">
        <f>25*60+47</f>
        <v>1547</v>
      </c>
      <c r="E12">
        <f t="shared" si="2"/>
        <v>106</v>
      </c>
      <c r="F12">
        <f t="shared" si="0"/>
        <v>-5.3927030608086068E-3</v>
      </c>
      <c r="G12">
        <f t="shared" si="3"/>
        <v>-15.103999999999999</v>
      </c>
      <c r="H12">
        <f t="shared" si="4"/>
        <v>-13.609734162980205</v>
      </c>
      <c r="I12">
        <f t="shared" si="5"/>
        <v>0.90106820464646487</v>
      </c>
      <c r="J12">
        <f t="shared" si="1"/>
        <v>-6.9511967298040173E-3</v>
      </c>
    </row>
    <row r="13" spans="2:10" x14ac:dyDescent="0.2">
      <c r="B13">
        <v>7.73</v>
      </c>
      <c r="C13">
        <v>46.9</v>
      </c>
      <c r="D13">
        <f>27*60+33</f>
        <v>1653</v>
      </c>
      <c r="E13">
        <f t="shared" si="2"/>
        <v>106</v>
      </c>
      <c r="F13">
        <f t="shared" si="0"/>
        <v>8.4737649032024676E-3</v>
      </c>
      <c r="G13">
        <f t="shared" si="3"/>
        <v>15.48</v>
      </c>
      <c r="H13">
        <f t="shared" si="4"/>
        <v>13.866467964011074</v>
      </c>
      <c r="I13">
        <f t="shared" si="5"/>
        <v>0.89576666434180063</v>
      </c>
      <c r="J13">
        <f t="shared" si="1"/>
        <v>6.933258157598072E-3</v>
      </c>
    </row>
    <row r="14" spans="2:10" x14ac:dyDescent="0.2">
      <c r="B14">
        <v>-8.2100000000000009</v>
      </c>
      <c r="C14">
        <v>52.4</v>
      </c>
      <c r="D14">
        <f>29*60+19</f>
        <v>1759</v>
      </c>
      <c r="E14">
        <f t="shared" si="2"/>
        <v>106</v>
      </c>
      <c r="F14">
        <f t="shared" si="0"/>
        <v>-5.6494770857778345E-3</v>
      </c>
      <c r="G14">
        <f t="shared" si="3"/>
        <v>-15.940000000000001</v>
      </c>
      <c r="H14">
        <f t="shared" si="4"/>
        <v>-14.123241988980302</v>
      </c>
      <c r="I14">
        <f t="shared" si="5"/>
        <v>0.88602521888207664</v>
      </c>
      <c r="J14">
        <f t="shared" si="1"/>
        <v>-7.3637838905407727E-3</v>
      </c>
    </row>
    <row r="15" spans="2:10" x14ac:dyDescent="0.2">
      <c r="B15">
        <v>7.98</v>
      </c>
      <c r="C15">
        <v>46.7</v>
      </c>
      <c r="D15">
        <f>31*60+5</f>
        <v>1865</v>
      </c>
      <c r="E15">
        <f t="shared" si="2"/>
        <v>106</v>
      </c>
      <c r="F15">
        <f t="shared" si="0"/>
        <v>8.9872189643705747E-3</v>
      </c>
      <c r="G15">
        <f t="shared" si="3"/>
        <v>16.190000000000001</v>
      </c>
      <c r="H15">
        <f t="shared" si="4"/>
        <v>14.636696050148409</v>
      </c>
      <c r="I15">
        <f t="shared" si="5"/>
        <v>0.90405781656259465</v>
      </c>
      <c r="J15">
        <f t="shared" si="1"/>
        <v>7.1574903101723946E-3</v>
      </c>
    </row>
    <row r="16" spans="2:10" x14ac:dyDescent="0.2">
      <c r="B16">
        <v>-8.4499999999999993</v>
      </c>
      <c r="C16">
        <v>52.5</v>
      </c>
      <c r="D16">
        <f>32*60+52</f>
        <v>1972</v>
      </c>
      <c r="E16">
        <f t="shared" si="2"/>
        <v>107</v>
      </c>
      <c r="F16">
        <f t="shared" si="0"/>
        <v>-5.906248130763834E-3</v>
      </c>
      <c r="G16">
        <f t="shared" si="3"/>
        <v>-16.43</v>
      </c>
      <c r="H16">
        <f t="shared" si="4"/>
        <v>-14.893467095134408</v>
      </c>
      <c r="I16">
        <f t="shared" si="5"/>
        <v>0.90648004230885015</v>
      </c>
      <c r="J16">
        <f t="shared" si="1"/>
        <v>-7.5790467570121213E-3</v>
      </c>
    </row>
    <row r="17" spans="2:10" x14ac:dyDescent="0.2">
      <c r="B17">
        <v>8.2189999999999994</v>
      </c>
      <c r="C17">
        <v>46.7</v>
      </c>
      <c r="D17">
        <f>34*60+37</f>
        <v>2077</v>
      </c>
      <c r="E17">
        <f t="shared" si="2"/>
        <v>105</v>
      </c>
      <c r="F17">
        <f t="shared" si="0"/>
        <v>8.9872189643705747E-3</v>
      </c>
      <c r="G17">
        <f t="shared" si="3"/>
        <v>16.668999999999997</v>
      </c>
      <c r="H17">
        <f t="shared" si="4"/>
        <v>14.893467095134408</v>
      </c>
      <c r="I17">
        <f t="shared" si="5"/>
        <v>0.89348293809673107</v>
      </c>
      <c r="J17">
        <f t="shared" si="1"/>
        <v>7.3718562480334466E-3</v>
      </c>
    </row>
    <row r="18" spans="2:10" x14ac:dyDescent="0.2">
      <c r="B18">
        <v>-8.6289999999999996</v>
      </c>
      <c r="C18">
        <v>52.7</v>
      </c>
      <c r="D18">
        <f>36*60+22</f>
        <v>2182</v>
      </c>
      <c r="E18">
        <f t="shared" si="2"/>
        <v>105</v>
      </c>
      <c r="F18">
        <f t="shared" si="0"/>
        <v>-6.4197807392766936E-3</v>
      </c>
      <c r="G18">
        <f t="shared" si="3"/>
        <v>-16.847999999999999</v>
      </c>
      <c r="H18">
        <f t="shared" si="4"/>
        <v>-15.406999703647267</v>
      </c>
      <c r="I18">
        <f t="shared" si="5"/>
        <v>0.91447054271410666</v>
      </c>
      <c r="J18">
        <f t="shared" si="1"/>
        <v>-7.7395969782553366E-3</v>
      </c>
    </row>
    <row r="19" spans="2:10" x14ac:dyDescent="0.2">
      <c r="B19">
        <v>8.4570000000000007</v>
      </c>
      <c r="C19">
        <v>46.7</v>
      </c>
      <c r="D19">
        <f>38*60+8</f>
        <v>2288</v>
      </c>
      <c r="E19">
        <f t="shared" si="2"/>
        <v>106</v>
      </c>
      <c r="F19">
        <f t="shared" si="0"/>
        <v>8.9872189643705747E-3</v>
      </c>
      <c r="G19">
        <f t="shared" si="3"/>
        <v>17.085999999999999</v>
      </c>
      <c r="H19">
        <f t="shared" si="4"/>
        <v>15.406999703647267</v>
      </c>
      <c r="I19">
        <f t="shared" si="5"/>
        <v>0.90173239515669368</v>
      </c>
      <c r="J19">
        <f t="shared" si="1"/>
        <v>7.5853252572842039E-3</v>
      </c>
    </row>
    <row r="20" spans="2:10" x14ac:dyDescent="0.2">
      <c r="B20">
        <v>-8.9809999999999999</v>
      </c>
      <c r="C20">
        <v>52.7</v>
      </c>
      <c r="D20">
        <f>39*60+54</f>
        <v>2394</v>
      </c>
      <c r="E20">
        <f t="shared" si="2"/>
        <v>106</v>
      </c>
      <c r="F20">
        <f t="shared" si="0"/>
        <v>-6.4197807392766936E-3</v>
      </c>
      <c r="G20">
        <f t="shared" si="3"/>
        <v>-17.438000000000002</v>
      </c>
      <c r="H20">
        <f t="shared" si="4"/>
        <v>-15.406999703647267</v>
      </c>
      <c r="I20">
        <f t="shared" si="5"/>
        <v>0.88353020436100849</v>
      </c>
      <c r="J20">
        <f t="shared" si="1"/>
        <v>-8.0553158490799838E-3</v>
      </c>
    </row>
    <row r="21" spans="2:10" x14ac:dyDescent="0.2">
      <c r="B21">
        <v>8.593</v>
      </c>
      <c r="C21">
        <v>46.6</v>
      </c>
      <c r="D21">
        <f>41*60+40</f>
        <v>2500</v>
      </c>
      <c r="E21">
        <f t="shared" si="2"/>
        <v>106</v>
      </c>
      <c r="F21">
        <f t="shared" si="0"/>
        <v>9.2439389540266495E-3</v>
      </c>
      <c r="G21">
        <f t="shared" si="3"/>
        <v>17.573999999999998</v>
      </c>
      <c r="H21">
        <f t="shared" si="4"/>
        <v>15.663719693303344</v>
      </c>
      <c r="I21">
        <f t="shared" si="5"/>
        <v>0.89130076779921164</v>
      </c>
      <c r="J21">
        <f t="shared" si="1"/>
        <v>7.7073075482846348E-3</v>
      </c>
    </row>
    <row r="22" spans="2:10" x14ac:dyDescent="0.2">
      <c r="B22">
        <v>-9</v>
      </c>
      <c r="C22">
        <v>52.7</v>
      </c>
      <c r="D22">
        <f>43*60+27</f>
        <v>2607</v>
      </c>
      <c r="E22">
        <f t="shared" si="2"/>
        <v>107</v>
      </c>
      <c r="F22">
        <f t="shared" si="0"/>
        <v>-6.4197807392766936E-3</v>
      </c>
      <c r="G22">
        <f t="shared" si="3"/>
        <v>-17.593</v>
      </c>
      <c r="H22">
        <f t="shared" si="4"/>
        <v>-15.663719693303344</v>
      </c>
      <c r="I22">
        <f t="shared" si="5"/>
        <v>0.89033818526137354</v>
      </c>
      <c r="J22">
        <f t="shared" si="1"/>
        <v>-8.0723574926756317E-3</v>
      </c>
    </row>
    <row r="23" spans="2:10" x14ac:dyDescent="0.2">
      <c r="B23">
        <v>7.91</v>
      </c>
      <c r="C23">
        <v>46.6</v>
      </c>
      <c r="D23">
        <f>45*60+14</f>
        <v>2714</v>
      </c>
      <c r="E23">
        <f t="shared" si="2"/>
        <v>107</v>
      </c>
      <c r="F23">
        <f t="shared" si="0"/>
        <v>9.2439389540266495E-3</v>
      </c>
      <c r="G23">
        <f t="shared" si="3"/>
        <v>16.91</v>
      </c>
      <c r="H23">
        <f t="shared" si="4"/>
        <v>15.663719693303344</v>
      </c>
      <c r="I23">
        <f t="shared" si="5"/>
        <v>0.92629921308712859</v>
      </c>
      <c r="J23">
        <f t="shared" si="1"/>
        <v>7.0947053074515848E-3</v>
      </c>
    </row>
    <row r="24" spans="2:10" x14ac:dyDescent="0.2">
      <c r="B24">
        <v>-9.0380000000000003</v>
      </c>
      <c r="C24">
        <v>52.7</v>
      </c>
      <c r="D24">
        <f>46*60+59</f>
        <v>2819</v>
      </c>
      <c r="E24">
        <f t="shared" si="2"/>
        <v>105</v>
      </c>
      <c r="F24">
        <f t="shared" si="0"/>
        <v>-6.4197807392766936E-3</v>
      </c>
      <c r="G24">
        <f t="shared" si="3"/>
        <v>-16.948</v>
      </c>
      <c r="H24">
        <f t="shared" si="4"/>
        <v>-15.663719693303344</v>
      </c>
      <c r="I24">
        <f t="shared" si="5"/>
        <v>0.92422230902191072</v>
      </c>
      <c r="J24">
        <f t="shared" si="1"/>
        <v>-8.1064407798669292E-3</v>
      </c>
    </row>
    <row r="25" spans="2:10" x14ac:dyDescent="0.2">
      <c r="B25">
        <v>8.76</v>
      </c>
      <c r="C25">
        <v>46.5</v>
      </c>
      <c r="D25">
        <f>48*60+44</f>
        <v>2924</v>
      </c>
      <c r="E25">
        <f t="shared" si="2"/>
        <v>105</v>
      </c>
      <c r="F25">
        <f t="shared" si="0"/>
        <v>9.5006540694346393E-3</v>
      </c>
      <c r="G25">
        <f t="shared" si="3"/>
        <v>17.798000000000002</v>
      </c>
      <c r="H25">
        <f t="shared" si="4"/>
        <v>15.920434808711331</v>
      </c>
      <c r="I25">
        <f t="shared" si="5"/>
        <v>0.89450695632719013</v>
      </c>
      <c r="J25">
        <f t="shared" si="1"/>
        <v>7.8570946262042831E-3</v>
      </c>
    </row>
    <row r="26" spans="2:10" x14ac:dyDescent="0.2">
      <c r="B26">
        <v>-9.1069999999999993</v>
      </c>
      <c r="C26">
        <v>52.7</v>
      </c>
      <c r="D26">
        <f>50*60+29</f>
        <v>3029</v>
      </c>
      <c r="E26">
        <f t="shared" si="2"/>
        <v>105</v>
      </c>
      <c r="F26">
        <f t="shared" si="0"/>
        <v>-6.4197807392766936E-3</v>
      </c>
      <c r="G26">
        <f t="shared" si="3"/>
        <v>-17.866999999999997</v>
      </c>
      <c r="H26">
        <f t="shared" si="4"/>
        <v>-15.920434808711331</v>
      </c>
      <c r="I26">
        <f t="shared" si="5"/>
        <v>0.89105248831428518</v>
      </c>
      <c r="J26">
        <f t="shared" si="1"/>
        <v>-8.1683288539774433E-3</v>
      </c>
    </row>
    <row r="27" spans="2:10" x14ac:dyDescent="0.2">
      <c r="B27">
        <v>8.8140000000000001</v>
      </c>
      <c r="C27">
        <v>46.5</v>
      </c>
      <c r="D27">
        <f>52*60+17</f>
        <v>3137</v>
      </c>
      <c r="E27">
        <f t="shared" si="2"/>
        <v>108</v>
      </c>
      <c r="F27">
        <f t="shared" si="0"/>
        <v>9.5006540694346393E-3</v>
      </c>
      <c r="G27">
        <f t="shared" si="3"/>
        <v>17.920999999999999</v>
      </c>
      <c r="H27">
        <f t="shared" si="4"/>
        <v>15.920434808711331</v>
      </c>
      <c r="I27">
        <f t="shared" si="5"/>
        <v>0.88836754693997722</v>
      </c>
      <c r="J27">
        <f t="shared" si="1"/>
        <v>7.9055287711603372E-3</v>
      </c>
    </row>
    <row r="28" spans="2:10" x14ac:dyDescent="0.2">
      <c r="B28">
        <v>-9.17</v>
      </c>
      <c r="C28">
        <v>52.7</v>
      </c>
      <c r="D28">
        <f>54*60</f>
        <v>3240</v>
      </c>
      <c r="E28">
        <f t="shared" si="2"/>
        <v>103</v>
      </c>
      <c r="F28">
        <f t="shared" si="0"/>
        <v>-6.4197807392766936E-3</v>
      </c>
      <c r="G28">
        <f t="shared" si="3"/>
        <v>-17.984000000000002</v>
      </c>
      <c r="H28">
        <f t="shared" si="4"/>
        <v>-15.920434808711331</v>
      </c>
      <c r="I28">
        <f t="shared" si="5"/>
        <v>0.8852554942566353</v>
      </c>
      <c r="J28">
        <f t="shared" si="1"/>
        <v>-8.2248353564261731E-3</v>
      </c>
    </row>
    <row r="30" spans="2:10" x14ac:dyDescent="0.2">
      <c r="D30" t="s">
        <v>34</v>
      </c>
      <c r="E30">
        <f>AVERAGE(E3:E28)</f>
        <v>105.96153846153847</v>
      </c>
      <c r="I30">
        <f>AVERAGE(I3:I28)</f>
        <v>0.89692861029729254</v>
      </c>
    </row>
    <row r="31" spans="2:10" x14ac:dyDescent="0.2">
      <c r="D31" t="s">
        <v>36</v>
      </c>
      <c r="E31">
        <f>2*E30</f>
        <v>211.92307692307693</v>
      </c>
    </row>
    <row r="34" spans="4:9" x14ac:dyDescent="0.2">
      <c r="D34" t="s">
        <v>41</v>
      </c>
      <c r="E34">
        <v>193.8</v>
      </c>
    </row>
    <row r="35" spans="4:9" x14ac:dyDescent="0.2">
      <c r="D35" t="s">
        <v>40</v>
      </c>
      <c r="E35">
        <v>50.2</v>
      </c>
    </row>
    <row r="36" spans="4:9" x14ac:dyDescent="0.2">
      <c r="D36" t="s">
        <v>46</v>
      </c>
      <c r="E36">
        <v>52.75</v>
      </c>
    </row>
    <row r="37" spans="4:9" x14ac:dyDescent="0.2">
      <c r="D37" t="s">
        <v>47</v>
      </c>
      <c r="E37">
        <f>-ATAN((E36-s0)/l)/2</f>
        <v>-6.5481618173964416E-3</v>
      </c>
    </row>
    <row r="38" spans="4:9" x14ac:dyDescent="0.2">
      <c r="D38" t="s">
        <v>48</v>
      </c>
      <c r="E38">
        <v>0.75082180588699998</v>
      </c>
      <c r="H38">
        <f>((1-E38)*(F19-F20+F21-F22+F23-F24+F25-F26+F27)-F19+E38*F27)/(8*(1+E38))</f>
        <v>1.1512924517335734E-3</v>
      </c>
      <c r="I38">
        <f>((1-E38)*(J18-J20+J21-J22+J23-J24+J25-J26+J27)-J18+E38*J27)/(8*(1+E38))</f>
        <v>1.9588461663423945E-3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31" workbookViewId="0">
      <selection activeCell="N47" sqref="N47"/>
    </sheetView>
  </sheetViews>
  <sheetFormatPr baseColWidth="10" defaultRowHeight="16" x14ac:dyDescent="0.2"/>
  <cols>
    <col min="2" max="2" width="11.33203125" bestFit="1" customWidth="1"/>
    <col min="11" max="11" width="11.83203125" bestFit="1" customWidth="1"/>
    <col min="16" max="16" width="13" customWidth="1"/>
  </cols>
  <sheetData>
    <row r="1" spans="1:17" x14ac:dyDescent="0.2">
      <c r="B1" t="s">
        <v>49</v>
      </c>
      <c r="C1" t="s">
        <v>50</v>
      </c>
      <c r="D1" t="s">
        <v>32</v>
      </c>
      <c r="E1" t="s">
        <v>51</v>
      </c>
      <c r="F1" t="s">
        <v>52</v>
      </c>
      <c r="G1" t="s">
        <v>33</v>
      </c>
      <c r="H1" t="s">
        <v>42</v>
      </c>
      <c r="I1" t="s">
        <v>43</v>
      </c>
      <c r="J1" t="s">
        <v>44</v>
      </c>
      <c r="K1" t="s">
        <v>53</v>
      </c>
      <c r="L1" t="s">
        <v>54</v>
      </c>
      <c r="M1" t="s">
        <v>13</v>
      </c>
      <c r="N1" t="s">
        <v>20</v>
      </c>
      <c r="O1" t="s">
        <v>55</v>
      </c>
      <c r="P1" t="s">
        <v>56</v>
      </c>
      <c r="Q1" t="s">
        <v>57</v>
      </c>
    </row>
    <row r="2" spans="1:17" x14ac:dyDescent="0.2">
      <c r="A2">
        <v>7</v>
      </c>
      <c r="B2">
        <v>0.314</v>
      </c>
      <c r="C2">
        <f>0.001*B2</f>
        <v>3.1399999999999999E-4</v>
      </c>
      <c r="D2">
        <v>48.4</v>
      </c>
      <c r="E2">
        <v>1</v>
      </c>
      <c r="F2">
        <v>21</v>
      </c>
      <c r="G2">
        <f>60*E2+F2</f>
        <v>81</v>
      </c>
      <c r="H2">
        <f t="shared" ref="H2:H37" si="0">ATAN((s0-D2)/l)/2</f>
        <v>4.6223644599387515E-3</v>
      </c>
      <c r="O2">
        <f t="shared" ref="O2:O37" si="1">sc*C2</f>
        <v>2.8823652809015411E-4</v>
      </c>
    </row>
    <row r="3" spans="1:17" x14ac:dyDescent="0.2">
      <c r="A3">
        <v>8</v>
      </c>
      <c r="B3">
        <v>-5.62</v>
      </c>
      <c r="C3">
        <f t="shared" ref="C3:C37" si="2">0.001*B3</f>
        <v>-5.62E-3</v>
      </c>
      <c r="D3">
        <v>50.7</v>
      </c>
      <c r="E3">
        <v>2</v>
      </c>
      <c r="F3">
        <v>44</v>
      </c>
      <c r="G3">
        <f t="shared" ref="G3:G37" si="3">60*E3+F3</f>
        <v>164</v>
      </c>
      <c r="H3">
        <f t="shared" si="0"/>
        <v>-1.2840238850914873E-3</v>
      </c>
      <c r="I3">
        <f>C3-C2</f>
        <v>-5.934E-3</v>
      </c>
      <c r="J3">
        <f>H3-H2</f>
        <v>-5.906388345030239E-3</v>
      </c>
      <c r="K3">
        <f>J3/I3</f>
        <v>0.99534687310924153</v>
      </c>
      <c r="L3">
        <f>(H3+H2)/2</f>
        <v>1.669170287423632E-3</v>
      </c>
      <c r="M3">
        <f t="shared" ref="M3:M37" si="4">ABS(L3-etheta)</f>
        <v>2.5674466585525499E-4</v>
      </c>
      <c r="O3">
        <f t="shared" si="1"/>
        <v>-5.1588830823779182E-3</v>
      </c>
      <c r="P3">
        <f>(O3+O2)/2</f>
        <v>-2.4353232771438822E-3</v>
      </c>
      <c r="Q3">
        <f t="shared" ref="Q3:Q37" si="5">ABS(P3-etheta)</f>
        <v>3.8477488987122589E-3</v>
      </c>
    </row>
    <row r="4" spans="1:17" x14ac:dyDescent="0.2">
      <c r="A4">
        <v>9</v>
      </c>
      <c r="B4">
        <v>0.72</v>
      </c>
      <c r="C4">
        <f t="shared" si="2"/>
        <v>7.1999999999999994E-4</v>
      </c>
      <c r="D4">
        <v>48.3</v>
      </c>
      <c r="E4">
        <v>4</v>
      </c>
      <c r="F4">
        <v>11</v>
      </c>
      <c r="G4">
        <f t="shared" si="3"/>
        <v>251</v>
      </c>
      <c r="H4">
        <f t="shared" si="0"/>
        <v>4.8791466124865381E-3</v>
      </c>
      <c r="I4">
        <f t="shared" ref="I4:I37" si="6">C4-C3</f>
        <v>6.3400000000000001E-3</v>
      </c>
      <c r="J4">
        <f t="shared" ref="J4:J37" si="7">H4-H3</f>
        <v>6.1631704975780256E-3</v>
      </c>
      <c r="K4">
        <f t="shared" ref="K4:K37" si="8">J4/I4</f>
        <v>0.97210891128990939</v>
      </c>
      <c r="L4">
        <f t="shared" ref="L4:L37" si="9">(H4+H3)/2</f>
        <v>1.7975613636975253E-3</v>
      </c>
      <c r="M4">
        <f t="shared" si="4"/>
        <v>3.8513574212914827E-4</v>
      </c>
      <c r="N4">
        <f>G4-G2</f>
        <v>170</v>
      </c>
      <c r="O4">
        <f t="shared" si="1"/>
        <v>6.6092452300927057E-4</v>
      </c>
      <c r="P4">
        <f t="shared" ref="P4:P37" si="10">(O4+O3)/2</f>
        <v>-2.2489792796843238E-3</v>
      </c>
      <c r="Q4">
        <f t="shared" si="5"/>
        <v>3.661404901252701E-3</v>
      </c>
    </row>
    <row r="5" spans="1:17" x14ac:dyDescent="0.2">
      <c r="A5">
        <v>10</v>
      </c>
      <c r="B5">
        <v>-7.4</v>
      </c>
      <c r="C5">
        <f t="shared" si="2"/>
        <v>-7.4000000000000003E-3</v>
      </c>
      <c r="D5">
        <v>51.2</v>
      </c>
      <c r="E5">
        <v>5</v>
      </c>
      <c r="F5">
        <v>32</v>
      </c>
      <c r="G5">
        <f t="shared" si="3"/>
        <v>332</v>
      </c>
      <c r="H5">
        <f t="shared" si="0"/>
        <v>-2.5680308344668231E-3</v>
      </c>
      <c r="I5">
        <f t="shared" si="6"/>
        <v>-8.1200000000000005E-3</v>
      </c>
      <c r="J5">
        <f t="shared" si="7"/>
        <v>-7.4471774469533607E-3</v>
      </c>
      <c r="K5">
        <f t="shared" si="8"/>
        <v>0.91714007967405919</v>
      </c>
      <c r="L5">
        <f t="shared" si="9"/>
        <v>1.1555578890098575E-3</v>
      </c>
      <c r="M5">
        <f t="shared" si="4"/>
        <v>2.5686773255851952E-4</v>
      </c>
      <c r="N5">
        <f t="shared" ref="N5:N37" si="11">G5-G3</f>
        <v>168</v>
      </c>
      <c r="O5">
        <f t="shared" si="1"/>
        <v>-6.7928353753730596E-3</v>
      </c>
      <c r="P5">
        <f t="shared" si="10"/>
        <v>-3.0659554261818944E-3</v>
      </c>
      <c r="Q5">
        <f t="shared" si="5"/>
        <v>4.4783810477502716E-3</v>
      </c>
    </row>
    <row r="6" spans="1:17" x14ac:dyDescent="0.2">
      <c r="A6">
        <v>11</v>
      </c>
      <c r="B6">
        <v>0.94099999999999995</v>
      </c>
      <c r="C6">
        <f t="shared" si="2"/>
        <v>9.41E-4</v>
      </c>
      <c r="D6">
        <v>48.2</v>
      </c>
      <c r="E6">
        <v>7</v>
      </c>
      <c r="F6">
        <v>0</v>
      </c>
      <c r="G6">
        <f t="shared" si="3"/>
        <v>420</v>
      </c>
      <c r="H6">
        <f t="shared" si="0"/>
        <v>5.1359261912454282E-3</v>
      </c>
      <c r="I6">
        <f t="shared" si="6"/>
        <v>8.3410000000000012E-3</v>
      </c>
      <c r="J6">
        <f t="shared" si="7"/>
        <v>7.7039570257122509E-3</v>
      </c>
      <c r="K6">
        <f t="shared" si="8"/>
        <v>0.92362510798612274</v>
      </c>
      <c r="L6">
        <f t="shared" si="9"/>
        <v>1.2839476783893025E-3</v>
      </c>
      <c r="M6">
        <f t="shared" si="4"/>
        <v>1.2847794317907444E-4</v>
      </c>
      <c r="N6">
        <f t="shared" si="11"/>
        <v>169</v>
      </c>
      <c r="O6">
        <f t="shared" si="1"/>
        <v>8.6379163354406068E-4</v>
      </c>
      <c r="P6">
        <f t="shared" si="10"/>
        <v>-2.9645218709144993E-3</v>
      </c>
      <c r="Q6">
        <f t="shared" si="5"/>
        <v>4.3769474924828765E-3</v>
      </c>
    </row>
    <row r="7" spans="1:17" x14ac:dyDescent="0.2">
      <c r="A7">
        <v>12</v>
      </c>
      <c r="B7">
        <v>-7.282</v>
      </c>
      <c r="C7">
        <f t="shared" si="2"/>
        <v>-7.2820000000000003E-3</v>
      </c>
      <c r="D7">
        <v>51.2</v>
      </c>
      <c r="E7">
        <v>8</v>
      </c>
      <c r="F7">
        <v>33</v>
      </c>
      <c r="G7">
        <f t="shared" si="3"/>
        <v>513</v>
      </c>
      <c r="H7">
        <f t="shared" si="0"/>
        <v>-2.5680308344668231E-3</v>
      </c>
      <c r="I7">
        <f t="shared" si="6"/>
        <v>-8.2230000000000011E-3</v>
      </c>
      <c r="J7">
        <f t="shared" si="7"/>
        <v>-7.7039570257122509E-3</v>
      </c>
      <c r="K7">
        <f t="shared" si="8"/>
        <v>0.9368791226696157</v>
      </c>
      <c r="L7">
        <f t="shared" si="9"/>
        <v>1.2839476783893025E-3</v>
      </c>
      <c r="M7">
        <f t="shared" si="4"/>
        <v>1.2847794317907444E-4</v>
      </c>
      <c r="N7">
        <f t="shared" si="11"/>
        <v>181</v>
      </c>
      <c r="O7">
        <f t="shared" si="1"/>
        <v>-6.6845171896576516E-3</v>
      </c>
      <c r="P7">
        <f t="shared" si="10"/>
        <v>-2.9103627780567953E-3</v>
      </c>
      <c r="Q7">
        <f t="shared" si="5"/>
        <v>4.3227883996251725E-3</v>
      </c>
    </row>
    <row r="8" spans="1:17" x14ac:dyDescent="0.2">
      <c r="A8">
        <v>13</v>
      </c>
      <c r="B8">
        <v>1.0720000000000001</v>
      </c>
      <c r="C8">
        <f t="shared" si="2"/>
        <v>1.072E-3</v>
      </c>
      <c r="D8">
        <v>48.2</v>
      </c>
      <c r="E8">
        <v>10</v>
      </c>
      <c r="F8">
        <v>2</v>
      </c>
      <c r="G8">
        <f t="shared" si="3"/>
        <v>602</v>
      </c>
      <c r="H8">
        <f t="shared" si="0"/>
        <v>5.1359261912454282E-3</v>
      </c>
      <c r="I8">
        <f t="shared" si="6"/>
        <v>8.3540000000000003E-3</v>
      </c>
      <c r="J8">
        <f t="shared" si="7"/>
        <v>7.7039570257122509E-3</v>
      </c>
      <c r="K8">
        <f t="shared" si="8"/>
        <v>0.92218781729856958</v>
      </c>
      <c r="L8">
        <f t="shared" si="9"/>
        <v>1.2839476783893025E-3</v>
      </c>
      <c r="M8">
        <f t="shared" si="4"/>
        <v>1.2847794317907444E-4</v>
      </c>
      <c r="N8">
        <f t="shared" si="11"/>
        <v>182</v>
      </c>
      <c r="O8">
        <f t="shared" si="1"/>
        <v>9.8404317870269195E-4</v>
      </c>
      <c r="P8">
        <f t="shared" si="10"/>
        <v>-2.8502370054774798E-3</v>
      </c>
      <c r="Q8">
        <f t="shared" si="5"/>
        <v>4.2626626270458566E-3</v>
      </c>
    </row>
    <row r="9" spans="1:17" x14ac:dyDescent="0.2">
      <c r="A9">
        <v>14</v>
      </c>
      <c r="B9">
        <v>-7.1</v>
      </c>
      <c r="C9">
        <f t="shared" si="2"/>
        <v>-7.0999999999999995E-3</v>
      </c>
      <c r="D9">
        <v>51.1</v>
      </c>
      <c r="E9">
        <v>11</v>
      </c>
      <c r="F9">
        <v>34</v>
      </c>
      <c r="G9">
        <f t="shared" si="3"/>
        <v>694</v>
      </c>
      <c r="H9">
        <f t="shared" si="0"/>
        <v>-2.3112316123291947E-3</v>
      </c>
      <c r="I9">
        <f t="shared" si="6"/>
        <v>-8.1719999999999987E-3</v>
      </c>
      <c r="J9">
        <f t="shared" si="7"/>
        <v>-7.4471578035746229E-3</v>
      </c>
      <c r="K9">
        <f t="shared" si="8"/>
        <v>0.91130173807814785</v>
      </c>
      <c r="L9">
        <f t="shared" si="9"/>
        <v>1.4123472894581168E-3</v>
      </c>
      <c r="M9">
        <f t="shared" si="4"/>
        <v>7.8332110260226698E-8</v>
      </c>
      <c r="N9">
        <f t="shared" si="11"/>
        <v>181</v>
      </c>
      <c r="O9">
        <f t="shared" si="1"/>
        <v>-6.5174501574525295E-3</v>
      </c>
      <c r="P9">
        <f t="shared" si="10"/>
        <v>-2.7667034893749188E-3</v>
      </c>
      <c r="Q9">
        <f t="shared" si="5"/>
        <v>4.1791291109432955E-3</v>
      </c>
    </row>
    <row r="10" spans="1:17" x14ac:dyDescent="0.2">
      <c r="A10">
        <v>15</v>
      </c>
      <c r="B10">
        <v>1.37</v>
      </c>
      <c r="C10">
        <f t="shared" si="2"/>
        <v>1.3700000000000001E-3</v>
      </c>
      <c r="D10">
        <v>48.2</v>
      </c>
      <c r="E10">
        <v>13</v>
      </c>
      <c r="F10">
        <v>6</v>
      </c>
      <c r="G10">
        <f t="shared" si="3"/>
        <v>786</v>
      </c>
      <c r="H10">
        <f t="shared" si="0"/>
        <v>5.1359261912454282E-3</v>
      </c>
      <c r="I10">
        <f t="shared" si="6"/>
        <v>8.4700000000000001E-3</v>
      </c>
      <c r="J10">
        <f t="shared" si="7"/>
        <v>7.4471578035746229E-3</v>
      </c>
      <c r="K10">
        <f t="shared" si="8"/>
        <v>0.87923941010326123</v>
      </c>
      <c r="L10">
        <f t="shared" si="9"/>
        <v>1.4123472894581168E-3</v>
      </c>
      <c r="M10">
        <f t="shared" si="4"/>
        <v>7.8332110260226698E-8</v>
      </c>
      <c r="N10">
        <f t="shared" si="11"/>
        <v>184</v>
      </c>
      <c r="O10">
        <f t="shared" si="1"/>
        <v>1.2575924951704178E-3</v>
      </c>
      <c r="P10">
        <f t="shared" si="10"/>
        <v>-2.6299288311410558E-3</v>
      </c>
      <c r="Q10">
        <f t="shared" si="5"/>
        <v>4.042354452709433E-3</v>
      </c>
    </row>
    <row r="11" spans="1:17" x14ac:dyDescent="0.2">
      <c r="A11">
        <v>16</v>
      </c>
      <c r="B11">
        <v>-7.3250000000000002</v>
      </c>
      <c r="C11">
        <f t="shared" si="2"/>
        <v>-7.3249999999999999E-3</v>
      </c>
      <c r="D11">
        <v>51.2</v>
      </c>
      <c r="E11">
        <v>14</v>
      </c>
      <c r="F11">
        <v>38</v>
      </c>
      <c r="G11">
        <f t="shared" si="3"/>
        <v>878</v>
      </c>
      <c r="H11">
        <f t="shared" si="0"/>
        <v>-2.5680308344668231E-3</v>
      </c>
      <c r="I11">
        <f t="shared" si="6"/>
        <v>-8.6949999999999996E-3</v>
      </c>
      <c r="J11">
        <f t="shared" si="7"/>
        <v>-7.7039570257122509E-3</v>
      </c>
      <c r="K11">
        <f t="shared" si="8"/>
        <v>0.88602150957012671</v>
      </c>
      <c r="L11">
        <f t="shared" si="9"/>
        <v>1.2839476783893025E-3</v>
      </c>
      <c r="M11">
        <f t="shared" si="4"/>
        <v>1.2847794317907444E-4</v>
      </c>
      <c r="N11">
        <f t="shared" si="11"/>
        <v>184</v>
      </c>
      <c r="O11">
        <f t="shared" si="1"/>
        <v>-6.7239890708929266E-3</v>
      </c>
      <c r="P11">
        <f t="shared" si="10"/>
        <v>-2.7331982878612544E-3</v>
      </c>
      <c r="Q11">
        <f t="shared" si="5"/>
        <v>4.1456239094296316E-3</v>
      </c>
    </row>
    <row r="12" spans="1:17" x14ac:dyDescent="0.2">
      <c r="A12">
        <v>17</v>
      </c>
      <c r="B12">
        <v>1.581</v>
      </c>
      <c r="C12">
        <f t="shared" si="2"/>
        <v>1.5809999999999999E-3</v>
      </c>
      <c r="D12">
        <v>48.1</v>
      </c>
      <c r="E12">
        <v>16</v>
      </c>
      <c r="F12">
        <v>15</v>
      </c>
      <c r="G12">
        <f t="shared" si="3"/>
        <v>975</v>
      </c>
      <c r="H12">
        <f t="shared" si="0"/>
        <v>5.3927030608086251E-3</v>
      </c>
      <c r="I12">
        <f t="shared" si="6"/>
        <v>8.9060000000000007E-3</v>
      </c>
      <c r="J12">
        <f t="shared" si="7"/>
        <v>7.9607338952754486E-3</v>
      </c>
      <c r="K12">
        <f t="shared" si="8"/>
        <v>0.89386187910121806</v>
      </c>
      <c r="L12">
        <f t="shared" si="9"/>
        <v>1.412336113170901E-3</v>
      </c>
      <c r="M12">
        <f t="shared" si="4"/>
        <v>8.9508397476019408E-8</v>
      </c>
      <c r="N12">
        <f t="shared" si="11"/>
        <v>189</v>
      </c>
      <c r="O12">
        <f t="shared" si="1"/>
        <v>1.45128009844119E-3</v>
      </c>
      <c r="P12">
        <f t="shared" si="10"/>
        <v>-2.6363544862258682E-3</v>
      </c>
      <c r="Q12">
        <f t="shared" si="5"/>
        <v>4.048780107794245E-3</v>
      </c>
    </row>
    <row r="13" spans="1:17" x14ac:dyDescent="0.2">
      <c r="A13">
        <v>18</v>
      </c>
      <c r="B13">
        <v>-7.6219999999999999</v>
      </c>
      <c r="C13">
        <f t="shared" si="2"/>
        <v>-7.6220000000000003E-3</v>
      </c>
      <c r="D13">
        <v>51.3</v>
      </c>
      <c r="E13">
        <v>17</v>
      </c>
      <c r="F13">
        <v>50</v>
      </c>
      <c r="G13">
        <f t="shared" si="3"/>
        <v>1070</v>
      </c>
      <c r="H13">
        <f t="shared" si="0"/>
        <v>-2.8248287017921723E-3</v>
      </c>
      <c r="I13">
        <f t="shared" si="6"/>
        <v>-9.2029999999999994E-3</v>
      </c>
      <c r="J13">
        <f t="shared" si="7"/>
        <v>-8.2175317626007969E-3</v>
      </c>
      <c r="K13">
        <f t="shared" si="8"/>
        <v>0.89291880502018883</v>
      </c>
      <c r="L13">
        <f t="shared" si="9"/>
        <v>1.2839371795082264E-3</v>
      </c>
      <c r="M13">
        <f t="shared" si="4"/>
        <v>1.2848844206015059E-4</v>
      </c>
      <c r="N13">
        <f t="shared" si="11"/>
        <v>192</v>
      </c>
      <c r="O13">
        <f t="shared" si="1"/>
        <v>-6.9966204366342516E-3</v>
      </c>
      <c r="P13">
        <f t="shared" si="10"/>
        <v>-2.7726701690965307E-3</v>
      </c>
      <c r="Q13">
        <f t="shared" si="5"/>
        <v>4.1850957906649075E-3</v>
      </c>
    </row>
    <row r="14" spans="1:17" x14ac:dyDescent="0.2">
      <c r="A14">
        <v>19</v>
      </c>
      <c r="B14">
        <v>1.861</v>
      </c>
      <c r="C14">
        <f t="shared" si="2"/>
        <v>1.861E-3</v>
      </c>
      <c r="D14">
        <v>48</v>
      </c>
      <c r="E14">
        <v>19</v>
      </c>
      <c r="F14">
        <v>28</v>
      </c>
      <c r="G14">
        <f t="shared" si="3"/>
        <v>1168</v>
      </c>
      <c r="H14">
        <f t="shared" si="0"/>
        <v>5.6494770857778527E-3</v>
      </c>
      <c r="I14">
        <f t="shared" si="6"/>
        <v>9.4830000000000001E-3</v>
      </c>
      <c r="J14">
        <f t="shared" si="7"/>
        <v>8.4743057875700245E-3</v>
      </c>
      <c r="K14">
        <f t="shared" si="8"/>
        <v>0.89363131789201988</v>
      </c>
      <c r="L14">
        <f t="shared" si="9"/>
        <v>1.4123241919928402E-3</v>
      </c>
      <c r="M14">
        <f t="shared" si="4"/>
        <v>1.0142957553678153E-7</v>
      </c>
      <c r="N14">
        <f t="shared" si="11"/>
        <v>193</v>
      </c>
      <c r="O14">
        <f t="shared" si="1"/>
        <v>1.7083063018336843E-3</v>
      </c>
      <c r="P14">
        <f t="shared" si="10"/>
        <v>-2.6441570674002835E-3</v>
      </c>
      <c r="Q14">
        <f t="shared" si="5"/>
        <v>4.0565826889686603E-3</v>
      </c>
    </row>
    <row r="15" spans="1:17" x14ac:dyDescent="0.2">
      <c r="A15">
        <v>20</v>
      </c>
      <c r="B15">
        <v>-7.9029999999999996</v>
      </c>
      <c r="C15">
        <f t="shared" si="2"/>
        <v>-7.9030000000000003E-3</v>
      </c>
      <c r="D15">
        <v>51.4</v>
      </c>
      <c r="E15">
        <v>21</v>
      </c>
      <c r="F15">
        <v>8</v>
      </c>
      <c r="G15">
        <f t="shared" si="3"/>
        <v>1268</v>
      </c>
      <c r="H15">
        <f t="shared" si="0"/>
        <v>-3.081625078840564E-3</v>
      </c>
      <c r="I15">
        <f t="shared" si="6"/>
        <v>-9.7640000000000001E-3</v>
      </c>
      <c r="J15">
        <f t="shared" si="7"/>
        <v>-8.7311021646184171E-3</v>
      </c>
      <c r="K15">
        <f t="shared" si="8"/>
        <v>0.8942136588097519</v>
      </c>
      <c r="L15">
        <f t="shared" si="9"/>
        <v>1.2839260034686443E-3</v>
      </c>
      <c r="M15">
        <f t="shared" si="4"/>
        <v>1.2849961809973266E-4</v>
      </c>
      <c r="N15">
        <f t="shared" si="11"/>
        <v>198</v>
      </c>
      <c r="O15">
        <f t="shared" si="1"/>
        <v>-7.2545645907531476E-3</v>
      </c>
      <c r="P15">
        <f t="shared" si="10"/>
        <v>-2.7731291444597315E-3</v>
      </c>
      <c r="Q15">
        <f t="shared" si="5"/>
        <v>4.1855547660281083E-3</v>
      </c>
    </row>
    <row r="16" spans="1:17" x14ac:dyDescent="0.2">
      <c r="A16">
        <v>21</v>
      </c>
      <c r="B16">
        <v>2.1680000000000001</v>
      </c>
      <c r="C16">
        <f t="shared" si="2"/>
        <v>2.1680000000000002E-3</v>
      </c>
      <c r="D16">
        <v>47.9</v>
      </c>
      <c r="E16">
        <v>22</v>
      </c>
      <c r="F16">
        <v>46</v>
      </c>
      <c r="G16">
        <f t="shared" si="3"/>
        <v>1366</v>
      </c>
      <c r="H16">
        <f t="shared" si="0"/>
        <v>5.9062481307638522E-3</v>
      </c>
      <c r="I16">
        <f t="shared" si="6"/>
        <v>1.0071E-2</v>
      </c>
      <c r="J16">
        <f t="shared" si="7"/>
        <v>8.9878732096044158E-3</v>
      </c>
      <c r="K16">
        <f t="shared" si="8"/>
        <v>0.89245091943247101</v>
      </c>
      <c r="L16">
        <f t="shared" si="9"/>
        <v>1.4123115259616441E-3</v>
      </c>
      <c r="M16">
        <f t="shared" si="4"/>
        <v>1.140956067328773E-7</v>
      </c>
      <c r="N16">
        <f t="shared" si="11"/>
        <v>198</v>
      </c>
      <c r="O16">
        <f t="shared" si="1"/>
        <v>1.9901171748390261E-3</v>
      </c>
      <c r="P16">
        <f t="shared" si="10"/>
        <v>-2.6322237079570605E-3</v>
      </c>
      <c r="Q16">
        <f t="shared" si="5"/>
        <v>4.0446493295254373E-3</v>
      </c>
    </row>
    <row r="17" spans="1:17" x14ac:dyDescent="0.2">
      <c r="A17">
        <v>22</v>
      </c>
      <c r="B17">
        <v>-8.4130000000000003</v>
      </c>
      <c r="C17">
        <f t="shared" si="2"/>
        <v>-8.4130000000000003E-3</v>
      </c>
      <c r="D17">
        <v>51.6</v>
      </c>
      <c r="E17">
        <v>24</v>
      </c>
      <c r="F17">
        <v>27</v>
      </c>
      <c r="G17">
        <f t="shared" si="3"/>
        <v>1467</v>
      </c>
      <c r="H17">
        <f t="shared" si="0"/>
        <v>-3.5952128202715755E-3</v>
      </c>
      <c r="I17">
        <f t="shared" si="6"/>
        <v>-1.0581E-2</v>
      </c>
      <c r="J17">
        <f t="shared" si="7"/>
        <v>-9.5014609510354273E-3</v>
      </c>
      <c r="K17">
        <f t="shared" si="8"/>
        <v>0.89797381637231144</v>
      </c>
      <c r="L17">
        <f t="shared" si="9"/>
        <v>1.1555176552461384E-3</v>
      </c>
      <c r="M17">
        <f t="shared" si="4"/>
        <v>2.569079663222386E-4</v>
      </c>
      <c r="N17">
        <f t="shared" si="11"/>
        <v>199</v>
      </c>
      <c r="O17">
        <f t="shared" si="1"/>
        <v>-7.7227194612180475E-3</v>
      </c>
      <c r="P17">
        <f t="shared" si="10"/>
        <v>-2.8663011431895105E-3</v>
      </c>
      <c r="Q17">
        <f t="shared" si="5"/>
        <v>4.2787267647578873E-3</v>
      </c>
    </row>
    <row r="18" spans="1:17" x14ac:dyDescent="0.2">
      <c r="A18">
        <v>23</v>
      </c>
      <c r="B18">
        <v>2.4809999999999999</v>
      </c>
      <c r="C18">
        <f t="shared" si="2"/>
        <v>2.4810000000000001E-3</v>
      </c>
      <c r="D18">
        <v>47.7</v>
      </c>
      <c r="E18">
        <v>26</v>
      </c>
      <c r="F18">
        <v>8</v>
      </c>
      <c r="G18">
        <f t="shared" si="3"/>
        <v>1568</v>
      </c>
      <c r="H18">
        <f t="shared" si="0"/>
        <v>6.4197807392766936E-3</v>
      </c>
      <c r="I18">
        <f t="shared" si="6"/>
        <v>1.0894000000000001E-2</v>
      </c>
      <c r="J18">
        <f t="shared" si="7"/>
        <v>1.0014993559548269E-2</v>
      </c>
      <c r="K18">
        <f t="shared" si="8"/>
        <v>0.91931279232130236</v>
      </c>
      <c r="L18">
        <f t="shared" si="9"/>
        <v>1.4122839595025591E-3</v>
      </c>
      <c r="M18">
        <f t="shared" si="4"/>
        <v>1.4166206581791088E-7</v>
      </c>
      <c r="N18">
        <f t="shared" si="11"/>
        <v>202</v>
      </c>
      <c r="O18">
        <f t="shared" si="1"/>
        <v>2.2774357522027788E-3</v>
      </c>
      <c r="P18">
        <f t="shared" si="10"/>
        <v>-2.7226418545076344E-3</v>
      </c>
      <c r="Q18">
        <f t="shared" si="5"/>
        <v>4.1350674760760112E-3</v>
      </c>
    </row>
    <row r="19" spans="1:17" x14ac:dyDescent="0.2">
      <c r="A19">
        <v>24</v>
      </c>
      <c r="B19">
        <v>-8.468</v>
      </c>
      <c r="C19">
        <f t="shared" si="2"/>
        <v>-8.4679999999999998E-3</v>
      </c>
      <c r="D19">
        <v>51.6</v>
      </c>
      <c r="E19">
        <v>27</v>
      </c>
      <c r="F19">
        <v>47</v>
      </c>
      <c r="G19">
        <f t="shared" si="3"/>
        <v>1667</v>
      </c>
      <c r="H19">
        <f t="shared" si="0"/>
        <v>-3.5952128202715755E-3</v>
      </c>
      <c r="I19">
        <f t="shared" si="6"/>
        <v>-1.0949E-2</v>
      </c>
      <c r="J19">
        <f t="shared" si="7"/>
        <v>-1.0014993559548269E-2</v>
      </c>
      <c r="K19">
        <f t="shared" si="8"/>
        <v>0.91469481775032135</v>
      </c>
      <c r="L19">
        <f t="shared" si="9"/>
        <v>1.4122839595025591E-3</v>
      </c>
      <c r="M19">
        <f t="shared" si="4"/>
        <v>1.4166206581791088E-7</v>
      </c>
      <c r="N19">
        <f t="shared" si="11"/>
        <v>200</v>
      </c>
      <c r="O19">
        <f t="shared" si="1"/>
        <v>-7.7732067511701438E-3</v>
      </c>
      <c r="P19">
        <f t="shared" si="10"/>
        <v>-2.7478854994836825E-3</v>
      </c>
      <c r="Q19">
        <f t="shared" si="5"/>
        <v>4.1603111210520597E-3</v>
      </c>
    </row>
    <row r="20" spans="1:17" x14ac:dyDescent="0.2">
      <c r="A20">
        <v>25</v>
      </c>
      <c r="B20">
        <v>2.6080000000000001</v>
      </c>
      <c r="C20">
        <f t="shared" si="2"/>
        <v>2.6080000000000001E-3</v>
      </c>
      <c r="D20">
        <v>47.7</v>
      </c>
      <c r="E20">
        <v>29</v>
      </c>
      <c r="F20">
        <v>28</v>
      </c>
      <c r="G20">
        <f t="shared" si="3"/>
        <v>1768</v>
      </c>
      <c r="H20">
        <f t="shared" si="0"/>
        <v>6.4197807392766936E-3</v>
      </c>
      <c r="I20">
        <f t="shared" si="6"/>
        <v>1.1075999999999999E-2</v>
      </c>
      <c r="J20">
        <f t="shared" si="7"/>
        <v>1.0014993559548269E-2</v>
      </c>
      <c r="K20">
        <f t="shared" si="8"/>
        <v>0.90420671357423887</v>
      </c>
      <c r="L20">
        <f t="shared" si="9"/>
        <v>1.4122839595025591E-3</v>
      </c>
      <c r="M20">
        <f t="shared" si="4"/>
        <v>1.4166206581791088E-7</v>
      </c>
      <c r="N20">
        <f t="shared" si="11"/>
        <v>200</v>
      </c>
      <c r="O20">
        <f t="shared" si="1"/>
        <v>2.3940154944558025E-3</v>
      </c>
      <c r="P20">
        <f t="shared" si="10"/>
        <v>-2.6895956283571705E-3</v>
      </c>
      <c r="Q20">
        <f t="shared" si="5"/>
        <v>4.1020212499255472E-3</v>
      </c>
    </row>
    <row r="21" spans="1:17" x14ac:dyDescent="0.2">
      <c r="A21">
        <v>26</v>
      </c>
      <c r="B21">
        <v>-8.8940000000000001</v>
      </c>
      <c r="C21">
        <f t="shared" si="2"/>
        <v>-8.8940000000000009E-3</v>
      </c>
      <c r="D21">
        <v>51.9</v>
      </c>
      <c r="E21">
        <v>31</v>
      </c>
      <c r="F21">
        <v>7</v>
      </c>
      <c r="G21">
        <f t="shared" si="3"/>
        <v>1867</v>
      </c>
      <c r="H21">
        <f t="shared" si="0"/>
        <v>-4.3655798690170489E-3</v>
      </c>
      <c r="I21">
        <f t="shared" si="6"/>
        <v>-1.1502000000000002E-2</v>
      </c>
      <c r="J21">
        <f t="shared" si="7"/>
        <v>-1.0785360608293743E-2</v>
      </c>
      <c r="K21">
        <f t="shared" si="8"/>
        <v>0.93769436691825259</v>
      </c>
      <c r="L21">
        <f t="shared" si="9"/>
        <v>1.0271004351298223E-3</v>
      </c>
      <c r="M21">
        <f t="shared" si="4"/>
        <v>3.8532518643855465E-4</v>
      </c>
      <c r="N21">
        <f t="shared" si="11"/>
        <v>200</v>
      </c>
      <c r="O21">
        <f t="shared" si="1"/>
        <v>-8.1642537606172964E-3</v>
      </c>
      <c r="P21">
        <f t="shared" si="10"/>
        <v>-2.8851191330807472E-3</v>
      </c>
      <c r="Q21">
        <f t="shared" si="5"/>
        <v>4.2975447546491239E-3</v>
      </c>
    </row>
    <row r="22" spans="1:17" x14ac:dyDescent="0.2">
      <c r="A22">
        <v>27</v>
      </c>
      <c r="B22">
        <v>2.8380000000000001</v>
      </c>
      <c r="C22">
        <f t="shared" si="2"/>
        <v>2.8380000000000002E-3</v>
      </c>
      <c r="D22">
        <v>47.6</v>
      </c>
      <c r="E22">
        <v>32</v>
      </c>
      <c r="F22">
        <v>49</v>
      </c>
      <c r="G22">
        <f t="shared" si="3"/>
        <v>1969</v>
      </c>
      <c r="H22">
        <f t="shared" si="0"/>
        <v>6.6765420320738979E-3</v>
      </c>
      <c r="I22">
        <f t="shared" si="6"/>
        <v>1.1732000000000001E-2</v>
      </c>
      <c r="J22">
        <f t="shared" si="7"/>
        <v>1.1042121901090947E-2</v>
      </c>
      <c r="K22">
        <f t="shared" si="8"/>
        <v>0.94119688894399467</v>
      </c>
      <c r="L22">
        <f t="shared" si="9"/>
        <v>1.1554810815284245E-3</v>
      </c>
      <c r="M22">
        <f t="shared" si="4"/>
        <v>2.5694454003995248E-4</v>
      </c>
      <c r="N22">
        <f t="shared" si="11"/>
        <v>201</v>
      </c>
      <c r="O22">
        <f t="shared" si="1"/>
        <v>2.6051441615282086E-3</v>
      </c>
      <c r="P22">
        <f t="shared" si="10"/>
        <v>-2.7795547995445439E-3</v>
      </c>
      <c r="Q22">
        <f t="shared" si="5"/>
        <v>4.1919804211129211E-3</v>
      </c>
    </row>
    <row r="23" spans="1:17" x14ac:dyDescent="0.2">
      <c r="A23">
        <v>28</v>
      </c>
      <c r="B23">
        <v>-9.3059999999999992</v>
      </c>
      <c r="C23">
        <f t="shared" si="2"/>
        <v>-9.306E-3</v>
      </c>
      <c r="D23">
        <v>52</v>
      </c>
      <c r="E23">
        <v>34</v>
      </c>
      <c r="F23">
        <v>30</v>
      </c>
      <c r="G23">
        <f t="shared" si="3"/>
        <v>2070</v>
      </c>
      <c r="H23">
        <f t="shared" si="0"/>
        <v>-4.6223644599387333E-3</v>
      </c>
      <c r="I23">
        <f t="shared" si="6"/>
        <v>-1.2144E-2</v>
      </c>
      <c r="J23">
        <f t="shared" si="7"/>
        <v>-1.1298906492012631E-2</v>
      </c>
      <c r="K23">
        <f t="shared" si="8"/>
        <v>0.93041061363740374</v>
      </c>
      <c r="L23">
        <f t="shared" si="9"/>
        <v>1.0270887860675823E-3</v>
      </c>
      <c r="M23">
        <f t="shared" si="4"/>
        <v>3.8533683550079465E-4</v>
      </c>
      <c r="N23">
        <f t="shared" si="11"/>
        <v>203</v>
      </c>
      <c r="O23">
        <f t="shared" si="1"/>
        <v>-8.5424494598948224E-3</v>
      </c>
      <c r="P23">
        <f t="shared" si="10"/>
        <v>-2.9686526491833069E-3</v>
      </c>
      <c r="Q23">
        <f t="shared" si="5"/>
        <v>4.3810782707516841E-3</v>
      </c>
    </row>
    <row r="24" spans="1:17" x14ac:dyDescent="0.2">
      <c r="A24">
        <v>29</v>
      </c>
      <c r="B24">
        <v>3.2250000000000001</v>
      </c>
      <c r="C24">
        <f t="shared" si="2"/>
        <v>3.225E-3</v>
      </c>
      <c r="D24">
        <v>47.5</v>
      </c>
      <c r="E24">
        <v>36</v>
      </c>
      <c r="F24">
        <v>11</v>
      </c>
      <c r="G24">
        <f t="shared" si="3"/>
        <v>2171</v>
      </c>
      <c r="H24">
        <f t="shared" si="0"/>
        <v>6.9332998034294189E-3</v>
      </c>
      <c r="I24">
        <f t="shared" si="6"/>
        <v>1.2531E-2</v>
      </c>
      <c r="J24">
        <f t="shared" si="7"/>
        <v>1.1555664263368152E-2</v>
      </c>
      <c r="K24">
        <f t="shared" si="8"/>
        <v>0.92216616897040549</v>
      </c>
      <c r="L24">
        <f t="shared" si="9"/>
        <v>1.1554676717453428E-3</v>
      </c>
      <c r="M24">
        <f t="shared" si="4"/>
        <v>2.5695794982303418E-4</v>
      </c>
      <c r="N24">
        <f t="shared" si="11"/>
        <v>202</v>
      </c>
      <c r="O24">
        <f t="shared" si="1"/>
        <v>2.9603910926456916E-3</v>
      </c>
      <c r="P24">
        <f t="shared" si="10"/>
        <v>-2.7910291836245656E-3</v>
      </c>
      <c r="Q24">
        <f t="shared" si="5"/>
        <v>4.2034548051929424E-3</v>
      </c>
    </row>
    <row r="25" spans="1:17" x14ac:dyDescent="0.2">
      <c r="A25">
        <v>30</v>
      </c>
      <c r="B25">
        <v>-9.3160000000000007</v>
      </c>
      <c r="C25">
        <f t="shared" si="2"/>
        <v>-9.3160000000000014E-3</v>
      </c>
      <c r="D25">
        <v>52</v>
      </c>
      <c r="E25">
        <v>37</v>
      </c>
      <c r="F25">
        <v>52</v>
      </c>
      <c r="G25">
        <f t="shared" si="3"/>
        <v>2272</v>
      </c>
      <c r="H25">
        <f t="shared" si="0"/>
        <v>-4.6223644599387333E-3</v>
      </c>
      <c r="I25">
        <f t="shared" si="6"/>
        <v>-1.2541000000000002E-2</v>
      </c>
      <c r="J25">
        <f t="shared" si="7"/>
        <v>-1.1555664263368152E-2</v>
      </c>
      <c r="K25">
        <f t="shared" si="8"/>
        <v>0.92143084788837815</v>
      </c>
      <c r="L25">
        <f t="shared" si="9"/>
        <v>1.1554676717453428E-3</v>
      </c>
      <c r="M25">
        <f t="shared" si="4"/>
        <v>2.5695794982303418E-4</v>
      </c>
      <c r="N25">
        <f t="shared" si="11"/>
        <v>202</v>
      </c>
      <c r="O25">
        <f t="shared" si="1"/>
        <v>-8.5516289671588412E-3</v>
      </c>
      <c r="P25">
        <f t="shared" si="10"/>
        <v>-2.795618937256575E-3</v>
      </c>
      <c r="Q25">
        <f t="shared" si="5"/>
        <v>4.2080445588249518E-3</v>
      </c>
    </row>
    <row r="26" spans="1:17" x14ac:dyDescent="0.2">
      <c r="A26">
        <v>31</v>
      </c>
      <c r="B26">
        <v>3.3559999999999999</v>
      </c>
      <c r="C26">
        <f t="shared" si="2"/>
        <v>3.356E-3</v>
      </c>
      <c r="D26">
        <v>47.5</v>
      </c>
      <c r="E26">
        <v>39</v>
      </c>
      <c r="F26">
        <v>35</v>
      </c>
      <c r="G26">
        <f t="shared" si="3"/>
        <v>2375</v>
      </c>
      <c r="H26">
        <f t="shared" si="0"/>
        <v>6.9332998034294189E-3</v>
      </c>
      <c r="I26">
        <f t="shared" si="6"/>
        <v>1.2672000000000001E-2</v>
      </c>
      <c r="J26">
        <f t="shared" si="7"/>
        <v>1.1555664263368152E-2</v>
      </c>
      <c r="K26">
        <f t="shared" si="8"/>
        <v>0.91190532381377454</v>
      </c>
      <c r="L26">
        <f t="shared" si="9"/>
        <v>1.1554676717453428E-3</v>
      </c>
      <c r="M26">
        <f t="shared" si="4"/>
        <v>2.5695794982303418E-4</v>
      </c>
      <c r="N26">
        <f t="shared" si="11"/>
        <v>204</v>
      </c>
      <c r="O26">
        <f t="shared" si="1"/>
        <v>3.0806426378043226E-3</v>
      </c>
      <c r="P26">
        <f t="shared" si="10"/>
        <v>-2.7354931646772591E-3</v>
      </c>
      <c r="Q26">
        <f t="shared" si="5"/>
        <v>4.1479187862456359E-3</v>
      </c>
    </row>
    <row r="27" spans="1:17" x14ac:dyDescent="0.2">
      <c r="A27">
        <v>32</v>
      </c>
      <c r="B27">
        <v>-9.6199999999999992</v>
      </c>
      <c r="C27">
        <f t="shared" si="2"/>
        <v>-9.6200000000000001E-3</v>
      </c>
      <c r="D27">
        <v>52.1</v>
      </c>
      <c r="E27">
        <v>41</v>
      </c>
      <c r="F27">
        <v>17</v>
      </c>
      <c r="G27">
        <f t="shared" si="3"/>
        <v>2477</v>
      </c>
      <c r="H27">
        <f t="shared" si="0"/>
        <v>-4.8791466124865198E-3</v>
      </c>
      <c r="I27">
        <f t="shared" si="6"/>
        <v>-1.2976E-2</v>
      </c>
      <c r="J27">
        <f t="shared" si="7"/>
        <v>-1.1812446415915938E-2</v>
      </c>
      <c r="K27">
        <f t="shared" si="8"/>
        <v>0.91033033414888553</v>
      </c>
      <c r="L27">
        <f t="shared" si="9"/>
        <v>1.0270765954714495E-3</v>
      </c>
      <c r="M27">
        <f t="shared" si="4"/>
        <v>3.8534902609692746E-4</v>
      </c>
      <c r="N27">
        <f t="shared" si="11"/>
        <v>205</v>
      </c>
      <c r="O27">
        <f t="shared" si="1"/>
        <v>-8.8306859879849781E-3</v>
      </c>
      <c r="P27">
        <f t="shared" si="10"/>
        <v>-2.8750216750903276E-3</v>
      </c>
      <c r="Q27">
        <f t="shared" si="5"/>
        <v>4.2874472966587043E-3</v>
      </c>
    </row>
    <row r="28" spans="1:17" x14ac:dyDescent="0.2">
      <c r="A28">
        <v>33</v>
      </c>
      <c r="B28">
        <v>3.605</v>
      </c>
      <c r="C28">
        <f t="shared" si="2"/>
        <v>3.6050000000000001E-3</v>
      </c>
      <c r="D28">
        <v>47.3</v>
      </c>
      <c r="E28">
        <v>42</v>
      </c>
      <c r="F28">
        <v>59</v>
      </c>
      <c r="G28">
        <f t="shared" si="3"/>
        <v>2579</v>
      </c>
      <c r="H28">
        <f t="shared" si="0"/>
        <v>7.4468042404756589E-3</v>
      </c>
      <c r="I28">
        <f t="shared" si="6"/>
        <v>1.3225000000000001E-2</v>
      </c>
      <c r="J28">
        <f t="shared" si="7"/>
        <v>1.2325950852962179E-2</v>
      </c>
      <c r="K28">
        <f t="shared" si="8"/>
        <v>0.93201896808787732</v>
      </c>
      <c r="L28">
        <f t="shared" si="9"/>
        <v>1.2838288139945695E-3</v>
      </c>
      <c r="M28">
        <f t="shared" si="4"/>
        <v>1.2859680757380744E-4</v>
      </c>
      <c r="N28">
        <f t="shared" si="11"/>
        <v>204</v>
      </c>
      <c r="O28">
        <f t="shared" si="1"/>
        <v>3.3092123686783623E-3</v>
      </c>
      <c r="P28">
        <f t="shared" si="10"/>
        <v>-2.7607368096533077E-3</v>
      </c>
      <c r="Q28">
        <f t="shared" si="5"/>
        <v>4.1731624312216845E-3</v>
      </c>
    </row>
    <row r="29" spans="1:17" x14ac:dyDescent="0.2">
      <c r="A29">
        <v>34</v>
      </c>
      <c r="B29">
        <f>-9.956</f>
        <v>-9.9559999999999995</v>
      </c>
      <c r="C29">
        <f t="shared" si="2"/>
        <v>-9.9559999999999996E-3</v>
      </c>
      <c r="D29">
        <v>52.2</v>
      </c>
      <c r="E29">
        <v>44</v>
      </c>
      <c r="F29">
        <v>44</v>
      </c>
      <c r="G29">
        <f t="shared" si="3"/>
        <v>2684</v>
      </c>
      <c r="H29">
        <f t="shared" si="0"/>
        <v>-5.1359261912454282E-3</v>
      </c>
      <c r="I29">
        <f t="shared" si="6"/>
        <v>-1.3561E-2</v>
      </c>
      <c r="J29">
        <f t="shared" si="7"/>
        <v>-1.2582730431721086E-2</v>
      </c>
      <c r="K29">
        <f t="shared" si="8"/>
        <v>0.92786154647305408</v>
      </c>
      <c r="L29">
        <f t="shared" si="9"/>
        <v>1.1554390246151154E-3</v>
      </c>
      <c r="M29">
        <f t="shared" si="4"/>
        <v>2.5698659695326163E-4</v>
      </c>
      <c r="N29">
        <f t="shared" si="11"/>
        <v>207</v>
      </c>
      <c r="O29">
        <f t="shared" si="1"/>
        <v>-9.1391174320559695E-3</v>
      </c>
      <c r="P29">
        <f t="shared" si="10"/>
        <v>-2.9149525316888034E-3</v>
      </c>
      <c r="Q29">
        <f t="shared" si="5"/>
        <v>4.3273781532571802E-3</v>
      </c>
    </row>
    <row r="30" spans="1:17" x14ac:dyDescent="0.2">
      <c r="A30">
        <v>35</v>
      </c>
      <c r="B30">
        <v>3.8250000000000002</v>
      </c>
      <c r="C30">
        <f t="shared" si="2"/>
        <v>3.8250000000000003E-3</v>
      </c>
      <c r="D30">
        <v>47.3</v>
      </c>
      <c r="E30">
        <v>46</v>
      </c>
      <c r="F30">
        <v>28</v>
      </c>
      <c r="G30">
        <f t="shared" si="3"/>
        <v>2788</v>
      </c>
      <c r="H30">
        <f t="shared" si="0"/>
        <v>7.4468042404756589E-3</v>
      </c>
      <c r="I30">
        <f t="shared" si="6"/>
        <v>1.3781E-2</v>
      </c>
      <c r="J30">
        <f t="shared" si="7"/>
        <v>1.2582730431721086E-2</v>
      </c>
      <c r="K30">
        <f t="shared" si="8"/>
        <v>0.91304915693498923</v>
      </c>
      <c r="L30">
        <f t="shared" si="9"/>
        <v>1.1554390246151154E-3</v>
      </c>
      <c r="M30">
        <f t="shared" si="4"/>
        <v>2.5698659695326163E-4</v>
      </c>
      <c r="N30">
        <f t="shared" si="11"/>
        <v>209</v>
      </c>
      <c r="O30">
        <f t="shared" si="1"/>
        <v>3.5111615284867505E-3</v>
      </c>
      <c r="P30">
        <f t="shared" si="10"/>
        <v>-2.8139779517846095E-3</v>
      </c>
      <c r="Q30">
        <f t="shared" si="5"/>
        <v>4.2264035733529867E-3</v>
      </c>
    </row>
    <row r="31" spans="1:17" x14ac:dyDescent="0.2">
      <c r="A31">
        <v>36</v>
      </c>
      <c r="B31">
        <v>-10.255000000000001</v>
      </c>
      <c r="C31">
        <f t="shared" si="2"/>
        <v>-1.0255E-2</v>
      </c>
      <c r="D31">
        <v>52.3</v>
      </c>
      <c r="E31">
        <v>48</v>
      </c>
      <c r="F31">
        <v>13</v>
      </c>
      <c r="G31">
        <f t="shared" si="3"/>
        <v>2893</v>
      </c>
      <c r="H31">
        <f t="shared" si="0"/>
        <v>-5.3927030608086068E-3</v>
      </c>
      <c r="I31">
        <f t="shared" si="6"/>
        <v>-1.4080000000000001E-2</v>
      </c>
      <c r="J31">
        <f t="shared" si="7"/>
        <v>-1.2839507301284265E-2</v>
      </c>
      <c r="K31">
        <f t="shared" si="8"/>
        <v>0.91189682537530292</v>
      </c>
      <c r="L31">
        <f t="shared" si="9"/>
        <v>1.027050589833526E-3</v>
      </c>
      <c r="M31">
        <f t="shared" si="4"/>
        <v>3.8537503173485094E-4</v>
      </c>
      <c r="N31">
        <f t="shared" si="11"/>
        <v>209</v>
      </c>
      <c r="O31">
        <f t="shared" si="1"/>
        <v>-9.4135846992500979E-3</v>
      </c>
      <c r="P31">
        <f t="shared" si="10"/>
        <v>-2.9512115853816737E-3</v>
      </c>
      <c r="Q31">
        <f t="shared" si="5"/>
        <v>4.3636372069500509E-3</v>
      </c>
    </row>
    <row r="32" spans="1:17" x14ac:dyDescent="0.2">
      <c r="A32">
        <v>37</v>
      </c>
      <c r="B32">
        <v>4.0659999999999998</v>
      </c>
      <c r="C32">
        <f t="shared" si="2"/>
        <v>4.0660000000000002E-3</v>
      </c>
      <c r="D32">
        <v>47.1</v>
      </c>
      <c r="E32">
        <v>49</v>
      </c>
      <c r="F32">
        <v>57</v>
      </c>
      <c r="G32">
        <f t="shared" si="3"/>
        <v>2997</v>
      </c>
      <c r="H32">
        <f t="shared" si="0"/>
        <v>7.96029296785415E-3</v>
      </c>
      <c r="I32">
        <f t="shared" si="6"/>
        <v>1.4321E-2</v>
      </c>
      <c r="J32">
        <f t="shared" si="7"/>
        <v>1.3352996028662757E-2</v>
      </c>
      <c r="K32">
        <f t="shared" si="8"/>
        <v>0.93240667751293604</v>
      </c>
      <c r="L32">
        <f t="shared" si="9"/>
        <v>1.2837949535227716E-3</v>
      </c>
      <c r="M32">
        <f t="shared" si="4"/>
        <v>1.286306680456054E-4</v>
      </c>
      <c r="N32">
        <f t="shared" si="11"/>
        <v>209</v>
      </c>
      <c r="O32">
        <f t="shared" si="1"/>
        <v>3.7323876535495758E-3</v>
      </c>
      <c r="P32">
        <f t="shared" si="10"/>
        <v>-2.8405985228502611E-3</v>
      </c>
      <c r="Q32">
        <f t="shared" si="5"/>
        <v>4.2530241444186379E-3</v>
      </c>
    </row>
    <row r="33" spans="1:17" x14ac:dyDescent="0.2">
      <c r="A33">
        <v>38</v>
      </c>
      <c r="B33">
        <v>-10.48</v>
      </c>
      <c r="C33">
        <f t="shared" si="2"/>
        <v>-1.0480000000000001E-2</v>
      </c>
      <c r="D33">
        <v>52.4</v>
      </c>
      <c r="E33">
        <v>51</v>
      </c>
      <c r="F33">
        <v>40</v>
      </c>
      <c r="G33">
        <f t="shared" si="3"/>
        <v>3100</v>
      </c>
      <c r="H33">
        <f t="shared" si="0"/>
        <v>-5.6494770857778345E-3</v>
      </c>
      <c r="I33">
        <f t="shared" si="6"/>
        <v>-1.4546000000000002E-2</v>
      </c>
      <c r="J33">
        <f t="shared" si="7"/>
        <v>-1.3609770053631984E-2</v>
      </c>
      <c r="K33">
        <f t="shared" si="8"/>
        <v>0.93563660481451827</v>
      </c>
      <c r="L33">
        <f t="shared" si="9"/>
        <v>1.1554079410381578E-3</v>
      </c>
      <c r="M33">
        <f t="shared" si="4"/>
        <v>2.5701768053021921E-4</v>
      </c>
      <c r="N33">
        <f t="shared" si="11"/>
        <v>207</v>
      </c>
      <c r="O33">
        <f t="shared" si="1"/>
        <v>-9.6201236126904968E-3</v>
      </c>
      <c r="P33">
        <f t="shared" si="10"/>
        <v>-2.9438679795704605E-3</v>
      </c>
      <c r="Q33">
        <f t="shared" si="5"/>
        <v>4.3562936011388373E-3</v>
      </c>
    </row>
    <row r="34" spans="1:17" x14ac:dyDescent="0.2">
      <c r="A34">
        <v>39</v>
      </c>
      <c r="B34">
        <v>4.2220000000000004</v>
      </c>
      <c r="C34">
        <f t="shared" si="2"/>
        <v>4.2220000000000009E-3</v>
      </c>
      <c r="D34">
        <v>47.1</v>
      </c>
      <c r="E34">
        <v>53</v>
      </c>
      <c r="F34">
        <v>26</v>
      </c>
      <c r="G34">
        <f t="shared" si="3"/>
        <v>3206</v>
      </c>
      <c r="H34">
        <f t="shared" si="0"/>
        <v>7.96029296785415E-3</v>
      </c>
      <c r="I34">
        <f t="shared" si="6"/>
        <v>1.4702000000000003E-2</v>
      </c>
      <c r="J34">
        <f t="shared" si="7"/>
        <v>1.3609770053631984E-2</v>
      </c>
      <c r="K34">
        <f t="shared" si="8"/>
        <v>0.92570875075717463</v>
      </c>
      <c r="L34">
        <f t="shared" si="9"/>
        <v>1.1554079410381578E-3</v>
      </c>
      <c r="M34">
        <f t="shared" si="4"/>
        <v>2.5701768053021921E-4</v>
      </c>
      <c r="N34">
        <f t="shared" si="11"/>
        <v>209</v>
      </c>
      <c r="O34">
        <f t="shared" si="1"/>
        <v>3.8755879668682519E-3</v>
      </c>
      <c r="P34">
        <f t="shared" si="10"/>
        <v>-2.8722678229111225E-3</v>
      </c>
      <c r="Q34">
        <f t="shared" si="5"/>
        <v>4.2846934444794992E-3</v>
      </c>
    </row>
    <row r="35" spans="1:17" x14ac:dyDescent="0.2">
      <c r="A35">
        <v>40</v>
      </c>
      <c r="B35">
        <v>-10.568</v>
      </c>
      <c r="C35">
        <f t="shared" si="2"/>
        <v>-1.0567999999999999E-2</v>
      </c>
      <c r="D35">
        <v>52.4</v>
      </c>
      <c r="E35">
        <v>55</v>
      </c>
      <c r="F35">
        <v>9</v>
      </c>
      <c r="G35">
        <f t="shared" si="3"/>
        <v>3309</v>
      </c>
      <c r="H35">
        <f t="shared" si="0"/>
        <v>-5.6494770857778345E-3</v>
      </c>
      <c r="I35">
        <f t="shared" si="6"/>
        <v>-1.4790000000000001E-2</v>
      </c>
      <c r="J35">
        <f t="shared" si="7"/>
        <v>-1.3609770053631984E-2</v>
      </c>
      <c r="K35">
        <f t="shared" si="8"/>
        <v>0.92020081498525919</v>
      </c>
      <c r="L35">
        <f t="shared" si="9"/>
        <v>1.1554079410381578E-3</v>
      </c>
      <c r="M35">
        <f t="shared" si="4"/>
        <v>2.5701768053021921E-4</v>
      </c>
      <c r="N35">
        <f t="shared" si="11"/>
        <v>209</v>
      </c>
      <c r="O35">
        <f t="shared" si="1"/>
        <v>-9.7009032766138502E-3</v>
      </c>
      <c r="P35">
        <f t="shared" si="10"/>
        <v>-2.9126576548727991E-3</v>
      </c>
      <c r="Q35">
        <f t="shared" si="5"/>
        <v>4.3250832764411759E-3</v>
      </c>
    </row>
    <row r="36" spans="1:17" x14ac:dyDescent="0.2">
      <c r="A36">
        <v>41</v>
      </c>
      <c r="B36">
        <v>4.3620000000000001</v>
      </c>
      <c r="C36">
        <f t="shared" si="2"/>
        <v>4.3620000000000004E-3</v>
      </c>
      <c r="D36">
        <v>47.1</v>
      </c>
      <c r="E36">
        <v>56</v>
      </c>
      <c r="F36">
        <v>53</v>
      </c>
      <c r="G36">
        <f t="shared" si="3"/>
        <v>3413</v>
      </c>
      <c r="H36">
        <f t="shared" si="0"/>
        <v>7.96029296785415E-3</v>
      </c>
      <c r="I36">
        <f t="shared" si="6"/>
        <v>1.4929999999999999E-2</v>
      </c>
      <c r="J36">
        <f t="shared" si="7"/>
        <v>1.3609770053631984E-2</v>
      </c>
      <c r="K36">
        <f t="shared" si="8"/>
        <v>0.91157200627139889</v>
      </c>
      <c r="L36">
        <f t="shared" si="9"/>
        <v>1.1554079410381578E-3</v>
      </c>
      <c r="M36">
        <f t="shared" si="4"/>
        <v>2.5701768053021921E-4</v>
      </c>
      <c r="N36">
        <f t="shared" si="11"/>
        <v>207</v>
      </c>
      <c r="O36">
        <f t="shared" si="1"/>
        <v>4.0041010685644982E-3</v>
      </c>
      <c r="P36">
        <f t="shared" si="10"/>
        <v>-2.848401104024676E-3</v>
      </c>
      <c r="Q36">
        <f t="shared" si="5"/>
        <v>4.2608267255930532E-3</v>
      </c>
    </row>
    <row r="37" spans="1:17" x14ac:dyDescent="0.2">
      <c r="A37">
        <v>42</v>
      </c>
      <c r="B37">
        <v>-10.833</v>
      </c>
      <c r="C37">
        <f t="shared" si="2"/>
        <v>-1.0833000000000001E-2</v>
      </c>
      <c r="D37">
        <v>52.4</v>
      </c>
      <c r="E37">
        <v>58</v>
      </c>
      <c r="F37">
        <v>38</v>
      </c>
      <c r="G37">
        <f t="shared" si="3"/>
        <v>3518</v>
      </c>
      <c r="H37">
        <f t="shared" si="0"/>
        <v>-5.6494770857778345E-3</v>
      </c>
      <c r="I37">
        <f t="shared" si="6"/>
        <v>-1.5195E-2</v>
      </c>
      <c r="J37">
        <f t="shared" si="7"/>
        <v>-1.3609770053631984E-2</v>
      </c>
      <c r="K37">
        <f t="shared" si="8"/>
        <v>0.89567423847528693</v>
      </c>
      <c r="L37">
        <f t="shared" si="9"/>
        <v>1.1554079410381578E-3</v>
      </c>
      <c r="M37">
        <f t="shared" si="4"/>
        <v>2.5701768053021921E-4</v>
      </c>
      <c r="N37">
        <f t="shared" si="11"/>
        <v>209</v>
      </c>
      <c r="O37">
        <f t="shared" si="1"/>
        <v>-9.9441602191103189E-3</v>
      </c>
      <c r="P37">
        <f t="shared" si="10"/>
        <v>-2.9700295752729104E-3</v>
      </c>
      <c r="Q37">
        <f t="shared" si="5"/>
        <v>4.3824551968412876E-3</v>
      </c>
    </row>
    <row r="39" spans="1:17" x14ac:dyDescent="0.2">
      <c r="J39" t="s">
        <v>34</v>
      </c>
      <c r="K39">
        <f>AVERAGE(K3:K37)</f>
        <v>0.91795072640176478</v>
      </c>
      <c r="M39">
        <f>AVERAGE(M29:M37)</f>
        <v>2.5700747737089733E-4</v>
      </c>
      <c r="N39">
        <f>AVERAGE(N29:N37)</f>
        <v>208.33333333333334</v>
      </c>
      <c r="Q39">
        <f>AVERAGE(Q17:Q37)</f>
        <v>4.2545977742353257E-3</v>
      </c>
    </row>
    <row r="40" spans="1:17" x14ac:dyDescent="0.2">
      <c r="B40" t="s">
        <v>40</v>
      </c>
      <c r="C40">
        <v>50.2</v>
      </c>
      <c r="D40">
        <v>0.2</v>
      </c>
    </row>
    <row r="41" spans="1:17" x14ac:dyDescent="0.2">
      <c r="B41" t="s">
        <v>41</v>
      </c>
      <c r="C41">
        <v>194.7</v>
      </c>
      <c r="D41">
        <v>0.1</v>
      </c>
      <c r="G41" t="s">
        <v>13</v>
      </c>
    </row>
    <row r="42" spans="1:17" x14ac:dyDescent="0.2">
      <c r="B42" t="s">
        <v>46</v>
      </c>
      <c r="C42">
        <v>49.65</v>
      </c>
      <c r="D42">
        <v>0.2</v>
      </c>
    </row>
    <row r="43" spans="1:17" x14ac:dyDescent="0.2">
      <c r="B43" t="s">
        <v>47</v>
      </c>
      <c r="C43">
        <f>ATAN((s0-C42)/l)/2</f>
        <v>1.412425621568377E-3</v>
      </c>
    </row>
    <row r="47" spans="1:17" x14ac:dyDescent="0.2">
      <c r="E47" t="s">
        <v>16</v>
      </c>
      <c r="F47">
        <v>1.4629E-2</v>
      </c>
      <c r="G47">
        <v>7.9999999999999996E-6</v>
      </c>
      <c r="J47" t="s">
        <v>14</v>
      </c>
      <c r="K47" s="1">
        <f>(H56*K49*F51^2/(2*F47*F48*F50))</f>
        <v>6.490482531842835E-11</v>
      </c>
      <c r="L47" s="1">
        <f>(2*PI()/N39)^2*L49*F49*F51^2/(2*F47*F48*F50)</f>
        <v>1.2503932664022577E-10</v>
      </c>
    </row>
    <row r="48" spans="1:17" x14ac:dyDescent="0.2">
      <c r="E48" t="s">
        <v>17</v>
      </c>
      <c r="F48" s="4">
        <v>1.0372400000000002</v>
      </c>
      <c r="G48">
        <f>SQRT(1/4*(0.000025)^2)</f>
        <v>1.2500000000000001E-5</v>
      </c>
    </row>
    <row r="49" spans="5:12" x14ac:dyDescent="0.2">
      <c r="E49" t="s">
        <v>8</v>
      </c>
      <c r="F49" s="2">
        <v>1.4207714403314387E-4</v>
      </c>
      <c r="G49">
        <v>8.9847451725357016E-7</v>
      </c>
      <c r="J49" t="s">
        <v>58</v>
      </c>
      <c r="K49">
        <f>((1-x)*(H24-H25+H26-H27+H28-H29+H30-H31+H32-H33+H34-H35+H36)-H24+x*H36)/(12*(1+x))</f>
        <v>9.5036322625371527E-4</v>
      </c>
      <c r="L49">
        <f>((1-x)*(O24-O25+O26-O27+O28-O29+O30-O31+O32-O33+O34-O35+O36)-O24+x*O36)/(12*(1+x))</f>
        <v>9.4778516356443633E-4</v>
      </c>
    </row>
    <row r="50" spans="5:12" x14ac:dyDescent="0.2">
      <c r="E50" t="s">
        <v>5</v>
      </c>
      <c r="F50" s="1">
        <v>6.6530000000000006E-2</v>
      </c>
      <c r="G50" s="1">
        <v>3.7100000000000001E-5</v>
      </c>
    </row>
    <row r="51" spans="5:12" x14ac:dyDescent="0.2">
      <c r="E51" s="6" t="s">
        <v>27</v>
      </c>
      <c r="F51" s="7">
        <v>4.5400000000000003E-2</v>
      </c>
      <c r="G51" s="7">
        <v>2.9200000000000002E-5</v>
      </c>
    </row>
    <row r="52" spans="5:12" x14ac:dyDescent="0.2">
      <c r="K52" s="1">
        <f>K47/0.0000000000667</f>
        <v>0.97308583685799621</v>
      </c>
    </row>
    <row r="53" spans="5:12" x14ac:dyDescent="0.2">
      <c r="K53" s="1">
        <f>F51/SQRT(K52)</f>
        <v>4.6023567212938224E-2</v>
      </c>
    </row>
    <row r="56" spans="5:12" x14ac:dyDescent="0.2">
      <c r="H56" s="1">
        <f>PI()*157000000000*(0.000025)^4/(32*0.09)</f>
        <v>6.689860658279048E-8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Driven Osc 2</vt:lpstr>
      <vt:lpstr>Driven Osc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2017-10-17T22:56:06Z</dcterms:created>
  <dcterms:modified xsi:type="dcterms:W3CDTF">2017-11-01T00:13:11Z</dcterms:modified>
</cp:coreProperties>
</file>