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nn\Downloads\"/>
    </mc:Choice>
  </mc:AlternateContent>
  <xr:revisionPtr revIDLastSave="0" documentId="13_ncr:1_{B76133F3-A48D-4D07-8DBA-157A65F5AA23}" xr6:coauthVersionLast="43" xr6:coauthVersionMax="43" xr10:uidLastSave="{00000000-0000-0000-0000-000000000000}"/>
  <bookViews>
    <workbookView xWindow="-120" yWindow="-120" windowWidth="21840" windowHeight="13140" xr2:uid="{65CFB33C-F531-4F56-8BF3-543B900CC051}"/>
  </bookViews>
  <sheets>
    <sheet name="Instructions-READ FIRST" sheetId="11" r:id="rId1"/>
    <sheet name="ZBB-Student" sheetId="1" r:id="rId2"/>
    <sheet name="ZBB-Pro" sheetId="10" r:id="rId3"/>
    <sheet name="Major Value" sheetId="2" r:id="rId4"/>
    <sheet name="Cost of Financing" sheetId="3" r:id="rId5"/>
    <sheet name="Debt Calculator" sheetId="8" r:id="rId6"/>
    <sheet name="Major Pay" sheetId="7" state="hidden" r:id="rId7"/>
    <sheet name="Millionaire timeline" sheetId="5" r:id="rId8"/>
    <sheet name="University FCA" sheetId="6" state="hidden" r:id="rId9"/>
  </sheets>
  <definedNames>
    <definedName name="_xlnm._FilterDatabase" localSheetId="6" hidden="1">'Major Pay'!$A$5:$C$56</definedName>
    <definedName name="_xlnm._FilterDatabase" localSheetId="8" hidden="1">'University FCA'!$A$4:$D$58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5" l="1"/>
  <c r="C12" i="10"/>
  <c r="D12" i="10" s="1"/>
  <c r="C14" i="10"/>
  <c r="D14" i="10" s="1"/>
  <c r="C15" i="10"/>
  <c r="D15" i="10" s="1"/>
  <c r="D20" i="10"/>
  <c r="D17" i="10"/>
  <c r="D13" i="10"/>
  <c r="C11" i="10"/>
  <c r="D11" i="10" s="1"/>
  <c r="C10" i="10"/>
  <c r="D7" i="10"/>
  <c r="C7" i="10" s="1"/>
  <c r="D7" i="1"/>
  <c r="D10" i="1"/>
  <c r="E7" i="3"/>
  <c r="D7" i="3"/>
  <c r="F7" i="3" s="1"/>
  <c r="B13" i="3" s="1"/>
  <c r="C7" i="3"/>
  <c r="F13" i="3" l="1"/>
  <c r="E13" i="3"/>
  <c r="B11" i="3"/>
  <c r="B14" i="3"/>
  <c r="B12" i="3"/>
  <c r="B13" i="8"/>
  <c r="B14" i="8"/>
  <c r="B12" i="8"/>
  <c r="B11" i="8"/>
  <c r="C12" i="1"/>
  <c r="C11" i="1"/>
  <c r="C57" i="7"/>
  <c r="C7" i="2"/>
  <c r="B57" i="7"/>
  <c r="D6" i="1" l="1"/>
  <c r="C6" i="1" s="1"/>
  <c r="C19" i="1" s="1"/>
  <c r="D19" i="1" s="1"/>
  <c r="D6" i="10"/>
  <c r="F12" i="3"/>
  <c r="E12" i="3"/>
  <c r="E14" i="3"/>
  <c r="F14" i="3"/>
  <c r="F11" i="3"/>
  <c r="E11" i="3"/>
  <c r="E14" i="8"/>
  <c r="F14" i="8"/>
  <c r="E13" i="8"/>
  <c r="F13" i="8"/>
  <c r="F11" i="8"/>
  <c r="E11" i="8"/>
  <c r="C16" i="10" s="1"/>
  <c r="D16" i="10" s="1"/>
  <c r="F12" i="8"/>
  <c r="E12" i="8"/>
  <c r="C18" i="1"/>
  <c r="C10" i="1"/>
  <c r="B36" i="6"/>
  <c r="B40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7" i="6"/>
  <c r="B38" i="6"/>
  <c r="B39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D13" i="1"/>
  <c r="D12" i="1"/>
  <c r="D11" i="1"/>
  <c r="C6" i="10" l="1"/>
  <c r="C7" i="1"/>
  <c r="C19" i="10" l="1"/>
  <c r="D19" i="10" s="1"/>
  <c r="C18" i="10"/>
  <c r="C23" i="10" s="1"/>
  <c r="C24" i="10" s="1"/>
  <c r="C23" i="1"/>
  <c r="C24" i="1" s="1"/>
  <c r="D18" i="1"/>
  <c r="D18" i="10" l="1"/>
  <c r="C21" i="10"/>
  <c r="C22" i="10" s="1"/>
  <c r="C26" i="10" s="1"/>
  <c r="C16" i="1"/>
  <c r="D16" i="1" s="1"/>
  <c r="C14" i="1"/>
  <c r="D14" i="1" s="1"/>
  <c r="C20" i="1"/>
  <c r="D20" i="1" s="1"/>
  <c r="C15" i="1"/>
  <c r="D15" i="1" s="1"/>
  <c r="C17" i="1"/>
  <c r="D17" i="1" s="1"/>
  <c r="D23" i="1"/>
  <c r="D24" i="1" s="1"/>
  <c r="E7" i="2" l="1"/>
  <c r="C6" i="5" s="1"/>
  <c r="D14" i="5" s="1"/>
  <c r="D21" i="10"/>
  <c r="D22" i="10" s="1"/>
  <c r="D23" i="10"/>
  <c r="D24" i="10" s="1"/>
  <c r="D21" i="1"/>
  <c r="D22" i="1" s="1"/>
  <c r="D26" i="1" s="1"/>
  <c r="C21" i="1"/>
  <c r="C22" i="1" s="1"/>
  <c r="C26" i="1" s="1"/>
  <c r="D26" i="10" l="1"/>
  <c r="D7" i="2" s="1"/>
  <c r="C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tc={2218804C-3BB5-41A9-A897-0C166C738874}</author>
  </authors>
  <commentList>
    <comment ref="B7" authorId="0" shapeId="0" xr:uid="{2218804C-3BB5-41A9-A897-0C166C738874}">
      <text>
        <t>[Threaded comment]
Your version of Excel allows you to read this threaded comment; however, any edits to it will get removed if the file is opened in a newer version of Excel. Learn more: https://go.microsoft.com/fwlink/?linkid=870924
Comment:
    Have a career you want to include here? Reach out to me and I'll add it for you! 
Zain Nensey, CPA
znensey@nenseytax.com
813-951-3248</t>
      </text>
    </comment>
  </commentList>
</comments>
</file>

<file path=xl/sharedStrings.xml><?xml version="1.0" encoding="utf-8"?>
<sst xmlns="http://schemas.openxmlformats.org/spreadsheetml/2006/main" count="233" uniqueCount="187">
  <si>
    <t xml:space="preserve">Your Zero Based Budget </t>
  </si>
  <si>
    <t>Monthly</t>
  </si>
  <si>
    <t>Annual</t>
  </si>
  <si>
    <t>Expenses</t>
  </si>
  <si>
    <t>Utilities</t>
  </si>
  <si>
    <t>Rent/Mortgage</t>
  </si>
  <si>
    <t>Groceries</t>
  </si>
  <si>
    <t>Cell Phone</t>
  </si>
  <si>
    <t>University Full Cost of Attendance</t>
  </si>
  <si>
    <t>University</t>
  </si>
  <si>
    <t>FCA</t>
  </si>
  <si>
    <t>Tuition</t>
  </si>
  <si>
    <t>Residence Costs</t>
  </si>
  <si>
    <t>University of Florida</t>
  </si>
  <si>
    <t>Florida State University</t>
  </si>
  <si>
    <t>University of South Florida</t>
  </si>
  <si>
    <t>University of Central Florida</t>
  </si>
  <si>
    <t>Florida Gulf Coast</t>
  </si>
  <si>
    <t>Florida Atlantic</t>
  </si>
  <si>
    <t>Florida International</t>
  </si>
  <si>
    <t>University of Miami</t>
  </si>
  <si>
    <t>Harvard</t>
  </si>
  <si>
    <t>Yale</t>
  </si>
  <si>
    <t>Brown</t>
  </si>
  <si>
    <t>Princeton</t>
  </si>
  <si>
    <t>Dartmouth</t>
  </si>
  <si>
    <t>Cornell</t>
  </si>
  <si>
    <t>University of Pennsylvania</t>
  </si>
  <si>
    <t>Columbia</t>
  </si>
  <si>
    <t>University of Chicago</t>
  </si>
  <si>
    <t>Northwestern University</t>
  </si>
  <si>
    <t>Ohio State University</t>
  </si>
  <si>
    <t>University of Michigan</t>
  </si>
  <si>
    <t>University of Oklahoma</t>
  </si>
  <si>
    <t>University of Texas</t>
  </si>
  <si>
    <t xml:space="preserve">Texas A&amp;M </t>
  </si>
  <si>
    <t>University of Houston</t>
  </si>
  <si>
    <t xml:space="preserve">Rice University </t>
  </si>
  <si>
    <t>Entertainment</t>
  </si>
  <si>
    <t>Eating Out</t>
  </si>
  <si>
    <t>Student Loan Payments</t>
  </si>
  <si>
    <t>Net Cash Flow</t>
  </si>
  <si>
    <t>Arizona</t>
  </si>
  <si>
    <t>Arizona State</t>
  </si>
  <si>
    <t>Colorado</t>
  </si>
  <si>
    <t>Colorado State</t>
  </si>
  <si>
    <t>Stanford</t>
  </si>
  <si>
    <t>UCLA</t>
  </si>
  <si>
    <t>University of Southern California</t>
  </si>
  <si>
    <t>Cal-Berkley</t>
  </si>
  <si>
    <t>Oregon</t>
  </si>
  <si>
    <t>Washington</t>
  </si>
  <si>
    <t>Washington State</t>
  </si>
  <si>
    <t>Georgia</t>
  </si>
  <si>
    <t>Georgia Tech</t>
  </si>
  <si>
    <t>Emory</t>
  </si>
  <si>
    <t>University of South Carolina</t>
  </si>
  <si>
    <t>University of North Carolina</t>
  </si>
  <si>
    <t>Duke University</t>
  </si>
  <si>
    <t>Wake Forest University</t>
  </si>
  <si>
    <t>Notre Dame</t>
  </si>
  <si>
    <t>University of Pittsburgh</t>
  </si>
  <si>
    <t>University of Virginia</t>
  </si>
  <si>
    <t>Virginia Tech</t>
  </si>
  <si>
    <t>Georgetown</t>
  </si>
  <si>
    <t>George Washington</t>
  </si>
  <si>
    <t>Alabama</t>
  </si>
  <si>
    <t>Auburn</t>
  </si>
  <si>
    <t>New College of Florida</t>
  </si>
  <si>
    <t>University of Cincinnati</t>
  </si>
  <si>
    <t>Texas Tech</t>
  </si>
  <si>
    <t>Full Cost of Attendance</t>
  </si>
  <si>
    <t>Cost of Living</t>
  </si>
  <si>
    <t>Federal Student Loan Amount</t>
  </si>
  <si>
    <t>Salaries by Major</t>
  </si>
  <si>
    <t>Early Career Salary</t>
  </si>
  <si>
    <t>Median Career Salary</t>
  </si>
  <si>
    <t>Petroleum Engineering</t>
  </si>
  <si>
    <t>Major</t>
  </si>
  <si>
    <t>Actuarial Math</t>
  </si>
  <si>
    <t>Chemical Engineering</t>
  </si>
  <si>
    <t>Accounting</t>
  </si>
  <si>
    <t>Building Science</t>
  </si>
  <si>
    <t>Aeronautics</t>
  </si>
  <si>
    <t>Systems Engineering</t>
  </si>
  <si>
    <t>Business Analysis</t>
  </si>
  <si>
    <t>Economics</t>
  </si>
  <si>
    <t>Marine Engineering</t>
  </si>
  <si>
    <t>Electrical Power Engineering</t>
  </si>
  <si>
    <t>Nuclear Engineering</t>
  </si>
  <si>
    <t>Ocean Engineering</t>
  </si>
  <si>
    <t>Electrical &amp; Computer Engineering</t>
  </si>
  <si>
    <t>Engineering Physics</t>
  </si>
  <si>
    <t>Managerial Economics</t>
  </si>
  <si>
    <t>Computational &amp; Applied Math</t>
  </si>
  <si>
    <t>Business Logistics &amp; Transportation</t>
  </si>
  <si>
    <t>Information Management</t>
  </si>
  <si>
    <t>Control Engineering</t>
  </si>
  <si>
    <t>Mechanical &amp; Aeronautical Engineering</t>
  </si>
  <si>
    <t>Mining Engineering</t>
  </si>
  <si>
    <t>Computer Science</t>
  </si>
  <si>
    <t>Aerospace Engineering</t>
  </si>
  <si>
    <t>Computer &amp; Information Sciences</t>
  </si>
  <si>
    <t>Applied Math</t>
  </si>
  <si>
    <t>Operations Management &amp; Information Systems</t>
  </si>
  <si>
    <t>Electrical &amp; Electronics Engineering</t>
  </si>
  <si>
    <t>Plastics Engineering</t>
  </si>
  <si>
    <t>Industrial &amp; Systems Engineering</t>
  </si>
  <si>
    <t>Statistics</t>
  </si>
  <si>
    <t>Industrial Engineering</t>
  </si>
  <si>
    <t>Biomedical Engineering</t>
  </si>
  <si>
    <t>Accounting and Economics</t>
  </si>
  <si>
    <t>Software Engineering</t>
  </si>
  <si>
    <t>International Business Management</t>
  </si>
  <si>
    <t>Mechanical Engineering</t>
  </si>
  <si>
    <t>Bioengineering</t>
  </si>
  <si>
    <t>Computing &amp; Information Systems</t>
  </si>
  <si>
    <t>Materials Science &amp; Engineering</t>
  </si>
  <si>
    <t>Finance &amp; Real Estate</t>
  </si>
  <si>
    <t>International Business &amp; Finance</t>
  </si>
  <si>
    <t>Information &amp; Decision Sciences</t>
  </si>
  <si>
    <t>Information &amp; Computer Science</t>
  </si>
  <si>
    <t>MIS</t>
  </si>
  <si>
    <t>Agricultural &amp; Biological Engineering</t>
  </si>
  <si>
    <t>Financial Planning</t>
  </si>
  <si>
    <t>Management Science</t>
  </si>
  <si>
    <t>Sales &amp; Business Marketing</t>
  </si>
  <si>
    <t>Business Finance</t>
  </si>
  <si>
    <t>Education</t>
  </si>
  <si>
    <t>Lifetime Value of Your Major</t>
  </si>
  <si>
    <t>Salary</t>
  </si>
  <si>
    <t>Travel</t>
  </si>
  <si>
    <t>Taxes (25%)</t>
  </si>
  <si>
    <t>Total Expenses</t>
  </si>
  <si>
    <t>401k</t>
  </si>
  <si>
    <t>Wages</t>
  </si>
  <si>
    <t>Rate</t>
  </si>
  <si>
    <t>Years</t>
  </si>
  <si>
    <t>Monthly Payment</t>
  </si>
  <si>
    <t>Loan Amount</t>
  </si>
  <si>
    <t>Total Interest Paid</t>
  </si>
  <si>
    <t>Taxable Income</t>
  </si>
  <si>
    <t>Charity</t>
  </si>
  <si>
    <t>Annual Free Cash Flow</t>
  </si>
  <si>
    <t>Auto Expenses</t>
  </si>
  <si>
    <t>Your current age</t>
  </si>
  <si>
    <t>Your retirement age</t>
  </si>
  <si>
    <t>Expected Rate of Return</t>
  </si>
  <si>
    <t>Funds at retirement</t>
  </si>
  <si>
    <t>Monthly Cash Flow</t>
  </si>
  <si>
    <t>When will You Become a Millionaire?</t>
  </si>
  <si>
    <t>Cash Flow</t>
  </si>
  <si>
    <t>Your Current age</t>
  </si>
  <si>
    <t>Rate of Return</t>
  </si>
  <si>
    <t>Amount to save</t>
  </si>
  <si>
    <t>How Many Years?</t>
  </si>
  <si>
    <t>Current Debt</t>
  </si>
  <si>
    <t>College Student</t>
  </si>
  <si>
    <t>Student Loans</t>
  </si>
  <si>
    <t>Basic Cash Flow</t>
  </si>
  <si>
    <t>***Property of Nensey &amp; Associates CPAs. Please contact Zain Nensey, CPA, with questions, feedback, and recommendations***</t>
  </si>
  <si>
    <t>813-951-3248</t>
  </si>
  <si>
    <t>znensey@nenseytax.com</t>
  </si>
  <si>
    <t>The Dangers of Credit Card Debt</t>
  </si>
  <si>
    <t>Your Student Loan Debt</t>
  </si>
  <si>
    <t xml:space="preserve">University </t>
  </si>
  <si>
    <t>Amount of Debt</t>
  </si>
  <si>
    <t>Spreadsheet Instructions-Read these first!</t>
  </si>
  <si>
    <t xml:space="preserve">For Students: </t>
  </si>
  <si>
    <t xml:space="preserve">For Professionals: </t>
  </si>
  <si>
    <t xml:space="preserve">Start at the "Major Value" tab </t>
  </si>
  <si>
    <t>Then proceed to the "ZBB-Pro" Tab to set your budget</t>
  </si>
  <si>
    <t>Start at the "Cost of Financing" Tab</t>
  </si>
  <si>
    <t>Then move to the "ZBB-Student" Tab to set your budget.</t>
  </si>
  <si>
    <t>If you want to see the value of your intended career, set your major on the "Major Value" tab and then set your budget in ZBB-Pro</t>
  </si>
  <si>
    <t>This will allow you to set your profession first!</t>
  </si>
  <si>
    <t>Cost of Financing: This tab is meant to help college students</t>
  </si>
  <si>
    <t xml:space="preserve">estimate the cost of student loans on a monthly and </t>
  </si>
  <si>
    <t xml:space="preserve">annual basis. </t>
  </si>
  <si>
    <t xml:space="preserve">Debt Calculator: This calculates the cost of unsecured debts. </t>
  </si>
  <si>
    <t>It does not factor in secured loans for a home</t>
  </si>
  <si>
    <t xml:space="preserve">Millionaire Timeline: This, succintly said, will allow you to </t>
  </si>
  <si>
    <t>determine when you will become a millionaire!</t>
  </si>
  <si>
    <t>Questions/Feedback:</t>
  </si>
  <si>
    <t>Please contact Zain Nensey, CPA</t>
  </si>
  <si>
    <t>Phone: 813-951-3248</t>
  </si>
  <si>
    <t>Email: znensey@nenseytax.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</si>
</sst>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9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8" fontId="0" fillId="0" borderId="0" xfId="0" applyNumberFormat="1"/>
    <xf numFmtId="164" fontId="0" fillId="0" borderId="0" xfId="1" applyNumberFormat="1" applyFon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4" xfId="0" applyNumberFormat="1" applyBorder="1"/>
    <xf numFmtId="1" fontId="4" fillId="0" borderId="0" xfId="0" applyNumberFormat="1" applyFont="1"/>
    <xf numFmtId="0" fontId="5" fillId="0" borderId="0" xfId="2"/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left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ain Nensey" id="{28CF644D-DDDD-49AC-A215-075E7F2C8B04}" userId="5c4c8c534b04031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19-07-13T12:35:09.67" personId="{28CF644D-DDDD-49AC-A215-075E7F2C8B04}" id="{2218804C-3BB5-41A9-A897-0C166C738874}">
    <text>Have a career you want to include here? Reach out to me and I'll add it for you! 
Zain Nensey, CPA
znensey@nenseytax.com
813-951-3248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nensey@nenseytax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znensey@nenseytax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znensey@nenseytax.com" TargetMode="Externa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znensey@nenseytax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znensey@nenseytax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znensey@nenseyta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CE6F-A144-4D5E-9317-1788D3E7CC6F}">
  <dimension ref="A1:F30"/>
  <sheetViews>
    <sheetView tabSelected="1" workbookViewId="0">
      <selection activeCell="F7" sqref="F7"/>
    </sheetView>
  </sheetViews>
  <sheetFormatPr defaultRowHeight="15" x14ac:dyDescent="0.25"/>
  <sheetData>
    <row r="1" spans="1:6" x14ac:dyDescent="0.25">
      <c r="A1" s="18" t="s">
        <v>167</v>
      </c>
      <c r="B1" s="18"/>
      <c r="C1" s="18"/>
      <c r="D1" s="18"/>
      <c r="E1" s="18"/>
      <c r="F1" s="18"/>
    </row>
    <row r="2" spans="1:6" x14ac:dyDescent="0.25">
      <c r="A2" s="18"/>
      <c r="B2" s="18"/>
      <c r="C2" s="18"/>
      <c r="D2" s="18"/>
      <c r="E2" s="18"/>
      <c r="F2" s="18"/>
    </row>
    <row r="3" spans="1:6" x14ac:dyDescent="0.25">
      <c r="A3" s="18"/>
      <c r="B3" s="18"/>
      <c r="C3" s="18"/>
      <c r="D3" s="18"/>
      <c r="E3" s="18"/>
      <c r="F3" s="18"/>
    </row>
    <row r="6" spans="1:6" x14ac:dyDescent="0.25">
      <c r="A6" s="23" t="s">
        <v>168</v>
      </c>
      <c r="B6" s="23"/>
      <c r="C6" s="23"/>
      <c r="D6" s="23"/>
      <c r="E6" s="23"/>
      <c r="F6" s="23"/>
    </row>
    <row r="7" spans="1:6" x14ac:dyDescent="0.25">
      <c r="A7" s="23" t="s">
        <v>172</v>
      </c>
      <c r="B7" s="23"/>
      <c r="C7" s="23"/>
      <c r="D7" s="23"/>
      <c r="E7" s="23"/>
      <c r="F7" s="23"/>
    </row>
    <row r="8" spans="1:6" x14ac:dyDescent="0.25">
      <c r="A8" s="23" t="s">
        <v>173</v>
      </c>
      <c r="B8" s="23"/>
      <c r="C8" s="23"/>
      <c r="D8" s="23"/>
      <c r="E8" s="23"/>
      <c r="F8" s="23"/>
    </row>
    <row r="9" spans="1:6" ht="42" customHeight="1" x14ac:dyDescent="0.25">
      <c r="A9" s="24" t="s">
        <v>174</v>
      </c>
      <c r="B9" s="24"/>
      <c r="C9" s="24"/>
      <c r="D9" s="24"/>
      <c r="E9" s="24"/>
      <c r="F9" s="24"/>
    </row>
    <row r="12" spans="1:6" x14ac:dyDescent="0.25">
      <c r="A12" s="20" t="s">
        <v>169</v>
      </c>
      <c r="B12" s="20"/>
      <c r="C12" s="20"/>
      <c r="D12" s="20"/>
      <c r="E12" s="20"/>
      <c r="F12" s="20"/>
    </row>
    <row r="13" spans="1:6" x14ac:dyDescent="0.25">
      <c r="A13" s="20" t="s">
        <v>170</v>
      </c>
      <c r="B13" s="20"/>
      <c r="C13" s="20"/>
      <c r="D13" s="20"/>
      <c r="E13" s="20"/>
      <c r="F13" s="20"/>
    </row>
    <row r="14" spans="1:6" x14ac:dyDescent="0.25">
      <c r="A14" s="20" t="s">
        <v>175</v>
      </c>
      <c r="B14" s="20"/>
      <c r="C14" s="20"/>
      <c r="D14" s="20"/>
      <c r="E14" s="20"/>
      <c r="F14" s="20"/>
    </row>
    <row r="15" spans="1:6" x14ac:dyDescent="0.25">
      <c r="A15" s="20" t="s">
        <v>171</v>
      </c>
      <c r="B15" s="20"/>
      <c r="C15" s="20"/>
      <c r="D15" s="20"/>
      <c r="E15" s="20"/>
      <c r="F15" s="20"/>
    </row>
    <row r="17" spans="1:6" x14ac:dyDescent="0.25">
      <c r="A17" s="21" t="s">
        <v>176</v>
      </c>
      <c r="B17" s="21"/>
      <c r="C17" s="21"/>
      <c r="D17" s="21"/>
      <c r="E17" s="21"/>
      <c r="F17" s="21"/>
    </row>
    <row r="18" spans="1:6" x14ac:dyDescent="0.25">
      <c r="A18" s="21" t="s">
        <v>177</v>
      </c>
      <c r="B18" s="21"/>
      <c r="C18" s="21"/>
      <c r="D18" s="21"/>
      <c r="E18" s="21"/>
      <c r="F18" s="21"/>
    </row>
    <row r="19" spans="1:6" x14ac:dyDescent="0.25">
      <c r="A19" s="21" t="s">
        <v>178</v>
      </c>
      <c r="B19" s="21"/>
      <c r="C19" s="21"/>
      <c r="D19" s="21"/>
      <c r="E19" s="21"/>
      <c r="F19" s="21"/>
    </row>
    <row r="21" spans="1:6" x14ac:dyDescent="0.25">
      <c r="A21" s="22" t="s">
        <v>179</v>
      </c>
      <c r="B21" s="22"/>
      <c r="C21" s="22"/>
      <c r="D21" s="22"/>
      <c r="E21" s="22"/>
      <c r="F21" s="22"/>
    </row>
    <row r="22" spans="1:6" x14ac:dyDescent="0.25">
      <c r="A22" s="22" t="s">
        <v>180</v>
      </c>
      <c r="B22" s="22"/>
      <c r="C22" s="22"/>
      <c r="D22" s="22"/>
      <c r="E22" s="22"/>
      <c r="F22" s="22"/>
    </row>
    <row r="24" spans="1:6" x14ac:dyDescent="0.25">
      <c r="A24" s="19" t="s">
        <v>181</v>
      </c>
      <c r="B24" s="19"/>
      <c r="C24" s="19"/>
      <c r="D24" s="19"/>
      <c r="E24" s="19"/>
      <c r="F24" s="19"/>
    </row>
    <row r="25" spans="1:6" x14ac:dyDescent="0.25">
      <c r="A25" s="19" t="s">
        <v>182</v>
      </c>
      <c r="B25" s="19"/>
      <c r="C25" s="19"/>
      <c r="D25" s="19"/>
      <c r="E25" s="19"/>
      <c r="F25" s="19"/>
    </row>
    <row r="27" spans="1:6" x14ac:dyDescent="0.25">
      <c r="A27" t="s">
        <v>183</v>
      </c>
    </row>
    <row r="28" spans="1:6" x14ac:dyDescent="0.25">
      <c r="A28" t="s">
        <v>184</v>
      </c>
    </row>
    <row r="29" spans="1:6" x14ac:dyDescent="0.25">
      <c r="A29" t="s">
        <v>185</v>
      </c>
    </row>
    <row r="30" spans="1:6" x14ac:dyDescent="0.25">
      <c r="A30" t="s">
        <v>186</v>
      </c>
    </row>
  </sheetData>
  <mergeCells count="2">
    <mergeCell ref="A1:F3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B4DEB-5661-4F45-A37C-AB1AC237EF22}">
  <dimension ref="A1:D32"/>
  <sheetViews>
    <sheetView zoomScale="80" zoomScaleNormal="80" workbookViewId="0">
      <selection activeCell="F18" sqref="F18"/>
    </sheetView>
  </sheetViews>
  <sheetFormatPr defaultRowHeight="15" x14ac:dyDescent="0.25"/>
  <cols>
    <col min="1" max="1" width="22.140625" bestFit="1" customWidth="1"/>
    <col min="3" max="3" width="10.140625" bestFit="1" customWidth="1"/>
    <col min="4" max="4" width="11.140625" bestFit="1" customWidth="1"/>
  </cols>
  <sheetData>
    <row r="1" spans="1:4" x14ac:dyDescent="0.25">
      <c r="A1" s="14" t="s">
        <v>0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s="14"/>
      <c r="B3" s="14"/>
      <c r="C3" s="14"/>
      <c r="D3" s="14"/>
    </row>
    <row r="5" spans="1:4" x14ac:dyDescent="0.25">
      <c r="C5" t="s">
        <v>1</v>
      </c>
      <c r="D5" t="s">
        <v>2</v>
      </c>
    </row>
    <row r="6" spans="1:4" x14ac:dyDescent="0.25">
      <c r="A6" t="s">
        <v>135</v>
      </c>
      <c r="C6" s="1">
        <f>D6/12</f>
        <v>604.16666666666663</v>
      </c>
      <c r="D6" s="1">
        <f>'Major Value'!C7</f>
        <v>7250</v>
      </c>
    </row>
    <row r="7" spans="1:4" x14ac:dyDescent="0.25">
      <c r="A7" t="s">
        <v>158</v>
      </c>
      <c r="C7" s="1">
        <f>D7/12</f>
        <v>534.16666666666663</v>
      </c>
      <c r="D7" s="1">
        <f>IF('Major Value'!B7='Major Pay'!A57,'Cost of Financing'!F7/4,0)</f>
        <v>6410</v>
      </c>
    </row>
    <row r="8" spans="1:4" x14ac:dyDescent="0.25">
      <c r="C8" s="1"/>
      <c r="D8" s="1"/>
    </row>
    <row r="9" spans="1:4" x14ac:dyDescent="0.25">
      <c r="A9" t="s">
        <v>3</v>
      </c>
      <c r="C9" s="1"/>
      <c r="D9" s="1"/>
    </row>
    <row r="10" spans="1:4" x14ac:dyDescent="0.25">
      <c r="A10" t="s">
        <v>5</v>
      </c>
      <c r="C10" s="1">
        <f>D10/12</f>
        <v>967.5</v>
      </c>
      <c r="D10" s="1">
        <f>'Cost of Financing'!E7</f>
        <v>11610</v>
      </c>
    </row>
    <row r="11" spans="1:4" x14ac:dyDescent="0.25">
      <c r="A11" t="s">
        <v>4</v>
      </c>
      <c r="C11" s="1">
        <f>IF('Major Value'!B7='Major Pay'!A57,0,210)</f>
        <v>0</v>
      </c>
      <c r="D11" s="1">
        <f>C11*12</f>
        <v>0</v>
      </c>
    </row>
    <row r="12" spans="1:4" x14ac:dyDescent="0.25">
      <c r="A12" t="s">
        <v>6</v>
      </c>
      <c r="C12" s="1">
        <f>IF('Major Value'!B7='Major Pay'!A57,0,197)</f>
        <v>0</v>
      </c>
      <c r="D12" s="1">
        <f>C12*12</f>
        <v>0</v>
      </c>
    </row>
    <row r="13" spans="1:4" x14ac:dyDescent="0.25">
      <c r="A13" t="s">
        <v>7</v>
      </c>
      <c r="C13" s="1">
        <v>50</v>
      </c>
      <c r="D13" s="1">
        <f t="shared" ref="D13:D20" si="0">C13*12</f>
        <v>600</v>
      </c>
    </row>
    <row r="14" spans="1:4" x14ac:dyDescent="0.25">
      <c r="A14" t="s">
        <v>38</v>
      </c>
      <c r="C14" s="1">
        <f>IF('Major Value'!B7='Major Pay'!A57,0,'Debt Calculator'!E11)</f>
        <v>0</v>
      </c>
      <c r="D14" s="1">
        <f t="shared" si="0"/>
        <v>0</v>
      </c>
    </row>
    <row r="15" spans="1:4" x14ac:dyDescent="0.25">
      <c r="A15" t="s">
        <v>39</v>
      </c>
      <c r="C15" s="1">
        <f>IF('Major Value'!B7='Major Pay'!A57,0,'Debt Calculator'!E11)</f>
        <v>0</v>
      </c>
      <c r="D15" s="1">
        <f t="shared" si="0"/>
        <v>0</v>
      </c>
    </row>
    <row r="16" spans="1:4" x14ac:dyDescent="0.25">
      <c r="A16" t="s">
        <v>40</v>
      </c>
      <c r="C16" s="1">
        <f>IF('Major Value'!B7='Major Pay'!A57,0,'Debt Calculator'!E11)</f>
        <v>0</v>
      </c>
      <c r="D16" s="1">
        <f t="shared" si="0"/>
        <v>0</v>
      </c>
    </row>
    <row r="17" spans="1:4" x14ac:dyDescent="0.25">
      <c r="A17" t="s">
        <v>131</v>
      </c>
      <c r="C17" s="1">
        <f>IF('Major Value'!B7='Major Pay'!A57,0,'Debt Calculator'!E11)</f>
        <v>0</v>
      </c>
      <c r="D17" s="1">
        <f t="shared" si="0"/>
        <v>0</v>
      </c>
    </row>
    <row r="18" spans="1:4" x14ac:dyDescent="0.25">
      <c r="A18" t="s">
        <v>134</v>
      </c>
      <c r="C18" s="1">
        <f>IF('Major Value'!B7='Major Pay'!A57,0,C6*0.1)</f>
        <v>0</v>
      </c>
      <c r="D18" s="1">
        <f t="shared" si="0"/>
        <v>0</v>
      </c>
    </row>
    <row r="19" spans="1:4" x14ac:dyDescent="0.25">
      <c r="A19" t="s">
        <v>142</v>
      </c>
      <c r="C19" s="1">
        <f>IF('Major Value'!B7='Major Pay'!A57,0,C6*0.1)</f>
        <v>0</v>
      </c>
      <c r="D19" s="1">
        <f t="shared" si="0"/>
        <v>0</v>
      </c>
    </row>
    <row r="20" spans="1:4" x14ac:dyDescent="0.25">
      <c r="A20" t="s">
        <v>144</v>
      </c>
      <c r="C20" s="1">
        <f>IF('Major Value'!B7='Major Pay'!A57,0,'Debt Calculator'!E11)</f>
        <v>0</v>
      </c>
      <c r="D20" s="1">
        <f t="shared" si="0"/>
        <v>0</v>
      </c>
    </row>
    <row r="21" spans="1:4" x14ac:dyDescent="0.25">
      <c r="A21" s="6" t="s">
        <v>133</v>
      </c>
      <c r="B21" s="6"/>
      <c r="C21" s="7">
        <f>SUM(C10:C20)</f>
        <v>1017.5</v>
      </c>
      <c r="D21" s="7">
        <f>SUM(D10:D20)</f>
        <v>12210</v>
      </c>
    </row>
    <row r="22" spans="1:4" x14ac:dyDescent="0.25">
      <c r="A22" s="6" t="s">
        <v>159</v>
      </c>
      <c r="B22" s="6"/>
      <c r="C22" s="7">
        <f>C6+C7-C21</f>
        <v>120.83333333333326</v>
      </c>
      <c r="D22" s="7">
        <f>D6+D7-D21</f>
        <v>1450</v>
      </c>
    </row>
    <row r="23" spans="1:4" x14ac:dyDescent="0.25">
      <c r="A23" s="6" t="s">
        <v>141</v>
      </c>
      <c r="B23" s="6"/>
      <c r="C23" s="7">
        <f>C6-C18</f>
        <v>604.16666666666663</v>
      </c>
      <c r="D23" s="7">
        <f>D6-D18</f>
        <v>7250</v>
      </c>
    </row>
    <row r="24" spans="1:4" x14ac:dyDescent="0.25">
      <c r="A24" t="s">
        <v>132</v>
      </c>
      <c r="C24" s="1">
        <f>IF('Major Value'!B7='Major Pay'!A57,0,C23*0.25)</f>
        <v>0</v>
      </c>
      <c r="D24" s="1">
        <f>IF('Major Value'!B7='Major Pay'!A57,0,D23*0.25)</f>
        <v>0</v>
      </c>
    </row>
    <row r="25" spans="1:4" ht="15.75" thickBot="1" x14ac:dyDescent="0.3">
      <c r="C25" s="1"/>
      <c r="D25" s="1"/>
    </row>
    <row r="26" spans="1:4" ht="15.75" thickBot="1" x14ac:dyDescent="0.3">
      <c r="A26" s="8" t="s">
        <v>41</v>
      </c>
      <c r="B26" s="9"/>
      <c r="C26" s="10">
        <f>C22-C24</f>
        <v>120.83333333333326</v>
      </c>
      <c r="D26" s="11">
        <f>D22-D24</f>
        <v>1450</v>
      </c>
    </row>
    <row r="28" spans="1:4" x14ac:dyDescent="0.25">
      <c r="A28" s="15" t="s">
        <v>160</v>
      </c>
      <c r="B28" s="15"/>
      <c r="C28" s="15"/>
      <c r="D28" s="15"/>
    </row>
    <row r="29" spans="1:4" x14ac:dyDescent="0.25">
      <c r="A29" s="15"/>
      <c r="B29" s="15"/>
      <c r="C29" s="15"/>
      <c r="D29" s="15"/>
    </row>
    <row r="30" spans="1:4" x14ac:dyDescent="0.25">
      <c r="A30" s="15"/>
      <c r="B30" s="15"/>
      <c r="C30" s="15"/>
      <c r="D30" s="15"/>
    </row>
    <row r="31" spans="1:4" x14ac:dyDescent="0.25">
      <c r="A31" t="s">
        <v>161</v>
      </c>
    </row>
    <row r="32" spans="1:4" x14ac:dyDescent="0.25">
      <c r="A32" s="13" t="s">
        <v>162</v>
      </c>
    </row>
  </sheetData>
  <mergeCells count="2">
    <mergeCell ref="A1:D3"/>
    <mergeCell ref="A28:D30"/>
  </mergeCells>
  <hyperlinks>
    <hyperlink ref="A32" r:id="rId1" xr:uid="{41C2B5FE-8E7F-40A8-9F77-B6FB1A4A1762}"/>
  </hyperlink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9BAA9-A91F-4591-85A2-B8A9FD1CBC1A}">
  <dimension ref="A1:D32"/>
  <sheetViews>
    <sheetView workbookViewId="0">
      <selection activeCell="F17" sqref="F17"/>
    </sheetView>
  </sheetViews>
  <sheetFormatPr defaultRowHeight="15" x14ac:dyDescent="0.25"/>
  <cols>
    <col min="1" max="1" width="22.140625" bestFit="1" customWidth="1"/>
    <col min="3" max="3" width="10.140625" bestFit="1" customWidth="1"/>
    <col min="4" max="4" width="11.140625" bestFit="1" customWidth="1"/>
  </cols>
  <sheetData>
    <row r="1" spans="1:4" x14ac:dyDescent="0.25">
      <c r="A1" s="14" t="s">
        <v>0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s="14"/>
      <c r="B3" s="14"/>
      <c r="C3" s="14"/>
      <c r="D3" s="14"/>
    </row>
    <row r="5" spans="1:4" x14ac:dyDescent="0.25">
      <c r="C5" t="s">
        <v>1</v>
      </c>
      <c r="D5" t="s">
        <v>2</v>
      </c>
    </row>
    <row r="6" spans="1:4" x14ac:dyDescent="0.25">
      <c r="A6" t="s">
        <v>135</v>
      </c>
      <c r="C6" s="1">
        <f>D6/12</f>
        <v>604.16666666666663</v>
      </c>
      <c r="D6" s="1">
        <f>'Major Value'!C7</f>
        <v>7250</v>
      </c>
    </row>
    <row r="7" spans="1:4" x14ac:dyDescent="0.25">
      <c r="A7" t="s">
        <v>158</v>
      </c>
      <c r="C7" s="1">
        <f>D7/12</f>
        <v>534.16666666666663</v>
      </c>
      <c r="D7" s="1">
        <f>IF('Major Value'!B7='Major Pay'!A57,'Cost of Financing'!F7/4,0)</f>
        <v>6410</v>
      </c>
    </row>
    <row r="8" spans="1:4" x14ac:dyDescent="0.25">
      <c r="C8" s="1"/>
      <c r="D8" s="1"/>
    </row>
    <row r="9" spans="1:4" x14ac:dyDescent="0.25">
      <c r="A9" t="s">
        <v>3</v>
      </c>
      <c r="C9" s="1"/>
      <c r="D9" s="1"/>
    </row>
    <row r="10" spans="1:4" x14ac:dyDescent="0.25">
      <c r="A10" t="s">
        <v>5</v>
      </c>
      <c r="C10" s="1">
        <f>D10/12</f>
        <v>739.61</v>
      </c>
      <c r="D10" s="1">
        <v>8875.32</v>
      </c>
    </row>
    <row r="11" spans="1:4" x14ac:dyDescent="0.25">
      <c r="A11" t="s">
        <v>4</v>
      </c>
      <c r="C11" s="1">
        <f>IF('Major Value'!B7='Major Pay'!A57,0,210)</f>
        <v>0</v>
      </c>
      <c r="D11" s="1">
        <f>C11*12</f>
        <v>0</v>
      </c>
    </row>
    <row r="12" spans="1:4" x14ac:dyDescent="0.25">
      <c r="A12" t="s">
        <v>6</v>
      </c>
      <c r="C12" s="1">
        <f>IF('Major Value'!B7='Major Pay'!A57,0,200)</f>
        <v>0</v>
      </c>
      <c r="D12" s="1">
        <f>C12*12</f>
        <v>0</v>
      </c>
    </row>
    <row r="13" spans="1:4" x14ac:dyDescent="0.25">
      <c r="A13" t="s">
        <v>7</v>
      </c>
      <c r="C13" s="1">
        <v>50</v>
      </c>
      <c r="D13" s="1">
        <f t="shared" ref="D13:D20" si="0">C13*12</f>
        <v>600</v>
      </c>
    </row>
    <row r="14" spans="1:4" x14ac:dyDescent="0.25">
      <c r="A14" t="s">
        <v>38</v>
      </c>
      <c r="C14" s="1">
        <f>IF('Major Value'!B7='Major Pay'!A57,0,50)</f>
        <v>0</v>
      </c>
      <c r="D14" s="1">
        <f t="shared" si="0"/>
        <v>0</v>
      </c>
    </row>
    <row r="15" spans="1:4" x14ac:dyDescent="0.25">
      <c r="A15" t="s">
        <v>39</v>
      </c>
      <c r="C15" s="1">
        <f>IF('Major Value'!B7='Major Pay'!A57,0,200)</f>
        <v>0</v>
      </c>
      <c r="D15" s="1">
        <f t="shared" si="0"/>
        <v>0</v>
      </c>
    </row>
    <row r="16" spans="1:4" x14ac:dyDescent="0.25">
      <c r="A16" t="s">
        <v>40</v>
      </c>
      <c r="C16" s="1">
        <f>IF('Major Value'!B7='Major Pay'!A57,0,'Debt Calculator'!E11)</f>
        <v>0</v>
      </c>
      <c r="D16" s="1">
        <f t="shared" si="0"/>
        <v>0</v>
      </c>
    </row>
    <row r="17" spans="1:4" x14ac:dyDescent="0.25">
      <c r="A17" t="s">
        <v>131</v>
      </c>
      <c r="C17" s="1">
        <v>250</v>
      </c>
      <c r="D17" s="1">
        <f t="shared" si="0"/>
        <v>3000</v>
      </c>
    </row>
    <row r="18" spans="1:4" x14ac:dyDescent="0.25">
      <c r="A18" t="s">
        <v>134</v>
      </c>
      <c r="C18" s="1">
        <f>IF('Major Value'!B7='Major Pay'!A57,0,C6*0.1)</f>
        <v>0</v>
      </c>
      <c r="D18" s="1">
        <f t="shared" si="0"/>
        <v>0</v>
      </c>
    </row>
    <row r="19" spans="1:4" x14ac:dyDescent="0.25">
      <c r="A19" t="s">
        <v>142</v>
      </c>
      <c r="C19" s="1">
        <f>IF('Major Value'!B7='Major Pay'!A57,0,C6*0.1)</f>
        <v>0</v>
      </c>
      <c r="D19" s="1">
        <f t="shared" si="0"/>
        <v>0</v>
      </c>
    </row>
    <row r="20" spans="1:4" x14ac:dyDescent="0.25">
      <c r="A20" t="s">
        <v>144</v>
      </c>
      <c r="C20" s="1">
        <v>250</v>
      </c>
      <c r="D20" s="1">
        <f t="shared" si="0"/>
        <v>3000</v>
      </c>
    </row>
    <row r="21" spans="1:4" x14ac:dyDescent="0.25">
      <c r="A21" s="6" t="s">
        <v>133</v>
      </c>
      <c r="B21" s="6"/>
      <c r="C21" s="7">
        <f>SUM(C10:C20)</f>
        <v>1289.6100000000001</v>
      </c>
      <c r="D21" s="7">
        <f>SUM(D10:D20)</f>
        <v>15475.32</v>
      </c>
    </row>
    <row r="22" spans="1:4" x14ac:dyDescent="0.25">
      <c r="A22" s="6" t="s">
        <v>159</v>
      </c>
      <c r="B22" s="6"/>
      <c r="C22" s="7">
        <f>C6+C7-C21</f>
        <v>-151.27666666666687</v>
      </c>
      <c r="D22" s="7">
        <f>D6+D7-D21</f>
        <v>-1815.3199999999997</v>
      </c>
    </row>
    <row r="23" spans="1:4" x14ac:dyDescent="0.25">
      <c r="A23" s="6" t="s">
        <v>141</v>
      </c>
      <c r="B23" s="6"/>
      <c r="C23" s="7">
        <f>C6-C18</f>
        <v>604.16666666666663</v>
      </c>
      <c r="D23" s="7">
        <f>D6-D18</f>
        <v>7250</v>
      </c>
    </row>
    <row r="24" spans="1:4" x14ac:dyDescent="0.25">
      <c r="A24" t="s">
        <v>132</v>
      </c>
      <c r="C24" s="1">
        <f>IF('Major Value'!B7='Major Pay'!A57,0,C23*0.25)</f>
        <v>0</v>
      </c>
      <c r="D24" s="1">
        <f>IF('Major Value'!B7='Major Pay'!A57,0,D23*0.25)</f>
        <v>0</v>
      </c>
    </row>
    <row r="25" spans="1:4" ht="15.75" thickBot="1" x14ac:dyDescent="0.3">
      <c r="C25" s="1"/>
      <c r="D25" s="1"/>
    </row>
    <row r="26" spans="1:4" ht="15.75" thickBot="1" x14ac:dyDescent="0.3">
      <c r="A26" s="8" t="s">
        <v>41</v>
      </c>
      <c r="B26" s="9"/>
      <c r="C26" s="10">
        <f>C22-C24</f>
        <v>-151.27666666666687</v>
      </c>
      <c r="D26" s="11">
        <f>D22-D24</f>
        <v>-1815.3199999999997</v>
      </c>
    </row>
    <row r="28" spans="1:4" x14ac:dyDescent="0.25">
      <c r="A28" s="15" t="s">
        <v>160</v>
      </c>
      <c r="B28" s="15"/>
      <c r="C28" s="15"/>
      <c r="D28" s="15"/>
    </row>
    <row r="29" spans="1:4" x14ac:dyDescent="0.25">
      <c r="A29" s="15"/>
      <c r="B29" s="15"/>
      <c r="C29" s="15"/>
      <c r="D29" s="15"/>
    </row>
    <row r="30" spans="1:4" x14ac:dyDescent="0.25">
      <c r="A30" s="15"/>
      <c r="B30" s="15"/>
      <c r="C30" s="15"/>
      <c r="D30" s="15"/>
    </row>
    <row r="31" spans="1:4" x14ac:dyDescent="0.25">
      <c r="A31" t="s">
        <v>161</v>
      </c>
    </row>
    <row r="32" spans="1:4" x14ac:dyDescent="0.25">
      <c r="A32" s="13" t="s">
        <v>162</v>
      </c>
    </row>
  </sheetData>
  <mergeCells count="2">
    <mergeCell ref="A1:D3"/>
    <mergeCell ref="A28:D30"/>
  </mergeCells>
  <hyperlinks>
    <hyperlink ref="A32" r:id="rId1" xr:uid="{41B811B7-212B-47C1-A351-BB71220BF9F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324D-0930-4F65-95E9-66E071D56F95}">
  <dimension ref="B2:F18"/>
  <sheetViews>
    <sheetView workbookViewId="0">
      <selection activeCell="B23" sqref="B23"/>
    </sheetView>
  </sheetViews>
  <sheetFormatPr defaultRowHeight="15" x14ac:dyDescent="0.25"/>
  <cols>
    <col min="2" max="2" width="24.28515625" customWidth="1"/>
    <col min="3" max="3" width="15.28515625" bestFit="1" customWidth="1"/>
    <col min="4" max="4" width="21.42578125" bestFit="1" customWidth="1"/>
    <col min="5" max="5" width="18" bestFit="1" customWidth="1"/>
  </cols>
  <sheetData>
    <row r="2" spans="2:6" x14ac:dyDescent="0.25">
      <c r="B2" s="14" t="s">
        <v>129</v>
      </c>
      <c r="C2" s="14"/>
      <c r="D2" s="14"/>
      <c r="E2" s="14"/>
      <c r="F2" s="14"/>
    </row>
    <row r="3" spans="2:6" x14ac:dyDescent="0.25">
      <c r="B3" s="14"/>
      <c r="C3" s="14"/>
      <c r="D3" s="14"/>
      <c r="E3" s="14"/>
      <c r="F3" s="14"/>
    </row>
    <row r="4" spans="2:6" x14ac:dyDescent="0.25">
      <c r="B4" s="14"/>
      <c r="C4" s="14"/>
      <c r="D4" s="14"/>
      <c r="E4" s="14"/>
      <c r="F4" s="14"/>
    </row>
    <row r="6" spans="2:6" x14ac:dyDescent="0.25">
      <c r="B6" t="s">
        <v>78</v>
      </c>
      <c r="C6" t="s">
        <v>130</v>
      </c>
      <c r="D6" t="s">
        <v>143</v>
      </c>
      <c r="E6" t="s">
        <v>149</v>
      </c>
    </row>
    <row r="7" spans="2:6" x14ac:dyDescent="0.25">
      <c r="B7" t="s">
        <v>157</v>
      </c>
      <c r="C7" s="1">
        <f>INDEX('Major Pay'!C6:C57,MATCH(B7,'Major Pay'!A6:A57,0))</f>
        <v>7250</v>
      </c>
      <c r="D7" s="1">
        <f>'ZBB-Pro'!D26</f>
        <v>-1815.3199999999997</v>
      </c>
      <c r="E7" s="1">
        <f>'ZBB-Pro'!C26</f>
        <v>-151.27666666666687</v>
      </c>
    </row>
    <row r="9" spans="2:6" x14ac:dyDescent="0.25">
      <c r="B9" t="s">
        <v>145</v>
      </c>
      <c r="C9">
        <v>31</v>
      </c>
    </row>
    <row r="10" spans="2:6" x14ac:dyDescent="0.25">
      <c r="B10" t="s">
        <v>146</v>
      </c>
      <c r="C10">
        <v>65</v>
      </c>
    </row>
    <row r="11" spans="2:6" x14ac:dyDescent="0.25">
      <c r="B11" t="s">
        <v>147</v>
      </c>
      <c r="C11" s="3">
        <v>9.8000000000000004E-2</v>
      </c>
    </row>
    <row r="12" spans="2:6" x14ac:dyDescent="0.25">
      <c r="B12" t="s">
        <v>148</v>
      </c>
      <c r="C12" s="4">
        <f>-FV(C11/12,((C10-C9)*12),E7,,0)</f>
        <v>-493063.25490105618</v>
      </c>
    </row>
    <row r="13" spans="2:6" x14ac:dyDescent="0.25">
      <c r="C13" s="4"/>
    </row>
    <row r="14" spans="2:6" x14ac:dyDescent="0.25">
      <c r="B14" s="15" t="s">
        <v>160</v>
      </c>
      <c r="C14" s="15"/>
      <c r="D14" s="15"/>
      <c r="E14" s="15"/>
    </row>
    <row r="15" spans="2:6" x14ac:dyDescent="0.25">
      <c r="B15" s="15"/>
      <c r="C15" s="15"/>
      <c r="D15" s="15"/>
      <c r="E15" s="15"/>
    </row>
    <row r="16" spans="2:6" x14ac:dyDescent="0.25">
      <c r="B16" s="15"/>
      <c r="C16" s="15"/>
      <c r="D16" s="15"/>
      <c r="E16" s="15"/>
    </row>
    <row r="17" spans="2:2" x14ac:dyDescent="0.25">
      <c r="B17" t="s">
        <v>161</v>
      </c>
    </row>
    <row r="18" spans="2:2" x14ac:dyDescent="0.25">
      <c r="B18" s="13" t="s">
        <v>162</v>
      </c>
    </row>
  </sheetData>
  <mergeCells count="2">
    <mergeCell ref="B2:F4"/>
    <mergeCell ref="B14:E16"/>
  </mergeCells>
  <hyperlinks>
    <hyperlink ref="B18" r:id="rId1" xr:uid="{0AD7B5CE-5E64-46EE-8E80-28BB319F6C93}"/>
  </hyperlinks>
  <pageMargins left="0.7" right="0.7" top="0.75" bottom="0.75" header="0.3" footer="0.3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DBE88E-AF4B-41D6-8D4C-7962AAFC781E}">
          <x14:formula1>
            <xm:f>'Major Pay'!$A$6:$A$57</xm:f>
          </x14:formula1>
          <xm:sqref>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256A-A556-4F6E-9163-EBCD846F6F3A}">
  <dimension ref="B2:G21"/>
  <sheetViews>
    <sheetView workbookViewId="0">
      <selection activeCell="E9" sqref="E9"/>
    </sheetView>
  </sheetViews>
  <sheetFormatPr defaultRowHeight="15" x14ac:dyDescent="0.25"/>
  <cols>
    <col min="2" max="2" width="25" bestFit="1" customWidth="1"/>
    <col min="3" max="3" width="22" bestFit="1" customWidth="1"/>
    <col min="4" max="5" width="22" customWidth="1"/>
    <col min="6" max="6" width="32.140625" bestFit="1" customWidth="1"/>
  </cols>
  <sheetData>
    <row r="2" spans="2:7" x14ac:dyDescent="0.25">
      <c r="B2" s="14" t="s">
        <v>164</v>
      </c>
      <c r="C2" s="14"/>
      <c r="D2" s="14"/>
      <c r="E2" s="14"/>
      <c r="F2" s="14"/>
      <c r="G2" s="14"/>
    </row>
    <row r="3" spans="2:7" x14ac:dyDescent="0.25">
      <c r="B3" s="14"/>
      <c r="C3" s="14"/>
      <c r="D3" s="14"/>
      <c r="E3" s="14"/>
      <c r="F3" s="14"/>
      <c r="G3" s="14"/>
    </row>
    <row r="4" spans="2:7" x14ac:dyDescent="0.25">
      <c r="B4" s="14"/>
      <c r="C4" s="14"/>
      <c r="D4" s="14"/>
      <c r="E4" s="14"/>
      <c r="F4" s="14"/>
      <c r="G4" s="14"/>
    </row>
    <row r="6" spans="2:7" x14ac:dyDescent="0.25">
      <c r="B6" t="s">
        <v>165</v>
      </c>
      <c r="C6" t="s">
        <v>71</v>
      </c>
      <c r="D6" t="s">
        <v>11</v>
      </c>
      <c r="E6" t="s">
        <v>72</v>
      </c>
      <c r="F6" t="s">
        <v>73</v>
      </c>
    </row>
    <row r="7" spans="2:7" x14ac:dyDescent="0.25">
      <c r="B7" t="s">
        <v>15</v>
      </c>
      <c r="C7" s="1">
        <f>INDEX('University FCA'!B5:B58,MATCH(B7,'University FCA'!A5:A58,0))</f>
        <v>18020</v>
      </c>
      <c r="D7" s="1">
        <f>INDEX('University FCA'!C5:C58,MATCH(B7,'University FCA'!A5:A58,0))</f>
        <v>6410</v>
      </c>
      <c r="E7" s="1">
        <f>INDEX('University FCA'!D5:D58,MATCH(B7,'University FCA'!A5:A58,0))</f>
        <v>11610</v>
      </c>
      <c r="F7" s="1">
        <f>IF(57500&lt;D7*4,57500,D7*4)</f>
        <v>25640</v>
      </c>
    </row>
    <row r="10" spans="2:7" x14ac:dyDescent="0.25">
      <c r="B10" t="s">
        <v>139</v>
      </c>
      <c r="C10" t="s">
        <v>136</v>
      </c>
      <c r="D10" t="s">
        <v>137</v>
      </c>
      <c r="E10" t="s">
        <v>138</v>
      </c>
      <c r="F10" t="s">
        <v>140</v>
      </c>
    </row>
    <row r="11" spans="2:7" x14ac:dyDescent="0.25">
      <c r="B11" s="1">
        <f>F7</f>
        <v>25640</v>
      </c>
      <c r="C11" s="3">
        <v>4.53E-2</v>
      </c>
      <c r="D11">
        <v>10</v>
      </c>
      <c r="E11" s="4">
        <f>-PMT(C11/12,D11*12,B11,0,1)</f>
        <v>265.09907500609842</v>
      </c>
      <c r="F11" s="5">
        <f>-CUMIPMT(C11/12,D11*12,B11,1,120,1)</f>
        <v>6171.8890007318114</v>
      </c>
    </row>
    <row r="12" spans="2:7" x14ac:dyDescent="0.25">
      <c r="B12" s="1">
        <f>F7</f>
        <v>25640</v>
      </c>
      <c r="C12" s="3">
        <v>4.53E-2</v>
      </c>
      <c r="D12">
        <v>15</v>
      </c>
      <c r="E12" s="4">
        <f>-PMT(C12/12,D12*12,B12,0,1)</f>
        <v>195.79848688482619</v>
      </c>
      <c r="F12" s="5">
        <f>-CUMIPMT(C12/12,D12*12,B12,1,180,1)</f>
        <v>9603.727639268709</v>
      </c>
    </row>
    <row r="13" spans="2:7" x14ac:dyDescent="0.25">
      <c r="B13" s="1">
        <f>F7</f>
        <v>25640</v>
      </c>
      <c r="C13" s="3">
        <v>4.53E-2</v>
      </c>
      <c r="D13">
        <v>20</v>
      </c>
      <c r="E13" s="4">
        <f>-PMT(C13/12,D13*12,B13,0,1)</f>
        <v>162.01519543738146</v>
      </c>
      <c r="F13" s="5">
        <f>-CUMIPMT(C13/12,D13*12,B13,1,240,1)</f>
        <v>13243.646904971552</v>
      </c>
    </row>
    <row r="14" spans="2:7" x14ac:dyDescent="0.25">
      <c r="B14" s="1">
        <f>F7</f>
        <v>25640</v>
      </c>
      <c r="C14" s="3">
        <v>4.53E-2</v>
      </c>
      <c r="D14">
        <v>25</v>
      </c>
      <c r="E14" s="4">
        <f>-PMT(C14/12,D14*12,B14,0,1)</f>
        <v>142.41478323943684</v>
      </c>
      <c r="F14" s="5">
        <f>-CUMIPMT(C14/12,D14*12,B14,1,300,1)</f>
        <v>17084.434971831055</v>
      </c>
    </row>
    <row r="17" spans="2:5" x14ac:dyDescent="0.25">
      <c r="B17" s="15" t="s">
        <v>160</v>
      </c>
      <c r="C17" s="15"/>
      <c r="D17" s="15"/>
      <c r="E17" s="15"/>
    </row>
    <row r="18" spans="2:5" x14ac:dyDescent="0.25">
      <c r="B18" s="15"/>
      <c r="C18" s="15"/>
      <c r="D18" s="15"/>
      <c r="E18" s="15"/>
    </row>
    <row r="19" spans="2:5" x14ac:dyDescent="0.25">
      <c r="B19" s="15"/>
      <c r="C19" s="15"/>
      <c r="D19" s="15"/>
      <c r="E19" s="15"/>
    </row>
    <row r="20" spans="2:5" x14ac:dyDescent="0.25">
      <c r="B20" t="s">
        <v>161</v>
      </c>
    </row>
    <row r="21" spans="2:5" x14ac:dyDescent="0.25">
      <c r="B21" s="13" t="s">
        <v>162</v>
      </c>
    </row>
  </sheetData>
  <mergeCells count="2">
    <mergeCell ref="B2:G4"/>
    <mergeCell ref="B17:E19"/>
  </mergeCells>
  <hyperlinks>
    <hyperlink ref="B21" r:id="rId1" xr:uid="{87AC7833-1973-42C3-A412-5C157169D17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482BEA-BDBD-44D0-9C44-F3E7902C8563}">
          <x14:formula1>
            <xm:f>'University FCA'!$A$5:$A$58</xm:f>
          </x14:formula1>
          <xm:sqref>B7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A2DDD-AB13-42D4-8D9D-3FF775E98571}">
  <dimension ref="B2:G21"/>
  <sheetViews>
    <sheetView workbookViewId="0">
      <selection activeCell="E11" sqref="E11"/>
    </sheetView>
  </sheetViews>
  <sheetFormatPr defaultRowHeight="15" x14ac:dyDescent="0.25"/>
  <cols>
    <col min="2" max="2" width="25" bestFit="1" customWidth="1"/>
    <col min="3" max="3" width="22" bestFit="1" customWidth="1"/>
    <col min="4" max="5" width="22" customWidth="1"/>
    <col min="6" max="6" width="32.140625" bestFit="1" customWidth="1"/>
  </cols>
  <sheetData>
    <row r="2" spans="2:7" x14ac:dyDescent="0.25">
      <c r="B2" s="14" t="s">
        <v>163</v>
      </c>
      <c r="C2" s="14"/>
      <c r="D2" s="14"/>
      <c r="E2" s="14"/>
      <c r="F2" s="14"/>
      <c r="G2" s="14"/>
    </row>
    <row r="3" spans="2:7" x14ac:dyDescent="0.25">
      <c r="B3" s="14"/>
      <c r="C3" s="14"/>
      <c r="D3" s="14"/>
      <c r="E3" s="14"/>
      <c r="F3" s="14"/>
      <c r="G3" s="14"/>
    </row>
    <row r="4" spans="2:7" x14ac:dyDescent="0.25">
      <c r="B4" s="14"/>
      <c r="C4" s="14"/>
      <c r="D4" s="14"/>
      <c r="E4" s="14"/>
      <c r="F4" s="14"/>
      <c r="G4" s="14"/>
    </row>
    <row r="6" spans="2:7" x14ac:dyDescent="0.25">
      <c r="D6" t="s">
        <v>166</v>
      </c>
    </row>
    <row r="7" spans="2:7" x14ac:dyDescent="0.25">
      <c r="C7" s="1"/>
      <c r="D7" s="1">
        <v>20000</v>
      </c>
      <c r="E7" s="1"/>
    </row>
    <row r="10" spans="2:7" x14ac:dyDescent="0.25">
      <c r="B10" t="s">
        <v>166</v>
      </c>
      <c r="C10" t="s">
        <v>136</v>
      </c>
      <c r="D10" t="s">
        <v>137</v>
      </c>
      <c r="E10" t="s">
        <v>138</v>
      </c>
      <c r="F10" t="s">
        <v>140</v>
      </c>
    </row>
    <row r="11" spans="2:7" x14ac:dyDescent="0.25">
      <c r="B11" s="1">
        <f>D7</f>
        <v>20000</v>
      </c>
      <c r="C11" s="3">
        <v>0.1149</v>
      </c>
      <c r="D11">
        <v>10</v>
      </c>
      <c r="E11" s="4">
        <f>-PMT(C11/12,D11*12,B11,0,1)</f>
        <v>278.41069648506334</v>
      </c>
      <c r="F11" s="5">
        <f>-CUMIPMT(C11/12,D11*12,B11,1,120,1)</f>
        <v>13409.283578207596</v>
      </c>
    </row>
    <row r="12" spans="2:7" x14ac:dyDescent="0.25">
      <c r="B12" s="1">
        <f>D7</f>
        <v>20000</v>
      </c>
      <c r="C12" s="3">
        <v>0.15490000000000001</v>
      </c>
      <c r="D12">
        <v>15</v>
      </c>
      <c r="E12" s="4">
        <f>-PMT(C12/12,D12*12,B12,0,1)</f>
        <v>283.00670154132473</v>
      </c>
      <c r="F12" s="5">
        <f>-CUMIPMT(C12/12,D12*12,B12,1,180,1)</f>
        <v>30941.20627743845</v>
      </c>
    </row>
    <row r="13" spans="2:7" x14ac:dyDescent="0.25">
      <c r="B13" s="1">
        <f>D7</f>
        <v>20000</v>
      </c>
      <c r="C13" s="3">
        <v>0.1749</v>
      </c>
      <c r="D13">
        <v>20</v>
      </c>
      <c r="E13" s="4">
        <f>-PMT(C13/12,D13*12,B13,0,1)</f>
        <v>296.51367753234996</v>
      </c>
      <c r="F13" s="5">
        <f>-CUMIPMT(C13/12,D13*12,B13,1,240,1)</f>
        <v>51163.282607763991</v>
      </c>
    </row>
    <row r="14" spans="2:7" x14ac:dyDescent="0.25">
      <c r="B14" s="1">
        <f>D7</f>
        <v>20000</v>
      </c>
      <c r="C14" s="3">
        <v>0.19489999999999999</v>
      </c>
      <c r="D14">
        <v>25</v>
      </c>
      <c r="E14" s="4">
        <f>-PMT(C14/12,D14*12,B14,0,1)</f>
        <v>322.20650883747879</v>
      </c>
      <c r="F14" s="5">
        <f>-CUMIPMT(C14/12,D14*12,B14,1,300,1)</f>
        <v>76661.952651243642</v>
      </c>
    </row>
    <row r="17" spans="2:5" x14ac:dyDescent="0.25">
      <c r="B17" s="15" t="s">
        <v>160</v>
      </c>
      <c r="C17" s="15"/>
      <c r="D17" s="15"/>
      <c r="E17" s="15"/>
    </row>
    <row r="18" spans="2:5" x14ac:dyDescent="0.25">
      <c r="B18" s="15"/>
      <c r="C18" s="15"/>
      <c r="D18" s="15"/>
      <c r="E18" s="15"/>
    </row>
    <row r="19" spans="2:5" x14ac:dyDescent="0.25">
      <c r="B19" s="15"/>
      <c r="C19" s="15"/>
      <c r="D19" s="15"/>
      <c r="E19" s="15"/>
    </row>
    <row r="20" spans="2:5" x14ac:dyDescent="0.25">
      <c r="B20" t="s">
        <v>161</v>
      </c>
    </row>
    <row r="21" spans="2:5" x14ac:dyDescent="0.25">
      <c r="B21" s="13" t="s">
        <v>162</v>
      </c>
    </row>
  </sheetData>
  <mergeCells count="2">
    <mergeCell ref="B2:G4"/>
    <mergeCell ref="B17:E19"/>
  </mergeCells>
  <hyperlinks>
    <hyperlink ref="B21" r:id="rId1" xr:uid="{7AB9518B-3864-492D-886B-FB44A3F33D2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C5F49E-9841-43A2-9F73-842DFF149995}">
          <x14:formula1>
            <xm:f>'University FCA'!$A$5:$A$58</xm:f>
          </x14:formula1>
          <xm:sqref>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364C9-A866-42BB-87D4-BEBF13597827}">
  <dimension ref="A1:D95"/>
  <sheetViews>
    <sheetView topLeftCell="A48" workbookViewId="0">
      <selection activeCell="C58" sqref="C58"/>
    </sheetView>
  </sheetViews>
  <sheetFormatPr defaultRowHeight="15" x14ac:dyDescent="0.25"/>
  <cols>
    <col min="1" max="1" width="31.85546875" bestFit="1" customWidth="1"/>
    <col min="2" max="2" width="17.5703125" bestFit="1" customWidth="1"/>
    <col min="3" max="3" width="20" bestFit="1" customWidth="1"/>
  </cols>
  <sheetData>
    <row r="1" spans="1:4" x14ac:dyDescent="0.25">
      <c r="A1" s="16" t="s">
        <v>74</v>
      </c>
      <c r="B1" s="16"/>
      <c r="C1" s="16"/>
      <c r="D1" s="16"/>
    </row>
    <row r="2" spans="1:4" x14ac:dyDescent="0.25">
      <c r="A2" s="16"/>
      <c r="B2" s="16"/>
      <c r="C2" s="16"/>
      <c r="D2" s="16"/>
    </row>
    <row r="3" spans="1:4" x14ac:dyDescent="0.25">
      <c r="A3" s="16"/>
      <c r="B3" s="16"/>
      <c r="C3" s="16"/>
      <c r="D3" s="16"/>
    </row>
    <row r="5" spans="1:4" x14ac:dyDescent="0.25">
      <c r="A5" t="s">
        <v>78</v>
      </c>
      <c r="B5" t="s">
        <v>75</v>
      </c>
      <c r="C5" t="s">
        <v>76</v>
      </c>
    </row>
    <row r="6" spans="1:4" x14ac:dyDescent="0.25">
      <c r="A6" s="2" t="s">
        <v>81</v>
      </c>
      <c r="B6" s="1">
        <v>60700</v>
      </c>
      <c r="C6" s="1">
        <v>73614</v>
      </c>
    </row>
    <row r="7" spans="1:4" x14ac:dyDescent="0.25">
      <c r="A7" s="2" t="s">
        <v>111</v>
      </c>
      <c r="B7" s="1">
        <v>61200</v>
      </c>
      <c r="C7" s="1">
        <v>110100</v>
      </c>
    </row>
    <row r="8" spans="1:4" x14ac:dyDescent="0.25">
      <c r="A8" s="2" t="s">
        <v>79</v>
      </c>
      <c r="B8" s="1">
        <v>54700</v>
      </c>
      <c r="C8" s="1">
        <v>158100</v>
      </c>
    </row>
    <row r="9" spans="1:4" x14ac:dyDescent="0.25">
      <c r="A9" s="2" t="s">
        <v>83</v>
      </c>
      <c r="B9" s="1">
        <v>71400</v>
      </c>
      <c r="C9" s="1">
        <v>133300</v>
      </c>
    </row>
    <row r="10" spans="1:4" x14ac:dyDescent="0.25">
      <c r="A10" s="2" t="s">
        <v>101</v>
      </c>
      <c r="B10" s="1">
        <v>68700</v>
      </c>
      <c r="C10" s="1">
        <v>113100</v>
      </c>
    </row>
    <row r="11" spans="1:4" ht="30" x14ac:dyDescent="0.25">
      <c r="A11" s="2" t="s">
        <v>123</v>
      </c>
      <c r="B11" s="1">
        <v>56000</v>
      </c>
      <c r="C11" s="1">
        <v>102100</v>
      </c>
    </row>
    <row r="12" spans="1:4" x14ac:dyDescent="0.25">
      <c r="A12" s="2" t="s">
        <v>103</v>
      </c>
      <c r="B12" s="1">
        <v>61700</v>
      </c>
      <c r="C12" s="1">
        <v>113000</v>
      </c>
    </row>
    <row r="13" spans="1:4" x14ac:dyDescent="0.25">
      <c r="A13" s="2" t="s">
        <v>115</v>
      </c>
      <c r="B13" s="1">
        <v>65400</v>
      </c>
      <c r="C13" s="1">
        <v>107000</v>
      </c>
    </row>
    <row r="14" spans="1:4" x14ac:dyDescent="0.25">
      <c r="A14" s="2" t="s">
        <v>110</v>
      </c>
      <c r="B14" s="1">
        <v>66000</v>
      </c>
      <c r="C14" s="1">
        <v>110300</v>
      </c>
    </row>
    <row r="15" spans="1:4" x14ac:dyDescent="0.25">
      <c r="A15" s="2" t="s">
        <v>82</v>
      </c>
      <c r="B15" s="1">
        <v>50700</v>
      </c>
      <c r="C15" s="1">
        <v>135000</v>
      </c>
    </row>
    <row r="16" spans="1:4" x14ac:dyDescent="0.25">
      <c r="A16" s="2" t="s">
        <v>85</v>
      </c>
      <c r="B16" s="1">
        <v>53400</v>
      </c>
      <c r="C16" s="1">
        <v>129800</v>
      </c>
    </row>
    <row r="17" spans="1:3" x14ac:dyDescent="0.25">
      <c r="A17" s="2" t="s">
        <v>127</v>
      </c>
      <c r="B17" s="1">
        <v>54000</v>
      </c>
      <c r="C17" s="1">
        <v>99300</v>
      </c>
    </row>
    <row r="18" spans="1:3" ht="30" x14ac:dyDescent="0.25">
      <c r="A18" s="2" t="s">
        <v>95</v>
      </c>
      <c r="B18" s="1">
        <v>53300</v>
      </c>
      <c r="C18" s="1">
        <v>117000</v>
      </c>
    </row>
    <row r="19" spans="1:3" x14ac:dyDescent="0.25">
      <c r="A19" s="2" t="s">
        <v>80</v>
      </c>
      <c r="B19" s="1">
        <v>71800</v>
      </c>
      <c r="C19" s="1">
        <v>126900</v>
      </c>
    </row>
    <row r="20" spans="1:3" x14ac:dyDescent="0.25">
      <c r="A20" s="2" t="s">
        <v>94</v>
      </c>
      <c r="B20" s="1">
        <v>65200</v>
      </c>
      <c r="C20" s="1">
        <v>117300</v>
      </c>
    </row>
    <row r="21" spans="1:3" x14ac:dyDescent="0.25">
      <c r="A21" s="2" t="s">
        <v>102</v>
      </c>
      <c r="B21" s="1">
        <v>58600</v>
      </c>
      <c r="C21" s="1">
        <v>113100</v>
      </c>
    </row>
    <row r="22" spans="1:3" x14ac:dyDescent="0.25">
      <c r="A22" s="2" t="s">
        <v>100</v>
      </c>
      <c r="B22" s="1">
        <v>68800</v>
      </c>
      <c r="C22" s="1">
        <v>113900</v>
      </c>
    </row>
    <row r="23" spans="1:3" ht="30" x14ac:dyDescent="0.25">
      <c r="A23" s="2" t="s">
        <v>116</v>
      </c>
      <c r="B23" s="1">
        <v>49300</v>
      </c>
      <c r="C23" s="1">
        <v>106600</v>
      </c>
    </row>
    <row r="24" spans="1:3" x14ac:dyDescent="0.25">
      <c r="A24" s="2" t="s">
        <v>97</v>
      </c>
      <c r="B24" s="1">
        <v>68500</v>
      </c>
      <c r="C24" s="1">
        <v>115300</v>
      </c>
    </row>
    <row r="25" spans="1:3" x14ac:dyDescent="0.25">
      <c r="A25" s="2" t="s">
        <v>86</v>
      </c>
      <c r="B25" s="1">
        <v>63200</v>
      </c>
      <c r="C25" s="1">
        <v>126900</v>
      </c>
    </row>
    <row r="26" spans="1:3" x14ac:dyDescent="0.25">
      <c r="A26" s="2" t="s">
        <v>128</v>
      </c>
      <c r="B26" s="1">
        <v>35000</v>
      </c>
      <c r="C26" s="1">
        <v>45125</v>
      </c>
    </row>
    <row r="27" spans="1:3" x14ac:dyDescent="0.25">
      <c r="A27" s="2" t="s">
        <v>91</v>
      </c>
      <c r="B27" s="1">
        <v>71100</v>
      </c>
      <c r="C27" s="1">
        <v>120400</v>
      </c>
    </row>
    <row r="28" spans="1:3" ht="30" x14ac:dyDescent="0.25">
      <c r="A28" s="2" t="s">
        <v>105</v>
      </c>
      <c r="B28" s="1">
        <v>69200</v>
      </c>
      <c r="C28" s="1">
        <v>112000</v>
      </c>
    </row>
    <row r="29" spans="1:3" x14ac:dyDescent="0.25">
      <c r="A29" s="2" t="s">
        <v>88</v>
      </c>
      <c r="B29" s="1">
        <v>71300</v>
      </c>
      <c r="C29" s="1">
        <v>122300</v>
      </c>
    </row>
    <row r="30" spans="1:3" x14ac:dyDescent="0.25">
      <c r="A30" s="2" t="s">
        <v>92</v>
      </c>
      <c r="B30" s="1">
        <v>65400</v>
      </c>
      <c r="C30" s="1">
        <v>119100</v>
      </c>
    </row>
    <row r="31" spans="1:3" x14ac:dyDescent="0.25">
      <c r="A31" s="2" t="s">
        <v>118</v>
      </c>
      <c r="B31" s="1">
        <v>57600</v>
      </c>
      <c r="C31" s="1">
        <v>106300</v>
      </c>
    </row>
    <row r="32" spans="1:3" x14ac:dyDescent="0.25">
      <c r="A32" s="2" t="s">
        <v>124</v>
      </c>
      <c r="B32" s="1">
        <v>50000</v>
      </c>
      <c r="C32" s="1">
        <v>102000</v>
      </c>
    </row>
    <row r="33" spans="1:3" x14ac:dyDescent="0.25">
      <c r="A33" s="2" t="s">
        <v>107</v>
      </c>
      <c r="B33" s="1">
        <v>67600</v>
      </c>
      <c r="C33" s="1">
        <v>111900</v>
      </c>
    </row>
    <row r="34" spans="1:3" x14ac:dyDescent="0.25">
      <c r="A34" s="2" t="s">
        <v>109</v>
      </c>
      <c r="B34" s="1">
        <v>66400</v>
      </c>
      <c r="C34" s="1">
        <v>111300</v>
      </c>
    </row>
    <row r="35" spans="1:3" x14ac:dyDescent="0.25">
      <c r="A35" s="2" t="s">
        <v>121</v>
      </c>
      <c r="B35" s="1">
        <v>8100</v>
      </c>
      <c r="C35" s="1">
        <v>104600</v>
      </c>
    </row>
    <row r="36" spans="1:3" x14ac:dyDescent="0.25">
      <c r="A36" s="2" t="s">
        <v>120</v>
      </c>
      <c r="B36" s="1">
        <v>55600</v>
      </c>
      <c r="C36" s="1">
        <v>105400</v>
      </c>
    </row>
    <row r="37" spans="1:3" x14ac:dyDescent="0.25">
      <c r="A37" s="2" t="s">
        <v>96</v>
      </c>
      <c r="B37" s="1">
        <v>59600</v>
      </c>
      <c r="C37" s="1">
        <v>116800</v>
      </c>
    </row>
    <row r="38" spans="1:3" x14ac:dyDescent="0.25">
      <c r="A38" s="2" t="s">
        <v>119</v>
      </c>
      <c r="B38" s="1">
        <v>57200</v>
      </c>
      <c r="C38" s="1">
        <v>105900</v>
      </c>
    </row>
    <row r="39" spans="1:3" ht="30" x14ac:dyDescent="0.25">
      <c r="A39" s="2" t="s">
        <v>113</v>
      </c>
      <c r="B39" s="1">
        <v>53200</v>
      </c>
      <c r="C39" s="1">
        <v>109000</v>
      </c>
    </row>
    <row r="40" spans="1:3" x14ac:dyDescent="0.25">
      <c r="A40" s="2" t="s">
        <v>125</v>
      </c>
      <c r="B40" s="1">
        <v>58400</v>
      </c>
      <c r="C40" s="1">
        <v>100400</v>
      </c>
    </row>
    <row r="41" spans="1:3" x14ac:dyDescent="0.25">
      <c r="A41" s="2" t="s">
        <v>93</v>
      </c>
      <c r="B41" s="1">
        <v>60800</v>
      </c>
      <c r="C41" s="1">
        <v>117800</v>
      </c>
    </row>
    <row r="42" spans="1:3" x14ac:dyDescent="0.25">
      <c r="A42" s="2" t="s">
        <v>87</v>
      </c>
      <c r="B42" s="1">
        <v>72600</v>
      </c>
      <c r="C42" s="1">
        <v>126500</v>
      </c>
    </row>
    <row r="43" spans="1:3" x14ac:dyDescent="0.25">
      <c r="A43" s="2" t="s">
        <v>117</v>
      </c>
      <c r="B43" s="1">
        <v>67900</v>
      </c>
      <c r="C43" s="1">
        <v>106300</v>
      </c>
    </row>
    <row r="44" spans="1:3" ht="30" x14ac:dyDescent="0.25">
      <c r="A44" s="2" t="s">
        <v>98</v>
      </c>
      <c r="B44" s="1">
        <v>66900</v>
      </c>
      <c r="C44" s="1">
        <v>115000</v>
      </c>
    </row>
    <row r="45" spans="1:3" x14ac:dyDescent="0.25">
      <c r="A45" s="2" t="s">
        <v>114</v>
      </c>
      <c r="B45" s="1">
        <v>65800</v>
      </c>
      <c r="C45" s="1">
        <v>108700</v>
      </c>
    </row>
    <row r="46" spans="1:3" x14ac:dyDescent="0.25">
      <c r="A46" s="2" t="s">
        <v>99</v>
      </c>
      <c r="B46" s="1">
        <v>72100</v>
      </c>
      <c r="C46" s="1">
        <v>114000</v>
      </c>
    </row>
    <row r="47" spans="1:3" x14ac:dyDescent="0.25">
      <c r="A47" s="2" t="s">
        <v>122</v>
      </c>
      <c r="B47" s="1">
        <v>60200</v>
      </c>
      <c r="C47" s="1">
        <v>104400</v>
      </c>
    </row>
    <row r="48" spans="1:3" x14ac:dyDescent="0.25">
      <c r="A48" s="2" t="s">
        <v>89</v>
      </c>
      <c r="B48" s="1">
        <v>70700</v>
      </c>
      <c r="C48" s="1">
        <v>121700</v>
      </c>
    </row>
    <row r="49" spans="1:3" x14ac:dyDescent="0.25">
      <c r="A49" s="2" t="s">
        <v>90</v>
      </c>
      <c r="B49" s="1">
        <v>68900</v>
      </c>
      <c r="C49" s="1">
        <v>121200</v>
      </c>
    </row>
    <row r="50" spans="1:3" ht="30" x14ac:dyDescent="0.25">
      <c r="A50" s="2" t="s">
        <v>104</v>
      </c>
      <c r="B50" s="1">
        <v>61900</v>
      </c>
      <c r="C50" s="1">
        <v>112000</v>
      </c>
    </row>
    <row r="51" spans="1:3" x14ac:dyDescent="0.25">
      <c r="A51" s="2" t="s">
        <v>77</v>
      </c>
      <c r="B51" s="1">
        <v>82700</v>
      </c>
      <c r="C51" s="1">
        <v>183600</v>
      </c>
    </row>
    <row r="52" spans="1:3" x14ac:dyDescent="0.25">
      <c r="A52" s="2" t="s">
        <v>106</v>
      </c>
      <c r="B52" s="1">
        <v>65300</v>
      </c>
      <c r="C52" s="1">
        <v>111900</v>
      </c>
    </row>
    <row r="53" spans="1:3" x14ac:dyDescent="0.25">
      <c r="A53" s="2" t="s">
        <v>126</v>
      </c>
      <c r="B53" s="1">
        <v>52600</v>
      </c>
      <c r="C53" s="1">
        <v>99500</v>
      </c>
    </row>
    <row r="54" spans="1:3" x14ac:dyDescent="0.25">
      <c r="A54" s="2" t="s">
        <v>112</v>
      </c>
      <c r="B54" s="1">
        <v>69100</v>
      </c>
      <c r="C54" s="1">
        <v>83512</v>
      </c>
    </row>
    <row r="55" spans="1:3" x14ac:dyDescent="0.25">
      <c r="A55" s="2" t="s">
        <v>108</v>
      </c>
      <c r="B55" s="1">
        <v>62000</v>
      </c>
      <c r="C55" s="1">
        <v>111300</v>
      </c>
    </row>
    <row r="56" spans="1:3" x14ac:dyDescent="0.25">
      <c r="A56" s="2" t="s">
        <v>84</v>
      </c>
      <c r="B56" s="1">
        <v>70800</v>
      </c>
      <c r="C56" s="1">
        <v>131200</v>
      </c>
    </row>
    <row r="57" spans="1:3" x14ac:dyDescent="0.25">
      <c r="A57" s="2" t="s">
        <v>157</v>
      </c>
      <c r="B57" s="1">
        <f>7.25*20*50</f>
        <v>7250</v>
      </c>
      <c r="C57" s="1">
        <f>B57</f>
        <v>7250</v>
      </c>
    </row>
    <row r="58" spans="1:3" x14ac:dyDescent="0.25">
      <c r="A58" s="2"/>
    </row>
    <row r="59" spans="1:3" x14ac:dyDescent="0.25">
      <c r="A59" s="2"/>
    </row>
    <row r="60" spans="1:3" x14ac:dyDescent="0.25">
      <c r="A60" s="2"/>
    </row>
    <row r="61" spans="1:3" x14ac:dyDescent="0.25">
      <c r="A61" s="2"/>
    </row>
    <row r="62" spans="1:3" x14ac:dyDescent="0.25">
      <c r="A62" s="2"/>
    </row>
    <row r="63" spans="1:3" x14ac:dyDescent="0.25">
      <c r="A63" s="2"/>
    </row>
    <row r="64" spans="1:3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</sheetData>
  <sheetProtection algorithmName="SHA-512" hashValue="9TMS3uQrEXk8yDIbdUt33EurtYhKesx4TMRwx82Rg20EQDbHUzO54y2FTyZXEab4khm86B+ZLjRHapAgGF/e3w==" saltValue="b6DfYSAy4eS7oHG2/H5aIA==" spinCount="100000" sheet="1" objects="1" scenarios="1"/>
  <mergeCells count="1">
    <mergeCell ref="A1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DC501-1E5D-4270-B16D-CB3807BD2B50}">
  <dimension ref="B2:G20"/>
  <sheetViews>
    <sheetView workbookViewId="0">
      <selection activeCell="C8" sqref="C8"/>
    </sheetView>
  </sheetViews>
  <sheetFormatPr defaultRowHeight="15" x14ac:dyDescent="0.25"/>
  <cols>
    <col min="2" max="2" width="16.5703125" bestFit="1" customWidth="1"/>
    <col min="3" max="3" width="12.7109375" bestFit="1" customWidth="1"/>
    <col min="4" max="4" width="15.28515625" bestFit="1" customWidth="1"/>
  </cols>
  <sheetData>
    <row r="2" spans="2:7" x14ac:dyDescent="0.25">
      <c r="B2" s="14" t="s">
        <v>150</v>
      </c>
      <c r="C2" s="14"/>
      <c r="D2" s="14"/>
      <c r="E2" s="14"/>
      <c r="F2" s="14"/>
      <c r="G2" s="14"/>
    </row>
    <row r="3" spans="2:7" x14ac:dyDescent="0.25">
      <c r="B3" s="14"/>
      <c r="C3" s="14"/>
      <c r="D3" s="14"/>
      <c r="E3" s="14"/>
      <c r="F3" s="14"/>
      <c r="G3" s="14"/>
    </row>
    <row r="4" spans="2:7" x14ac:dyDescent="0.25">
      <c r="B4" s="14"/>
      <c r="C4" s="14"/>
      <c r="D4" s="14"/>
      <c r="E4" s="14"/>
      <c r="F4" s="14"/>
      <c r="G4" s="14"/>
    </row>
    <row r="6" spans="2:7" x14ac:dyDescent="0.25">
      <c r="B6" t="s">
        <v>151</v>
      </c>
      <c r="C6" s="1">
        <f>'Major Value'!E7</f>
        <v>-151.27666666666687</v>
      </c>
    </row>
    <row r="7" spans="2:7" x14ac:dyDescent="0.25">
      <c r="B7" t="s">
        <v>152</v>
      </c>
      <c r="C7">
        <v>31</v>
      </c>
    </row>
    <row r="8" spans="2:7" x14ac:dyDescent="0.25">
      <c r="B8" t="s">
        <v>153</v>
      </c>
      <c r="C8" s="3">
        <v>9.8000000000000004E-2</v>
      </c>
    </row>
    <row r="9" spans="2:7" x14ac:dyDescent="0.25">
      <c r="B9" t="s">
        <v>156</v>
      </c>
      <c r="C9" s="1">
        <f>'Cost of Financing'!F7</f>
        <v>25640</v>
      </c>
    </row>
    <row r="10" spans="2:7" x14ac:dyDescent="0.25">
      <c r="B10" t="s">
        <v>154</v>
      </c>
      <c r="C10" s="1">
        <v>1000000</v>
      </c>
    </row>
    <row r="11" spans="2:7" ht="31.5" x14ac:dyDescent="0.5">
      <c r="B11" s="17" t="s">
        <v>155</v>
      </c>
      <c r="C11" s="17"/>
      <c r="D11" s="17"/>
      <c r="E11" s="17"/>
      <c r="F11" s="17"/>
      <c r="G11" s="17"/>
    </row>
    <row r="14" spans="2:7" ht="31.5" x14ac:dyDescent="0.5">
      <c r="D14" s="12">
        <f>(NPER(C8/12,-C6,-C9,'Millionaire timeline'!C10,0))/12</f>
        <v>50.477103960258063</v>
      </c>
    </row>
    <row r="16" spans="2:7" x14ac:dyDescent="0.25">
      <c r="B16" s="15" t="s">
        <v>160</v>
      </c>
      <c r="C16" s="15"/>
      <c r="D16" s="15"/>
      <c r="E16" s="15"/>
    </row>
    <row r="17" spans="2:5" x14ac:dyDescent="0.25">
      <c r="B17" s="15"/>
      <c r="C17" s="15"/>
      <c r="D17" s="15"/>
      <c r="E17" s="15"/>
    </row>
    <row r="18" spans="2:5" x14ac:dyDescent="0.25">
      <c r="B18" s="15"/>
      <c r="C18" s="15"/>
      <c r="D18" s="15"/>
      <c r="E18" s="15"/>
    </row>
    <row r="19" spans="2:5" x14ac:dyDescent="0.25">
      <c r="B19" t="s">
        <v>161</v>
      </c>
    </row>
    <row r="20" spans="2:5" x14ac:dyDescent="0.25">
      <c r="B20" s="13" t="s">
        <v>162</v>
      </c>
    </row>
  </sheetData>
  <mergeCells count="3">
    <mergeCell ref="B2:G4"/>
    <mergeCell ref="B11:G11"/>
    <mergeCell ref="B16:E18"/>
  </mergeCells>
  <hyperlinks>
    <hyperlink ref="B20" r:id="rId1" xr:uid="{5D348A0C-53FF-4409-8806-827412E0346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9279-5737-4DF3-A80B-945F125E0B06}">
  <dimension ref="A1:D58"/>
  <sheetViews>
    <sheetView workbookViewId="0">
      <selection activeCell="G61" sqref="G61"/>
    </sheetView>
  </sheetViews>
  <sheetFormatPr defaultRowHeight="15" x14ac:dyDescent="0.25"/>
  <cols>
    <col min="1" max="1" width="31.7109375" bestFit="1" customWidth="1"/>
    <col min="2" max="3" width="10.140625" bestFit="1" customWidth="1"/>
    <col min="4" max="4" width="15.5703125" bestFit="1" customWidth="1"/>
  </cols>
  <sheetData>
    <row r="1" spans="1:4" x14ac:dyDescent="0.25">
      <c r="A1" t="s">
        <v>8</v>
      </c>
    </row>
    <row r="4" spans="1:4" x14ac:dyDescent="0.25">
      <c r="A4" t="s">
        <v>9</v>
      </c>
      <c r="B4" t="s">
        <v>10</v>
      </c>
      <c r="C4" t="s">
        <v>11</v>
      </c>
      <c r="D4" t="s">
        <v>12</v>
      </c>
    </row>
    <row r="5" spans="1:4" x14ac:dyDescent="0.25">
      <c r="A5" t="s">
        <v>66</v>
      </c>
      <c r="B5" s="1">
        <f>C5+D5</f>
        <v>39332</v>
      </c>
      <c r="C5" s="1">
        <v>29230</v>
      </c>
      <c r="D5" s="1">
        <v>10102</v>
      </c>
    </row>
    <row r="6" spans="1:4" x14ac:dyDescent="0.25">
      <c r="A6" t="s">
        <v>67</v>
      </c>
      <c r="B6" s="1">
        <f>D6+C6</f>
        <v>43856</v>
      </c>
      <c r="C6" s="1">
        <v>30524</v>
      </c>
      <c r="D6" s="1">
        <v>13332</v>
      </c>
    </row>
    <row r="7" spans="1:4" x14ac:dyDescent="0.25">
      <c r="A7" t="s">
        <v>42</v>
      </c>
      <c r="B7" s="1">
        <f t="shared" ref="B7:B58" si="0">C7+D7</f>
        <v>48936</v>
      </c>
      <c r="C7" s="1">
        <v>36386</v>
      </c>
      <c r="D7" s="1">
        <v>12550</v>
      </c>
    </row>
    <row r="8" spans="1:4" x14ac:dyDescent="0.25">
      <c r="A8" t="s">
        <v>43</v>
      </c>
      <c r="B8" s="1">
        <f t="shared" si="0"/>
        <v>40984</v>
      </c>
      <c r="C8" s="1">
        <v>28336</v>
      </c>
      <c r="D8" s="1">
        <v>12648</v>
      </c>
    </row>
    <row r="9" spans="1:4" x14ac:dyDescent="0.25">
      <c r="A9" t="s">
        <v>23</v>
      </c>
      <c r="B9" s="1">
        <f>C9+D9</f>
        <v>70326</v>
      </c>
      <c r="C9" s="1">
        <v>55656</v>
      </c>
      <c r="D9" s="1">
        <v>14670</v>
      </c>
    </row>
    <row r="10" spans="1:4" x14ac:dyDescent="0.25">
      <c r="A10" t="s">
        <v>49</v>
      </c>
      <c r="B10" s="1">
        <f>C10+D10</f>
        <v>59336</v>
      </c>
      <c r="C10" s="1">
        <v>43176</v>
      </c>
      <c r="D10" s="1">
        <v>16160</v>
      </c>
    </row>
    <row r="11" spans="1:4" x14ac:dyDescent="0.25">
      <c r="A11" t="s">
        <v>44</v>
      </c>
      <c r="B11" s="1">
        <f t="shared" si="0"/>
        <v>51704</v>
      </c>
      <c r="C11" s="1">
        <v>37286</v>
      </c>
      <c r="D11" s="1">
        <v>14418</v>
      </c>
    </row>
    <row r="12" spans="1:4" x14ac:dyDescent="0.25">
      <c r="A12" t="s">
        <v>45</v>
      </c>
      <c r="B12" s="1">
        <f t="shared" si="0"/>
        <v>41696</v>
      </c>
      <c r="C12" s="1">
        <v>29732</v>
      </c>
      <c r="D12" s="1">
        <v>11964</v>
      </c>
    </row>
    <row r="13" spans="1:4" x14ac:dyDescent="0.25">
      <c r="A13" t="s">
        <v>28</v>
      </c>
      <c r="B13" s="1">
        <f t="shared" si="0"/>
        <v>74001</v>
      </c>
      <c r="C13" s="1">
        <v>59985</v>
      </c>
      <c r="D13" s="1">
        <v>14016</v>
      </c>
    </row>
    <row r="14" spans="1:4" x14ac:dyDescent="0.25">
      <c r="A14" t="s">
        <v>26</v>
      </c>
      <c r="B14" s="1">
        <f t="shared" si="0"/>
        <v>70004</v>
      </c>
      <c r="C14" s="1">
        <v>55188</v>
      </c>
      <c r="D14" s="1">
        <v>14816</v>
      </c>
    </row>
    <row r="15" spans="1:4" x14ac:dyDescent="0.25">
      <c r="A15" t="s">
        <v>25</v>
      </c>
      <c r="B15" s="1">
        <f t="shared" si="0"/>
        <v>71209</v>
      </c>
      <c r="C15" s="1">
        <v>55453</v>
      </c>
      <c r="D15" s="1">
        <v>15756</v>
      </c>
    </row>
    <row r="16" spans="1:4" x14ac:dyDescent="0.25">
      <c r="A16" t="s">
        <v>58</v>
      </c>
      <c r="B16" s="1">
        <f t="shared" si="0"/>
        <v>70873</v>
      </c>
      <c r="C16" s="1">
        <v>55695</v>
      </c>
      <c r="D16" s="1">
        <v>15178</v>
      </c>
    </row>
    <row r="17" spans="1:4" x14ac:dyDescent="0.25">
      <c r="A17" t="s">
        <v>55</v>
      </c>
      <c r="B17" s="1">
        <f t="shared" si="0"/>
        <v>65762</v>
      </c>
      <c r="C17" s="1">
        <v>51306</v>
      </c>
      <c r="D17" s="1">
        <v>14456</v>
      </c>
    </row>
    <row r="18" spans="1:4" x14ac:dyDescent="0.25">
      <c r="A18" t="s">
        <v>18</v>
      </c>
      <c r="B18" s="1">
        <f t="shared" si="0"/>
        <v>64334</v>
      </c>
      <c r="C18" s="1">
        <v>50226</v>
      </c>
      <c r="D18" s="1">
        <v>14108</v>
      </c>
    </row>
    <row r="19" spans="1:4" x14ac:dyDescent="0.25">
      <c r="A19" t="s">
        <v>17</v>
      </c>
      <c r="B19" s="1">
        <f t="shared" si="0"/>
        <v>16274</v>
      </c>
      <c r="C19" s="1">
        <v>6118</v>
      </c>
      <c r="D19" s="1">
        <v>10156</v>
      </c>
    </row>
    <row r="20" spans="1:4" x14ac:dyDescent="0.25">
      <c r="A20" t="s">
        <v>19</v>
      </c>
      <c r="B20" s="1">
        <f t="shared" si="0"/>
        <v>17440</v>
      </c>
      <c r="C20" s="1">
        <v>6558</v>
      </c>
      <c r="D20" s="1">
        <v>10882</v>
      </c>
    </row>
    <row r="21" spans="1:4" x14ac:dyDescent="0.25">
      <c r="A21" t="s">
        <v>68</v>
      </c>
      <c r="B21" s="1">
        <f t="shared" si="0"/>
        <v>16183</v>
      </c>
      <c r="C21" s="1">
        <v>6919</v>
      </c>
      <c r="D21" s="1">
        <v>9264</v>
      </c>
    </row>
    <row r="22" spans="1:4" x14ac:dyDescent="0.25">
      <c r="A22" t="s">
        <v>14</v>
      </c>
      <c r="B22" s="1">
        <f t="shared" si="0"/>
        <v>17332</v>
      </c>
      <c r="C22" s="1">
        <v>6516</v>
      </c>
      <c r="D22" s="1">
        <v>10816</v>
      </c>
    </row>
    <row r="23" spans="1:4" x14ac:dyDescent="0.25">
      <c r="A23" t="s">
        <v>65</v>
      </c>
      <c r="B23" s="1">
        <f t="shared" si="0"/>
        <v>69170</v>
      </c>
      <c r="C23" s="1">
        <v>55320</v>
      </c>
      <c r="D23" s="1">
        <v>13850</v>
      </c>
    </row>
    <row r="24" spans="1:4" x14ac:dyDescent="0.25">
      <c r="A24" t="s">
        <v>64</v>
      </c>
      <c r="B24" s="1">
        <f t="shared" si="0"/>
        <v>70613</v>
      </c>
      <c r="C24" s="1">
        <v>54104</v>
      </c>
      <c r="D24" s="1">
        <v>16509</v>
      </c>
    </row>
    <row r="25" spans="1:4" x14ac:dyDescent="0.25">
      <c r="A25" t="s">
        <v>53</v>
      </c>
      <c r="B25" s="1">
        <f t="shared" si="0"/>
        <v>40442</v>
      </c>
      <c r="C25" s="1">
        <v>30404</v>
      </c>
      <c r="D25" s="1">
        <v>10038</v>
      </c>
    </row>
    <row r="26" spans="1:4" x14ac:dyDescent="0.25">
      <c r="A26" t="s">
        <v>54</v>
      </c>
      <c r="B26" s="1">
        <f t="shared" si="0"/>
        <v>44904</v>
      </c>
      <c r="C26" s="1">
        <v>33020</v>
      </c>
      <c r="D26" s="1">
        <v>11884</v>
      </c>
    </row>
    <row r="27" spans="1:4" x14ac:dyDescent="0.25">
      <c r="A27" t="s">
        <v>21</v>
      </c>
      <c r="B27" s="1">
        <f t="shared" si="0"/>
        <v>67580</v>
      </c>
      <c r="C27" s="1">
        <v>50420</v>
      </c>
      <c r="D27" s="1">
        <v>17160</v>
      </c>
    </row>
    <row r="28" spans="1:4" x14ac:dyDescent="0.25">
      <c r="A28" t="s">
        <v>30</v>
      </c>
      <c r="B28" s="1">
        <f t="shared" si="0"/>
        <v>71193</v>
      </c>
      <c r="C28" s="1">
        <v>54567</v>
      </c>
      <c r="D28" s="1">
        <v>16626</v>
      </c>
    </row>
    <row r="29" spans="1:4" x14ac:dyDescent="0.25">
      <c r="A29" t="s">
        <v>60</v>
      </c>
      <c r="B29" s="1">
        <f t="shared" si="0"/>
        <v>40140</v>
      </c>
      <c r="C29" s="1">
        <v>30160</v>
      </c>
      <c r="D29" s="1">
        <v>9980</v>
      </c>
    </row>
    <row r="30" spans="1:4" x14ac:dyDescent="0.25">
      <c r="A30" t="s">
        <v>31</v>
      </c>
      <c r="B30" s="1">
        <f t="shared" si="0"/>
        <v>43176</v>
      </c>
      <c r="C30" s="1">
        <v>30742</v>
      </c>
      <c r="D30" s="1">
        <v>12434</v>
      </c>
    </row>
    <row r="31" spans="1:4" x14ac:dyDescent="0.25">
      <c r="A31" t="s">
        <v>50</v>
      </c>
      <c r="B31" s="1">
        <f t="shared" si="0"/>
        <v>48441</v>
      </c>
      <c r="C31" s="1">
        <v>35478</v>
      </c>
      <c r="D31" s="1">
        <v>12963</v>
      </c>
    </row>
    <row r="32" spans="1:4" x14ac:dyDescent="0.25">
      <c r="A32" t="s">
        <v>24</v>
      </c>
      <c r="B32" s="1">
        <f t="shared" si="0"/>
        <v>65620</v>
      </c>
      <c r="C32" s="1">
        <v>49330</v>
      </c>
      <c r="D32" s="1">
        <v>16290</v>
      </c>
    </row>
    <row r="33" spans="1:4" x14ac:dyDescent="0.25">
      <c r="A33" t="s">
        <v>37</v>
      </c>
      <c r="B33" s="1">
        <f t="shared" si="0"/>
        <v>61350</v>
      </c>
      <c r="C33" s="1">
        <v>47350</v>
      </c>
      <c r="D33" s="1">
        <v>14000</v>
      </c>
    </row>
    <row r="34" spans="1:4" x14ac:dyDescent="0.25">
      <c r="A34" t="s">
        <v>46</v>
      </c>
      <c r="B34" s="1">
        <f t="shared" si="0"/>
        <v>67117</v>
      </c>
      <c r="C34" s="1">
        <v>51354</v>
      </c>
      <c r="D34" s="1">
        <v>15763</v>
      </c>
    </row>
    <row r="35" spans="1:4" x14ac:dyDescent="0.25">
      <c r="A35" t="s">
        <v>35</v>
      </c>
      <c r="B35" s="1">
        <f t="shared" si="0"/>
        <v>46878</v>
      </c>
      <c r="C35" s="1">
        <v>36442</v>
      </c>
      <c r="D35" s="1">
        <v>10436</v>
      </c>
    </row>
    <row r="36" spans="1:4" x14ac:dyDescent="0.25">
      <c r="A36" t="s">
        <v>70</v>
      </c>
      <c r="B36" s="1">
        <f t="shared" si="0"/>
        <v>33025</v>
      </c>
      <c r="C36" s="1">
        <v>23495</v>
      </c>
      <c r="D36" s="1">
        <v>9530</v>
      </c>
    </row>
    <row r="37" spans="1:4" x14ac:dyDescent="0.25">
      <c r="A37" t="s">
        <v>47</v>
      </c>
      <c r="B37" s="1">
        <f t="shared" si="0"/>
        <v>58582</v>
      </c>
      <c r="C37" s="1">
        <v>42766</v>
      </c>
      <c r="D37" s="1">
        <v>15816</v>
      </c>
    </row>
    <row r="38" spans="1:4" x14ac:dyDescent="0.25">
      <c r="A38" t="s">
        <v>16</v>
      </c>
      <c r="B38" s="1">
        <f t="shared" si="0"/>
        <v>15985</v>
      </c>
      <c r="C38" s="1">
        <v>6368</v>
      </c>
      <c r="D38" s="1">
        <v>9617</v>
      </c>
    </row>
    <row r="39" spans="1:4" x14ac:dyDescent="0.25">
      <c r="A39" t="s">
        <v>29</v>
      </c>
      <c r="B39" s="1">
        <f t="shared" si="0"/>
        <v>74580</v>
      </c>
      <c r="C39" s="1">
        <v>58230</v>
      </c>
      <c r="D39" s="1">
        <v>16350</v>
      </c>
    </row>
    <row r="40" spans="1:4" x14ac:dyDescent="0.25">
      <c r="A40" t="s">
        <v>69</v>
      </c>
      <c r="B40" s="1">
        <f t="shared" si="0"/>
        <v>37452</v>
      </c>
      <c r="C40" s="1">
        <v>26334</v>
      </c>
      <c r="D40" s="1">
        <v>11118</v>
      </c>
    </row>
    <row r="41" spans="1:4" x14ac:dyDescent="0.25">
      <c r="A41" t="s">
        <v>13</v>
      </c>
      <c r="B41" s="1">
        <f t="shared" si="0"/>
        <v>16501</v>
      </c>
      <c r="C41" s="1">
        <v>6381</v>
      </c>
      <c r="D41" s="1">
        <v>10120</v>
      </c>
    </row>
    <row r="42" spans="1:4" x14ac:dyDescent="0.25">
      <c r="A42" t="s">
        <v>36</v>
      </c>
      <c r="B42" s="1">
        <f t="shared" si="0"/>
        <v>38226</v>
      </c>
      <c r="C42" s="1">
        <v>27956</v>
      </c>
      <c r="D42" s="1">
        <v>10270</v>
      </c>
    </row>
    <row r="43" spans="1:4" x14ac:dyDescent="0.25">
      <c r="A43" t="s">
        <v>20</v>
      </c>
      <c r="B43" s="1">
        <f t="shared" si="0"/>
        <v>64334</v>
      </c>
      <c r="C43" s="1">
        <v>50226</v>
      </c>
      <c r="D43" s="1">
        <v>14108</v>
      </c>
    </row>
    <row r="44" spans="1:4" x14ac:dyDescent="0.25">
      <c r="A44" t="s">
        <v>32</v>
      </c>
      <c r="B44" s="1">
        <f t="shared" si="0"/>
        <v>60884</v>
      </c>
      <c r="C44" s="1">
        <v>49350</v>
      </c>
      <c r="D44" s="1">
        <v>11534</v>
      </c>
    </row>
    <row r="45" spans="1:4" x14ac:dyDescent="0.25">
      <c r="A45" t="s">
        <v>57</v>
      </c>
      <c r="B45" s="1">
        <f t="shared" si="0"/>
        <v>46360</v>
      </c>
      <c r="C45" s="1">
        <v>35170</v>
      </c>
      <c r="D45" s="1">
        <v>11190</v>
      </c>
    </row>
    <row r="46" spans="1:4" x14ac:dyDescent="0.25">
      <c r="A46" t="s">
        <v>33</v>
      </c>
      <c r="B46" s="1">
        <f t="shared" si="0"/>
        <v>38108</v>
      </c>
      <c r="C46" s="1">
        <v>27114</v>
      </c>
      <c r="D46" s="1">
        <v>10994</v>
      </c>
    </row>
    <row r="47" spans="1:4" x14ac:dyDescent="0.25">
      <c r="A47" t="s">
        <v>27</v>
      </c>
      <c r="B47" s="1">
        <f t="shared" si="0"/>
        <v>71200</v>
      </c>
      <c r="C47" s="1">
        <v>55584</v>
      </c>
      <c r="D47" s="1">
        <v>15616</v>
      </c>
    </row>
    <row r="48" spans="1:4" x14ac:dyDescent="0.25">
      <c r="A48" t="s">
        <v>61</v>
      </c>
      <c r="B48" s="1">
        <f t="shared" si="0"/>
        <v>43102</v>
      </c>
      <c r="C48" s="1">
        <v>32052</v>
      </c>
      <c r="D48" s="1">
        <v>11050</v>
      </c>
    </row>
    <row r="49" spans="1:4" x14ac:dyDescent="0.25">
      <c r="A49" t="s">
        <v>56</v>
      </c>
      <c r="B49" s="1">
        <f t="shared" si="0"/>
        <v>33298</v>
      </c>
      <c r="C49" s="1">
        <v>33298</v>
      </c>
      <c r="D49" s="1">
        <v>0</v>
      </c>
    </row>
    <row r="50" spans="1:4" x14ac:dyDescent="0.25">
      <c r="A50" t="s">
        <v>15</v>
      </c>
      <c r="B50" s="1">
        <f t="shared" si="0"/>
        <v>18020</v>
      </c>
      <c r="C50" s="1">
        <v>6410</v>
      </c>
      <c r="D50" s="1">
        <v>11610</v>
      </c>
    </row>
    <row r="51" spans="1:4" x14ac:dyDescent="0.25">
      <c r="A51" t="s">
        <v>48</v>
      </c>
      <c r="B51" s="1">
        <f t="shared" si="0"/>
        <v>71620</v>
      </c>
      <c r="C51" s="1">
        <v>56225</v>
      </c>
      <c r="D51" s="1">
        <v>15395</v>
      </c>
    </row>
    <row r="52" spans="1:4" x14ac:dyDescent="0.25">
      <c r="A52" t="s">
        <v>34</v>
      </c>
      <c r="B52" s="1">
        <f t="shared" si="0"/>
        <v>48284</v>
      </c>
      <c r="C52" s="1">
        <v>37480</v>
      </c>
      <c r="D52" s="1">
        <v>10804</v>
      </c>
    </row>
    <row r="53" spans="1:4" x14ac:dyDescent="0.25">
      <c r="A53" t="s">
        <v>62</v>
      </c>
      <c r="B53" s="1">
        <f t="shared" si="0"/>
        <v>60055</v>
      </c>
      <c r="C53" s="1">
        <v>48465</v>
      </c>
      <c r="D53" s="1">
        <v>11590</v>
      </c>
    </row>
    <row r="54" spans="1:4" x14ac:dyDescent="0.25">
      <c r="A54" t="s">
        <v>63</v>
      </c>
      <c r="B54" s="1">
        <f t="shared" si="0"/>
        <v>40238</v>
      </c>
      <c r="C54" s="1">
        <v>31304</v>
      </c>
      <c r="D54" s="1">
        <v>8934</v>
      </c>
    </row>
    <row r="55" spans="1:4" x14ac:dyDescent="0.25">
      <c r="A55" t="s">
        <v>59</v>
      </c>
      <c r="B55" s="1">
        <f t="shared" si="0"/>
        <v>69354</v>
      </c>
      <c r="C55" s="1">
        <v>53322</v>
      </c>
      <c r="D55" s="1">
        <v>16032</v>
      </c>
    </row>
    <row r="56" spans="1:4" x14ac:dyDescent="0.25">
      <c r="A56" t="s">
        <v>51</v>
      </c>
      <c r="B56" s="1">
        <f t="shared" si="0"/>
        <v>49696</v>
      </c>
      <c r="C56" s="1">
        <v>36898</v>
      </c>
      <c r="D56" s="1">
        <v>12798</v>
      </c>
    </row>
    <row r="57" spans="1:4" x14ac:dyDescent="0.25">
      <c r="A57" t="s">
        <v>52</v>
      </c>
      <c r="B57" s="1">
        <f t="shared" si="0"/>
        <v>37763</v>
      </c>
      <c r="C57" s="1">
        <v>26365</v>
      </c>
      <c r="D57" s="1">
        <v>11398</v>
      </c>
    </row>
    <row r="58" spans="1:4" x14ac:dyDescent="0.25">
      <c r="A58" t="s">
        <v>22</v>
      </c>
      <c r="B58" s="1">
        <f t="shared" si="0"/>
        <v>69430</v>
      </c>
      <c r="C58" s="1">
        <v>53430</v>
      </c>
      <c r="D58" s="1">
        <v>16000</v>
      </c>
    </row>
  </sheetData>
  <sheetProtection algorithmName="SHA-512" hashValue="efRfwVZ6DZ40Snk+sVYBCBdxiaIGH9c149FUF1rkecOu5m3GZ9gjQLU9mgV+F7k5xOAqC39ChHC1xtZSwdjIJA==" saltValue="CT1YQbdA7BIISJPJo/Hsr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Instructions-READ FIRST</vt:lpstr>
      <vt:lpstr>ZBB-Student</vt:lpstr>
      <vt:lpstr>ZBB-Pro</vt:lpstr>
      <vt:lpstr>Major Value</vt:lpstr>
      <vt:lpstr>Cost of Financing</vt:lpstr>
      <vt:lpstr>Debt Calculator</vt:lpstr>
      <vt:lpstr>Major Pay</vt:lpstr>
      <vt:lpstr>Millionaire timeline</vt:lpstr>
      <vt:lpstr>University FCA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Nensey</dc:creator>
  <cp:lastModifiedBy>Zain Nensey</cp:lastModifiedBy>
  <dcterms:created xsi:type="dcterms:W3CDTF">2019-07-12T11:32:10Z</dcterms:created>
  <dcterms:modified xsi:type="dcterms:W3CDTF">2019-07-24T15:48:26Z</dcterms:modified>
</cp:coreProperties>
</file>